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0.xml" ContentType="application/vnd.openxmlformats-officedocument.spreadsheetml.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cnjjusbr.sharepoint.com/sites/EscritrioCorporativo/Shared Documents/0 - BASE PAINEL/PAINEL/"/>
    </mc:Choice>
  </mc:AlternateContent>
  <xr:revisionPtr revIDLastSave="26917" documentId="1_{C7769216-02CB-41B3-8973-9DE07AEB159B}" xr6:coauthVersionLast="47" xr6:coauthVersionMax="47" xr10:uidLastSave="{545946C3-46E5-4183-BEC3-BDB469974124}"/>
  <bookViews>
    <workbookView xWindow="-120" yWindow="-120" windowWidth="29040" windowHeight="15720" tabRatio="853" firstSheet="10" activeTab="11" xr2:uid="{5E0B9DE2-1F67-407E-A1FE-9D171A5099FF}"/>
  </bookViews>
  <sheets>
    <sheet name="ProjetosNãoAcompanhados" sheetId="29" r:id="rId1"/>
    <sheet name="Projetos" sheetId="1" r:id="rId2"/>
    <sheet name="Planilha3" sheetId="40" r:id="rId3"/>
    <sheet name="Benefícios" sheetId="25" r:id="rId4"/>
    <sheet name="Atualizações" sheetId="10" r:id="rId5"/>
    <sheet name="Projetos (2)" sheetId="26" state="hidden" r:id="rId6"/>
    <sheet name="Políticas Judiciárias Programát" sheetId="27" r:id="rId7"/>
    <sheet name="Consolidado 2021-2026" sheetId="28" r:id="rId8"/>
    <sheet name="RESUMO" sheetId="18" r:id="rId9"/>
    <sheet name="Alinhamento" sheetId="20" r:id="rId10"/>
    <sheet name="Mapa" sheetId="12" r:id="rId11"/>
    <sheet name="Simulação" sheetId="17" r:id="rId12"/>
    <sheet name="Entregas" sheetId="22" r:id="rId13"/>
    <sheet name="Gráficos 2025" sheetId="21" r:id="rId14"/>
    <sheet name="Gráficos 2024" sheetId="16" state="hidden" r:id="rId15"/>
    <sheet name="Gráficos 2023" sheetId="13" state="hidden" r:id="rId16"/>
    <sheet name="Situação dos projetos" sheetId="7" state="hidden" r:id="rId17"/>
    <sheet name="Nomes dos Projetos" sheetId="9" state="hidden" r:id="rId18"/>
    <sheet name="Projeto e Objetivos" sheetId="15" state="hidden" r:id="rId19"/>
    <sheet name="Objetivos Estratégicos" sheetId="5" state="hidden" r:id="rId20"/>
    <sheet name="Projeto e Macro" sheetId="14" state="hidden" r:id="rId21"/>
    <sheet name="Macrodesafios" sheetId="6" state="hidden" r:id="rId22"/>
    <sheet name="Alinhamento Estratégico" sheetId="8" state="hidden" r:id="rId23"/>
    <sheet name="Planilha1" sheetId="19" state="hidden" r:id="rId24"/>
    <sheet name="Projetos 2026 - Eixo" sheetId="30" r:id="rId25"/>
    <sheet name="Mag" sheetId="38" r:id="rId26"/>
    <sheet name="Eixo" sheetId="37" r:id="rId27"/>
    <sheet name="Planilha2" sheetId="39" r:id="rId28"/>
    <sheet name="Relatório por Juiz" sheetId="33" r:id="rId29"/>
  </sheets>
  <definedNames>
    <definedName name="_56F9DC9755BA473782653E2940F9FormId">"5pCRrV3EAEa8XOylVMz0l7yh5oewUHZNuOcbRYeM_iVUMEowWllFSElHMTJKWTNBN0NUNjFEWTJXVCQlQCN0PWcu"</definedName>
    <definedName name="_56F9DC9755BA473782653E2940F9ResponseSheet">"Form1"</definedName>
    <definedName name="_56F9DC9755BA473782653E2940F9SourceDocId">"{fe9cf1c0-e8ce-40da-a5ce-12054582ff1c}"</definedName>
    <definedName name="_xlnm._FilterDatabase" localSheetId="4" hidden="1">Atualizações!$A$1:$N$1265</definedName>
    <definedName name="_xlnm._FilterDatabase" localSheetId="10" hidden="1">Mapa!$B$3:$Z$131</definedName>
    <definedName name="_xlnm._FilterDatabase" localSheetId="19" hidden="1">'Objetivos Estratégicos'!$F$1:$F$29</definedName>
    <definedName name="_xlnm._FilterDatabase" localSheetId="1" hidden="1">Projetos!$A$2:$V$129</definedName>
    <definedName name="_xlnm._FilterDatabase" localSheetId="5" hidden="1">'Projetos (2)'!$A$2:$Y$109</definedName>
    <definedName name="_xlnm._FilterDatabase" localSheetId="24" hidden="1">'Projetos 2026 - Eixo'!$A$2:$A$57</definedName>
    <definedName name="_xlnm._FilterDatabase" localSheetId="0" hidden="1">ProjetosNãoAcompanhados!$A$2:$V$3</definedName>
    <definedName name="_xlnm._FilterDatabase" localSheetId="8" hidden="1">RESUMO!$B$1:$N$26</definedName>
    <definedName name="_xlnm.Print_Area" localSheetId="8">RESUMO!$B$1:$N$26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3" i="12" l="1"/>
  <c r="K1265" i="10"/>
  <c r="B1265" i="10"/>
  <c r="H1265" i="10"/>
  <c r="I1265" i="10"/>
  <c r="O1265" i="10"/>
  <c r="P1265" i="10" s="1"/>
  <c r="K1264" i="10"/>
  <c r="B1264" i="10"/>
  <c r="H1264" i="10"/>
  <c r="I1264" i="10"/>
  <c r="O1264" i="10"/>
  <c r="P1264" i="10" s="1"/>
  <c r="K1263" i="10"/>
  <c r="B1263" i="10"/>
  <c r="H1263" i="10"/>
  <c r="I1263" i="10"/>
  <c r="O1263" i="10"/>
  <c r="P1263" i="10" s="1"/>
  <c r="K1262" i="10"/>
  <c r="B1262" i="10"/>
  <c r="H1262" i="10"/>
  <c r="I1262" i="10"/>
  <c r="O1262" i="10"/>
  <c r="P1262" i="10" s="1"/>
  <c r="K1261" i="10"/>
  <c r="B1261" i="10"/>
  <c r="H1261" i="10"/>
  <c r="I1261" i="10"/>
  <c r="O1261" i="10"/>
  <c r="P1261" i="10" s="1"/>
  <c r="K1260" i="10"/>
  <c r="B1260" i="10"/>
  <c r="H1260" i="10"/>
  <c r="I1260" i="10"/>
  <c r="O1260" i="10"/>
  <c r="P1260" i="10" s="1"/>
  <c r="K1259" i="10"/>
  <c r="B1259" i="10"/>
  <c r="H1259" i="10"/>
  <c r="I1259" i="10"/>
  <c r="O1259" i="10"/>
  <c r="P1259" i="10" s="1"/>
  <c r="K1258" i="10"/>
  <c r="B1258" i="10"/>
  <c r="H1258" i="10"/>
  <c r="I1258" i="10"/>
  <c r="O1258" i="10"/>
  <c r="P1258" i="10" s="1"/>
  <c r="K1257" i="10"/>
  <c r="B1257" i="10"/>
  <c r="H1257" i="10"/>
  <c r="I1257" i="10"/>
  <c r="O1257" i="10"/>
  <c r="P1257" i="10" s="1"/>
  <c r="K1256" i="10"/>
  <c r="B1256" i="10"/>
  <c r="H1256" i="10"/>
  <c r="I1256" i="10"/>
  <c r="O1256" i="10"/>
  <c r="P1256" i="10" s="1"/>
  <c r="K1255" i="10"/>
  <c r="B1255" i="10"/>
  <c r="H1255" i="10"/>
  <c r="I1255" i="10"/>
  <c r="O1255" i="10"/>
  <c r="P1255" i="10" s="1"/>
  <c r="K1254" i="10"/>
  <c r="B1254" i="10"/>
  <c r="H1254" i="10"/>
  <c r="I1254" i="10"/>
  <c r="O1254" i="10"/>
  <c r="P1254" i="10" s="1"/>
  <c r="K1253" i="10"/>
  <c r="B1253" i="10"/>
  <c r="H1253" i="10"/>
  <c r="I1253" i="10"/>
  <c r="O1253" i="10"/>
  <c r="P1253" i="10" s="1"/>
  <c r="K1252" i="10"/>
  <c r="B1252" i="10"/>
  <c r="H1252" i="10"/>
  <c r="I1252" i="10"/>
  <c r="O1252" i="10"/>
  <c r="P1252" i="10" s="1"/>
  <c r="K1251" i="10"/>
  <c r="B1251" i="10"/>
  <c r="H1251" i="10"/>
  <c r="I1251" i="10"/>
  <c r="O1251" i="10"/>
  <c r="P1251" i="10" s="1"/>
  <c r="K1250" i="10"/>
  <c r="B1250" i="10"/>
  <c r="H1250" i="10"/>
  <c r="I1250" i="10"/>
  <c r="O1250" i="10"/>
  <c r="P1250" i="10" s="1"/>
  <c r="K1249" i="10"/>
  <c r="B1249" i="10"/>
  <c r="H1249" i="10"/>
  <c r="I1249" i="10"/>
  <c r="O1249" i="10"/>
  <c r="P1249" i="10" s="1"/>
  <c r="K1248" i="10"/>
  <c r="B1248" i="10"/>
  <c r="H1248" i="10"/>
  <c r="I1248" i="10"/>
  <c r="O1248" i="10"/>
  <c r="P1248" i="10" s="1"/>
  <c r="K1247" i="10"/>
  <c r="B1247" i="10"/>
  <c r="H1247" i="10"/>
  <c r="I1247" i="10"/>
  <c r="O1247" i="10"/>
  <c r="P1247" i="10" s="1"/>
  <c r="K1246" i="10"/>
  <c r="B1246" i="10"/>
  <c r="H1246" i="10"/>
  <c r="I1246" i="10"/>
  <c r="O1246" i="10"/>
  <c r="P1246" i="10" s="1"/>
  <c r="K1245" i="10"/>
  <c r="B1245" i="10"/>
  <c r="H1245" i="10"/>
  <c r="I1245" i="10"/>
  <c r="O1245" i="10"/>
  <c r="P1245" i="10" s="1"/>
  <c r="K1244" i="10"/>
  <c r="B1244" i="10"/>
  <c r="H1244" i="10"/>
  <c r="I1244" i="10"/>
  <c r="O1244" i="10"/>
  <c r="P1244" i="10" s="1"/>
  <c r="K1243" i="10"/>
  <c r="B1243" i="10"/>
  <c r="H1243" i="10"/>
  <c r="I1243" i="10"/>
  <c r="O1243" i="10"/>
  <c r="P1243" i="10" s="1"/>
  <c r="K1242" i="10"/>
  <c r="B1242" i="10"/>
  <c r="H1242" i="10"/>
  <c r="I1242" i="10"/>
  <c r="O1242" i="10"/>
  <c r="P1242" i="10" s="1"/>
  <c r="K1241" i="10"/>
  <c r="B1241" i="10"/>
  <c r="H1241" i="10"/>
  <c r="I1241" i="10"/>
  <c r="O1241" i="10"/>
  <c r="P1241" i="10" s="1"/>
  <c r="K1240" i="10"/>
  <c r="B1240" i="10"/>
  <c r="H1240" i="10"/>
  <c r="I1240" i="10"/>
  <c r="O1240" i="10"/>
  <c r="P1240" i="10" s="1"/>
  <c r="K1239" i="10"/>
  <c r="B1239" i="10"/>
  <c r="H1239" i="10"/>
  <c r="I1239" i="10"/>
  <c r="O1239" i="10"/>
  <c r="P1239" i="10" s="1"/>
  <c r="B1238" i="10"/>
  <c r="H1238" i="10"/>
  <c r="I1238" i="10"/>
  <c r="O1238" i="10"/>
  <c r="P1238" i="10" s="1"/>
  <c r="K1237" i="10"/>
  <c r="B1237" i="10"/>
  <c r="H1237" i="10"/>
  <c r="I1237" i="10"/>
  <c r="O1237" i="10"/>
  <c r="P1237" i="10" s="1"/>
  <c r="K1236" i="10"/>
  <c r="B1236" i="10"/>
  <c r="H1236" i="10"/>
  <c r="I1236" i="10"/>
  <c r="O1236" i="10"/>
  <c r="P1236" i="10" s="1"/>
  <c r="K1235" i="10"/>
  <c r="B1235" i="10"/>
  <c r="H1235" i="10"/>
  <c r="I1235" i="10"/>
  <c r="O1235" i="10"/>
  <c r="P1235" i="10" s="1"/>
  <c r="I50" i="12"/>
  <c r="H50" i="12"/>
  <c r="E50" i="12"/>
  <c r="F50" i="12"/>
  <c r="B480" i="20"/>
  <c r="B479" i="20"/>
  <c r="D480" i="20"/>
  <c r="F480" i="20"/>
  <c r="H480" i="20"/>
  <c r="J480" i="20"/>
  <c r="D479" i="20"/>
  <c r="F479" i="20"/>
  <c r="H479" i="20"/>
  <c r="J479" i="20"/>
  <c r="B477" i="20"/>
  <c r="B478" i="20"/>
  <c r="D478" i="20"/>
  <c r="F478" i="20"/>
  <c r="H478" i="20"/>
  <c r="J478" i="20"/>
  <c r="D477" i="20"/>
  <c r="F477" i="20"/>
  <c r="H477" i="20"/>
  <c r="J477" i="20"/>
  <c r="K1234" i="10"/>
  <c r="B1234" i="10"/>
  <c r="H1234" i="10"/>
  <c r="I1234" i="10"/>
  <c r="O1234" i="10"/>
  <c r="P1234" i="10" s="1"/>
  <c r="I49" i="12"/>
  <c r="H49" i="12"/>
  <c r="F49" i="12"/>
  <c r="B1233" i="10"/>
  <c r="I1233" i="10"/>
  <c r="H48" i="12"/>
  <c r="I48" i="12"/>
  <c r="F48" i="12"/>
  <c r="B1232" i="10"/>
  <c r="I1232" i="10"/>
  <c r="B1231" i="10"/>
  <c r="I1231" i="10"/>
  <c r="B1230" i="10"/>
  <c r="I1230" i="10"/>
  <c r="B1229" i="10"/>
  <c r="I1229" i="10"/>
  <c r="B1228" i="10"/>
  <c r="I1228" i="10"/>
  <c r="B1227" i="10"/>
  <c r="I1227" i="10"/>
  <c r="B1226" i="10"/>
  <c r="I1226" i="10"/>
  <c r="B1225" i="10"/>
  <c r="I1225" i="10"/>
  <c r="I47" i="12"/>
  <c r="H47" i="12"/>
  <c r="F47" i="12"/>
  <c r="B1224" i="10"/>
  <c r="I1224" i="10"/>
  <c r="B1223" i="10"/>
  <c r="I1223" i="10"/>
  <c r="B1222" i="10"/>
  <c r="I1222" i="10"/>
  <c r="B1221" i="10"/>
  <c r="I1221" i="10"/>
  <c r="B1220" i="10"/>
  <c r="I1220" i="10"/>
  <c r="B1219" i="10"/>
  <c r="I1219" i="10"/>
  <c r="B1218" i="10"/>
  <c r="I1218" i="10"/>
  <c r="B1217" i="10"/>
  <c r="I1217" i="10"/>
  <c r="B1216" i="10"/>
  <c r="I1216" i="10"/>
  <c r="B1215" i="10"/>
  <c r="I1215" i="10"/>
  <c r="B1214" i="10"/>
  <c r="I1214" i="10"/>
  <c r="B1213" i="10"/>
  <c r="I1213" i="10"/>
  <c r="B1212" i="10"/>
  <c r="I1212" i="10"/>
  <c r="B1211" i="10"/>
  <c r="I1211" i="10"/>
  <c r="B1210" i="10"/>
  <c r="I1210" i="10"/>
  <c r="B1209" i="10"/>
  <c r="I1209" i="10"/>
  <c r="B1208" i="10"/>
  <c r="I1208" i="10"/>
  <c r="B1207" i="10"/>
  <c r="I1207" i="10"/>
  <c r="B1206" i="10"/>
  <c r="I1206" i="10"/>
  <c r="B1205" i="10"/>
  <c r="I1205" i="10"/>
  <c r="B1204" i="10"/>
  <c r="I1204" i="10"/>
  <c r="B1203" i="10"/>
  <c r="I1203" i="10"/>
  <c r="B1202" i="10"/>
  <c r="I1202" i="10"/>
  <c r="B1201" i="10"/>
  <c r="I1201" i="10"/>
  <c r="B1200" i="10"/>
  <c r="I1200" i="10"/>
  <c r="B1199" i="10"/>
  <c r="I1199" i="10"/>
  <c r="B1198" i="10"/>
  <c r="I1198" i="10"/>
  <c r="B1197" i="10"/>
  <c r="I1197" i="10"/>
  <c r="B1196" i="10"/>
  <c r="I1196" i="10"/>
  <c r="B1195" i="10"/>
  <c r="I1195" i="10"/>
  <c r="B1194" i="10"/>
  <c r="I1194" i="10"/>
  <c r="B1193" i="10"/>
  <c r="I1193" i="10"/>
  <c r="B1192" i="10"/>
  <c r="I1192" i="10"/>
  <c r="B1191" i="10"/>
  <c r="I1191" i="10"/>
  <c r="B1190" i="10"/>
  <c r="I1190" i="10"/>
  <c r="B1189" i="10"/>
  <c r="I1189" i="10"/>
  <c r="I46" i="12"/>
  <c r="H46" i="12"/>
  <c r="F46" i="12"/>
  <c r="B1188" i="10"/>
  <c r="I1188" i="10"/>
  <c r="I131" i="12"/>
  <c r="I130" i="12"/>
  <c r="I103" i="12"/>
  <c r="I94" i="12"/>
  <c r="I45" i="12"/>
  <c r="I44" i="12"/>
  <c r="I64" i="12"/>
  <c r="I121" i="12"/>
  <c r="I129" i="12"/>
  <c r="I128" i="12"/>
  <c r="I117" i="12"/>
  <c r="I99" i="12"/>
  <c r="I95" i="12"/>
  <c r="I22" i="12"/>
  <c r="I127" i="12"/>
  <c r="I82" i="12"/>
  <c r="I62" i="12"/>
  <c r="I69" i="12"/>
  <c r="I54" i="12"/>
  <c r="I126" i="12"/>
  <c r="I110" i="12"/>
  <c r="I65" i="12"/>
  <c r="I57" i="12"/>
  <c r="I115" i="12"/>
  <c r="I67" i="12"/>
  <c r="I18" i="12"/>
  <c r="I102" i="12"/>
  <c r="I89" i="12"/>
  <c r="I55" i="12"/>
  <c r="I17" i="12"/>
  <c r="I107" i="12"/>
  <c r="I81" i="12"/>
  <c r="I96" i="12"/>
  <c r="I16" i="12"/>
  <c r="I125" i="12"/>
  <c r="I122" i="12"/>
  <c r="I118" i="12"/>
  <c r="I113" i="12"/>
  <c r="I108" i="12"/>
  <c r="I106" i="12"/>
  <c r="I98" i="12"/>
  <c r="I90" i="12"/>
  <c r="I84" i="12"/>
  <c r="I66" i="12"/>
  <c r="I15" i="12"/>
  <c r="I120" i="12"/>
  <c r="I14" i="12"/>
  <c r="I13" i="12"/>
  <c r="I12" i="12"/>
  <c r="I6" i="12"/>
  <c r="I4" i="12"/>
  <c r="H131" i="12"/>
  <c r="H130" i="12"/>
  <c r="F131" i="12"/>
  <c r="B1187" i="10"/>
  <c r="I1187" i="10"/>
  <c r="F130" i="12"/>
  <c r="F56" i="12"/>
  <c r="F94" i="12"/>
  <c r="F44" i="12"/>
  <c r="F45" i="12"/>
  <c r="F64" i="12"/>
  <c r="F43" i="12"/>
  <c r="F121" i="12"/>
  <c r="F128" i="12"/>
  <c r="F42" i="12"/>
  <c r="F129" i="12"/>
  <c r="F99" i="12"/>
  <c r="F117" i="12"/>
  <c r="F95" i="12"/>
  <c r="F30" i="12"/>
  <c r="F82" i="12"/>
  <c r="F127" i="12"/>
  <c r="F22" i="12"/>
  <c r="F69" i="12"/>
  <c r="F62" i="12"/>
  <c r="F54" i="12"/>
  <c r="F126" i="12"/>
  <c r="F78" i="12"/>
  <c r="F110" i="12"/>
  <c r="F65" i="12"/>
  <c r="F18" i="12"/>
  <c r="F67" i="12"/>
  <c r="F115" i="12"/>
  <c r="F57" i="12"/>
  <c r="F102" i="12"/>
  <c r="F107" i="12"/>
  <c r="F17" i="12"/>
  <c r="F55" i="12"/>
  <c r="F89" i="12"/>
  <c r="F98" i="12"/>
  <c r="F106" i="12"/>
  <c r="F108" i="12"/>
  <c r="F113" i="12"/>
  <c r="F118" i="12"/>
  <c r="F122" i="12"/>
  <c r="F125" i="12"/>
  <c r="F96" i="12"/>
  <c r="F81" i="12"/>
  <c r="F90" i="12"/>
  <c r="F84" i="12"/>
  <c r="F11" i="12"/>
  <c r="F12" i="12"/>
  <c r="F13" i="12"/>
  <c r="F14" i="12"/>
  <c r="F120" i="12"/>
  <c r="F15" i="12"/>
  <c r="F51" i="12"/>
  <c r="F66" i="12"/>
  <c r="F5" i="12"/>
  <c r="F6" i="12"/>
  <c r="F4" i="12"/>
  <c r="I56" i="12"/>
  <c r="I42" i="12"/>
  <c r="I30" i="12"/>
  <c r="I78" i="12"/>
  <c r="I1186" i="10"/>
  <c r="B1186" i="10"/>
  <c r="B1185" i="10"/>
  <c r="I1185" i="10"/>
  <c r="B1184" i="10"/>
  <c r="I1184" i="10"/>
  <c r="B1183" i="10"/>
  <c r="I1183" i="10"/>
  <c r="B1182" i="10"/>
  <c r="I1182" i="10"/>
  <c r="B1181" i="10"/>
  <c r="I1181" i="10"/>
  <c r="B1180" i="10"/>
  <c r="I1180" i="10"/>
  <c r="B1179" i="10"/>
  <c r="I1179" i="10"/>
  <c r="B1178" i="10"/>
  <c r="I1178" i="10"/>
  <c r="B1177" i="10"/>
  <c r="I1177" i="10"/>
  <c r="B1176" i="10"/>
  <c r="I1176" i="10"/>
  <c r="B1175" i="10"/>
  <c r="I1175" i="10"/>
  <c r="B1174" i="10"/>
  <c r="I1174" i="10"/>
  <c r="B1173" i="10"/>
  <c r="I1173" i="10"/>
  <c r="B1172" i="10"/>
  <c r="I1172" i="10"/>
  <c r="B1171" i="10"/>
  <c r="I1171" i="10"/>
  <c r="B1170" i="10"/>
  <c r="I1170" i="10"/>
  <c r="B1169" i="10"/>
  <c r="I1169" i="10"/>
  <c r="I43" i="12"/>
  <c r="I51" i="12"/>
  <c r="B1168" i="10"/>
  <c r="I1168" i="10"/>
  <c r="B1167" i="10"/>
  <c r="I1167" i="10"/>
  <c r="B1166" i="10"/>
  <c r="I1166" i="10"/>
  <c r="B1165" i="10"/>
  <c r="I1165" i="10"/>
  <c r="B1164" i="10"/>
  <c r="I1164" i="10"/>
  <c r="B1163" i="10"/>
  <c r="I1163" i="10"/>
  <c r="I7" i="12"/>
  <c r="I8" i="12"/>
  <c r="I9" i="12"/>
  <c r="I10" i="12"/>
  <c r="I11" i="12"/>
  <c r="I1162" i="10"/>
  <c r="B1162" i="10"/>
  <c r="I1161" i="10"/>
  <c r="B1161" i="10"/>
  <c r="I1160" i="10"/>
  <c r="B1160" i="10"/>
  <c r="B1159" i="10"/>
  <c r="I1159" i="10"/>
  <c r="B1158" i="10"/>
  <c r="I1158" i="10"/>
  <c r="B1157" i="10"/>
  <c r="I1157" i="10"/>
  <c r="B1156" i="10"/>
  <c r="I1156" i="10"/>
  <c r="B1155" i="10"/>
  <c r="I1155" i="10"/>
  <c r="B1154" i="10"/>
  <c r="I1154" i="10"/>
  <c r="B1153" i="10"/>
  <c r="I1153" i="10"/>
  <c r="H127" i="12"/>
  <c r="H126" i="12"/>
  <c r="B1152" i="10"/>
  <c r="I1152" i="10"/>
  <c r="H128" i="12"/>
  <c r="B1151" i="10"/>
  <c r="I1151" i="10"/>
  <c r="B1150" i="10"/>
  <c r="I1150" i="10"/>
  <c r="H129" i="12"/>
  <c r="B1149" i="10"/>
  <c r="I1149" i="10"/>
  <c r="H125" i="12"/>
  <c r="I1148" i="10"/>
  <c r="B1148" i="10"/>
  <c r="B960" i="10"/>
  <c r="B957" i="10"/>
  <c r="B958" i="10"/>
  <c r="B959"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56" i="10"/>
  <c r="B955" i="10"/>
  <c r="B954" i="10"/>
  <c r="B928" i="10"/>
  <c r="B953" i="10"/>
  <c r="B952" i="10"/>
  <c r="B951" i="10"/>
  <c r="B927" i="10"/>
  <c r="B950" i="10"/>
  <c r="B926" i="10"/>
  <c r="B949" i="10"/>
  <c r="B948" i="10"/>
  <c r="B947" i="10"/>
  <c r="B946" i="10"/>
  <c r="B945" i="10"/>
  <c r="B944" i="10"/>
  <c r="B943" i="10"/>
  <c r="B942" i="10"/>
  <c r="B941" i="10"/>
  <c r="B940" i="10"/>
  <c r="B939" i="10"/>
  <c r="B938" i="10"/>
  <c r="B937" i="10"/>
  <c r="B936" i="10"/>
  <c r="B925" i="10"/>
  <c r="B924" i="10"/>
  <c r="B935" i="10"/>
  <c r="B934" i="10"/>
  <c r="B933" i="10"/>
  <c r="B932" i="10"/>
  <c r="B931" i="10"/>
  <c r="B930" i="10"/>
  <c r="B929" i="10"/>
  <c r="B921" i="10"/>
  <c r="B909" i="10"/>
  <c r="B908" i="10"/>
  <c r="H44" i="12"/>
  <c r="B919" i="10"/>
  <c r="B918" i="10"/>
  <c r="B917" i="10"/>
  <c r="B895" i="10"/>
  <c r="B912" i="10"/>
  <c r="B906" i="10"/>
  <c r="B893" i="10"/>
  <c r="B882" i="10"/>
  <c r="B905" i="10"/>
  <c r="B902" i="10"/>
  <c r="B892" i="10"/>
  <c r="B911" i="10"/>
  <c r="B904" i="10"/>
  <c r="B916" i="10"/>
  <c r="B903" i="10"/>
  <c r="B891" i="10"/>
  <c r="B901" i="10"/>
  <c r="B885" i="10"/>
  <c r="B907" i="10"/>
  <c r="B890" i="10"/>
  <c r="B898" i="10"/>
  <c r="B889" i="10"/>
  <c r="B888" i="10"/>
  <c r="B900" i="10"/>
  <c r="B915" i="10"/>
  <c r="B899" i="10"/>
  <c r="B887" i="10"/>
  <c r="B914" i="10"/>
  <c r="B897" i="10"/>
  <c r="B913" i="10"/>
  <c r="B886" i="10"/>
  <c r="B894" i="10"/>
  <c r="B910" i="10"/>
  <c r="B884" i="10"/>
  <c r="H17" i="12"/>
  <c r="H43" i="12"/>
  <c r="H22" i="12"/>
  <c r="H106" i="12"/>
  <c r="B863" i="10"/>
  <c r="B883" i="10"/>
  <c r="B846" i="10"/>
  <c r="B862" i="10"/>
  <c r="B880" i="10"/>
  <c r="B879" i="10"/>
  <c r="B878" i="10"/>
  <c r="B861" i="10"/>
  <c r="B877" i="10"/>
  <c r="B876" i="10"/>
  <c r="B875" i="10"/>
  <c r="B874" i="10"/>
  <c r="B873" i="10"/>
  <c r="B872" i="10"/>
  <c r="B871" i="10"/>
  <c r="B870" i="10"/>
  <c r="B869" i="10"/>
  <c r="B868" i="10"/>
  <c r="B867" i="10"/>
  <c r="B866" i="10"/>
  <c r="B860" i="10"/>
  <c r="B859" i="10"/>
  <c r="B864" i="10"/>
  <c r="B858" i="10"/>
  <c r="B853" i="10"/>
  <c r="B857" i="10"/>
  <c r="B852" i="10"/>
  <c r="B851" i="10"/>
  <c r="B856" i="10"/>
  <c r="B855" i="10"/>
  <c r="B865" i="10"/>
  <c r="B854" i="10"/>
  <c r="B881" i="10"/>
  <c r="B850" i="10"/>
  <c r="B841" i="10"/>
  <c r="H103" i="12"/>
  <c r="B707" i="10"/>
  <c r="B4" i="10"/>
  <c r="B94" i="10"/>
  <c r="B122" i="10"/>
  <c r="B169" i="10"/>
  <c r="B197" i="10"/>
  <c r="B18" i="10"/>
  <c r="B47" i="10"/>
  <c r="B60" i="10"/>
  <c r="B88" i="10"/>
  <c r="B107" i="10"/>
  <c r="B119" i="10"/>
  <c r="B130" i="10"/>
  <c r="B150" i="10"/>
  <c r="B162" i="10"/>
  <c r="B183" i="10"/>
  <c r="B198" i="10"/>
  <c r="B224" i="10"/>
  <c r="B96" i="10"/>
  <c r="B132" i="10"/>
  <c r="B124" i="10"/>
  <c r="B158" i="10"/>
  <c r="B184" i="10"/>
  <c r="B199" i="10"/>
  <c r="B231" i="10"/>
  <c r="B39" i="10"/>
  <c r="B90" i="10"/>
  <c r="B46" i="10"/>
  <c r="B114" i="10"/>
  <c r="B138" i="10"/>
  <c r="B213" i="10"/>
  <c r="B237" i="10"/>
  <c r="B20" i="10"/>
  <c r="B68" i="10"/>
  <c r="B108" i="10"/>
  <c r="B173" i="10"/>
  <c r="B40" i="10"/>
  <c r="B64" i="10"/>
  <c r="B81" i="10"/>
  <c r="B113" i="10"/>
  <c r="B133" i="10"/>
  <c r="B145" i="10"/>
  <c r="B166" i="10"/>
  <c r="B217" i="10"/>
  <c r="B238" i="10"/>
  <c r="B22" i="10"/>
  <c r="B44" i="10"/>
  <c r="B79" i="10"/>
  <c r="B110" i="10"/>
  <c r="B140" i="10"/>
  <c r="B165" i="10"/>
  <c r="B185" i="10"/>
  <c r="B210" i="10"/>
  <c r="B125" i="10"/>
  <c r="B178" i="10"/>
  <c r="B188" i="10"/>
  <c r="B211" i="10"/>
  <c r="B239" i="10"/>
  <c r="B41" i="10"/>
  <c r="B91" i="10"/>
  <c r="B127" i="10"/>
  <c r="B201" i="10"/>
  <c r="B16" i="10"/>
  <c r="B50" i="10"/>
  <c r="B63" i="10"/>
  <c r="B104" i="10"/>
  <c r="B126" i="10"/>
  <c r="B144" i="10"/>
  <c r="B164" i="10"/>
  <c r="B214" i="10"/>
  <c r="B240" i="10"/>
  <c r="B25" i="10"/>
  <c r="B143" i="10"/>
  <c r="B196" i="10"/>
  <c r="B26" i="10"/>
  <c r="B62" i="10"/>
  <c r="B97" i="10"/>
  <c r="B141" i="10"/>
  <c r="B157" i="10"/>
  <c r="B192" i="10"/>
  <c r="B235" i="10"/>
  <c r="B28" i="10"/>
  <c r="B48" i="10"/>
  <c r="B65" i="10"/>
  <c r="B84" i="10"/>
  <c r="B98" i="10"/>
  <c r="B117" i="10"/>
  <c r="B134" i="10"/>
  <c r="B147" i="10"/>
  <c r="B176" i="10"/>
  <c r="B186" i="10"/>
  <c r="B193" i="10"/>
  <c r="B228" i="10"/>
  <c r="B29" i="10"/>
  <c r="B49" i="10"/>
  <c r="B66" i="10"/>
  <c r="B85" i="10"/>
  <c r="B99" i="10"/>
  <c r="B120" i="10"/>
  <c r="B135" i="10"/>
  <c r="B148" i="10"/>
  <c r="B167" i="10"/>
  <c r="B229" i="10"/>
  <c r="B30" i="10"/>
  <c r="B55" i="10"/>
  <c r="B72" i="10"/>
  <c r="B100" i="10"/>
  <c r="B115" i="10"/>
  <c r="B136" i="10"/>
  <c r="B151" i="10"/>
  <c r="B168" i="10"/>
  <c r="B205" i="10"/>
  <c r="B219" i="10"/>
  <c r="B83" i="10"/>
  <c r="B121" i="10"/>
  <c r="B159" i="10"/>
  <c r="B208" i="10"/>
  <c r="B31" i="10"/>
  <c r="B51" i="10"/>
  <c r="B67" i="10"/>
  <c r="B86" i="10"/>
  <c r="B101" i="10"/>
  <c r="B128" i="10"/>
  <c r="B174" i="10"/>
  <c r="B191" i="10"/>
  <c r="B215" i="10"/>
  <c r="B225" i="10"/>
  <c r="B35" i="10"/>
  <c r="B179" i="10"/>
  <c r="B212" i="10"/>
  <c r="B36" i="10"/>
  <c r="B70" i="10"/>
  <c r="B78" i="10"/>
  <c r="B102" i="10"/>
  <c r="B154" i="10"/>
  <c r="B181" i="10"/>
  <c r="B200" i="10"/>
  <c r="B222" i="10"/>
  <c r="B223" i="10"/>
  <c r="B37" i="10"/>
  <c r="B53" i="10"/>
  <c r="B71" i="10"/>
  <c r="B87" i="10"/>
  <c r="B103" i="10"/>
  <c r="B116" i="10"/>
  <c r="B137" i="10"/>
  <c r="B152" i="10"/>
  <c r="B170" i="10"/>
  <c r="B206" i="10"/>
  <c r="B220" i="10"/>
  <c r="B153" i="10"/>
  <c r="B171" i="10"/>
  <c r="B190" i="10"/>
  <c r="B207" i="10"/>
  <c r="B221" i="10"/>
  <c r="B139" i="10"/>
  <c r="B175" i="10"/>
  <c r="B218" i="10"/>
  <c r="B163" i="10"/>
  <c r="B187" i="10"/>
  <c r="B226" i="10"/>
  <c r="B177" i="10"/>
  <c r="B195" i="10"/>
  <c r="B203" i="10"/>
  <c r="B234" i="10"/>
  <c r="B244" i="10"/>
  <c r="B255" i="10"/>
  <c r="B259" i="10"/>
  <c r="B256" i="10"/>
  <c r="B247" i="10"/>
  <c r="B254" i="10"/>
  <c r="B246" i="10"/>
  <c r="B241" i="10"/>
  <c r="B252" i="10"/>
  <c r="B253" i="10"/>
  <c r="B251" i="10"/>
  <c r="B248" i="10"/>
  <c r="B242" i="10"/>
  <c r="B209" i="10"/>
  <c r="B257" i="10"/>
  <c r="B262" i="10"/>
  <c r="B230" i="10"/>
  <c r="B261" i="10"/>
  <c r="B264" i="10"/>
  <c r="B227" i="10"/>
  <c r="B263" i="10"/>
  <c r="B233" i="10"/>
  <c r="B245" i="10"/>
  <c r="B268" i="10"/>
  <c r="B265" i="10"/>
  <c r="B267" i="10"/>
  <c r="B273" i="10"/>
  <c r="B269" i="10"/>
  <c r="B276" i="10"/>
  <c r="B271" i="10"/>
  <c r="B278" i="10"/>
  <c r="B279" i="10"/>
  <c r="B274" i="10"/>
  <c r="B281" i="10"/>
  <c r="B277" i="10"/>
  <c r="B282" i="10"/>
  <c r="B283" i="10"/>
  <c r="B286" i="10"/>
  <c r="B266" i="10"/>
  <c r="B270" i="10"/>
  <c r="B285" i="10"/>
  <c r="B258" i="10"/>
  <c r="B280" i="10"/>
  <c r="B300" i="10"/>
  <c r="B302" i="10"/>
  <c r="B298" i="10"/>
  <c r="B299" i="10"/>
  <c r="B294" i="10"/>
  <c r="B287" i="10"/>
  <c r="B291" i="10"/>
  <c r="B297" i="10"/>
  <c r="B292" i="10"/>
  <c r="B290" i="10"/>
  <c r="B293" i="10"/>
  <c r="B288" i="10"/>
  <c r="B295" i="10"/>
  <c r="B296" i="10"/>
  <c r="B301" i="10"/>
  <c r="B303" i="10"/>
  <c r="B311" i="10"/>
  <c r="B310" i="10"/>
  <c r="B309" i="10"/>
  <c r="B304" i="10"/>
  <c r="B289" i="10"/>
  <c r="B308" i="10"/>
  <c r="B305" i="10"/>
  <c r="B306" i="10"/>
  <c r="B312" i="10"/>
  <c r="B315" i="10"/>
  <c r="B313" i="10"/>
  <c r="B314" i="10"/>
  <c r="B316" i="10"/>
  <c r="B317" i="10"/>
  <c r="B318" i="10"/>
  <c r="B323" i="10"/>
  <c r="B322" i="10"/>
  <c r="B339" i="10"/>
  <c r="B327" i="10"/>
  <c r="B325" i="10"/>
  <c r="B330" i="10"/>
  <c r="B329" i="10"/>
  <c r="B320" i="10"/>
  <c r="B328" i="10"/>
  <c r="B324" i="10"/>
  <c r="B326" i="10"/>
  <c r="B333" i="10"/>
  <c r="B332" i="10"/>
  <c r="B331" i="10"/>
  <c r="B319" i="10"/>
  <c r="B334" i="10"/>
  <c r="B335" i="10"/>
  <c r="B336" i="10"/>
  <c r="B337" i="10"/>
  <c r="B351" i="10"/>
  <c r="B345" i="10"/>
  <c r="B346" i="10"/>
  <c r="B344" i="10"/>
  <c r="B340" i="10"/>
  <c r="B348" i="10"/>
  <c r="B341" i="10"/>
  <c r="B342" i="10"/>
  <c r="B343" i="10"/>
  <c r="B338" i="10"/>
  <c r="B350" i="10"/>
  <c r="B353" i="10"/>
  <c r="B354" i="10"/>
  <c r="B349" i="10"/>
  <c r="B347" i="10"/>
  <c r="B356" i="10"/>
  <c r="B357" i="10"/>
  <c r="B359" i="10"/>
  <c r="B371" i="10"/>
  <c r="B364" i="10"/>
  <c r="B360" i="10"/>
  <c r="B362" i="10"/>
  <c r="B361" i="10"/>
  <c r="B358" i="10"/>
  <c r="B374" i="10"/>
  <c r="B372" i="10"/>
  <c r="B366" i="10"/>
  <c r="B369" i="10"/>
  <c r="B368" i="10"/>
  <c r="B363" i="10"/>
  <c r="B370" i="10"/>
  <c r="B376" i="10"/>
  <c r="B378" i="10"/>
  <c r="B379" i="10"/>
  <c r="B382" i="10"/>
  <c r="B389" i="10"/>
  <c r="B385" i="10"/>
  <c r="B391" i="10"/>
  <c r="B393" i="10"/>
  <c r="B387" i="10"/>
  <c r="B386" i="10"/>
  <c r="B383" i="10"/>
  <c r="B384" i="10"/>
  <c r="B390" i="10"/>
  <c r="B380" i="10"/>
  <c r="B381" i="10"/>
  <c r="B355" i="10"/>
  <c r="B377" i="10"/>
  <c r="B399" i="10"/>
  <c r="B395" i="10"/>
  <c r="B396" i="10"/>
  <c r="B397" i="10"/>
  <c r="B398" i="10"/>
  <c r="B404" i="10"/>
  <c r="B406" i="10"/>
  <c r="B367" i="10"/>
  <c r="B388" i="10"/>
  <c r="B411" i="10"/>
  <c r="B410" i="10"/>
  <c r="B418" i="10"/>
  <c r="B400" i="10"/>
  <c r="B413" i="10"/>
  <c r="B416" i="10"/>
  <c r="B408" i="10"/>
  <c r="B417" i="10"/>
  <c r="B412" i="10"/>
  <c r="B394" i="10"/>
  <c r="B405" i="10"/>
  <c r="B407" i="10"/>
  <c r="B420" i="10"/>
  <c r="B375" i="10"/>
  <c r="B424" i="10"/>
  <c r="B421" i="10"/>
  <c r="B423" i="10"/>
  <c r="B180" i="10"/>
  <c r="B403" i="10"/>
  <c r="B232" i="10"/>
  <c r="B260" i="10"/>
  <c r="B402" i="10"/>
  <c r="B401" i="10"/>
  <c r="B415" i="10"/>
  <c r="B435" i="10"/>
  <c r="B438" i="10"/>
  <c r="B437" i="10"/>
  <c r="B434" i="10"/>
  <c r="B431" i="10"/>
  <c r="B436" i="10"/>
  <c r="B429" i="10"/>
  <c r="B430" i="10"/>
  <c r="B433" i="10"/>
  <c r="B422" i="10"/>
  <c r="B432" i="10"/>
  <c r="B427" i="10"/>
  <c r="B428" i="10"/>
  <c r="B440" i="10"/>
  <c r="B439" i="10"/>
  <c r="B419" i="10"/>
  <c r="B425" i="10"/>
  <c r="B441" i="10"/>
  <c r="B443" i="10"/>
  <c r="B447" i="10"/>
  <c r="B446" i="10"/>
  <c r="B445" i="10"/>
  <c r="B392" i="10"/>
  <c r="B352" i="10"/>
  <c r="B448" i="10"/>
  <c r="B449" i="10"/>
  <c r="B451" i="10"/>
  <c r="B458" i="10"/>
  <c r="B450" i="10"/>
  <c r="B456" i="10"/>
  <c r="B459" i="10"/>
  <c r="B452" i="10"/>
  <c r="B457" i="10"/>
  <c r="B454" i="10"/>
  <c r="B460" i="10"/>
  <c r="B463" i="10"/>
  <c r="B462" i="10"/>
  <c r="B461" i="10"/>
  <c r="B442" i="10"/>
  <c r="B464" i="10"/>
  <c r="B453" i="10"/>
  <c r="B444" i="10"/>
  <c r="B466" i="10"/>
  <c r="B465" i="10"/>
  <c r="B471" i="10"/>
  <c r="B467" i="10"/>
  <c r="B469" i="10"/>
  <c r="B470" i="10"/>
  <c r="B468" i="10"/>
  <c r="B474" i="10"/>
  <c r="B473" i="10"/>
  <c r="B475" i="10"/>
  <c r="B476" i="10"/>
  <c r="B455" i="10"/>
  <c r="B472" i="10"/>
  <c r="B488" i="10"/>
  <c r="B485" i="10"/>
  <c r="B478" i="10"/>
  <c r="B479" i="10"/>
  <c r="B486" i="10"/>
  <c r="B482" i="10"/>
  <c r="B493" i="10"/>
  <c r="B494" i="10"/>
  <c r="I109" i="12"/>
  <c r="I104" i="12"/>
  <c r="I97" i="12"/>
  <c r="I123" i="12"/>
  <c r="I63" i="12"/>
  <c r="I71" i="12"/>
  <c r="I77" i="12"/>
  <c r="I101" i="12"/>
  <c r="I59" i="12"/>
  <c r="I105" i="12"/>
  <c r="I75" i="12"/>
  <c r="I112" i="12"/>
  <c r="I85" i="12"/>
  <c r="I124" i="12"/>
  <c r="I76" i="12"/>
  <c r="I73" i="12"/>
  <c r="I74" i="12"/>
  <c r="I87" i="12"/>
  <c r="I86" i="12"/>
  <c r="I72" i="12"/>
  <c r="B272" i="10"/>
  <c r="B53" i="15"/>
  <c r="I58" i="12"/>
  <c r="B321" i="10"/>
  <c r="I83" i="12"/>
  <c r="I80" i="12"/>
  <c r="H78" i="12"/>
  <c r="H83" i="12"/>
  <c r="H80" i="12"/>
  <c r="H58" i="12"/>
  <c r="H42" i="12"/>
  <c r="H72" i="12"/>
  <c r="H86" i="12"/>
  <c r="H87" i="12"/>
  <c r="H74" i="12"/>
  <c r="H73" i="12"/>
  <c r="H76" i="12"/>
  <c r="H124" i="12"/>
  <c r="H54" i="12"/>
  <c r="H85" i="12"/>
  <c r="H112" i="12"/>
  <c r="H94" i="12"/>
  <c r="H30" i="12"/>
  <c r="H75" i="12"/>
  <c r="H95" i="12"/>
  <c r="H105" i="12"/>
  <c r="H59" i="12"/>
  <c r="H101" i="12"/>
  <c r="H71" i="12"/>
  <c r="H63" i="12"/>
  <c r="H123" i="12"/>
  <c r="H97" i="12"/>
  <c r="H7" i="12"/>
  <c r="H104" i="12"/>
  <c r="I92" i="12"/>
  <c r="H92" i="12"/>
  <c r="I70" i="12"/>
  <c r="H70" i="12"/>
  <c r="B373" i="10"/>
  <c r="B365" i="10"/>
  <c r="H110" i="12"/>
  <c r="H62" i="12"/>
  <c r="H93" i="12"/>
  <c r="H79" i="12"/>
  <c r="I93" i="12"/>
  <c r="I79" i="12"/>
  <c r="B202" i="10"/>
  <c r="B284" i="10"/>
  <c r="B275" i="10"/>
  <c r="H55" i="12"/>
  <c r="H18" i="12"/>
  <c r="H61" i="12"/>
  <c r="H81" i="12"/>
  <c r="H53" i="12"/>
  <c r="H98" i="12"/>
  <c r="H100" i="12"/>
  <c r="H67" i="12"/>
  <c r="H89" i="12"/>
  <c r="H109" i="12"/>
  <c r="F100" i="12"/>
  <c r="F53" i="12"/>
  <c r="F61" i="12"/>
  <c r="F93" i="12"/>
  <c r="F79" i="12"/>
  <c r="F70" i="12"/>
  <c r="F92" i="12"/>
  <c r="F83" i="12"/>
  <c r="F80" i="12"/>
  <c r="F58" i="12"/>
  <c r="F72" i="12"/>
  <c r="F86" i="12"/>
  <c r="F87" i="12"/>
  <c r="F74" i="12"/>
  <c r="F73" i="12"/>
  <c r="F76" i="12"/>
  <c r="F124" i="12"/>
  <c r="F85" i="12"/>
  <c r="F112" i="12"/>
  <c r="F105" i="12"/>
  <c r="F59" i="12"/>
  <c r="F101" i="12"/>
  <c r="F77" i="12"/>
  <c r="F71" i="12"/>
  <c r="F63" i="12"/>
  <c r="F123" i="12"/>
  <c r="F97" i="12"/>
  <c r="F7" i="12"/>
  <c r="F104" i="12"/>
  <c r="F109" i="12"/>
  <c r="H57" i="12"/>
  <c r="H5" i="12"/>
  <c r="B483" i="10"/>
  <c r="B487" i="10"/>
  <c r="B489" i="10"/>
  <c r="B480" i="10"/>
  <c r="B492" i="10"/>
  <c r="B477" i="10"/>
  <c r="B484" i="10"/>
  <c r="B490" i="10"/>
  <c r="B491" i="10"/>
  <c r="B497" i="10"/>
  <c r="B409" i="10"/>
  <c r="B426" i="10"/>
  <c r="B529" i="10"/>
  <c r="B495" i="10"/>
  <c r="B249" i="10"/>
  <c r="B250" i="10"/>
  <c r="B307" i="10"/>
  <c r="B561" i="10"/>
  <c r="B539" i="10"/>
  <c r="B572" i="10"/>
  <c r="B535" i="10"/>
  <c r="B564" i="10"/>
  <c r="B537" i="10"/>
  <c r="B569" i="10"/>
  <c r="B530" i="10"/>
  <c r="B541" i="10"/>
  <c r="B560" i="10"/>
  <c r="B538" i="10"/>
  <c r="B570" i="10"/>
  <c r="B528" i="10"/>
  <c r="B534" i="10"/>
  <c r="B563" i="10"/>
  <c r="B555" i="10"/>
  <c r="B558" i="10"/>
  <c r="B536" i="10"/>
  <c r="B532" i="10"/>
  <c r="B545" i="10"/>
  <c r="B576" i="10"/>
  <c r="B556" i="10"/>
  <c r="B571" i="10"/>
  <c r="B548" i="10"/>
  <c r="B565" i="10"/>
  <c r="B550" i="10"/>
  <c r="B566" i="10"/>
  <c r="B542" i="10"/>
  <c r="B562" i="10"/>
  <c r="B552" i="10"/>
  <c r="B568" i="10"/>
  <c r="B551" i="10"/>
  <c r="B567" i="10"/>
  <c r="B554" i="10"/>
  <c r="B578" i="10"/>
  <c r="B573" i="10"/>
  <c r="B531" i="10"/>
  <c r="B575" i="10"/>
  <c r="B527" i="10"/>
  <c r="B574" i="10"/>
  <c r="B414" i="10"/>
  <c r="B549" i="10"/>
  <c r="B507" i="10"/>
  <c r="B501" i="10"/>
  <c r="B517" i="10"/>
  <c r="B508" i="10"/>
  <c r="B499" i="10"/>
  <c r="B519" i="10"/>
  <c r="B520" i="10"/>
  <c r="B504" i="10"/>
  <c r="B514" i="10"/>
  <c r="B510" i="10"/>
  <c r="B518" i="10"/>
  <c r="B526" i="10"/>
  <c r="B505" i="10"/>
  <c r="B509" i="10"/>
  <c r="B506" i="10"/>
  <c r="B524" i="10"/>
  <c r="B498" i="10"/>
  <c r="B502" i="10"/>
  <c r="B521" i="10"/>
  <c r="B516" i="10"/>
  <c r="B512" i="10"/>
  <c r="B523" i="10"/>
  <c r="B525" i="10"/>
  <c r="B522" i="10"/>
  <c r="B511" i="10"/>
  <c r="B503" i="10"/>
  <c r="B515" i="10"/>
  <c r="B513" i="10"/>
  <c r="B500" i="10"/>
  <c r="B582" i="10"/>
  <c r="B544" i="10"/>
  <c r="B579" i="10"/>
  <c r="B553" i="10"/>
  <c r="B581" i="10"/>
  <c r="B546" i="10"/>
  <c r="B584" i="10"/>
  <c r="B543" i="10"/>
  <c r="B583" i="10"/>
  <c r="B547" i="10"/>
  <c r="B585" i="10"/>
  <c r="B590" i="10"/>
  <c r="B593" i="10"/>
  <c r="B592" i="10"/>
  <c r="B591" i="10"/>
  <c r="B589" i="10"/>
  <c r="B588" i="10"/>
  <c r="B587" i="10"/>
  <c r="B496" i="10"/>
  <c r="B601" i="10"/>
  <c r="B598" i="10"/>
  <c r="B597" i="10"/>
  <c r="B599" i="10"/>
  <c r="B600" i="10"/>
  <c r="B602" i="10"/>
  <c r="B604" i="10"/>
  <c r="B603" i="10"/>
  <c r="B481" i="10"/>
  <c r="B624" i="10"/>
  <c r="B606" i="10"/>
  <c r="B616" i="10"/>
  <c r="B586" i="10"/>
  <c r="B612" i="10"/>
  <c r="B619" i="10"/>
  <c r="B622" i="10"/>
  <c r="B621" i="10"/>
  <c r="B620" i="10"/>
  <c r="B614" i="10"/>
  <c r="B608" i="10"/>
  <c r="B623" i="10"/>
  <c r="B609" i="10"/>
  <c r="B607" i="10"/>
  <c r="B617" i="10"/>
  <c r="B611" i="10"/>
  <c r="B613" i="10"/>
  <c r="B595" i="10"/>
  <c r="B618" i="10"/>
  <c r="B626" i="10"/>
  <c r="B625" i="10"/>
  <c r="B628" i="10"/>
  <c r="B610" i="10"/>
  <c r="B629" i="10"/>
  <c r="B630" i="10"/>
  <c r="B627" i="10"/>
  <c r="B632" i="10"/>
  <c r="B631" i="10"/>
  <c r="B615" i="10"/>
  <c r="B633" i="10"/>
  <c r="B639" i="10"/>
  <c r="B647" i="10"/>
  <c r="B660" i="10"/>
  <c r="B648" i="10"/>
  <c r="B651" i="10"/>
  <c r="B649" i="10"/>
  <c r="B635" i="10"/>
  <c r="B656" i="10"/>
  <c r="B658" i="10"/>
  <c r="B653" i="10"/>
  <c r="B663" i="10"/>
  <c r="B657" i="10"/>
  <c r="B637" i="10"/>
  <c r="B643" i="10"/>
  <c r="B640" i="10"/>
  <c r="B644" i="10"/>
  <c r="B642" i="10"/>
  <c r="B652" i="10"/>
  <c r="B634" i="10"/>
  <c r="B636" i="10"/>
  <c r="B641" i="10"/>
  <c r="B650" i="10"/>
  <c r="B645" i="10"/>
  <c r="B655" i="10"/>
  <c r="B654" i="10"/>
  <c r="B638" i="10"/>
  <c r="B661" i="10"/>
  <c r="B664" i="10"/>
  <c r="B667" i="10"/>
  <c r="B665" i="10"/>
  <c r="B669" i="10"/>
  <c r="B671" i="10"/>
  <c r="B670" i="10"/>
  <c r="B673" i="10"/>
  <c r="B672" i="10"/>
  <c r="B646" i="10"/>
  <c r="B662" i="10"/>
  <c r="B659" i="10"/>
  <c r="B677" i="10"/>
  <c r="B680" i="10"/>
  <c r="B698" i="10"/>
  <c r="B691" i="10"/>
  <c r="B687" i="10"/>
  <c r="B682" i="10"/>
  <c r="B689" i="10"/>
  <c r="B692" i="10"/>
  <c r="B690" i="10"/>
  <c r="B694" i="10"/>
  <c r="B679" i="10"/>
  <c r="B688" i="10"/>
  <c r="B681" i="10"/>
  <c r="B676" i="10"/>
  <c r="B683" i="10"/>
  <c r="B674" i="10"/>
  <c r="B678" i="10"/>
  <c r="B675" i="10"/>
  <c r="B686" i="10"/>
  <c r="B696" i="10"/>
  <c r="B699" i="10"/>
  <c r="B695" i="10"/>
  <c r="B697" i="10"/>
  <c r="B693" i="10"/>
  <c r="B684" i="10"/>
  <c r="B700" i="10"/>
  <c r="B702" i="10"/>
  <c r="B701" i="10"/>
  <c r="B703" i="10"/>
  <c r="B716" i="10"/>
  <c r="H16" i="12"/>
  <c r="I100" i="12"/>
  <c r="H69" i="12"/>
  <c r="F88" i="12"/>
  <c r="H88" i="12"/>
  <c r="I88" i="12"/>
  <c r="I53" i="12"/>
  <c r="I61" i="12"/>
  <c r="H96" i="12"/>
  <c r="H51" i="12"/>
  <c r="F68" i="12"/>
  <c r="I68" i="12"/>
  <c r="H68" i="12"/>
  <c r="H99" i="12"/>
  <c r="B533" i="10"/>
  <c r="B559" i="10"/>
  <c r="B557" i="10"/>
  <c r="B540" i="10"/>
  <c r="B110" i="15"/>
  <c r="B111" i="15"/>
  <c r="B112" i="15"/>
  <c r="H64" i="12"/>
  <c r="B577" i="10"/>
  <c r="D52" i="15"/>
  <c r="D51" i="15"/>
  <c r="D50" i="15"/>
  <c r="D40" i="15"/>
  <c r="H115" i="12"/>
  <c r="B113" i="15"/>
  <c r="B114" i="15"/>
  <c r="B115" i="15"/>
  <c r="F60" i="12"/>
  <c r="H60" i="12"/>
  <c r="I60" i="12"/>
  <c r="B116" i="15"/>
  <c r="B580" i="10"/>
  <c r="B173" i="15"/>
  <c r="B171" i="15"/>
  <c r="B169" i="15"/>
  <c r="B167" i="15"/>
  <c r="B165" i="15"/>
  <c r="B163" i="15"/>
  <c r="B161" i="15"/>
  <c r="B159" i="15"/>
  <c r="B157" i="15"/>
  <c r="B155" i="15"/>
  <c r="B153" i="15"/>
  <c r="B151" i="15"/>
  <c r="B149" i="15"/>
  <c r="B147" i="15"/>
  <c r="B145" i="15"/>
  <c r="B143" i="15"/>
  <c r="B141" i="15"/>
  <c r="B139" i="15"/>
  <c r="B137" i="15"/>
  <c r="B135" i="15"/>
  <c r="B133" i="15"/>
  <c r="B131" i="15"/>
  <c r="B129" i="15"/>
  <c r="B127" i="15"/>
  <c r="B125" i="15"/>
  <c r="B123" i="15"/>
  <c r="B121" i="15"/>
  <c r="B119" i="15"/>
  <c r="B117" i="15"/>
  <c r="B120" i="15"/>
  <c r="B122" i="15"/>
  <c r="B124" i="15"/>
  <c r="B126" i="15"/>
  <c r="B128" i="15"/>
  <c r="B130" i="15"/>
  <c r="B132" i="15"/>
  <c r="B134" i="15"/>
  <c r="B136" i="15"/>
  <c r="B138" i="15"/>
  <c r="B140" i="15"/>
  <c r="B142" i="15"/>
  <c r="B144" i="15"/>
  <c r="B146" i="15"/>
  <c r="B148" i="15"/>
  <c r="B150" i="15"/>
  <c r="B152" i="15"/>
  <c r="B154" i="15"/>
  <c r="B156" i="15"/>
  <c r="B158" i="15"/>
  <c r="B160" i="15"/>
  <c r="B162" i="15"/>
  <c r="B164" i="15"/>
  <c r="B166" i="15"/>
  <c r="B168" i="15"/>
  <c r="B170" i="15"/>
  <c r="B172" i="15"/>
  <c r="B174" i="15"/>
  <c r="B118" i="15"/>
  <c r="F25" i="12"/>
  <c r="F119" i="12"/>
  <c r="F26" i="12"/>
  <c r="F27" i="12"/>
  <c r="F28" i="12"/>
  <c r="F29" i="12"/>
  <c r="F8" i="12"/>
  <c r="F9" i="12"/>
  <c r="F32" i="12"/>
  <c r="F33" i="12"/>
  <c r="F34" i="12"/>
  <c r="F35" i="12"/>
  <c r="F36" i="12"/>
  <c r="F37" i="12"/>
  <c r="F38" i="12"/>
  <c r="F114" i="12"/>
  <c r="F39" i="12"/>
  <c r="F19" i="12"/>
  <c r="F20" i="12"/>
  <c r="F21" i="12"/>
  <c r="F23" i="12"/>
  <c r="F24" i="12"/>
  <c r="F111" i="12"/>
  <c r="F31" i="12"/>
  <c r="F40" i="12"/>
  <c r="F41" i="12"/>
  <c r="H41" i="12"/>
  <c r="I41" i="12"/>
  <c r="H40" i="12"/>
  <c r="I40" i="12"/>
  <c r="H31" i="12"/>
  <c r="I31" i="12"/>
  <c r="H111" i="12"/>
  <c r="I111" i="12"/>
  <c r="H24" i="12"/>
  <c r="I24" i="12"/>
  <c r="H23" i="12"/>
  <c r="I23" i="12"/>
  <c r="H12" i="12"/>
  <c r="H21" i="12"/>
  <c r="I21" i="12"/>
  <c r="H20" i="12"/>
  <c r="I20" i="12"/>
  <c r="H19" i="12"/>
  <c r="I19" i="12"/>
  <c r="H39" i="12"/>
  <c r="I39" i="12"/>
  <c r="H114" i="12"/>
  <c r="I114" i="12"/>
  <c r="H38" i="12"/>
  <c r="I38" i="12"/>
  <c r="H37" i="12"/>
  <c r="I37" i="12"/>
  <c r="H36" i="12"/>
  <c r="I36" i="12"/>
  <c r="H35" i="12"/>
  <c r="I35" i="12"/>
  <c r="H34" i="12"/>
  <c r="I34" i="12"/>
  <c r="H33" i="12"/>
  <c r="I33" i="12"/>
  <c r="H32" i="12"/>
  <c r="I32" i="12"/>
  <c r="H9" i="12"/>
  <c r="H13" i="12"/>
  <c r="H8" i="12"/>
  <c r="H29" i="12"/>
  <c r="I29" i="12"/>
  <c r="H28" i="12"/>
  <c r="I28" i="12"/>
  <c r="H27" i="12"/>
  <c r="I27" i="12"/>
  <c r="H4" i="12"/>
  <c r="H26" i="12"/>
  <c r="I26" i="12"/>
  <c r="H119" i="12"/>
  <c r="I119" i="12"/>
  <c r="H25" i="12"/>
  <c r="I25" i="12"/>
  <c r="H120" i="12"/>
  <c r="B175" i="15"/>
  <c r="H77" i="12"/>
  <c r="B176" i="15"/>
  <c r="H56" i="12"/>
  <c r="B596" i="10"/>
  <c r="B50" i="14"/>
  <c r="B51"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594" i="10"/>
  <c r="B605" i="10"/>
  <c r="F10" i="12"/>
  <c r="H10" i="12"/>
  <c r="H113" i="12"/>
  <c r="B418" i="20"/>
  <c r="B417" i="20"/>
  <c r="B174" i="20"/>
  <c r="B173" i="20"/>
  <c r="B172" i="20"/>
  <c r="B171" i="20"/>
  <c r="B170" i="20"/>
  <c r="B169" i="20"/>
  <c r="B416" i="20"/>
  <c r="B415" i="20"/>
  <c r="B166" i="20"/>
  <c r="B165" i="20"/>
  <c r="B164" i="20"/>
  <c r="B163" i="20"/>
  <c r="B162" i="20"/>
  <c r="B161" i="20"/>
  <c r="B160" i="20"/>
  <c r="B159" i="20"/>
  <c r="B414" i="20"/>
  <c r="B413" i="20"/>
  <c r="B156" i="20"/>
  <c r="B155" i="20"/>
  <c r="B154" i="20"/>
  <c r="B153" i="20"/>
  <c r="B152" i="20"/>
  <c r="B151" i="20"/>
  <c r="B150" i="20"/>
  <c r="B149" i="20"/>
  <c r="B148" i="20"/>
  <c r="B147" i="20"/>
  <c r="B146" i="20"/>
  <c r="B145" i="20"/>
  <c r="B144" i="20"/>
  <c r="B143" i="20"/>
  <c r="B142" i="20"/>
  <c r="B141" i="20"/>
  <c r="B140" i="20"/>
  <c r="B139" i="20"/>
  <c r="B138" i="20"/>
  <c r="B137" i="20"/>
  <c r="B136" i="20"/>
  <c r="B135" i="20"/>
  <c r="B134" i="20"/>
  <c r="B133" i="20"/>
  <c r="B132" i="20"/>
  <c r="B131" i="20"/>
  <c r="B412" i="20"/>
  <c r="B411" i="20"/>
  <c r="B128" i="20"/>
  <c r="B127" i="20"/>
  <c r="B126" i="20"/>
  <c r="B125" i="20"/>
  <c r="B124" i="20"/>
  <c r="B123" i="20"/>
  <c r="B122" i="20"/>
  <c r="B121" i="20"/>
  <c r="B120" i="20"/>
  <c r="B119" i="20"/>
  <c r="B118" i="20"/>
  <c r="B117" i="20"/>
  <c r="B116" i="20"/>
  <c r="B410" i="20"/>
  <c r="B409" i="20"/>
  <c r="B408" i="20"/>
  <c r="B407" i="20"/>
  <c r="B406" i="20"/>
  <c r="B405" i="20"/>
  <c r="B362" i="20"/>
  <c r="H121" i="12"/>
  <c r="I116" i="12"/>
  <c r="H116" i="12"/>
  <c r="F116" i="12"/>
  <c r="H65" i="12"/>
  <c r="F52" i="12"/>
  <c r="H52" i="12"/>
  <c r="I52" i="12"/>
  <c r="H66" i="12"/>
  <c r="H102" i="12"/>
  <c r="F75" i="12"/>
  <c r="B708" i="10"/>
  <c r="B715" i="10"/>
  <c r="B710" i="10"/>
  <c r="B726" i="10"/>
  <c r="B728" i="10"/>
  <c r="B718" i="10"/>
  <c r="B721" i="10"/>
  <c r="B727" i="10"/>
  <c r="B712" i="10"/>
  <c r="B722" i="10"/>
  <c r="B720" i="10"/>
  <c r="B724" i="10"/>
  <c r="B706" i="10"/>
  <c r="B714" i="10"/>
  <c r="B709" i="10"/>
  <c r="B732" i="10"/>
  <c r="B711" i="10"/>
  <c r="B705" i="10"/>
  <c r="B717" i="10"/>
  <c r="B725" i="10"/>
  <c r="B719" i="10"/>
  <c r="B713" i="10"/>
  <c r="B731" i="10"/>
  <c r="B730" i="10"/>
  <c r="B729" i="10"/>
  <c r="B723" i="10"/>
  <c r="H84" i="12"/>
  <c r="B735" i="10"/>
  <c r="B734" i="10"/>
  <c r="B666" i="10"/>
  <c r="B685" i="10"/>
  <c r="B704" i="10"/>
  <c r="B737" i="10"/>
  <c r="B736" i="10"/>
  <c r="B741" i="10"/>
  <c r="B739" i="10"/>
  <c r="B756" i="10"/>
  <c r="H107" i="12"/>
  <c r="B758" i="10"/>
  <c r="B763" i="10"/>
  <c r="B762" i="10"/>
  <c r="B764" i="10"/>
  <c r="B750" i="10"/>
  <c r="B743" i="10"/>
  <c r="B754" i="10"/>
  <c r="B751" i="10"/>
  <c r="B765" i="10"/>
  <c r="B755" i="10"/>
  <c r="B745" i="10"/>
  <c r="B760" i="10"/>
  <c r="B752" i="10"/>
  <c r="B749" i="10"/>
  <c r="B759" i="10"/>
  <c r="B748" i="10"/>
  <c r="B742" i="10"/>
  <c r="B757" i="10"/>
  <c r="B744" i="10"/>
  <c r="B738" i="10"/>
  <c r="B761" i="10"/>
  <c r="B740" i="10"/>
  <c r="B753" i="10"/>
  <c r="B733" i="10"/>
  <c r="B746" i="10"/>
  <c r="B747" i="10"/>
  <c r="B768" i="10"/>
  <c r="B769" i="10"/>
  <c r="B772" i="10"/>
  <c r="B771" i="10"/>
  <c r="B767" i="10"/>
  <c r="B766" i="10"/>
  <c r="B770" i="10"/>
  <c r="H117" i="12"/>
  <c r="H108" i="12"/>
  <c r="B774" i="10"/>
  <c r="B778" i="10"/>
  <c r="B783" i="10"/>
  <c r="B786" i="10"/>
  <c r="B781" i="10"/>
  <c r="B795" i="10"/>
  <c r="B788" i="10"/>
  <c r="B785" i="10"/>
  <c r="B793" i="10"/>
  <c r="B790" i="10"/>
  <c r="B780" i="10"/>
  <c r="B775" i="10"/>
  <c r="B776" i="10"/>
  <c r="B782" i="10"/>
  <c r="B792" i="10"/>
  <c r="B784" i="10"/>
  <c r="B791" i="10"/>
  <c r="B777" i="10"/>
  <c r="B779" i="10"/>
  <c r="B789" i="10"/>
  <c r="B787" i="10"/>
  <c r="B794" i="10"/>
  <c r="B773" i="10"/>
  <c r="B804" i="10"/>
  <c r="B800" i="10"/>
  <c r="B799" i="10"/>
  <c r="B797" i="10"/>
  <c r="B796" i="10"/>
  <c r="B803" i="10"/>
  <c r="B801" i="10"/>
  <c r="F91" i="12"/>
  <c r="H91" i="12"/>
  <c r="B798" i="10"/>
  <c r="B802" i="10"/>
  <c r="B805" i="10"/>
  <c r="B806" i="10"/>
  <c r="B807" i="10"/>
  <c r="B808" i="10"/>
  <c r="B822" i="10"/>
  <c r="B823" i="10"/>
  <c r="B824" i="10"/>
  <c r="B825" i="10"/>
  <c r="B826" i="10"/>
  <c r="B827" i="10"/>
  <c r="B842" i="10"/>
  <c r="B828" i="10"/>
  <c r="B829" i="10"/>
  <c r="B814" i="10"/>
  <c r="B819" i="10"/>
  <c r="B843" i="10"/>
  <c r="B830" i="10"/>
  <c r="B820" i="10"/>
  <c r="B815" i="10"/>
  <c r="B812" i="10"/>
  <c r="B831" i="10"/>
  <c r="B821" i="10"/>
  <c r="B813" i="10"/>
  <c r="B810" i="10"/>
  <c r="B816" i="10"/>
  <c r="B832" i="10"/>
  <c r="B817" i="10"/>
  <c r="B833" i="10"/>
  <c r="B834" i="10"/>
  <c r="B844" i="10"/>
  <c r="B845" i="10"/>
  <c r="B809" i="10"/>
  <c r="B835" i="10"/>
  <c r="B836" i="10"/>
  <c r="B818" i="10"/>
  <c r="B837" i="10"/>
  <c r="B838" i="10"/>
  <c r="B839" i="10"/>
  <c r="B840" i="10"/>
  <c r="B811" i="10"/>
  <c r="B849" i="10"/>
  <c r="B847" i="10"/>
  <c r="B848" i="10"/>
  <c r="B989" i="10"/>
  <c r="B988" i="10"/>
  <c r="B1017" i="10"/>
  <c r="B1001" i="10"/>
  <c r="B1000" i="10"/>
  <c r="B999" i="10"/>
  <c r="B998" i="10"/>
  <c r="B997" i="10"/>
  <c r="B996" i="10"/>
  <c r="B896" i="10"/>
  <c r="B995" i="10"/>
  <c r="B994" i="10"/>
  <c r="B993" i="10"/>
  <c r="B992" i="10"/>
  <c r="B991" i="10"/>
  <c r="I2" i="10"/>
  <c r="I1001" i="10"/>
  <c r="I1000" i="10"/>
  <c r="I996" i="10"/>
  <c r="I896" i="10"/>
  <c r="I995" i="10"/>
  <c r="I992" i="10"/>
  <c r="I1017" i="10"/>
  <c r="I989" i="10"/>
  <c r="I988" i="10"/>
  <c r="I987" i="10"/>
  <c r="I986" i="10"/>
  <c r="I985" i="10"/>
  <c r="I984" i="10"/>
  <c r="I982" i="10"/>
  <c r="I981" i="10"/>
  <c r="I978" i="10"/>
  <c r="I977" i="10"/>
  <c r="I975" i="10"/>
  <c r="I974" i="10"/>
  <c r="I972" i="10"/>
  <c r="I970" i="10"/>
  <c r="I968" i="10"/>
  <c r="I967" i="10"/>
  <c r="I963" i="10"/>
  <c r="I962" i="10"/>
  <c r="I959" i="10"/>
  <c r="I956" i="10"/>
  <c r="I955" i="10"/>
  <c r="I952" i="10"/>
  <c r="I951" i="10"/>
  <c r="I949" i="10"/>
  <c r="I946" i="10"/>
  <c r="I942" i="10"/>
  <c r="I935" i="10"/>
  <c r="I934" i="10"/>
  <c r="I933" i="10"/>
  <c r="I932" i="10"/>
  <c r="I931" i="10"/>
  <c r="I930" i="10"/>
  <c r="I929" i="10"/>
  <c r="I928" i="10"/>
  <c r="I927" i="10"/>
  <c r="I924" i="10"/>
  <c r="I921" i="10"/>
  <c r="I919" i="10"/>
  <c r="I918" i="10"/>
  <c r="I917" i="10"/>
  <c r="I914" i="10"/>
  <c r="I913" i="10"/>
  <c r="I910" i="10"/>
  <c r="I909" i="10"/>
  <c r="I907" i="10"/>
  <c r="I906" i="10"/>
  <c r="I904" i="10"/>
  <c r="I903" i="10"/>
  <c r="I899" i="10"/>
  <c r="I897" i="10"/>
  <c r="I895" i="10"/>
  <c r="I894" i="10"/>
  <c r="I893" i="10"/>
  <c r="I892" i="10"/>
  <c r="I887" i="10"/>
  <c r="I886" i="10"/>
  <c r="I884" i="10"/>
  <c r="I883" i="10"/>
  <c r="I882" i="10"/>
  <c r="I881" i="10"/>
  <c r="I880" i="10"/>
  <c r="I879" i="10"/>
  <c r="I877" i="10"/>
  <c r="I875" i="10"/>
  <c r="I873" i="10"/>
  <c r="I869" i="10"/>
  <c r="I865" i="10"/>
  <c r="I863" i="10"/>
  <c r="I862" i="10"/>
  <c r="I858" i="10"/>
  <c r="I857" i="10"/>
  <c r="I856" i="10"/>
  <c r="I855" i="10"/>
  <c r="I854" i="10"/>
  <c r="I853" i="10"/>
  <c r="I852" i="10"/>
  <c r="I851" i="10"/>
  <c r="I850" i="10"/>
  <c r="I849" i="10"/>
  <c r="I848" i="10"/>
  <c r="I846" i="10"/>
  <c r="I843" i="10"/>
  <c r="I842" i="10"/>
  <c r="I840" i="10"/>
  <c r="I839" i="10"/>
  <c r="I836" i="10"/>
  <c r="I835" i="10"/>
  <c r="I833" i="10"/>
  <c r="I831" i="10"/>
  <c r="I830" i="10"/>
  <c r="I829" i="10"/>
  <c r="I828" i="10"/>
  <c r="I827" i="10"/>
  <c r="I826" i="10"/>
  <c r="I825" i="10"/>
  <c r="I824" i="10"/>
  <c r="I823" i="10"/>
  <c r="I822" i="10"/>
  <c r="I820" i="10"/>
  <c r="I819" i="10"/>
  <c r="I818" i="10"/>
  <c r="I815" i="10"/>
  <c r="I814" i="10"/>
  <c r="I812" i="10"/>
  <c r="I811" i="10"/>
  <c r="I809" i="10"/>
  <c r="I808" i="10"/>
  <c r="I806" i="10"/>
  <c r="I805" i="10"/>
  <c r="I804" i="10"/>
  <c r="I803" i="10"/>
  <c r="I802" i="10"/>
  <c r="I801" i="10"/>
  <c r="I799" i="10"/>
  <c r="I798" i="10"/>
  <c r="I796" i="10"/>
  <c r="I795" i="10"/>
  <c r="I793" i="10"/>
  <c r="I790" i="10"/>
  <c r="I789" i="10"/>
  <c r="I788" i="10"/>
  <c r="I787" i="10"/>
  <c r="I786" i="10"/>
  <c r="I785" i="10"/>
  <c r="I783" i="10"/>
  <c r="I781" i="10"/>
  <c r="I779" i="10"/>
  <c r="I778" i="10"/>
  <c r="I774" i="10"/>
  <c r="I771" i="10"/>
  <c r="I770" i="10"/>
  <c r="I769" i="10"/>
  <c r="I768" i="10"/>
  <c r="I765" i="10"/>
  <c r="I764" i="10"/>
  <c r="I763" i="10"/>
  <c r="I762" i="10"/>
  <c r="I760" i="10"/>
  <c r="I758" i="10"/>
  <c r="I756" i="10"/>
  <c r="I755" i="10"/>
  <c r="I754" i="10"/>
  <c r="I753" i="10"/>
  <c r="I752" i="10"/>
  <c r="I751" i="10"/>
  <c r="I750" i="10"/>
  <c r="I746" i="10"/>
  <c r="I745" i="10"/>
  <c r="I743" i="10"/>
  <c r="I741" i="10"/>
  <c r="I739" i="10"/>
  <c r="I738" i="10"/>
  <c r="I737" i="10"/>
  <c r="I736" i="10"/>
  <c r="I735" i="10"/>
  <c r="I734" i="10"/>
  <c r="I733" i="10"/>
  <c r="I730" i="10"/>
  <c r="I728" i="10"/>
  <c r="I727" i="10"/>
  <c r="I726" i="10"/>
  <c r="I722" i="10"/>
  <c r="I721" i="10"/>
  <c r="I720" i="10"/>
  <c r="I719" i="10"/>
  <c r="I718" i="10"/>
  <c r="I716" i="10"/>
  <c r="I715" i="10"/>
  <c r="I713" i="10"/>
  <c r="I712" i="10"/>
  <c r="I710" i="10"/>
  <c r="I708" i="10"/>
  <c r="I705" i="10"/>
  <c r="I704" i="10"/>
  <c r="I703" i="10"/>
  <c r="I701" i="10"/>
  <c r="I699" i="10"/>
  <c r="I698" i="10"/>
  <c r="I697" i="10"/>
  <c r="I696" i="10"/>
  <c r="I693" i="10"/>
  <c r="I692" i="10"/>
  <c r="I691" i="10"/>
  <c r="I689" i="10"/>
  <c r="I687" i="10"/>
  <c r="I686" i="10"/>
  <c r="I685" i="10"/>
  <c r="I684" i="10"/>
  <c r="I682" i="10"/>
  <c r="I680" i="10"/>
  <c r="I678" i="10"/>
  <c r="I677" i="10"/>
  <c r="I676" i="10"/>
  <c r="I675" i="10"/>
  <c r="I672" i="10"/>
  <c r="I671" i="10"/>
  <c r="I669" i="10"/>
  <c r="I666" i="10"/>
  <c r="I665" i="10"/>
  <c r="I664" i="10"/>
  <c r="I663" i="10"/>
  <c r="I662" i="10"/>
  <c r="I661" i="10"/>
  <c r="I660" i="10"/>
  <c r="I659" i="10"/>
  <c r="I658" i="10"/>
  <c r="I657" i="10"/>
  <c r="I656" i="10"/>
  <c r="I655" i="10"/>
  <c r="I654" i="10"/>
  <c r="I653" i="10"/>
  <c r="I651" i="10"/>
  <c r="I649" i="10"/>
  <c r="I648" i="10"/>
  <c r="I647" i="10"/>
  <c r="I646" i="10"/>
  <c r="I643" i="10"/>
  <c r="I641" i="10"/>
  <c r="I640" i="10"/>
  <c r="I639" i="10"/>
  <c r="I638" i="10"/>
  <c r="I637" i="10"/>
  <c r="I635" i="10"/>
  <c r="I633" i="10"/>
  <c r="I632" i="10"/>
  <c r="I630" i="10"/>
  <c r="I629" i="10"/>
  <c r="I627" i="10"/>
  <c r="I626" i="10"/>
  <c r="I625" i="10"/>
  <c r="I623" i="10"/>
  <c r="I622" i="10"/>
  <c r="I621" i="10"/>
  <c r="I620" i="10"/>
  <c r="I619" i="10"/>
  <c r="I616" i="10"/>
  <c r="I615" i="10"/>
  <c r="I614" i="10"/>
  <c r="I612" i="10"/>
  <c r="I608" i="10"/>
  <c r="I606" i="10"/>
  <c r="I605" i="10"/>
  <c r="I604" i="10"/>
  <c r="I603" i="10"/>
  <c r="I601" i="10"/>
  <c r="I599" i="10"/>
  <c r="I598" i="10"/>
  <c r="I597" i="10"/>
  <c r="I596" i="10"/>
  <c r="I595" i="10"/>
  <c r="I594" i="10"/>
  <c r="I593" i="10"/>
  <c r="I592" i="10"/>
  <c r="I591" i="10"/>
  <c r="I590" i="10"/>
  <c r="I589" i="10"/>
  <c r="I588" i="10"/>
  <c r="I587" i="10"/>
  <c r="I586" i="10"/>
  <c r="I585" i="10"/>
  <c r="I584" i="10"/>
  <c r="I583" i="10"/>
  <c r="I582" i="10"/>
  <c r="I581" i="10"/>
  <c r="I580" i="10"/>
  <c r="I579" i="10"/>
  <c r="I578" i="10"/>
  <c r="I576" i="10"/>
  <c r="I575" i="10"/>
  <c r="I572" i="10"/>
  <c r="I571" i="10"/>
  <c r="I570" i="10"/>
  <c r="I569" i="10"/>
  <c r="I568" i="10"/>
  <c r="I566" i="10"/>
  <c r="I565" i="10"/>
  <c r="I564" i="10"/>
  <c r="I563" i="10"/>
  <c r="I562" i="10"/>
  <c r="I561" i="10"/>
  <c r="I558" i="10"/>
  <c r="I556" i="10"/>
  <c r="I555" i="10"/>
  <c r="I554" i="10"/>
  <c r="I553" i="10"/>
  <c r="I552" i="10"/>
  <c r="I550" i="10"/>
  <c r="I549" i="10"/>
  <c r="I548" i="10"/>
  <c r="I547" i="10"/>
  <c r="I546" i="10"/>
  <c r="I545" i="10"/>
  <c r="I544" i="10"/>
  <c r="I543" i="10"/>
  <c r="I542" i="10"/>
  <c r="I539" i="10"/>
  <c r="I538" i="10"/>
  <c r="I537" i="10"/>
  <c r="I535" i="10"/>
  <c r="I534" i="10"/>
  <c r="I533" i="10"/>
  <c r="I532" i="10"/>
  <c r="I530" i="10"/>
  <c r="I529" i="10"/>
  <c r="I528" i="10"/>
  <c r="I526" i="10"/>
  <c r="I525" i="10"/>
  <c r="I524" i="10"/>
  <c r="I523" i="10"/>
  <c r="I522" i="10"/>
  <c r="I521" i="10"/>
  <c r="I520" i="10"/>
  <c r="I519" i="10"/>
  <c r="I518" i="10"/>
  <c r="I517" i="10"/>
  <c r="I516" i="10"/>
  <c r="I515" i="10"/>
  <c r="I514" i="10"/>
  <c r="I513" i="10"/>
  <c r="I512" i="10"/>
  <c r="I511" i="10"/>
  <c r="I510" i="10"/>
  <c r="I509" i="10"/>
  <c r="I508" i="10"/>
  <c r="I507" i="10"/>
  <c r="I506" i="10"/>
  <c r="I505" i="10"/>
  <c r="I504" i="10"/>
  <c r="I503" i="10"/>
  <c r="I502" i="10"/>
  <c r="I501" i="10"/>
  <c r="I500" i="10"/>
  <c r="I499" i="10"/>
  <c r="I498" i="10"/>
  <c r="I496" i="10"/>
  <c r="I494" i="10"/>
  <c r="I493" i="10"/>
  <c r="I492" i="10"/>
  <c r="I489" i="10"/>
  <c r="I488" i="10"/>
  <c r="I487" i="10"/>
  <c r="I486" i="10"/>
  <c r="I485" i="10"/>
  <c r="I483" i="10"/>
  <c r="I482" i="10"/>
  <c r="I481" i="10"/>
  <c r="I480" i="10"/>
  <c r="I479" i="10"/>
  <c r="I478" i="10"/>
  <c r="I477" i="10"/>
  <c r="I476" i="10"/>
  <c r="I475" i="10"/>
  <c r="I473" i="10"/>
  <c r="I472" i="10"/>
  <c r="I471" i="10"/>
  <c r="I470" i="10"/>
  <c r="I469" i="10"/>
  <c r="I468" i="10"/>
  <c r="I467" i="10"/>
  <c r="I466" i="10"/>
  <c r="I465" i="10"/>
  <c r="I463" i="10"/>
  <c r="I462" i="10"/>
  <c r="I460" i="10"/>
  <c r="I459" i="10"/>
  <c r="I458" i="10"/>
  <c r="I457" i="10"/>
  <c r="I456" i="10"/>
  <c r="I455" i="10"/>
  <c r="I453" i="10"/>
  <c r="I452" i="10"/>
  <c r="I451" i="10"/>
  <c r="I450" i="10"/>
  <c r="I449" i="10"/>
  <c r="I448" i="10"/>
  <c r="I446" i="10"/>
  <c r="I445" i="10"/>
  <c r="I444" i="10"/>
  <c r="I443" i="10"/>
  <c r="I442" i="10"/>
  <c r="I441" i="10"/>
  <c r="I440" i="10"/>
  <c r="I439" i="10"/>
  <c r="I438" i="10"/>
  <c r="I437" i="10"/>
  <c r="I435" i="10"/>
  <c r="I434" i="10"/>
  <c r="I433" i="10"/>
  <c r="I432" i="10"/>
  <c r="I431" i="10"/>
  <c r="I430" i="10"/>
  <c r="I429" i="10"/>
  <c r="I428" i="10"/>
  <c r="I427" i="10"/>
  <c r="I426" i="10"/>
  <c r="I424" i="10"/>
  <c r="I423" i="10"/>
  <c r="I422" i="10"/>
  <c r="I421" i="10"/>
  <c r="I420" i="10"/>
  <c r="I419" i="10"/>
  <c r="I418" i="10"/>
  <c r="I417" i="10"/>
  <c r="I416" i="10"/>
  <c r="I414" i="10"/>
  <c r="I413" i="10"/>
  <c r="I412" i="10"/>
  <c r="I411" i="10"/>
  <c r="I410" i="10"/>
  <c r="I409" i="10"/>
  <c r="I408" i="10"/>
  <c r="I407" i="10"/>
  <c r="I406" i="10"/>
  <c r="I405" i="10"/>
  <c r="I404" i="10"/>
  <c r="I403" i="10"/>
  <c r="I402" i="10"/>
  <c r="I401" i="10"/>
  <c r="I400" i="10"/>
  <c r="I399" i="10"/>
  <c r="I398" i="10"/>
  <c r="I397" i="10"/>
  <c r="I396" i="10"/>
  <c r="I395" i="10"/>
  <c r="I394" i="10"/>
  <c r="I393" i="10"/>
  <c r="I392" i="10"/>
  <c r="I391" i="10"/>
  <c r="I390" i="10"/>
  <c r="I389" i="10"/>
  <c r="I388" i="10"/>
  <c r="I387" i="10"/>
  <c r="I386" i="10"/>
  <c r="I385" i="10"/>
  <c r="I384" i="10"/>
  <c r="I383" i="10"/>
  <c r="I382" i="10"/>
  <c r="I381" i="10"/>
  <c r="I380" i="10"/>
  <c r="I379" i="10"/>
  <c r="I378" i="10"/>
  <c r="I377" i="10"/>
  <c r="I376" i="10"/>
  <c r="I375" i="10"/>
  <c r="I374" i="10"/>
  <c r="I373" i="10"/>
  <c r="I372" i="10"/>
  <c r="I371" i="10"/>
  <c r="I370" i="10"/>
  <c r="I369" i="10"/>
  <c r="I368" i="10"/>
  <c r="I367" i="10"/>
  <c r="I366" i="10"/>
  <c r="I365" i="10"/>
  <c r="I364" i="10"/>
  <c r="I363" i="10"/>
  <c r="I362" i="10"/>
  <c r="I361" i="10"/>
  <c r="I360" i="10"/>
  <c r="I359" i="10"/>
  <c r="I358" i="10"/>
  <c r="I357" i="10"/>
  <c r="I356" i="10"/>
  <c r="I355" i="10"/>
  <c r="I354" i="10"/>
  <c r="I353" i="10"/>
  <c r="I352" i="10"/>
  <c r="I351" i="10"/>
  <c r="I350" i="10"/>
  <c r="I349" i="10"/>
  <c r="I348" i="10"/>
  <c r="I347" i="10"/>
  <c r="I346" i="10"/>
  <c r="I345" i="10"/>
  <c r="I344" i="10"/>
  <c r="I343" i="10"/>
  <c r="I342" i="10"/>
  <c r="I341" i="10"/>
  <c r="I340" i="10"/>
  <c r="I339" i="10"/>
  <c r="I338" i="10"/>
  <c r="I337" i="10"/>
  <c r="I336" i="10"/>
  <c r="I335" i="10"/>
  <c r="I334" i="10"/>
  <c r="I333" i="10"/>
  <c r="I332" i="10"/>
  <c r="I331" i="10"/>
  <c r="I330" i="10"/>
  <c r="I329" i="10"/>
  <c r="I328" i="10"/>
  <c r="I327" i="10"/>
  <c r="I326" i="10"/>
  <c r="I325" i="10"/>
  <c r="I324" i="10"/>
  <c r="I323" i="10"/>
  <c r="I322" i="10"/>
  <c r="I321" i="10"/>
  <c r="I320" i="10"/>
  <c r="I319" i="10"/>
  <c r="I318" i="10"/>
  <c r="I317" i="10"/>
  <c r="I316" i="10"/>
  <c r="I315" i="10"/>
  <c r="I314" i="10"/>
  <c r="I313" i="10"/>
  <c r="I312" i="10"/>
  <c r="I311" i="10"/>
  <c r="I310" i="10"/>
  <c r="I309" i="10"/>
  <c r="I308" i="10"/>
  <c r="I307" i="10"/>
  <c r="I306" i="10"/>
  <c r="I305" i="10"/>
  <c r="I304" i="10"/>
  <c r="I303" i="10"/>
  <c r="I302" i="10"/>
  <c r="I301" i="10"/>
  <c r="I300" i="10"/>
  <c r="I299" i="10"/>
  <c r="I298" i="10"/>
  <c r="I297" i="10"/>
  <c r="I296" i="10"/>
  <c r="I295" i="10"/>
  <c r="I294" i="10"/>
  <c r="I293" i="10"/>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218" i="10"/>
  <c r="I217" i="10"/>
  <c r="I216" i="10"/>
  <c r="I215" i="10"/>
  <c r="I214" i="10"/>
  <c r="I213" i="10"/>
  <c r="I212" i="10"/>
  <c r="I211" i="10"/>
  <c r="I210" i="10"/>
  <c r="I209" i="10"/>
  <c r="I208" i="10"/>
  <c r="I207" i="10"/>
  <c r="I206" i="10"/>
  <c r="I205" i="10"/>
  <c r="I204" i="10"/>
  <c r="I203" i="10"/>
  <c r="I202" i="10"/>
  <c r="I201" i="10"/>
  <c r="I200" i="10"/>
  <c r="I199" i="10"/>
  <c r="I198" i="10"/>
  <c r="I197" i="10"/>
  <c r="I196" i="10"/>
  <c r="I195" i="10"/>
  <c r="I194" i="10"/>
  <c r="I193" i="10"/>
  <c r="I192" i="10"/>
  <c r="I191" i="10"/>
  <c r="I190" i="10"/>
  <c r="I189" i="10"/>
  <c r="I188" i="10"/>
  <c r="I187" i="10"/>
  <c r="I186" i="10"/>
  <c r="I185" i="10"/>
  <c r="I184" i="10"/>
  <c r="I183" i="10"/>
  <c r="I182" i="10"/>
  <c r="I181" i="10"/>
  <c r="I180" i="10"/>
  <c r="I179" i="10"/>
  <c r="I178" i="10"/>
  <c r="I177" i="10"/>
  <c r="I176" i="10"/>
  <c r="I175" i="10"/>
  <c r="I174" i="10"/>
  <c r="I173" i="10"/>
  <c r="I172" i="10"/>
  <c r="I171" i="10"/>
  <c r="I170" i="10"/>
  <c r="I169" i="10"/>
  <c r="I168" i="10"/>
  <c r="I167" i="10"/>
  <c r="I166" i="10"/>
  <c r="I165" i="10"/>
  <c r="I164" i="10"/>
  <c r="I163" i="10"/>
  <c r="I162" i="10"/>
  <c r="I161" i="10"/>
  <c r="I160" i="10"/>
  <c r="I159" i="10"/>
  <c r="I158" i="10"/>
  <c r="I157" i="10"/>
  <c r="I156" i="10"/>
  <c r="I155" i="10"/>
  <c r="I154" i="10"/>
  <c r="I153" i="10"/>
  <c r="I152" i="10"/>
  <c r="I151" i="10"/>
  <c r="I150" i="10"/>
  <c r="I149" i="10"/>
  <c r="I148" i="10"/>
  <c r="I147" i="10"/>
  <c r="I146" i="10"/>
  <c r="I145" i="10"/>
  <c r="I144" i="10"/>
  <c r="I143" i="10"/>
  <c r="I142" i="10"/>
  <c r="I141" i="10"/>
  <c r="I140" i="10"/>
  <c r="I139" i="10"/>
  <c r="I138" i="10"/>
  <c r="I137" i="10"/>
  <c r="I136" i="10"/>
  <c r="I135" i="10"/>
  <c r="I134" i="10"/>
  <c r="I133" i="10"/>
  <c r="I132" i="10"/>
  <c r="I131" i="10"/>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I106" i="10"/>
  <c r="I105" i="10"/>
  <c r="I104" i="10"/>
  <c r="I103" i="10"/>
  <c r="I102" i="10"/>
  <c r="I101" i="10"/>
  <c r="I100" i="10"/>
  <c r="I99" i="10"/>
  <c r="I98" i="10"/>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 r="I4" i="10"/>
  <c r="I3" i="10"/>
  <c r="B1002" i="10"/>
  <c r="I1016" i="10"/>
  <c r="I1015" i="10"/>
  <c r="I1012" i="10"/>
  <c r="I1011" i="10"/>
  <c r="I1008" i="10"/>
  <c r="I1007" i="10"/>
  <c r="I1003" i="10"/>
  <c r="B1016" i="10"/>
  <c r="B1015" i="10"/>
  <c r="B1014" i="10"/>
  <c r="B1013" i="10"/>
  <c r="B1012" i="10"/>
  <c r="B1011" i="10"/>
  <c r="B1010" i="10"/>
  <c r="B1009" i="10"/>
  <c r="B1008" i="10"/>
  <c r="B1007" i="10"/>
  <c r="B1006" i="10"/>
  <c r="B1005" i="10"/>
  <c r="B1004" i="10"/>
  <c r="B1003" i="10"/>
  <c r="I1036" i="10"/>
  <c r="I1035" i="10"/>
  <c r="I1023" i="10"/>
  <c r="I1033" i="10"/>
  <c r="I1030" i="10"/>
  <c r="B1036" i="10"/>
  <c r="B1035" i="10"/>
  <c r="B1024" i="10"/>
  <c r="B1034" i="10"/>
  <c r="B1023" i="10"/>
  <c r="B1033" i="10"/>
  <c r="B1032" i="10"/>
  <c r="B1022" i="10"/>
  <c r="B1031" i="10"/>
  <c r="B1030" i="10"/>
  <c r="I1047" i="10"/>
  <c r="I1046" i="10"/>
  <c r="I1025" i="10"/>
  <c r="I1043" i="10"/>
  <c r="I1041" i="10"/>
  <c r="I1040" i="10"/>
  <c r="I1039" i="10"/>
  <c r="B1048" i="10"/>
  <c r="B1047" i="10"/>
  <c r="B1046" i="10"/>
  <c r="B1045" i="10"/>
  <c r="B1044" i="10"/>
  <c r="B1026" i="10"/>
  <c r="B1025" i="10"/>
  <c r="B1043" i="10"/>
  <c r="B1042" i="10"/>
  <c r="B1018" i="10"/>
  <c r="B1041" i="10"/>
  <c r="B1040" i="10"/>
  <c r="B1039" i="10"/>
  <c r="B1038" i="10"/>
  <c r="B1037" i="10"/>
  <c r="B1049" i="10"/>
  <c r="I990" i="10"/>
  <c r="B990" i="10"/>
  <c r="B1027" i="10"/>
  <c r="I1050" i="10"/>
  <c r="B1050" i="10"/>
  <c r="B1051" i="10"/>
  <c r="B1052" i="10"/>
  <c r="I1053" i="10"/>
  <c r="B1053" i="10"/>
  <c r="I1064" i="10"/>
  <c r="B1064" i="10"/>
  <c r="I1065" i="10"/>
  <c r="B1065" i="10"/>
  <c r="I1066" i="10"/>
  <c r="B1066" i="10"/>
  <c r="I1067" i="10"/>
  <c r="B1067" i="10"/>
  <c r="I1068" i="10"/>
  <c r="B1068" i="10"/>
  <c r="I668" i="10"/>
  <c r="B668" i="10"/>
  <c r="I1069" i="10"/>
  <c r="B1069" i="10"/>
  <c r="I1028" i="10"/>
  <c r="B1028" i="10"/>
  <c r="I1070" i="10"/>
  <c r="B1070" i="10"/>
  <c r="I1071" i="10"/>
  <c r="B1071" i="10"/>
  <c r="I1072" i="10"/>
  <c r="B1072" i="10"/>
  <c r="I1029" i="10"/>
  <c r="B1029" i="10"/>
  <c r="I1019" i="10"/>
  <c r="B1019" i="10"/>
  <c r="I1020" i="10"/>
  <c r="B1020" i="10"/>
  <c r="I1076" i="10"/>
  <c r="B1076" i="10"/>
  <c r="I923" i="10"/>
  <c r="B923" i="10"/>
  <c r="I1077" i="10"/>
  <c r="B1077" i="10"/>
  <c r="I1078" i="10"/>
  <c r="B1078" i="10"/>
  <c r="I1021" i="10"/>
  <c r="B1021" i="10"/>
  <c r="I1079" i="10"/>
  <c r="B1079" i="10"/>
  <c r="B1073" i="10"/>
  <c r="I1073" i="10"/>
  <c r="B1054" i="10"/>
  <c r="I1055" i="10"/>
  <c r="B1055" i="10"/>
  <c r="B1056" i="10"/>
  <c r="B1057" i="10"/>
  <c r="I1074" i="10"/>
  <c r="B1074" i="10"/>
  <c r="B1058" i="10"/>
  <c r="I1059" i="10"/>
  <c r="B1059" i="10"/>
  <c r="B1060" i="10"/>
  <c r="I1075" i="10"/>
  <c r="B1075" i="10"/>
  <c r="B1061" i="10"/>
  <c r="B1080" i="10"/>
  <c r="I1080" i="10"/>
  <c r="B1086" i="10"/>
  <c r="H45" i="12"/>
  <c r="H15" i="12"/>
  <c r="H118" i="12"/>
  <c r="H122" i="12"/>
  <c r="H11" i="12"/>
  <c r="H14" i="12"/>
  <c r="H90" i="12"/>
  <c r="B1062" i="10"/>
  <c r="H82" i="12"/>
  <c r="B1103" i="10"/>
  <c r="B1094" i="10"/>
  <c r="B1093" i="10"/>
  <c r="B1092" i="10"/>
  <c r="B1091" i="10"/>
  <c r="B1090" i="10"/>
  <c r="B1089" i="10"/>
  <c r="B1088" i="10"/>
  <c r="B1087" i="10"/>
  <c r="I1084" i="10"/>
  <c r="I1082" i="10"/>
  <c r="I1083" i="10"/>
  <c r="B1084" i="10"/>
  <c r="B1082" i="10"/>
  <c r="B1097" i="10"/>
  <c r="B1096" i="10"/>
  <c r="B1095" i="10"/>
  <c r="B1105" i="10"/>
  <c r="B1083" i="10"/>
  <c r="B1063" i="10"/>
  <c r="B1104" i="10"/>
  <c r="B1081" i="10"/>
  <c r="B1106" i="10"/>
  <c r="B1107" i="10"/>
  <c r="B1108" i="10"/>
  <c r="B1102" i="10"/>
  <c r="B1098" i="10"/>
  <c r="B1099" i="10"/>
  <c r="B922" i="10"/>
  <c r="I922" i="10"/>
  <c r="B1100" i="10"/>
  <c r="B920" i="10"/>
  <c r="I920" i="10"/>
  <c r="B1085" i="10"/>
  <c r="B1101" i="10"/>
  <c r="B1109" i="10"/>
  <c r="B1110" i="10"/>
  <c r="H6" i="12"/>
  <c r="B1111" i="10"/>
  <c r="B1112" i="10"/>
  <c r="B1113" i="10"/>
  <c r="I1113" i="10"/>
  <c r="I1112" i="10"/>
  <c r="I1111" i="10"/>
  <c r="I1110" i="10"/>
  <c r="I1109" i="10"/>
  <c r="I1108" i="10"/>
  <c r="I1107" i="10"/>
  <c r="I1106" i="10"/>
  <c r="I1105" i="10"/>
  <c r="I1103" i="10"/>
  <c r="I1102" i="10"/>
  <c r="I1101" i="10"/>
  <c r="I1100" i="10"/>
  <c r="I1099" i="10"/>
  <c r="I1097" i="10"/>
  <c r="I1093" i="10"/>
  <c r="I1092" i="10"/>
  <c r="I1091" i="10"/>
  <c r="I1088" i="10"/>
  <c r="I1087" i="10"/>
  <c r="I1086" i="10"/>
  <c r="I1114" i="10"/>
  <c r="B1114" i="10"/>
  <c r="I1115" i="10"/>
  <c r="B1115" i="10"/>
  <c r="I1116" i="10"/>
  <c r="B1116" i="10"/>
  <c r="I1117" i="10"/>
  <c r="B1117" i="10"/>
  <c r="I1118" i="10"/>
  <c r="B1118" i="10"/>
  <c r="I1060" i="10"/>
  <c r="I1024" i="10"/>
  <c r="I1010" i="10"/>
  <c r="I1119" i="10"/>
  <c r="B1119" i="10"/>
  <c r="I1044" i="10"/>
  <c r="I998" i="10"/>
  <c r="I925" i="10"/>
  <c r="I1120" i="10"/>
  <c r="B1120" i="10"/>
  <c r="I1054" i="10"/>
  <c r="I1018" i="10"/>
  <c r="I993" i="10"/>
  <c r="I960" i="10"/>
  <c r="I936" i="10"/>
  <c r="I915" i="10"/>
  <c r="I864" i="10"/>
  <c r="I821" i="10"/>
  <c r="I780" i="10"/>
  <c r="I749" i="10"/>
  <c r="I724" i="10"/>
  <c r="I690" i="10"/>
  <c r="I644" i="10"/>
  <c r="I609" i="10"/>
  <c r="I560" i="10"/>
  <c r="I541" i="10"/>
  <c r="I484" i="10"/>
  <c r="I454" i="10"/>
  <c r="I436" i="10"/>
  <c r="I415" i="10"/>
  <c r="I1121" i="10"/>
  <c r="B1121" i="10"/>
  <c r="I1094" i="10"/>
  <c r="I1031" i="10"/>
  <c r="I1004" i="10"/>
  <c r="I979" i="10"/>
  <c r="I937" i="10"/>
  <c r="I900" i="10"/>
  <c r="I859" i="10"/>
  <c r="I813" i="10"/>
  <c r="I775" i="10"/>
  <c r="I759" i="10"/>
  <c r="I706" i="10"/>
  <c r="I694" i="10"/>
  <c r="I642" i="10"/>
  <c r="I607" i="10"/>
  <c r="I602" i="10"/>
  <c r="I536" i="10"/>
  <c r="I490" i="10"/>
  <c r="I461" i="10"/>
  <c r="I447" i="10"/>
  <c r="I425" i="10"/>
  <c r="I1122" i="10"/>
  <c r="B1122" i="10"/>
  <c r="I1063" i="10"/>
  <c r="I1049" i="10"/>
  <c r="I991" i="10"/>
  <c r="I958" i="10"/>
  <c r="I938" i="10"/>
  <c r="I888" i="10"/>
  <c r="I860" i="10"/>
  <c r="I810" i="10"/>
  <c r="I776" i="10"/>
  <c r="I748" i="10"/>
  <c r="I714" i="10"/>
  <c r="I695" i="10"/>
  <c r="I652" i="10"/>
  <c r="I617" i="10"/>
  <c r="I573" i="10"/>
  <c r="I540" i="10"/>
  <c r="I491" i="10"/>
  <c r="I464" i="10"/>
  <c r="I1123" i="10"/>
  <c r="B1123" i="10"/>
  <c r="I1089" i="10"/>
  <c r="I1038" i="10"/>
  <c r="I1014" i="10"/>
  <c r="I971" i="10"/>
  <c r="I939" i="10"/>
  <c r="I889" i="10"/>
  <c r="I866" i="10"/>
  <c r="I816" i="10"/>
  <c r="I782" i="10"/>
  <c r="I742" i="10"/>
  <c r="I709" i="10"/>
  <c r="I679" i="10"/>
  <c r="I634" i="10"/>
  <c r="I611" i="10"/>
  <c r="I600" i="10"/>
  <c r="I474" i="10"/>
  <c r="I1124" i="10"/>
  <c r="B1124" i="10"/>
  <c r="I1085" i="10"/>
  <c r="I1034" i="10"/>
  <c r="I1009" i="10"/>
  <c r="I983" i="10"/>
  <c r="I940" i="10"/>
  <c r="I898" i="10"/>
  <c r="I867" i="10"/>
  <c r="I832" i="10"/>
  <c r="I792" i="10"/>
  <c r="I757" i="10"/>
  <c r="I732" i="10"/>
  <c r="I688" i="10"/>
  <c r="I667" i="10"/>
  <c r="I628" i="10"/>
  <c r="I559" i="10"/>
  <c r="I557" i="10"/>
  <c r="I497" i="10"/>
  <c r="I1125" i="10"/>
  <c r="B1125" i="10"/>
  <c r="I1090" i="10"/>
  <c r="I1037" i="10"/>
  <c r="I1013" i="10"/>
  <c r="I973" i="10"/>
  <c r="I941" i="10"/>
  <c r="I890" i="10"/>
  <c r="I868" i="10"/>
  <c r="I817" i="10"/>
  <c r="I784" i="10"/>
  <c r="I744" i="10"/>
  <c r="I711" i="10"/>
  <c r="I681" i="10"/>
  <c r="I636" i="10"/>
  <c r="I613" i="10"/>
  <c r="I567" i="10"/>
  <c r="I551" i="10"/>
  <c r="I495" i="10"/>
  <c r="I1126" i="10"/>
  <c r="B1126" i="10"/>
  <c r="I1057" i="10"/>
  <c r="I1027" i="10"/>
  <c r="I976" i="10"/>
  <c r="I943" i="10"/>
  <c r="I885" i="10"/>
  <c r="I870" i="10"/>
  <c r="I834" i="10"/>
  <c r="I791" i="10"/>
  <c r="I761" i="10"/>
  <c r="I717" i="10"/>
  <c r="I683" i="10"/>
  <c r="I650" i="10"/>
  <c r="I618" i="10"/>
  <c r="I577" i="10"/>
  <c r="I531" i="10"/>
  <c r="I1127" i="10"/>
  <c r="B1127" i="10"/>
  <c r="I1095" i="10"/>
  <c r="I1032" i="10"/>
  <c r="I1006" i="10"/>
  <c r="I964" i="10"/>
  <c r="I944" i="10"/>
  <c r="I901" i="10"/>
  <c r="I871" i="10"/>
  <c r="I844" i="10"/>
  <c r="I807" i="10"/>
  <c r="I777" i="10"/>
  <c r="I740" i="10"/>
  <c r="I725" i="10"/>
  <c r="I674" i="10"/>
  <c r="I645" i="10"/>
  <c r="I610" i="10"/>
  <c r="I574" i="10"/>
  <c r="I527" i="10"/>
  <c r="I1128" i="10"/>
  <c r="B1128" i="10"/>
  <c r="I1058" i="10"/>
  <c r="I1022" i="10"/>
  <c r="I1005" i="10"/>
  <c r="I980" i="10"/>
  <c r="I945" i="10"/>
  <c r="I891" i="10"/>
  <c r="I872" i="10"/>
  <c r="I845" i="10"/>
  <c r="I800" i="10"/>
  <c r="I772" i="10"/>
  <c r="I731" i="10"/>
  <c r="I702" i="10"/>
  <c r="I673" i="10"/>
  <c r="I624" i="10"/>
  <c r="I1129" i="10"/>
  <c r="B1129" i="10"/>
  <c r="I1130" i="10"/>
  <c r="B1130" i="10"/>
  <c r="I1081" i="10"/>
  <c r="I1056" i="10"/>
  <c r="I1026" i="10"/>
  <c r="I997" i="10"/>
  <c r="I965" i="10"/>
  <c r="I947" i="10"/>
  <c r="I916" i="10"/>
  <c r="I874" i="10"/>
  <c r="I1131" i="10"/>
  <c r="B1131" i="10"/>
  <c r="I1042" i="10"/>
  <c r="I994" i="10"/>
  <c r="I961" i="10"/>
  <c r="I948" i="10"/>
  <c r="I911" i="10"/>
  <c r="I876" i="10"/>
  <c r="I847" i="10"/>
  <c r="I797" i="10"/>
  <c r="I767" i="10"/>
  <c r="I729" i="10"/>
  <c r="I700" i="10"/>
  <c r="I670" i="10"/>
  <c r="I631" i="10"/>
  <c r="I1132" i="10"/>
  <c r="B1132" i="10"/>
  <c r="I1133" i="10"/>
  <c r="B1133" i="10"/>
  <c r="I1104" i="10"/>
  <c r="I1051" i="10"/>
  <c r="I926" i="10"/>
  <c r="I902" i="10"/>
  <c r="I861" i="10"/>
  <c r="I837" i="10"/>
  <c r="I794" i="10"/>
  <c r="I766" i="10"/>
  <c r="I723" i="10"/>
  <c r="I1134" i="10"/>
  <c r="B1134" i="10"/>
  <c r="I1098" i="10"/>
  <c r="I1052" i="10"/>
  <c r="I957" i="10"/>
  <c r="I950" i="10"/>
  <c r="I905" i="10"/>
  <c r="I878" i="10"/>
  <c r="I838" i="10"/>
  <c r="I773" i="10"/>
  <c r="I747" i="10"/>
  <c r="I707" i="10"/>
  <c r="I1135" i="10"/>
  <c r="B1135" i="10"/>
  <c r="I1136" i="10"/>
  <c r="B1136" i="10"/>
  <c r="I1137" i="10"/>
  <c r="B1137" i="10"/>
  <c r="I1138" i="10"/>
  <c r="B1138" i="10"/>
  <c r="I1048" i="10"/>
  <c r="I1002" i="10"/>
  <c r="I969" i="10"/>
  <c r="I953" i="10"/>
  <c r="I912" i="10"/>
  <c r="I841" i="10"/>
  <c r="I1139" i="10"/>
  <c r="B1139" i="10"/>
  <c r="I1045" i="10"/>
  <c r="I999" i="10"/>
  <c r="I966" i="10"/>
  <c r="I954" i="10"/>
  <c r="I908" i="10"/>
  <c r="I1140" i="10"/>
  <c r="B1140" i="10"/>
  <c r="I1141" i="10"/>
  <c r="B1141" i="10"/>
  <c r="I1061" i="10"/>
  <c r="I1142" i="10"/>
  <c r="B1142" i="10"/>
  <c r="I1096" i="10"/>
  <c r="I1062" i="10"/>
  <c r="I1143" i="10"/>
  <c r="B1143" i="10"/>
  <c r="B1144" i="10"/>
  <c r="I1144" i="10"/>
  <c r="B1145" i="10"/>
  <c r="I1145" i="10"/>
  <c r="I1146" i="10"/>
  <c r="B1146" i="10"/>
  <c r="B1147" i="10"/>
  <c r="I1147" i="10"/>
  <c r="N129" i="1"/>
  <c r="K50" i="12" s="1"/>
  <c r="O129" i="1"/>
  <c r="L50" i="12" s="1"/>
  <c r="Q129" i="1"/>
  <c r="R129" i="1"/>
  <c r="AF129" i="1"/>
  <c r="AJ129" i="1"/>
  <c r="AL129" i="1"/>
  <c r="AN129" i="1"/>
  <c r="AP129" i="1"/>
  <c r="AQ129" i="1"/>
  <c r="E49" i="12"/>
  <c r="B474" i="20"/>
  <c r="B476" i="20"/>
  <c r="B475" i="20"/>
  <c r="D476" i="20"/>
  <c r="F476" i="20"/>
  <c r="H476" i="20"/>
  <c r="J476" i="20"/>
  <c r="D475" i="20"/>
  <c r="F475" i="20"/>
  <c r="H475" i="20"/>
  <c r="J475" i="20"/>
  <c r="D474" i="20"/>
  <c r="F474" i="20"/>
  <c r="H474" i="20"/>
  <c r="J474" i="20"/>
  <c r="K1233" i="10"/>
  <c r="H1233" i="10"/>
  <c r="O1233" i="10"/>
  <c r="P1233" i="10" s="1"/>
  <c r="N128" i="1"/>
  <c r="K49" i="12" s="1"/>
  <c r="O128" i="1"/>
  <c r="L49" i="12" s="1"/>
  <c r="Q128" i="1"/>
  <c r="R128" i="1"/>
  <c r="AF128" i="1"/>
  <c r="AJ128" i="1"/>
  <c r="AL128" i="1"/>
  <c r="AN128" i="1"/>
  <c r="AP128" i="1"/>
  <c r="AQ128" i="1"/>
  <c r="E48" i="12"/>
  <c r="B470" i="20"/>
  <c r="B471" i="20"/>
  <c r="B472" i="20"/>
  <c r="B473" i="20"/>
  <c r="D473" i="20"/>
  <c r="F473" i="20"/>
  <c r="H473" i="20"/>
  <c r="J473" i="20"/>
  <c r="D472" i="20"/>
  <c r="F472" i="20"/>
  <c r="H472" i="20"/>
  <c r="J472" i="20"/>
  <c r="D471" i="20"/>
  <c r="F471" i="20"/>
  <c r="H471" i="20"/>
  <c r="J471" i="20"/>
  <c r="D470" i="20"/>
  <c r="F470" i="20"/>
  <c r="H470" i="20"/>
  <c r="J470" i="20"/>
  <c r="K1232" i="10"/>
  <c r="H1232" i="10"/>
  <c r="O1232" i="10"/>
  <c r="P1232" i="10" s="1"/>
  <c r="N127" i="1"/>
  <c r="K48" i="12" s="1"/>
  <c r="O127" i="1"/>
  <c r="L48" i="12" s="1"/>
  <c r="Q127" i="1"/>
  <c r="R127" i="1"/>
  <c r="AF127" i="1"/>
  <c r="AJ127" i="1"/>
  <c r="AL127" i="1"/>
  <c r="AN127" i="1"/>
  <c r="AP127" i="1"/>
  <c r="AQ127" i="1"/>
  <c r="K1231" i="10"/>
  <c r="H1231" i="10"/>
  <c r="O1231" i="10"/>
  <c r="P1231" i="10" s="1"/>
  <c r="K1230" i="10"/>
  <c r="H1230" i="10"/>
  <c r="O1230" i="10"/>
  <c r="P1230" i="10" s="1"/>
  <c r="K1229" i="10"/>
  <c r="H1229" i="10"/>
  <c r="O1229" i="10"/>
  <c r="P1229" i="10" s="1"/>
  <c r="L1265" i="10" l="1" a="1"/>
  <c r="L1265" i="10" s="1"/>
  <c r="L1264" i="10" a="1"/>
  <c r="L1264" i="10" s="1"/>
  <c r="L1263" i="10" a="1"/>
  <c r="L1263" i="10" s="1"/>
  <c r="L1262" i="10" a="1"/>
  <c r="L1262" i="10" s="1"/>
  <c r="L1261" i="10" a="1"/>
  <c r="L1261" i="10" s="1"/>
  <c r="L1260" i="10" a="1"/>
  <c r="L1260" i="10" s="1"/>
  <c r="L1259" i="10" a="1"/>
  <c r="L1259" i="10" s="1"/>
  <c r="L1258" i="10" a="1"/>
  <c r="L1258" i="10" s="1"/>
  <c r="L1257" i="10" a="1"/>
  <c r="L1257" i="10" s="1"/>
  <c r="L1256" i="10" a="1"/>
  <c r="L1256" i="10" s="1"/>
  <c r="L1255" i="10" a="1"/>
  <c r="L1255" i="10" s="1"/>
  <c r="L1254" i="10" a="1"/>
  <c r="L1254" i="10" s="1"/>
  <c r="L1253" i="10" a="1"/>
  <c r="L1253" i="10" s="1"/>
  <c r="L1252" i="10" a="1"/>
  <c r="L1252" i="10" s="1"/>
  <c r="L1250" i="10" a="1"/>
  <c r="L1250" i="10" s="1"/>
  <c r="L1251" i="10" a="1"/>
  <c r="L1251" i="10" s="1"/>
  <c r="L1249" i="10" a="1"/>
  <c r="L1249" i="10" s="1"/>
  <c r="L1248" i="10" a="1"/>
  <c r="L1248" i="10" s="1"/>
  <c r="L1247" i="10" a="1"/>
  <c r="L1247" i="10" s="1"/>
  <c r="L1246" i="10" a="1"/>
  <c r="L1246" i="10" s="1"/>
  <c r="L1245" i="10" a="1"/>
  <c r="L1245" i="10" s="1"/>
  <c r="L1244" i="10" a="1"/>
  <c r="L1244" i="10" s="1"/>
  <c r="L1243" i="10" a="1"/>
  <c r="L1243" i="10" s="1"/>
  <c r="L1242" i="10" a="1"/>
  <c r="L1242" i="10" s="1"/>
  <c r="L1241" i="10" a="1"/>
  <c r="L1241" i="10" s="1"/>
  <c r="L1240" i="10" a="1"/>
  <c r="L1240" i="10" s="1"/>
  <c r="L1238" i="10" a="1"/>
  <c r="L1238" i="10" s="1"/>
  <c r="L1237" i="10" a="1"/>
  <c r="L1237" i="10" s="1"/>
  <c r="L1236" i="10" a="1"/>
  <c r="L1236" i="10" s="1"/>
  <c r="L1235" i="10" a="1"/>
  <c r="L1235" i="10" s="1"/>
  <c r="L1234" i="10" a="1"/>
  <c r="L1234" i="10" s="1"/>
  <c r="P129" i="1"/>
  <c r="U129" i="1" s="1"/>
  <c r="M50" i="12" s="1"/>
  <c r="W129" i="1"/>
  <c r="L1233" i="10" a="1"/>
  <c r="L1233" i="10" s="1"/>
  <c r="P128" i="1"/>
  <c r="U128" i="1"/>
  <c r="M49" i="12" s="1"/>
  <c r="W128" i="1"/>
  <c r="L1232" i="10" a="1"/>
  <c r="L1232" i="10" s="1"/>
  <c r="W127" i="1"/>
  <c r="P127" i="1"/>
  <c r="U127" i="1" s="1"/>
  <c r="M48" i="12" s="1"/>
  <c r="K1228" i="10"/>
  <c r="H1228" i="10"/>
  <c r="O1228" i="10"/>
  <c r="P1228" i="10" s="1"/>
  <c r="K1227" i="10"/>
  <c r="H1227" i="10"/>
  <c r="O1227" i="10"/>
  <c r="P1227" i="10" s="1"/>
  <c r="K1226" i="10"/>
  <c r="H1226" i="10"/>
  <c r="O1226" i="10"/>
  <c r="P1226" i="10" s="1"/>
  <c r="K1225" i="10"/>
  <c r="H1225" i="10"/>
  <c r="O1225" i="10"/>
  <c r="P1225" i="10" s="1"/>
  <c r="E47" i="12"/>
  <c r="B467" i="20"/>
  <c r="B468" i="20"/>
  <c r="B469" i="20"/>
  <c r="D469" i="20"/>
  <c r="F469" i="20"/>
  <c r="H469" i="20"/>
  <c r="J469" i="20"/>
  <c r="D468" i="20"/>
  <c r="F468" i="20"/>
  <c r="H468" i="20"/>
  <c r="J468" i="20"/>
  <c r="D467" i="20"/>
  <c r="F467" i="20"/>
  <c r="H467" i="20"/>
  <c r="J467" i="20"/>
  <c r="AQ126" i="1"/>
  <c r="K1224" i="10"/>
  <c r="H1224" i="10"/>
  <c r="O1224" i="10"/>
  <c r="P1224" i="10" s="1"/>
  <c r="N126" i="1"/>
  <c r="K47" i="12" s="1"/>
  <c r="O126" i="1"/>
  <c r="L47" i="12" s="1"/>
  <c r="Q126" i="1"/>
  <c r="R126" i="1"/>
  <c r="AF126" i="1"/>
  <c r="AJ126" i="1"/>
  <c r="AL126" i="1"/>
  <c r="AN126" i="1"/>
  <c r="AP126" i="1"/>
  <c r="K1223" i="10"/>
  <c r="H1223" i="10"/>
  <c r="O1223" i="10"/>
  <c r="P1223" i="10" s="1"/>
  <c r="K1222" i="10"/>
  <c r="H1222" i="10"/>
  <c r="O1222" i="10"/>
  <c r="P1222" i="10" s="1"/>
  <c r="L1230" i="10" l="1" a="1"/>
  <c r="L1230" i="10" s="1"/>
  <c r="L1229" i="10" a="1"/>
  <c r="L1229" i="10" s="1"/>
  <c r="L1228" i="10" a="1"/>
  <c r="L1228" i="10" s="1"/>
  <c r="L1227" i="10" a="1"/>
  <c r="L1227" i="10" s="1"/>
  <c r="L1226" i="10" a="1"/>
  <c r="L1226" i="10" s="1"/>
  <c r="L1225" i="10" a="1"/>
  <c r="L1225" i="10" s="1"/>
  <c r="P126" i="1"/>
  <c r="L1224" i="10" a="1"/>
  <c r="L1224" i="10" s="1"/>
  <c r="W126" i="1"/>
  <c r="U126" i="1"/>
  <c r="M47" i="12" s="1"/>
  <c r="K1221" i="10" l="1"/>
  <c r="H1221" i="10"/>
  <c r="O1221" i="10"/>
  <c r="P1221" i="10" s="1"/>
  <c r="K1220" i="10"/>
  <c r="H1220" i="10"/>
  <c r="O1220" i="10"/>
  <c r="P1220" i="10" s="1"/>
  <c r="K1219" i="10"/>
  <c r="H1219" i="10"/>
  <c r="O1219" i="10"/>
  <c r="P1219" i="10" s="1"/>
  <c r="K1218" i="10"/>
  <c r="H1218" i="10"/>
  <c r="O1218" i="10"/>
  <c r="P1218" i="10" s="1"/>
  <c r="K1217" i="10"/>
  <c r="H1217" i="10"/>
  <c r="O1217" i="10"/>
  <c r="P1217" i="10" s="1"/>
  <c r="K1216" i="10"/>
  <c r="H1216" i="10"/>
  <c r="O1216" i="10"/>
  <c r="P1216" i="10" s="1"/>
  <c r="K1215" i="10"/>
  <c r="H1215" i="10"/>
  <c r="O1215" i="10"/>
  <c r="P1215" i="10" s="1"/>
  <c r="K1214" i="10"/>
  <c r="H1214" i="10"/>
  <c r="O1214" i="10"/>
  <c r="P1214" i="10" s="1"/>
  <c r="K1213" i="10"/>
  <c r="H1213" i="10"/>
  <c r="O1213" i="10"/>
  <c r="P1213" i="10" s="1"/>
  <c r="K1212" i="10"/>
  <c r="H1212" i="10"/>
  <c r="O1212" i="10"/>
  <c r="P1212" i="10" s="1"/>
  <c r="K1211" i="10"/>
  <c r="H1211" i="10"/>
  <c r="O1211" i="10"/>
  <c r="P1211" i="10" s="1"/>
  <c r="K1210" i="10"/>
  <c r="H1210" i="10"/>
  <c r="L1210" i="10" a="1"/>
  <c r="L1210" i="10" s="1"/>
  <c r="O1210" i="10"/>
  <c r="P1210" i="10" s="1"/>
  <c r="K1209" i="10"/>
  <c r="H1209" i="10"/>
  <c r="O1209" i="10"/>
  <c r="P1209" i="10" s="1"/>
  <c r="K1208" i="10"/>
  <c r="L1239" i="10" s="1" a="1"/>
  <c r="L1239" i="10" s="1"/>
  <c r="H1208" i="10"/>
  <c r="O1208" i="10"/>
  <c r="P1208" i="10" s="1"/>
  <c r="K1207" i="10"/>
  <c r="H1207" i="10"/>
  <c r="O1207" i="10"/>
  <c r="P1207" i="10" s="1"/>
  <c r="K1206" i="10"/>
  <c r="H1206" i="10"/>
  <c r="O1206" i="10"/>
  <c r="P1206" i="10" s="1"/>
  <c r="K1205" i="10"/>
  <c r="H1205" i="10"/>
  <c r="O1205" i="10"/>
  <c r="P1205" i="10" s="1"/>
  <c r="K1204" i="10"/>
  <c r="H1204" i="10"/>
  <c r="O1204" i="10"/>
  <c r="P1204" i="10" s="1"/>
  <c r="K1203" i="10"/>
  <c r="H1203" i="10"/>
  <c r="O1203" i="10"/>
  <c r="P1203" i="10" s="1"/>
  <c r="K1202" i="10"/>
  <c r="H1202" i="10"/>
  <c r="O1202" i="10"/>
  <c r="P1202" i="10" s="1"/>
  <c r="K1201" i="10"/>
  <c r="H1201" i="10"/>
  <c r="O1201" i="10"/>
  <c r="P1201" i="10" s="1"/>
  <c r="K1200" i="10"/>
  <c r="H1200" i="10"/>
  <c r="O1200" i="10"/>
  <c r="P1200" i="10" s="1"/>
  <c r="K1199" i="10"/>
  <c r="H1199" i="10"/>
  <c r="O1199" i="10"/>
  <c r="P1199" i="10" s="1"/>
  <c r="K1198" i="10"/>
  <c r="H1198" i="10"/>
  <c r="O1198" i="10"/>
  <c r="P1198" i="10" s="1"/>
  <c r="K1197" i="10"/>
  <c r="H1197" i="10"/>
  <c r="O1197" i="10"/>
  <c r="P1197" i="10" s="1"/>
  <c r="K1196" i="10"/>
  <c r="H1196" i="10"/>
  <c r="O1196" i="10"/>
  <c r="P1196" i="10" s="1"/>
  <c r="K1195" i="10"/>
  <c r="H1195" i="10"/>
  <c r="O1195" i="10"/>
  <c r="P1195" i="10" s="1"/>
  <c r="K1194" i="10"/>
  <c r="H1194" i="10"/>
  <c r="O1194" i="10"/>
  <c r="P1194" i="10" s="1"/>
  <c r="K1193" i="10"/>
  <c r="H1193" i="10"/>
  <c r="O1193" i="10"/>
  <c r="P1193" i="10" s="1"/>
  <c r="K1192" i="10"/>
  <c r="H1192" i="10"/>
  <c r="O1192" i="10"/>
  <c r="P1192" i="10" s="1"/>
  <c r="K1191" i="10"/>
  <c r="H1191" i="10"/>
  <c r="O1191" i="10"/>
  <c r="P1191" i="10" s="1"/>
  <c r="K1190" i="10"/>
  <c r="H1190" i="10"/>
  <c r="O1190" i="10"/>
  <c r="P1190" i="10" s="1"/>
  <c r="K1189" i="10"/>
  <c r="H1189" i="10"/>
  <c r="O1189" i="10"/>
  <c r="P1189" i="10" s="1"/>
  <c r="E46" i="12"/>
  <c r="B340" i="20"/>
  <c r="B339" i="20"/>
  <c r="B466" i="20"/>
  <c r="B465" i="20"/>
  <c r="D340" i="20"/>
  <c r="F340" i="20"/>
  <c r="H340" i="20"/>
  <c r="J340" i="20"/>
  <c r="D339" i="20"/>
  <c r="F339" i="20"/>
  <c r="H339" i="20"/>
  <c r="J339" i="20"/>
  <c r="D466" i="20"/>
  <c r="F466" i="20"/>
  <c r="H466" i="20"/>
  <c r="J466" i="20"/>
  <c r="D465" i="20"/>
  <c r="F465" i="20"/>
  <c r="H465" i="20"/>
  <c r="J465" i="20"/>
  <c r="K1188" i="10"/>
  <c r="H1188" i="10"/>
  <c r="O1188" i="10"/>
  <c r="P1188" i="10" s="1"/>
  <c r="N3" i="1"/>
  <c r="K121" i="12" s="1"/>
  <c r="O3" i="1"/>
  <c r="L121" i="12" s="1"/>
  <c r="Q3" i="1"/>
  <c r="R3" i="1"/>
  <c r="AF3" i="1"/>
  <c r="AJ3" i="1"/>
  <c r="AL3" i="1"/>
  <c r="AN3" i="1"/>
  <c r="AP3" i="1"/>
  <c r="AQ3" i="1"/>
  <c r="N4" i="1"/>
  <c r="K42" i="12" s="1"/>
  <c r="O4" i="1"/>
  <c r="L42" i="12" s="1"/>
  <c r="Q4" i="1"/>
  <c r="D53" i="15" s="1"/>
  <c r="R4" i="1"/>
  <c r="AF4" i="1"/>
  <c r="AJ4" i="1"/>
  <c r="AL4" i="1"/>
  <c r="AN4" i="1"/>
  <c r="AP4" i="1"/>
  <c r="AQ4" i="1"/>
  <c r="N5" i="1"/>
  <c r="K99" i="12" s="1"/>
  <c r="O5" i="1"/>
  <c r="L99" i="12" s="1"/>
  <c r="Q5" i="1"/>
  <c r="R5" i="1"/>
  <c r="AF5" i="1"/>
  <c r="AJ5" i="1"/>
  <c r="AL5" i="1"/>
  <c r="AN5" i="1"/>
  <c r="AP5" i="1"/>
  <c r="AQ5" i="1"/>
  <c r="N8" i="1"/>
  <c r="K108" i="12" s="1"/>
  <c r="O8" i="1"/>
  <c r="L108" i="12" s="1"/>
  <c r="Q8" i="1"/>
  <c r="R8" i="1"/>
  <c r="AF8" i="1"/>
  <c r="AJ8" i="1"/>
  <c r="AL8" i="1"/>
  <c r="AN8" i="1"/>
  <c r="AP8" i="1"/>
  <c r="AQ8" i="1"/>
  <c r="N10" i="1"/>
  <c r="K117" i="12" s="1"/>
  <c r="O10" i="1"/>
  <c r="L117" i="12" s="1"/>
  <c r="Q10" i="1"/>
  <c r="R10" i="1"/>
  <c r="AF10" i="1"/>
  <c r="AJ10" i="1"/>
  <c r="AL10" i="1"/>
  <c r="AN10" i="1"/>
  <c r="AP10" i="1"/>
  <c r="AQ10" i="1"/>
  <c r="N13" i="1"/>
  <c r="K30" i="12" s="1"/>
  <c r="O13" i="1"/>
  <c r="L30" i="12" s="1"/>
  <c r="Q13" i="1"/>
  <c r="D22" i="15" s="1"/>
  <c r="R13" i="1"/>
  <c r="AF13" i="1"/>
  <c r="AJ13" i="1"/>
  <c r="AL13" i="1"/>
  <c r="AN13" i="1"/>
  <c r="AP13" i="1"/>
  <c r="AQ13" i="1"/>
  <c r="N14" i="1"/>
  <c r="O14" i="1"/>
  <c r="Q14" i="1"/>
  <c r="R14" i="1"/>
  <c r="AF14" i="1"/>
  <c r="AJ14" i="1"/>
  <c r="AL14" i="1"/>
  <c r="AN14" i="1"/>
  <c r="AP14" i="1"/>
  <c r="AQ14" i="1"/>
  <c r="N15" i="1"/>
  <c r="K22" i="12" s="1"/>
  <c r="O15" i="1"/>
  <c r="L22" i="12" s="1"/>
  <c r="Q15" i="1"/>
  <c r="R15" i="1"/>
  <c r="AF15" i="1"/>
  <c r="AJ15" i="1"/>
  <c r="AL15" i="1"/>
  <c r="AN15" i="1"/>
  <c r="AP15" i="1"/>
  <c r="AQ15" i="1"/>
  <c r="N17" i="1"/>
  <c r="K103" i="12" s="1"/>
  <c r="O17" i="1"/>
  <c r="L103" i="12" s="1"/>
  <c r="Q17" i="1"/>
  <c r="R17" i="1"/>
  <c r="AF17" i="1"/>
  <c r="AJ17" i="1"/>
  <c r="AL17" i="1"/>
  <c r="AN17" i="1"/>
  <c r="AP17" i="1"/>
  <c r="AQ17" i="1"/>
  <c r="N18" i="1"/>
  <c r="K95" i="12" s="1"/>
  <c r="O18" i="1"/>
  <c r="L95" i="12" s="1"/>
  <c r="Q18" i="1"/>
  <c r="R18" i="1"/>
  <c r="AF18" i="1"/>
  <c r="AJ18" i="1"/>
  <c r="AL18" i="1"/>
  <c r="AN18" i="1"/>
  <c r="AP18" i="1"/>
  <c r="AQ18" i="1"/>
  <c r="N19" i="1"/>
  <c r="K82" i="12" s="1"/>
  <c r="O19" i="1"/>
  <c r="L82" i="12" s="1"/>
  <c r="Q19" i="1"/>
  <c r="R19" i="1"/>
  <c r="AF19" i="1"/>
  <c r="AJ19" i="1"/>
  <c r="AL19" i="1"/>
  <c r="AN19" i="1"/>
  <c r="AP19" i="1"/>
  <c r="AQ19" i="1"/>
  <c r="N20" i="1"/>
  <c r="K64" i="12" s="1"/>
  <c r="O20" i="1"/>
  <c r="L64" i="12" s="1"/>
  <c r="Q20" i="1"/>
  <c r="R20" i="1"/>
  <c r="AF20" i="1"/>
  <c r="AJ20" i="1"/>
  <c r="AL20" i="1"/>
  <c r="AN20" i="1"/>
  <c r="AP20" i="1"/>
  <c r="AQ20" i="1"/>
  <c r="N21" i="1"/>
  <c r="K62" i="12" s="1"/>
  <c r="O21" i="1"/>
  <c r="L62" i="12" s="1"/>
  <c r="Q21" i="1"/>
  <c r="R21" i="1"/>
  <c r="AF21" i="1"/>
  <c r="AJ21" i="1"/>
  <c r="AL21" i="1"/>
  <c r="AN21" i="1"/>
  <c r="AP21" i="1"/>
  <c r="AQ21" i="1"/>
  <c r="N24" i="1"/>
  <c r="K44" i="12" s="1"/>
  <c r="O24" i="1"/>
  <c r="L44" i="12" s="1"/>
  <c r="Q24" i="1"/>
  <c r="R24" i="1"/>
  <c r="AF24" i="1"/>
  <c r="AJ24" i="1"/>
  <c r="AL24" i="1"/>
  <c r="AN24" i="1"/>
  <c r="AP24" i="1"/>
  <c r="AQ24" i="1"/>
  <c r="N27" i="1"/>
  <c r="K69" i="12" s="1"/>
  <c r="O27" i="1"/>
  <c r="L69" i="12" s="1"/>
  <c r="Q27" i="1"/>
  <c r="R27" i="1"/>
  <c r="AF27" i="1"/>
  <c r="AJ27" i="1"/>
  <c r="AL27" i="1"/>
  <c r="AN27" i="1"/>
  <c r="AP27" i="1"/>
  <c r="AQ27" i="1"/>
  <c r="N32" i="1"/>
  <c r="K94" i="12" s="1"/>
  <c r="O32" i="1"/>
  <c r="L94" i="12" s="1"/>
  <c r="Q32" i="1"/>
  <c r="R32" i="1"/>
  <c r="AF32" i="1"/>
  <c r="AJ32" i="1"/>
  <c r="AL32" i="1"/>
  <c r="AN32" i="1"/>
  <c r="AP32" i="1"/>
  <c r="AQ32" i="1"/>
  <c r="N33" i="1"/>
  <c r="K54" i="12" s="1"/>
  <c r="O33" i="1"/>
  <c r="L54" i="12" s="1"/>
  <c r="Q33" i="1"/>
  <c r="R33" i="1"/>
  <c r="AF33" i="1"/>
  <c r="AJ33" i="1"/>
  <c r="AL33" i="1"/>
  <c r="AN33" i="1"/>
  <c r="AP33" i="1"/>
  <c r="AQ33" i="1"/>
  <c r="N36" i="1"/>
  <c r="K78" i="12" s="1"/>
  <c r="O36" i="1"/>
  <c r="L78" i="12" s="1"/>
  <c r="Q36" i="1"/>
  <c r="D58" i="15" s="1"/>
  <c r="R36" i="1"/>
  <c r="AF36" i="1"/>
  <c r="AJ36" i="1"/>
  <c r="AL36" i="1"/>
  <c r="AN36" i="1"/>
  <c r="AP36" i="1"/>
  <c r="AQ36" i="1"/>
  <c r="N37" i="1"/>
  <c r="K66" i="12" s="1"/>
  <c r="O37" i="1"/>
  <c r="L66" i="12" s="1"/>
  <c r="Q37" i="1"/>
  <c r="R37" i="1"/>
  <c r="AF37" i="1"/>
  <c r="AJ37" i="1"/>
  <c r="AL37" i="1"/>
  <c r="AN37" i="1"/>
  <c r="AP37" i="1"/>
  <c r="AQ37" i="1"/>
  <c r="N40" i="1"/>
  <c r="K110" i="12" s="1"/>
  <c r="O40" i="1"/>
  <c r="L110" i="12" s="1"/>
  <c r="Q40" i="1"/>
  <c r="R40" i="1"/>
  <c r="AF40" i="1"/>
  <c r="AJ40" i="1"/>
  <c r="AL40" i="1"/>
  <c r="AN40" i="1"/>
  <c r="AP40" i="1"/>
  <c r="AQ40" i="1"/>
  <c r="N42" i="1"/>
  <c r="K98" i="12" s="1"/>
  <c r="O42" i="1"/>
  <c r="L98" i="12" s="1"/>
  <c r="Q42" i="1"/>
  <c r="R42" i="1"/>
  <c r="AF42" i="1"/>
  <c r="AJ42" i="1"/>
  <c r="AL42" i="1"/>
  <c r="AN42" i="1"/>
  <c r="AP42" i="1"/>
  <c r="AQ42" i="1"/>
  <c r="N46" i="1"/>
  <c r="K51" i="12" s="1"/>
  <c r="O46" i="1"/>
  <c r="L51" i="12" s="1"/>
  <c r="Q46" i="1"/>
  <c r="D103" i="15" s="1"/>
  <c r="R46" i="1"/>
  <c r="AF46" i="1"/>
  <c r="AJ46" i="1"/>
  <c r="AL46" i="1"/>
  <c r="AN46" i="1"/>
  <c r="AP46" i="1"/>
  <c r="AQ46" i="1"/>
  <c r="N54" i="1"/>
  <c r="K65" i="12" s="1"/>
  <c r="O54" i="1"/>
  <c r="L65" i="12" s="1"/>
  <c r="Q54" i="1"/>
  <c r="R54" i="1"/>
  <c r="AF54" i="1"/>
  <c r="AJ54" i="1"/>
  <c r="AL54" i="1"/>
  <c r="AN54" i="1"/>
  <c r="AP54" i="1"/>
  <c r="AQ54" i="1"/>
  <c r="N56" i="1"/>
  <c r="K57" i="12" s="1"/>
  <c r="O56" i="1"/>
  <c r="L57" i="12" s="1"/>
  <c r="Q56" i="1"/>
  <c r="D94" i="15" s="1"/>
  <c r="R56" i="1"/>
  <c r="AF56" i="1"/>
  <c r="AJ56" i="1"/>
  <c r="AL56" i="1"/>
  <c r="AN56" i="1"/>
  <c r="AP56" i="1"/>
  <c r="AQ56" i="1"/>
  <c r="N57" i="1"/>
  <c r="K115" i="12" s="1"/>
  <c r="O57" i="1"/>
  <c r="L115" i="12" s="1"/>
  <c r="Q57" i="1"/>
  <c r="R57" i="1"/>
  <c r="AF57" i="1"/>
  <c r="AJ57" i="1"/>
  <c r="AL57" i="1"/>
  <c r="AN57" i="1"/>
  <c r="AP57" i="1"/>
  <c r="AQ57" i="1"/>
  <c r="N58" i="1"/>
  <c r="K67" i="12" s="1"/>
  <c r="O58" i="1"/>
  <c r="L67" i="12" s="1"/>
  <c r="Q58" i="1"/>
  <c r="R58" i="1"/>
  <c r="AF58" i="1"/>
  <c r="AJ58" i="1"/>
  <c r="AL58" i="1"/>
  <c r="AN58" i="1"/>
  <c r="AP58" i="1"/>
  <c r="AQ58" i="1"/>
  <c r="N59" i="1"/>
  <c r="O59" i="1"/>
  <c r="Q59" i="1"/>
  <c r="R59" i="1"/>
  <c r="AF59" i="1"/>
  <c r="AJ59" i="1"/>
  <c r="AL59" i="1"/>
  <c r="AN59" i="1"/>
  <c r="AP59" i="1"/>
  <c r="AQ59" i="1"/>
  <c r="N61" i="1"/>
  <c r="K102" i="12" s="1"/>
  <c r="O61" i="1"/>
  <c r="L102" i="12" s="1"/>
  <c r="Q61" i="1"/>
  <c r="R61" i="1"/>
  <c r="AF61" i="1"/>
  <c r="AJ61" i="1"/>
  <c r="AL61" i="1"/>
  <c r="AN61" i="1"/>
  <c r="AP61" i="1"/>
  <c r="AQ61" i="1"/>
  <c r="N66" i="1"/>
  <c r="O66" i="1"/>
  <c r="Q66" i="1"/>
  <c r="R66" i="1"/>
  <c r="AF66" i="1"/>
  <c r="AJ66" i="1"/>
  <c r="AL66" i="1"/>
  <c r="AN66" i="1"/>
  <c r="AP66" i="1"/>
  <c r="AQ66" i="1"/>
  <c r="N67" i="1"/>
  <c r="K55" i="12" s="1"/>
  <c r="O67" i="1"/>
  <c r="L55" i="12" s="1"/>
  <c r="Q67" i="1"/>
  <c r="R67" i="1"/>
  <c r="AF67" i="1"/>
  <c r="AJ67" i="1"/>
  <c r="AL67" i="1"/>
  <c r="AN67" i="1"/>
  <c r="AP67" i="1"/>
  <c r="AQ67" i="1"/>
  <c r="N68" i="1"/>
  <c r="K89" i="12" s="1"/>
  <c r="O68" i="1"/>
  <c r="L89" i="12" s="1"/>
  <c r="Q68" i="1"/>
  <c r="R68" i="1"/>
  <c r="AF68" i="1"/>
  <c r="AJ68" i="1"/>
  <c r="AL68" i="1"/>
  <c r="AN68" i="1"/>
  <c r="AP68" i="1"/>
  <c r="AQ68" i="1"/>
  <c r="N69" i="1"/>
  <c r="K17" i="12" s="1"/>
  <c r="O69" i="1"/>
  <c r="L17" i="12" s="1"/>
  <c r="Q69" i="1"/>
  <c r="R69" i="1"/>
  <c r="AF69" i="1"/>
  <c r="AJ69" i="1"/>
  <c r="AL69" i="1"/>
  <c r="AN69" i="1"/>
  <c r="AP69" i="1"/>
  <c r="AQ69" i="1"/>
  <c r="N70" i="1"/>
  <c r="K107" i="12" s="1"/>
  <c r="O70" i="1"/>
  <c r="L107" i="12" s="1"/>
  <c r="Q70" i="1"/>
  <c r="R70" i="1"/>
  <c r="AF70" i="1"/>
  <c r="AJ70" i="1"/>
  <c r="AL70" i="1"/>
  <c r="AN70" i="1"/>
  <c r="AP70" i="1"/>
  <c r="AQ70" i="1"/>
  <c r="N73" i="1"/>
  <c r="K81" i="12" s="1"/>
  <c r="O73" i="1"/>
  <c r="L81" i="12" s="1"/>
  <c r="Q73" i="1"/>
  <c r="R73" i="1"/>
  <c r="AF73" i="1"/>
  <c r="AJ73" i="1"/>
  <c r="AL73" i="1"/>
  <c r="AN73" i="1"/>
  <c r="AP73" i="1"/>
  <c r="AQ73" i="1"/>
  <c r="N74" i="1"/>
  <c r="K96" i="12" s="1"/>
  <c r="O74" i="1"/>
  <c r="L96" i="12" s="1"/>
  <c r="Q74" i="1"/>
  <c r="R74" i="1"/>
  <c r="AF74" i="1"/>
  <c r="AJ74" i="1"/>
  <c r="AL74" i="1"/>
  <c r="AN74" i="1"/>
  <c r="AP74" i="1"/>
  <c r="AQ74" i="1"/>
  <c r="N75" i="1"/>
  <c r="K16" i="12" s="1"/>
  <c r="O75" i="1"/>
  <c r="L16" i="12" s="1"/>
  <c r="Q75" i="1"/>
  <c r="D96" i="15" s="1"/>
  <c r="R75" i="1"/>
  <c r="AF75" i="1"/>
  <c r="AJ75" i="1"/>
  <c r="AL75" i="1"/>
  <c r="AN75" i="1"/>
  <c r="AP75" i="1"/>
  <c r="AQ75" i="1"/>
  <c r="N76" i="1"/>
  <c r="K15" i="12" s="1"/>
  <c r="O76" i="1"/>
  <c r="L15" i="12" s="1"/>
  <c r="Q76" i="1"/>
  <c r="R76" i="1"/>
  <c r="AF76" i="1"/>
  <c r="AJ76" i="1"/>
  <c r="AL76" i="1"/>
  <c r="AN76" i="1"/>
  <c r="AP76" i="1"/>
  <c r="AQ76" i="1"/>
  <c r="N77" i="1"/>
  <c r="K56" i="12" s="1"/>
  <c r="O77" i="1"/>
  <c r="L56" i="12" s="1"/>
  <c r="Q77" i="1"/>
  <c r="D176" i="15" s="1"/>
  <c r="R77" i="1"/>
  <c r="AF77" i="1"/>
  <c r="AJ77" i="1"/>
  <c r="AL77" i="1"/>
  <c r="AN77" i="1"/>
  <c r="AP77" i="1"/>
  <c r="AQ77" i="1"/>
  <c r="N78" i="1"/>
  <c r="K113" i="12" s="1"/>
  <c r="O78" i="1"/>
  <c r="L113" i="12" s="1"/>
  <c r="Q78" i="1"/>
  <c r="R78" i="1"/>
  <c r="AF78" i="1"/>
  <c r="AJ78" i="1"/>
  <c r="AL78" i="1"/>
  <c r="AN78" i="1"/>
  <c r="AP78" i="1"/>
  <c r="AQ78" i="1"/>
  <c r="N79" i="1"/>
  <c r="K120" i="12" s="1"/>
  <c r="O79" i="1"/>
  <c r="L120" i="12" s="1"/>
  <c r="Q79" i="1"/>
  <c r="D175" i="15" s="1"/>
  <c r="R79" i="1"/>
  <c r="Y79" i="1"/>
  <c r="AF79" i="1"/>
  <c r="AJ79" i="1"/>
  <c r="AL79" i="1"/>
  <c r="AN79" i="1"/>
  <c r="AP79" i="1"/>
  <c r="AQ79" i="1"/>
  <c r="N80" i="1"/>
  <c r="K106" i="12" s="1"/>
  <c r="O80" i="1"/>
  <c r="L106" i="12" s="1"/>
  <c r="Q80" i="1"/>
  <c r="R80" i="1"/>
  <c r="AF80" i="1"/>
  <c r="AJ80" i="1"/>
  <c r="AL80" i="1"/>
  <c r="AN80" i="1"/>
  <c r="AP80" i="1"/>
  <c r="AQ80" i="1"/>
  <c r="N81" i="1"/>
  <c r="O81" i="1"/>
  <c r="Q81" i="1"/>
  <c r="R81" i="1"/>
  <c r="AF81" i="1"/>
  <c r="AJ81" i="1"/>
  <c r="AL81" i="1"/>
  <c r="AN81" i="1"/>
  <c r="AP81" i="1"/>
  <c r="AQ81" i="1"/>
  <c r="N82" i="1"/>
  <c r="O82" i="1"/>
  <c r="Q82" i="1"/>
  <c r="R82" i="1"/>
  <c r="AF82" i="1"/>
  <c r="AJ82" i="1"/>
  <c r="AL82" i="1"/>
  <c r="AN82" i="1"/>
  <c r="AP82" i="1"/>
  <c r="AQ82" i="1"/>
  <c r="N83" i="1"/>
  <c r="K122" i="12" s="1"/>
  <c r="O83" i="1"/>
  <c r="L122" i="12" s="1"/>
  <c r="Q83" i="1"/>
  <c r="R83" i="1"/>
  <c r="AF83" i="1"/>
  <c r="AJ83" i="1"/>
  <c r="AL83" i="1"/>
  <c r="AN83" i="1"/>
  <c r="AP83" i="1"/>
  <c r="AQ83" i="1"/>
  <c r="N84" i="1"/>
  <c r="O84" i="1"/>
  <c r="Q84" i="1"/>
  <c r="R84" i="1"/>
  <c r="AF84" i="1"/>
  <c r="AJ84" i="1"/>
  <c r="AL84" i="1"/>
  <c r="AN84" i="1"/>
  <c r="AP84" i="1"/>
  <c r="AQ84" i="1"/>
  <c r="N98" i="1"/>
  <c r="K13" i="12" s="1"/>
  <c r="O98" i="1"/>
  <c r="L13" i="12" s="1"/>
  <c r="Q98" i="1"/>
  <c r="R98" i="1"/>
  <c r="AF98" i="1"/>
  <c r="AJ98" i="1"/>
  <c r="AL98" i="1"/>
  <c r="AN98" i="1"/>
  <c r="AP98" i="1"/>
  <c r="AQ98" i="1"/>
  <c r="N103" i="1"/>
  <c r="O103" i="1"/>
  <c r="Q103" i="1"/>
  <c r="R103" i="1"/>
  <c r="AF103" i="1"/>
  <c r="AJ103" i="1"/>
  <c r="AL103" i="1"/>
  <c r="AN103" i="1"/>
  <c r="AP103" i="1"/>
  <c r="AQ103" i="1"/>
  <c r="N107" i="1"/>
  <c r="K45" i="12" s="1"/>
  <c r="O107" i="1"/>
  <c r="L45" i="12" s="1"/>
  <c r="Q107" i="1"/>
  <c r="R107" i="1"/>
  <c r="AF107" i="1"/>
  <c r="AJ107" i="1"/>
  <c r="AL107" i="1"/>
  <c r="AN107" i="1"/>
  <c r="AP107" i="1"/>
  <c r="AQ107" i="1"/>
  <c r="N111" i="1"/>
  <c r="O111" i="1"/>
  <c r="Q111" i="1"/>
  <c r="R111" i="1"/>
  <c r="AF111" i="1"/>
  <c r="AJ111" i="1"/>
  <c r="AL111" i="1"/>
  <c r="AN111" i="1"/>
  <c r="AP111" i="1"/>
  <c r="AQ111" i="1"/>
  <c r="N115" i="1"/>
  <c r="K90" i="12" s="1"/>
  <c r="O115" i="1"/>
  <c r="L90" i="12" s="1"/>
  <c r="Q115" i="1"/>
  <c r="R115" i="1"/>
  <c r="AF115" i="1"/>
  <c r="AJ115" i="1"/>
  <c r="AL115" i="1"/>
  <c r="AN115" i="1"/>
  <c r="AP115" i="1"/>
  <c r="AQ115" i="1"/>
  <c r="N116" i="1"/>
  <c r="K11" i="12" s="1"/>
  <c r="O116" i="1"/>
  <c r="L11" i="12" s="1"/>
  <c r="Q116" i="1"/>
  <c r="R116" i="1"/>
  <c r="AF116" i="1"/>
  <c r="AJ116" i="1"/>
  <c r="AL116" i="1"/>
  <c r="AN116" i="1"/>
  <c r="AP116" i="1"/>
  <c r="AQ116" i="1"/>
  <c r="N117" i="1"/>
  <c r="K6" i="12" s="1"/>
  <c r="O117" i="1"/>
  <c r="L6" i="12" s="1"/>
  <c r="Q117" i="1"/>
  <c r="R117" i="1"/>
  <c r="AF117" i="1"/>
  <c r="AJ117" i="1"/>
  <c r="AL117" i="1"/>
  <c r="AN117" i="1"/>
  <c r="AP117" i="1"/>
  <c r="AQ117" i="1"/>
  <c r="N118" i="1"/>
  <c r="K128" i="12" s="1"/>
  <c r="O118" i="1"/>
  <c r="L128" i="12" s="1"/>
  <c r="Q118" i="1"/>
  <c r="R118" i="1"/>
  <c r="AF118" i="1"/>
  <c r="AJ118" i="1"/>
  <c r="AL118" i="1"/>
  <c r="AN118" i="1"/>
  <c r="AP118" i="1"/>
  <c r="AQ118" i="1"/>
  <c r="N119" i="1"/>
  <c r="O119" i="1"/>
  <c r="Q119" i="1"/>
  <c r="R119" i="1"/>
  <c r="AF119" i="1"/>
  <c r="AJ119" i="1"/>
  <c r="AL119" i="1"/>
  <c r="AN119" i="1"/>
  <c r="AP119" i="1"/>
  <c r="AQ119" i="1"/>
  <c r="N120" i="1"/>
  <c r="K129" i="12" s="1"/>
  <c r="O120" i="1"/>
  <c r="L129" i="12" s="1"/>
  <c r="Q120" i="1"/>
  <c r="R120" i="1"/>
  <c r="AF120" i="1"/>
  <c r="AJ120" i="1"/>
  <c r="AL120" i="1"/>
  <c r="AN120" i="1"/>
  <c r="AP120" i="1"/>
  <c r="AQ120" i="1"/>
  <c r="N121" i="1"/>
  <c r="K130" i="12" s="1"/>
  <c r="O121" i="1"/>
  <c r="L130" i="12" s="1"/>
  <c r="Q121" i="1"/>
  <c r="R121" i="1"/>
  <c r="AF121" i="1"/>
  <c r="AJ121" i="1"/>
  <c r="AL121" i="1"/>
  <c r="AN121" i="1"/>
  <c r="AP121" i="1"/>
  <c r="AQ121" i="1"/>
  <c r="N122" i="1"/>
  <c r="K126" i="12" s="1"/>
  <c r="O122" i="1"/>
  <c r="L126" i="12" s="1"/>
  <c r="Q122" i="1"/>
  <c r="R122" i="1"/>
  <c r="AF122" i="1"/>
  <c r="AJ122" i="1"/>
  <c r="AL122" i="1"/>
  <c r="AN122" i="1"/>
  <c r="AP122" i="1"/>
  <c r="AQ122" i="1"/>
  <c r="N123" i="1"/>
  <c r="K125" i="12" s="1"/>
  <c r="O123" i="1"/>
  <c r="L125" i="12" s="1"/>
  <c r="Q123" i="1"/>
  <c r="R123" i="1"/>
  <c r="AF123" i="1"/>
  <c r="AJ123" i="1"/>
  <c r="AL123" i="1"/>
  <c r="AN123" i="1"/>
  <c r="AP123" i="1"/>
  <c r="AQ123" i="1"/>
  <c r="N124" i="1"/>
  <c r="K131" i="12" s="1"/>
  <c r="O124" i="1"/>
  <c r="L131" i="12" s="1"/>
  <c r="Q124" i="1"/>
  <c r="R124" i="1"/>
  <c r="AF124" i="1"/>
  <c r="AJ124" i="1"/>
  <c r="AL124" i="1"/>
  <c r="AN124" i="1"/>
  <c r="AP124" i="1"/>
  <c r="AQ124" i="1"/>
  <c r="N125" i="1"/>
  <c r="K46" i="12" s="1"/>
  <c r="O125" i="1"/>
  <c r="L46" i="12" s="1"/>
  <c r="Q125" i="1"/>
  <c r="R125" i="1"/>
  <c r="AF125" i="1"/>
  <c r="AJ125" i="1"/>
  <c r="AL125" i="1"/>
  <c r="AN125" i="1"/>
  <c r="AP125" i="1"/>
  <c r="AQ125" i="1"/>
  <c r="M16" i="12"/>
  <c r="E131" i="12"/>
  <c r="B464" i="20"/>
  <c r="B463" i="20"/>
  <c r="D464" i="20"/>
  <c r="F464" i="20"/>
  <c r="H464" i="20"/>
  <c r="J464" i="20"/>
  <c r="D463" i="20"/>
  <c r="F463" i="20"/>
  <c r="H463" i="20"/>
  <c r="J463" i="20"/>
  <c r="B332" i="20"/>
  <c r="B331" i="20"/>
  <c r="D332" i="20"/>
  <c r="F332" i="20"/>
  <c r="H332" i="20"/>
  <c r="J332" i="20"/>
  <c r="D331" i="20"/>
  <c r="F331" i="20"/>
  <c r="H331" i="20"/>
  <c r="J331" i="20"/>
  <c r="K1187" i="10"/>
  <c r="H1187" i="10"/>
  <c r="O1187" i="10"/>
  <c r="P1187" i="10" s="1"/>
  <c r="L43" i="12" l="1"/>
  <c r="K43" i="12"/>
  <c r="K118" i="12"/>
  <c r="K100" i="12"/>
  <c r="L5" i="12"/>
  <c r="L104" i="12"/>
  <c r="L18" i="12"/>
  <c r="L111" i="12"/>
  <c r="L116" i="12"/>
  <c r="L127" i="12"/>
  <c r="L14" i="12"/>
  <c r="L105" i="12"/>
  <c r="D79" i="15"/>
  <c r="D81" i="15"/>
  <c r="D80" i="15"/>
  <c r="D108" i="15"/>
  <c r="D109" i="15"/>
  <c r="K5" i="12"/>
  <c r="K104" i="12"/>
  <c r="K18" i="12"/>
  <c r="K111" i="12"/>
  <c r="D89" i="15"/>
  <c r="D88" i="15"/>
  <c r="D68" i="15"/>
  <c r="D67" i="15"/>
  <c r="D65" i="15"/>
  <c r="D64" i="15"/>
  <c r="D66" i="15"/>
  <c r="D27" i="15"/>
  <c r="D23" i="15"/>
  <c r="D24" i="15"/>
  <c r="D28" i="15"/>
  <c r="D26" i="15"/>
  <c r="D25" i="15"/>
  <c r="D112" i="15"/>
  <c r="D110" i="15"/>
  <c r="D111" i="15"/>
  <c r="D20" i="15"/>
  <c r="D19" i="15"/>
  <c r="K127" i="12"/>
  <c r="K116" i="12"/>
  <c r="D129" i="15"/>
  <c r="D130" i="15"/>
  <c r="D168" i="15"/>
  <c r="D167" i="15"/>
  <c r="K14" i="12"/>
  <c r="K105" i="12"/>
  <c r="D90" i="15"/>
  <c r="D91" i="15"/>
  <c r="D93" i="15"/>
  <c r="D92" i="15"/>
  <c r="D74" i="15"/>
  <c r="D75" i="15"/>
  <c r="D113" i="15"/>
  <c r="D114" i="15"/>
  <c r="D115" i="15"/>
  <c r="D83" i="15"/>
  <c r="D84" i="15"/>
  <c r="D37" i="15"/>
  <c r="D36" i="15"/>
  <c r="D97" i="15"/>
  <c r="D98" i="15"/>
  <c r="D99" i="15"/>
  <c r="D71" i="15"/>
  <c r="D69" i="15"/>
  <c r="D70" i="15"/>
  <c r="D105" i="15"/>
  <c r="D104" i="15"/>
  <c r="L12" i="12"/>
  <c r="L101" i="12"/>
  <c r="L109" i="12"/>
  <c r="L4" i="12"/>
  <c r="L124" i="12"/>
  <c r="L84" i="12"/>
  <c r="D101" i="15"/>
  <c r="D100" i="15"/>
  <c r="D102" i="15"/>
  <c r="L118" i="12"/>
  <c r="L100" i="12"/>
  <c r="K12" i="12"/>
  <c r="K101" i="12"/>
  <c r="K4" i="12"/>
  <c r="K109" i="12"/>
  <c r="D158" i="15"/>
  <c r="D157" i="15"/>
  <c r="K84" i="12"/>
  <c r="K124" i="12"/>
  <c r="L1222" i="10" a="1"/>
  <c r="L1222" i="10" s="1"/>
  <c r="L1223" i="10" a="1"/>
  <c r="L1223" i="10" s="1"/>
  <c r="L1221" i="10" a="1"/>
  <c r="L1221" i="10" s="1"/>
  <c r="L1220" i="10" a="1"/>
  <c r="L1220" i="10" s="1"/>
  <c r="L1219" i="10" a="1"/>
  <c r="L1219" i="10" s="1"/>
  <c r="L1218" i="10" a="1"/>
  <c r="L1218" i="10" s="1"/>
  <c r="L1217" i="10" a="1"/>
  <c r="L1217" i="10" s="1"/>
  <c r="L1216" i="10" a="1"/>
  <c r="L1216" i="10" s="1"/>
  <c r="L1215" i="10" a="1"/>
  <c r="L1215" i="10" s="1"/>
  <c r="L1214" i="10" a="1"/>
  <c r="L1214" i="10" s="1"/>
  <c r="L1213" i="10" a="1"/>
  <c r="L1213" i="10" s="1"/>
  <c r="L1212" i="10" a="1"/>
  <c r="L1212" i="10" s="1"/>
  <c r="L1211" i="10" a="1"/>
  <c r="L1211" i="10" s="1"/>
  <c r="L1209" i="10" a="1"/>
  <c r="L1209" i="10" s="1"/>
  <c r="L1207" i="10" a="1"/>
  <c r="L1207" i="10" s="1"/>
  <c r="L1208" i="10" a="1"/>
  <c r="L1208" i="10" s="1"/>
  <c r="L1206" i="10" a="1"/>
  <c r="L1206" i="10" s="1"/>
  <c r="L1204" i="10" a="1"/>
  <c r="L1204" i="10" s="1"/>
  <c r="L1205" i="10" a="1"/>
  <c r="L1205" i="10" s="1"/>
  <c r="L1201" i="10" a="1"/>
  <c r="L1201" i="10" s="1"/>
  <c r="L1203" i="10" a="1"/>
  <c r="L1203" i="10" s="1"/>
  <c r="L1202" i="10" a="1"/>
  <c r="L1202" i="10" s="1"/>
  <c r="L1200" i="10" a="1"/>
  <c r="L1200" i="10" s="1"/>
  <c r="L1199" i="10" a="1"/>
  <c r="L1199" i="10" s="1"/>
  <c r="L1195" i="10" a="1"/>
  <c r="L1195" i="10" s="1"/>
  <c r="L1198" i="10" a="1"/>
  <c r="L1198" i="10" s="1"/>
  <c r="L1193" i="10" a="1"/>
  <c r="L1193" i="10" s="1"/>
  <c r="L1197" i="10" a="1"/>
  <c r="L1197" i="10" s="1"/>
  <c r="L1196" i="10" a="1"/>
  <c r="L1196" i="10" s="1"/>
  <c r="L1192" i="10" a="1"/>
  <c r="L1192" i="10" s="1"/>
  <c r="L1194" i="10" a="1"/>
  <c r="L1194" i="10" s="1"/>
  <c r="L1191" i="10" a="1"/>
  <c r="L1191" i="10" s="1"/>
  <c r="L1190" i="10" a="1"/>
  <c r="L1190" i="10" s="1"/>
  <c r="U120" i="1"/>
  <c r="L1189" i="10" a="1"/>
  <c r="L1189" i="10" s="1"/>
  <c r="U46" i="1"/>
  <c r="P21" i="1"/>
  <c r="W5" i="1"/>
  <c r="W4" i="1"/>
  <c r="P27" i="1"/>
  <c r="P17" i="1"/>
  <c r="U117" i="1"/>
  <c r="P79" i="1"/>
  <c r="P77" i="1"/>
  <c r="U124" i="1"/>
  <c r="U121" i="1"/>
  <c r="P19" i="1"/>
  <c r="P13" i="1"/>
  <c r="P81" i="1"/>
  <c r="P37" i="1"/>
  <c r="P40" i="1"/>
  <c r="L1188" i="10" a="1"/>
  <c r="L1188" i="10" s="1"/>
  <c r="P82" i="1"/>
  <c r="P42" i="1"/>
  <c r="P80" i="1"/>
  <c r="P46" i="1"/>
  <c r="P36" i="1"/>
  <c r="P33" i="1"/>
  <c r="P3" i="1"/>
  <c r="P8" i="1"/>
  <c r="P14" i="1"/>
  <c r="P10" i="1"/>
  <c r="W21" i="1"/>
  <c r="W20" i="1"/>
  <c r="W19" i="1"/>
  <c r="W18" i="1"/>
  <c r="W17" i="1"/>
  <c r="U15" i="1"/>
  <c r="W15" i="1"/>
  <c r="U122" i="1"/>
  <c r="U118" i="1"/>
  <c r="P76" i="1"/>
  <c r="P78" i="1"/>
  <c r="U76" i="1"/>
  <c r="W33" i="1"/>
  <c r="W32" i="1"/>
  <c r="U14" i="1"/>
  <c r="W3" i="1"/>
  <c r="U119" i="1"/>
  <c r="P107" i="1"/>
  <c r="P103" i="1"/>
  <c r="P98" i="1"/>
  <c r="P84" i="1"/>
  <c r="P83" i="1"/>
  <c r="P75" i="1"/>
  <c r="P74" i="1"/>
  <c r="P73" i="1"/>
  <c r="P70" i="1"/>
  <c r="P69" i="1"/>
  <c r="P68" i="1"/>
  <c r="P67" i="1"/>
  <c r="W27" i="1"/>
  <c r="U24" i="1"/>
  <c r="W24" i="1"/>
  <c r="W10" i="1"/>
  <c r="P5" i="1"/>
  <c r="P116" i="1"/>
  <c r="P115" i="1"/>
  <c r="P111" i="1"/>
  <c r="P4" i="1"/>
  <c r="U116" i="1"/>
  <c r="U107" i="1"/>
  <c r="W14" i="1"/>
  <c r="W13" i="1"/>
  <c r="W8" i="1"/>
  <c r="P32" i="1"/>
  <c r="P24" i="1"/>
  <c r="P20" i="1"/>
  <c r="P18" i="1"/>
  <c r="P15" i="1"/>
  <c r="P125" i="1"/>
  <c r="P124" i="1"/>
  <c r="P123" i="1"/>
  <c r="P122" i="1"/>
  <c r="P121" i="1"/>
  <c r="P120" i="1"/>
  <c r="P119" i="1"/>
  <c r="P118" i="1"/>
  <c r="P117" i="1"/>
  <c r="W75" i="1"/>
  <c r="P66" i="1"/>
  <c r="U66" i="1" s="1"/>
  <c r="P61" i="1"/>
  <c r="P59" i="1"/>
  <c r="P58" i="1"/>
  <c r="P57" i="1"/>
  <c r="P56" i="1"/>
  <c r="P54" i="1"/>
  <c r="U125" i="1"/>
  <c r="W125" i="1"/>
  <c r="W124" i="1"/>
  <c r="W123" i="1"/>
  <c r="W122" i="1"/>
  <c r="W121" i="1"/>
  <c r="W120" i="1"/>
  <c r="W119" i="1"/>
  <c r="W118" i="1"/>
  <c r="W117" i="1"/>
  <c r="W116" i="1"/>
  <c r="W115" i="1"/>
  <c r="W111" i="1"/>
  <c r="W107" i="1"/>
  <c r="W103" i="1"/>
  <c r="W98" i="1"/>
  <c r="W84" i="1"/>
  <c r="W83" i="1"/>
  <c r="W82" i="1"/>
  <c r="W81" i="1"/>
  <c r="W80" i="1"/>
  <c r="W74" i="1"/>
  <c r="W73" i="1"/>
  <c r="W70" i="1"/>
  <c r="W69" i="1"/>
  <c r="W68" i="1"/>
  <c r="W67" i="1"/>
  <c r="W66" i="1"/>
  <c r="W61" i="1"/>
  <c r="W59" i="1"/>
  <c r="W58" i="1"/>
  <c r="W57" i="1"/>
  <c r="W56" i="1"/>
  <c r="W54" i="1"/>
  <c r="W46" i="1"/>
  <c r="W42" i="1"/>
  <c r="W40" i="1"/>
  <c r="W37" i="1"/>
  <c r="W36" i="1"/>
  <c r="W79" i="1"/>
  <c r="W78" i="1"/>
  <c r="W77" i="1"/>
  <c r="W76" i="1"/>
  <c r="L1187" i="10" a="1"/>
  <c r="L1187" i="10" s="1"/>
  <c r="K1186" i="10"/>
  <c r="O1186" i="10"/>
  <c r="P1186" i="10" s="1"/>
  <c r="H1186" i="10"/>
  <c r="K1185" i="10"/>
  <c r="H1185" i="10"/>
  <c r="O1185" i="10"/>
  <c r="P1185" i="10" s="1"/>
  <c r="K1184" i="10"/>
  <c r="H1184" i="10"/>
  <c r="O1184" i="10"/>
  <c r="P1184" i="10" s="1"/>
  <c r="K1183" i="10"/>
  <c r="H1183" i="10"/>
  <c r="O1183" i="10"/>
  <c r="P1183" i="10" s="1"/>
  <c r="K1182" i="10"/>
  <c r="H1182" i="10"/>
  <c r="O1182" i="10"/>
  <c r="P1182" i="10" s="1"/>
  <c r="K1181" i="10"/>
  <c r="H1181" i="10"/>
  <c r="O1181" i="10"/>
  <c r="P1181" i="10" s="1"/>
  <c r="K1179" i="10"/>
  <c r="K1180" i="10"/>
  <c r="H1180" i="10"/>
  <c r="O1180" i="10"/>
  <c r="P1180" i="10" s="1"/>
  <c r="H1179" i="10"/>
  <c r="O1179" i="10"/>
  <c r="P1179" i="10" s="1"/>
  <c r="K1178" i="10"/>
  <c r="H1178" i="10"/>
  <c r="O1178" i="10"/>
  <c r="P1178" i="10" s="1"/>
  <c r="K1177" i="10"/>
  <c r="H1177" i="10"/>
  <c r="O1177" i="10"/>
  <c r="P1177" i="10" s="1"/>
  <c r="K1176" i="10"/>
  <c r="H1176" i="10"/>
  <c r="O1176" i="10"/>
  <c r="P1176" i="10" s="1"/>
  <c r="K1175" i="10"/>
  <c r="H1175" i="10"/>
  <c r="O1175" i="10"/>
  <c r="P1175" i="10" s="1"/>
  <c r="K1174" i="10"/>
  <c r="H1174" i="10"/>
  <c r="O1174" i="10"/>
  <c r="P1174" i="10" s="1"/>
  <c r="K1173" i="10"/>
  <c r="H1173" i="10"/>
  <c r="O1173" i="10"/>
  <c r="P1173" i="10" s="1"/>
  <c r="K1172" i="10"/>
  <c r="H1172" i="10"/>
  <c r="O1172" i="10"/>
  <c r="P1172" i="10" s="1"/>
  <c r="K1171" i="10"/>
  <c r="H1171" i="10"/>
  <c r="O1171" i="10"/>
  <c r="P1171" i="10" s="1"/>
  <c r="K1170" i="10"/>
  <c r="H1170" i="10"/>
  <c r="O1170" i="10"/>
  <c r="P1170" i="10" s="1"/>
  <c r="K1169" i="10"/>
  <c r="H1169" i="10"/>
  <c r="O1169" i="10"/>
  <c r="P1169" i="10" s="1"/>
  <c r="K1168" i="10"/>
  <c r="H1168" i="10"/>
  <c r="O1168" i="10"/>
  <c r="P1168" i="10" s="1"/>
  <c r="K1167" i="10"/>
  <c r="H1167" i="10"/>
  <c r="O1167" i="10"/>
  <c r="P1167" i="10" s="1"/>
  <c r="K1166" i="10"/>
  <c r="H1166" i="10"/>
  <c r="O1166" i="10"/>
  <c r="P1166" i="10" s="1"/>
  <c r="K1165" i="10"/>
  <c r="H1165" i="10"/>
  <c r="O1165" i="10"/>
  <c r="P1165" i="10" s="1"/>
  <c r="K1164" i="10"/>
  <c r="H1164" i="10"/>
  <c r="O1164" i="10"/>
  <c r="P1164" i="10" s="1"/>
  <c r="K1163" i="10"/>
  <c r="H1163" i="10"/>
  <c r="O1163" i="10"/>
  <c r="P1163" i="10" s="1"/>
  <c r="K1162" i="10"/>
  <c r="O1162" i="10"/>
  <c r="P1162" i="10" s="1"/>
  <c r="H1162" i="10"/>
  <c r="K1161" i="10"/>
  <c r="O1161" i="10"/>
  <c r="P1161" i="10" s="1"/>
  <c r="H1161" i="10"/>
  <c r="K1160" i="10"/>
  <c r="O1160" i="10"/>
  <c r="P1160" i="10" s="1"/>
  <c r="H1160" i="10"/>
  <c r="K1159" i="10"/>
  <c r="H1159" i="10"/>
  <c r="O1159" i="10"/>
  <c r="P1159" i="10" s="1"/>
  <c r="K1158" i="10"/>
  <c r="H1158" i="10"/>
  <c r="O1158" i="10"/>
  <c r="P1158" i="10" s="1"/>
  <c r="E94" i="12"/>
  <c r="K1157" i="10"/>
  <c r="H1157" i="10"/>
  <c r="O1157" i="10"/>
  <c r="P1157" i="10" s="1"/>
  <c r="K1156" i="10"/>
  <c r="H1156" i="10"/>
  <c r="O1156" i="10"/>
  <c r="P1156" i="10" s="1"/>
  <c r="K1155" i="10"/>
  <c r="H1155" i="10"/>
  <c r="O1155" i="10"/>
  <c r="P1155" i="10" s="1"/>
  <c r="K1154" i="10"/>
  <c r="H1154" i="10"/>
  <c r="O1154" i="10"/>
  <c r="P1154" i="10" s="1"/>
  <c r="K1153" i="10"/>
  <c r="H1153" i="10"/>
  <c r="L1153" i="10" a="1"/>
  <c r="L1153" i="10" s="1"/>
  <c r="O1153" i="10"/>
  <c r="P1153" i="10" s="1"/>
  <c r="E126" i="12"/>
  <c r="B462" i="20"/>
  <c r="B322" i="20"/>
  <c r="D322" i="20"/>
  <c r="F322" i="20"/>
  <c r="H322" i="20"/>
  <c r="J322" i="20"/>
  <c r="D462" i="20"/>
  <c r="F462" i="20"/>
  <c r="H462" i="20"/>
  <c r="J462" i="20"/>
  <c r="K1152" i="10"/>
  <c r="H1152" i="10"/>
  <c r="O1152" i="10"/>
  <c r="P1152" i="10" s="1"/>
  <c r="E128" i="12"/>
  <c r="B461" i="20"/>
  <c r="B294" i="20"/>
  <c r="B321" i="20"/>
  <c r="D321" i="20"/>
  <c r="F321" i="20"/>
  <c r="H321" i="20"/>
  <c r="J321" i="20"/>
  <c r="D294" i="20"/>
  <c r="F294" i="20"/>
  <c r="H294" i="20"/>
  <c r="J294" i="20"/>
  <c r="D461" i="20"/>
  <c r="F461" i="20"/>
  <c r="H461" i="20"/>
  <c r="J461" i="20"/>
  <c r="K1151" i="10"/>
  <c r="H1151" i="10"/>
  <c r="O1151" i="10"/>
  <c r="P1151" i="10" s="1"/>
  <c r="E130" i="12"/>
  <c r="B460" i="20"/>
  <c r="B293" i="20"/>
  <c r="D293" i="20"/>
  <c r="F293" i="20"/>
  <c r="H293" i="20"/>
  <c r="J293" i="20"/>
  <c r="D460" i="20"/>
  <c r="F460" i="20"/>
  <c r="H460" i="20"/>
  <c r="J460" i="20"/>
  <c r="K1150" i="10"/>
  <c r="H1150" i="10"/>
  <c r="O1150" i="10"/>
  <c r="P1150" i="10" s="1"/>
  <c r="E129" i="12"/>
  <c r="B459" i="20"/>
  <c r="B278" i="20"/>
  <c r="B279" i="20"/>
  <c r="D279" i="20"/>
  <c r="F279" i="20"/>
  <c r="H279" i="20"/>
  <c r="J279" i="20"/>
  <c r="D278" i="20"/>
  <c r="F278" i="20"/>
  <c r="H278" i="20"/>
  <c r="J278" i="20"/>
  <c r="D459" i="20"/>
  <c r="F459" i="20"/>
  <c r="H459" i="20"/>
  <c r="J459" i="20"/>
  <c r="K1149" i="10"/>
  <c r="H1149" i="10"/>
  <c r="O1149" i="10"/>
  <c r="P1149" i="10" s="1"/>
  <c r="E125" i="12"/>
  <c r="B457" i="20"/>
  <c r="B458" i="20"/>
  <c r="B276" i="20"/>
  <c r="B277" i="20"/>
  <c r="J277" i="20"/>
  <c r="H277" i="20"/>
  <c r="F277" i="20"/>
  <c r="D277" i="20"/>
  <c r="J276" i="20"/>
  <c r="H276" i="20"/>
  <c r="F276" i="20"/>
  <c r="D276" i="20"/>
  <c r="J458" i="20"/>
  <c r="H458" i="20"/>
  <c r="F458" i="20"/>
  <c r="D458" i="20"/>
  <c r="J457" i="20"/>
  <c r="H457" i="20"/>
  <c r="F457" i="20"/>
  <c r="D457" i="20"/>
  <c r="K1148" i="10"/>
  <c r="O1148" i="10"/>
  <c r="P1148" i="10" s="1"/>
  <c r="H1148" i="10"/>
  <c r="K1147" i="10"/>
  <c r="O1147" i="10"/>
  <c r="P1147" i="10" s="1"/>
  <c r="H1147" i="10"/>
  <c r="C79" i="30"/>
  <c r="E127" i="12"/>
  <c r="B275" i="20"/>
  <c r="B456" i="20"/>
  <c r="D275" i="20"/>
  <c r="F275" i="20"/>
  <c r="H275" i="20"/>
  <c r="J275" i="20"/>
  <c r="D456" i="20"/>
  <c r="F456" i="20"/>
  <c r="H456" i="20"/>
  <c r="J456" i="20"/>
  <c r="K1146" i="10"/>
  <c r="H1146" i="10"/>
  <c r="O1146" i="10"/>
  <c r="P1146" i="10" s="1"/>
  <c r="K1144" i="10"/>
  <c r="K1145" i="10"/>
  <c r="O1145" i="10"/>
  <c r="P1145" i="10" s="1"/>
  <c r="H1145" i="10"/>
  <c r="O1144" i="10"/>
  <c r="P1144" i="10" s="1"/>
  <c r="H1144" i="10"/>
  <c r="A28" i="30"/>
  <c r="A73" i="30"/>
  <c r="D73" i="30"/>
  <c r="H73" i="30" s="1"/>
  <c r="D28" i="30"/>
  <c r="A57" i="30"/>
  <c r="A72" i="30"/>
  <c r="A32" i="30"/>
  <c r="A17" i="30"/>
  <c r="A75" i="30"/>
  <c r="A74" i="30"/>
  <c r="A23" i="30"/>
  <c r="A69" i="30"/>
  <c r="A29" i="30"/>
  <c r="A43" i="30"/>
  <c r="A42" i="30"/>
  <c r="A46" i="30"/>
  <c r="A21" i="30"/>
  <c r="A63" i="30"/>
  <c r="A54" i="30"/>
  <c r="A52" i="30"/>
  <c r="A7" i="30"/>
  <c r="A53" i="30"/>
  <c r="A55" i="30"/>
  <c r="A50" i="30"/>
  <c r="A27" i="30"/>
  <c r="A58" i="30"/>
  <c r="A71" i="30"/>
  <c r="A24" i="30"/>
  <c r="A60" i="30"/>
  <c r="A67" i="30"/>
  <c r="A20" i="30"/>
  <c r="A39" i="30"/>
  <c r="A62" i="30"/>
  <c r="A61" i="30"/>
  <c r="A18" i="30"/>
  <c r="C36" i="30"/>
  <c r="C25" i="30"/>
  <c r="C41" i="30"/>
  <c r="C66" i="30"/>
  <c r="C45" i="30"/>
  <c r="K1143" i="10"/>
  <c r="H1143" i="10"/>
  <c r="O1143" i="10"/>
  <c r="P1143" i="10" s="1"/>
  <c r="U57" i="1" l="1"/>
  <c r="U32" i="1"/>
  <c r="U54" i="1"/>
  <c r="U59" i="1"/>
  <c r="U20" i="1"/>
  <c r="U4" i="1"/>
  <c r="U5" i="1"/>
  <c r="U70" i="1"/>
  <c r="U83" i="1"/>
  <c r="U8" i="1"/>
  <c r="U56" i="1"/>
  <c r="U61" i="1"/>
  <c r="U111" i="1"/>
  <c r="U67" i="1"/>
  <c r="U73" i="1"/>
  <c r="U84" i="1"/>
  <c r="U3" i="1"/>
  <c r="U80" i="1"/>
  <c r="U40" i="1"/>
  <c r="U19" i="1"/>
  <c r="U79" i="1"/>
  <c r="U115" i="1"/>
  <c r="U68" i="1"/>
  <c r="U74" i="1"/>
  <c r="U98" i="1"/>
  <c r="U10" i="1"/>
  <c r="U33" i="1"/>
  <c r="U42" i="1"/>
  <c r="U37" i="1"/>
  <c r="U58" i="1"/>
  <c r="U123" i="1"/>
  <c r="U18" i="1"/>
  <c r="U69" i="1"/>
  <c r="U103" i="1"/>
  <c r="U78" i="1"/>
  <c r="U36" i="1"/>
  <c r="U82" i="1"/>
  <c r="U81" i="1"/>
  <c r="U17" i="1"/>
  <c r="U21" i="1"/>
  <c r="U13" i="1"/>
  <c r="U77" i="1"/>
  <c r="U27" i="1"/>
  <c r="M46" i="12"/>
  <c r="M131" i="12"/>
  <c r="L1186" i="10" a="1"/>
  <c r="L1186" i="10" s="1"/>
  <c r="L1185" i="10" a="1"/>
  <c r="L1185" i="10" s="1"/>
  <c r="L1184" i="10" a="1"/>
  <c r="L1184" i="10" s="1"/>
  <c r="L1183" i="10" a="1"/>
  <c r="L1183" i="10" s="1"/>
  <c r="L1182" i="10" a="1"/>
  <c r="L1182" i="10" s="1"/>
  <c r="L1180" i="10" a="1"/>
  <c r="L1180" i="10" s="1"/>
  <c r="L1181" i="10" a="1"/>
  <c r="L1181" i="10" s="1"/>
  <c r="L1179" i="10" a="1"/>
  <c r="L1179" i="10" s="1"/>
  <c r="L1178" i="10" a="1"/>
  <c r="L1178" i="10" s="1"/>
  <c r="L1177" i="10" a="1"/>
  <c r="L1177" i="10" s="1"/>
  <c r="L1176" i="10" a="1"/>
  <c r="L1176" i="10" s="1"/>
  <c r="L1175" i="10" a="1"/>
  <c r="L1175" i="10" s="1"/>
  <c r="L1174" i="10" a="1"/>
  <c r="L1174" i="10" s="1"/>
  <c r="L1173" i="10" a="1"/>
  <c r="L1173" i="10" s="1"/>
  <c r="L1172" i="10" a="1"/>
  <c r="L1172" i="10" s="1"/>
  <c r="L1171" i="10" a="1"/>
  <c r="L1171" i="10" s="1"/>
  <c r="L1170" i="10" a="1"/>
  <c r="L1170" i="10" s="1"/>
  <c r="L1169" i="10" a="1"/>
  <c r="L1169" i="10" s="1"/>
  <c r="L1168" i="10" a="1"/>
  <c r="L1168" i="10" s="1"/>
  <c r="L1167" i="10" a="1"/>
  <c r="L1167" i="10" s="1"/>
  <c r="L1166" i="10" a="1"/>
  <c r="L1166" i="10" s="1"/>
  <c r="L1165" i="10" a="1"/>
  <c r="L1165" i="10" s="1"/>
  <c r="L1164" i="10" a="1"/>
  <c r="L1164" i="10" s="1"/>
  <c r="L1163" i="10" a="1"/>
  <c r="L1163" i="10" s="1"/>
  <c r="L1162" i="10" a="1"/>
  <c r="L1162" i="10" s="1"/>
  <c r="L1161" i="10" a="1"/>
  <c r="L1161" i="10" s="1"/>
  <c r="L1160" i="10" a="1"/>
  <c r="L1160" i="10" s="1"/>
  <c r="L1158" i="10" a="1"/>
  <c r="L1158" i="10" s="1"/>
  <c r="L1155" i="10" a="1"/>
  <c r="L1155" i="10" s="1"/>
  <c r="L1159" i="10" a="1"/>
  <c r="L1159" i="10" s="1"/>
  <c r="L1156" i="10" a="1"/>
  <c r="L1156" i="10" s="1"/>
  <c r="L1157" i="10" a="1"/>
  <c r="L1157" i="10" s="1"/>
  <c r="L1154" i="10" a="1"/>
  <c r="L1154" i="10" s="1"/>
  <c r="L1152" i="10" a="1"/>
  <c r="L1152" i="10" s="1"/>
  <c r="M126" i="12"/>
  <c r="L1151" i="10" a="1"/>
  <c r="L1151" i="10" s="1"/>
  <c r="M128" i="12"/>
  <c r="L1150" i="10" a="1"/>
  <c r="L1150" i="10" s="1"/>
  <c r="M130" i="12"/>
  <c r="L1149" i="10" a="1"/>
  <c r="L1149" i="10" s="1"/>
  <c r="M129" i="12"/>
  <c r="L1147" i="10" a="1"/>
  <c r="L1147" i="10" s="1"/>
  <c r="L1148" i="10" a="1"/>
  <c r="L1148" i="10" s="1"/>
  <c r="L1146" i="10" a="1"/>
  <c r="L1146" i="10" s="1"/>
  <c r="M127" i="12"/>
  <c r="E28" i="30"/>
  <c r="H28" i="30"/>
  <c r="I28" i="30"/>
  <c r="E73" i="30"/>
  <c r="I73" i="30"/>
  <c r="C14" i="30"/>
  <c r="D43" i="30"/>
  <c r="I43" i="30" s="1"/>
  <c r="D54" i="30"/>
  <c r="E54" i="30" s="1"/>
  <c r="D19" i="30"/>
  <c r="E19" i="30" s="1"/>
  <c r="D52" i="30"/>
  <c r="E52" i="30" s="1"/>
  <c r="D46" i="30"/>
  <c r="E46" i="30" s="1"/>
  <c r="D20" i="30"/>
  <c r="I20" i="30" s="1"/>
  <c r="D7" i="30"/>
  <c r="I7" i="30" s="1"/>
  <c r="D33" i="30"/>
  <c r="I33" i="30" s="1"/>
  <c r="D67" i="30"/>
  <c r="E67" i="30" s="1"/>
  <c r="D57" i="30"/>
  <c r="E57" i="30" s="1"/>
  <c r="D72" i="30"/>
  <c r="E72" i="30" s="1"/>
  <c r="D32" i="30"/>
  <c r="E32" i="30" s="1"/>
  <c r="D9" i="30"/>
  <c r="E9" i="30" s="1"/>
  <c r="D53" i="30"/>
  <c r="I53" i="30" s="1"/>
  <c r="D58" i="30"/>
  <c r="I58" i="30" s="1"/>
  <c r="D39" i="30"/>
  <c r="I39" i="30" s="1"/>
  <c r="D17" i="30"/>
  <c r="E17" i="30" s="1"/>
  <c r="D18" i="30"/>
  <c r="E18" i="30" s="1"/>
  <c r="D75" i="30"/>
  <c r="E75" i="30" s="1"/>
  <c r="D74" i="30"/>
  <c r="E74" i="30" s="1"/>
  <c r="D23" i="30"/>
  <c r="E23" i="30" s="1"/>
  <c r="D65" i="30"/>
  <c r="I65" i="30" s="1"/>
  <c r="D21" i="30"/>
  <c r="I21" i="30" s="1"/>
  <c r="D27" i="30"/>
  <c r="I27" i="30" s="1"/>
  <c r="D70" i="30"/>
  <c r="E70" i="30" s="1"/>
  <c r="D3" i="30"/>
  <c r="E3" i="30" s="1"/>
  <c r="D71" i="30"/>
  <c r="E71" i="30" s="1"/>
  <c r="D13" i="30"/>
  <c r="E13" i="30" s="1"/>
  <c r="D63" i="30"/>
  <c r="I63" i="30" s="1"/>
  <c r="D12" i="30"/>
  <c r="I12" i="30" s="1"/>
  <c r="D55" i="30"/>
  <c r="I55" i="30" s="1"/>
  <c r="D50" i="30"/>
  <c r="E50" i="30" s="1"/>
  <c r="D62" i="30"/>
  <c r="E62" i="30" s="1"/>
  <c r="D69" i="30"/>
  <c r="E69" i="30" s="1"/>
  <c r="D60" i="30"/>
  <c r="I60" i="30" s="1"/>
  <c r="D29" i="30"/>
  <c r="I29" i="30" s="1"/>
  <c r="D42" i="30"/>
  <c r="I42" i="30" s="1"/>
  <c r="D48" i="30"/>
  <c r="E48" i="30" s="1"/>
  <c r="D51" i="30"/>
  <c r="E51" i="30" s="1"/>
  <c r="D8" i="30"/>
  <c r="E8" i="30" s="1"/>
  <c r="D61" i="30"/>
  <c r="I61" i="30" s="1"/>
  <c r="D24" i="30"/>
  <c r="I24" i="30" s="1"/>
  <c r="E14" i="30"/>
  <c r="D56" i="30"/>
  <c r="E56" i="30" s="1"/>
  <c r="K1142" i="10"/>
  <c r="H1142" i="10"/>
  <c r="O1142" i="10"/>
  <c r="P1142" i="10" s="1"/>
  <c r="H1141" i="10"/>
  <c r="O1141" i="10"/>
  <c r="P1141" i="10" s="1"/>
  <c r="K1140" i="10"/>
  <c r="K1100" i="10"/>
  <c r="H1140" i="10"/>
  <c r="O1140" i="10"/>
  <c r="P1140" i="10" s="1"/>
  <c r="K1139" i="10"/>
  <c r="H1139" i="10"/>
  <c r="O1139" i="10"/>
  <c r="P1139" i="10" s="1"/>
  <c r="K1138" i="10"/>
  <c r="H1138" i="10"/>
  <c r="O1138" i="10"/>
  <c r="P1138" i="10" s="1"/>
  <c r="K1137" i="10"/>
  <c r="H1137" i="10"/>
  <c r="O1137" i="10"/>
  <c r="P1137" i="10" s="1"/>
  <c r="K1136" i="10"/>
  <c r="H1136" i="10"/>
  <c r="O1136" i="10"/>
  <c r="P1136" i="10" s="1"/>
  <c r="K1135" i="10"/>
  <c r="H1135" i="10"/>
  <c r="O1135" i="10"/>
  <c r="P1135" i="10" s="1"/>
  <c r="K1134" i="10"/>
  <c r="K1098" i="10"/>
  <c r="H1134" i="10"/>
  <c r="O1134" i="10"/>
  <c r="P1134" i="10" s="1"/>
  <c r="K1133" i="10"/>
  <c r="H1133" i="10"/>
  <c r="O1133" i="10"/>
  <c r="P1133" i="10" s="1"/>
  <c r="K1132" i="10"/>
  <c r="H1132" i="10"/>
  <c r="O1132" i="10"/>
  <c r="P1132" i="10" s="1"/>
  <c r="K1131" i="10"/>
  <c r="H1131" i="10"/>
  <c r="O1131" i="10"/>
  <c r="P1131" i="10" s="1"/>
  <c r="K1130" i="10"/>
  <c r="H1130" i="10"/>
  <c r="O1130" i="10"/>
  <c r="P1130" i="10" s="1"/>
  <c r="M125" i="12" l="1"/>
  <c r="L1144" i="10" a="1"/>
  <c r="L1144" i="10" s="1"/>
  <c r="L1145" i="10" a="1"/>
  <c r="L1145" i="10" s="1"/>
  <c r="L1143" i="10" a="1"/>
  <c r="L1143" i="10" s="1"/>
  <c r="E33" i="30"/>
  <c r="E43" i="30"/>
  <c r="E24" i="30"/>
  <c r="I69" i="30"/>
  <c r="E42" i="30"/>
  <c r="I13" i="30"/>
  <c r="E55" i="30"/>
  <c r="I23" i="30"/>
  <c r="E27" i="30"/>
  <c r="I9" i="30"/>
  <c r="E39" i="30"/>
  <c r="E29" i="30"/>
  <c r="E12" i="30"/>
  <c r="E21" i="30"/>
  <c r="E58" i="30"/>
  <c r="E7" i="30"/>
  <c r="I56" i="30"/>
  <c r="I62" i="30"/>
  <c r="I71" i="30"/>
  <c r="I74" i="30"/>
  <c r="I32" i="30"/>
  <c r="I46" i="30"/>
  <c r="E61" i="30"/>
  <c r="E60" i="30"/>
  <c r="E63" i="30"/>
  <c r="E65" i="30"/>
  <c r="E53" i="30"/>
  <c r="E20" i="30"/>
  <c r="I14" i="30"/>
  <c r="I8" i="30"/>
  <c r="I3" i="30"/>
  <c r="I75" i="30"/>
  <c r="I72" i="30"/>
  <c r="I52" i="30"/>
  <c r="I51" i="30"/>
  <c r="I70" i="30"/>
  <c r="I18" i="30"/>
  <c r="I57" i="30"/>
  <c r="I19" i="30"/>
  <c r="I48" i="30"/>
  <c r="I50" i="30"/>
  <c r="I17" i="30"/>
  <c r="I67" i="30"/>
  <c r="I54" i="30"/>
  <c r="L1142" i="10" a="1"/>
  <c r="L1142" i="10" s="1"/>
  <c r="K1129" i="10"/>
  <c r="K1102" i="10"/>
  <c r="C56" i="30"/>
  <c r="C43" i="30"/>
  <c r="C54" i="30"/>
  <c r="AQ6" i="1"/>
  <c r="AQ7" i="1"/>
  <c r="C19" i="30"/>
  <c r="AQ9" i="1"/>
  <c r="C52" i="30"/>
  <c r="AQ11" i="1"/>
  <c r="AQ12" i="1"/>
  <c r="C46" i="30"/>
  <c r="C20" i="30"/>
  <c r="AQ16" i="1"/>
  <c r="C7" i="30"/>
  <c r="C33" i="30"/>
  <c r="C67" i="30"/>
  <c r="C57" i="30"/>
  <c r="C72" i="30"/>
  <c r="AQ22" i="1"/>
  <c r="AQ23" i="1"/>
  <c r="C32" i="30"/>
  <c r="AQ25" i="1"/>
  <c r="AQ26" i="1"/>
  <c r="C9" i="30"/>
  <c r="AQ28" i="1"/>
  <c r="AQ29" i="1"/>
  <c r="AQ30" i="1"/>
  <c r="AQ31" i="1"/>
  <c r="C53" i="30"/>
  <c r="C58" i="30"/>
  <c r="AQ34" i="1"/>
  <c r="AQ35" i="1"/>
  <c r="C39" i="30"/>
  <c r="C17" i="30"/>
  <c r="AQ38" i="1"/>
  <c r="AQ39" i="1"/>
  <c r="C18" i="30"/>
  <c r="AQ41" i="1"/>
  <c r="C75" i="30"/>
  <c r="AQ43" i="1"/>
  <c r="AQ44" i="1"/>
  <c r="AQ45" i="1"/>
  <c r="C74" i="30"/>
  <c r="AQ47" i="1"/>
  <c r="AQ48" i="1"/>
  <c r="AQ49" i="1"/>
  <c r="AQ50" i="1"/>
  <c r="AQ51" i="1"/>
  <c r="AQ52" i="1"/>
  <c r="AQ53" i="1"/>
  <c r="C23" i="30"/>
  <c r="AQ55" i="1"/>
  <c r="C65" i="30"/>
  <c r="C21" i="30"/>
  <c r="C27" i="30"/>
  <c r="C28" i="30"/>
  <c r="AQ60" i="1"/>
  <c r="C70" i="30"/>
  <c r="AQ62" i="1"/>
  <c r="AQ63" i="1"/>
  <c r="AQ64" i="1"/>
  <c r="AQ65" i="1"/>
  <c r="C3" i="30"/>
  <c r="C71" i="30"/>
  <c r="C13" i="30"/>
  <c r="C63" i="30"/>
  <c r="C12" i="30"/>
  <c r="AQ71" i="1"/>
  <c r="AQ72" i="1"/>
  <c r="C55" i="30"/>
  <c r="C50" i="30"/>
  <c r="C62" i="30"/>
  <c r="C69" i="30"/>
  <c r="C60" i="30"/>
  <c r="C29" i="30"/>
  <c r="C42" i="30"/>
  <c r="C48" i="30"/>
  <c r="C51" i="30"/>
  <c r="C8" i="30"/>
  <c r="AQ85" i="1"/>
  <c r="AQ86" i="1"/>
  <c r="AQ87" i="1"/>
  <c r="AQ88" i="1"/>
  <c r="AQ89" i="1"/>
  <c r="AQ90" i="1"/>
  <c r="AQ91" i="1"/>
  <c r="AQ92" i="1"/>
  <c r="AQ93" i="1"/>
  <c r="AQ94" i="1"/>
  <c r="AQ95" i="1"/>
  <c r="AQ96" i="1"/>
  <c r="AQ97" i="1"/>
  <c r="AQ99" i="1"/>
  <c r="AQ100" i="1"/>
  <c r="AQ101" i="1"/>
  <c r="AQ102" i="1"/>
  <c r="AQ104" i="1"/>
  <c r="AQ105" i="1"/>
  <c r="AQ106" i="1"/>
  <c r="C61" i="30"/>
  <c r="AQ108" i="1"/>
  <c r="AQ109" i="1"/>
  <c r="AQ110" i="1"/>
  <c r="AQ112" i="1"/>
  <c r="AQ113" i="1"/>
  <c r="AQ114" i="1"/>
  <c r="C24" i="30"/>
  <c r="H1129" i="10"/>
  <c r="O1129" i="10"/>
  <c r="P1129" i="10" s="1"/>
  <c r="K1128" i="10"/>
  <c r="H1128" i="10"/>
  <c r="O1128" i="10"/>
  <c r="P1128" i="10" s="1"/>
  <c r="K1127" i="10"/>
  <c r="H1127" i="10"/>
  <c r="O1127" i="10"/>
  <c r="P1127" i="10" s="1"/>
  <c r="K1126" i="10"/>
  <c r="H1126" i="10"/>
  <c r="O1126" i="10"/>
  <c r="P1126" i="10" s="1"/>
  <c r="K1125" i="10"/>
  <c r="H1125" i="10"/>
  <c r="O1125" i="10"/>
  <c r="P1125" i="10" s="1"/>
  <c r="K1124" i="10"/>
  <c r="H1124" i="10"/>
  <c r="O1124" i="10"/>
  <c r="P1124" i="10" s="1"/>
  <c r="K1123" i="10"/>
  <c r="H1123" i="10"/>
  <c r="O1123" i="10"/>
  <c r="P1123" i="10" s="1"/>
  <c r="K1122" i="10"/>
  <c r="H1122" i="10"/>
  <c r="O1122" i="10"/>
  <c r="P1122" i="10" s="1"/>
  <c r="K1121" i="10"/>
  <c r="H1121" i="10"/>
  <c r="O1121" i="10"/>
  <c r="P1121" i="10" s="1"/>
  <c r="K1120" i="10"/>
  <c r="H1120" i="10"/>
  <c r="O1120" i="10"/>
  <c r="P1120" i="10" s="1"/>
  <c r="K1119" i="10"/>
  <c r="H1119" i="10"/>
  <c r="O1119" i="10"/>
  <c r="P1119" i="10" s="1"/>
  <c r="K1118" i="10"/>
  <c r="H1118" i="10"/>
  <c r="O1118" i="10"/>
  <c r="P1118" i="10" s="1"/>
  <c r="K1117" i="10"/>
  <c r="H1117" i="10"/>
  <c r="O1117" i="10"/>
  <c r="P1117" i="10" s="1"/>
  <c r="K1116" i="10"/>
  <c r="H1116" i="10"/>
  <c r="O1116" i="10"/>
  <c r="P1116" i="10" s="1"/>
  <c r="K1115" i="10"/>
  <c r="H1115" i="10"/>
  <c r="O1115" i="10"/>
  <c r="P1115" i="10" s="1"/>
  <c r="K1114" i="10"/>
  <c r="H1114" i="10"/>
  <c r="O1114" i="10"/>
  <c r="P1114" i="10" s="1"/>
  <c r="K1113" i="10"/>
  <c r="H1113" i="10"/>
  <c r="O1113" i="10"/>
  <c r="P1113" i="10" s="1"/>
  <c r="K1112" i="10"/>
  <c r="H1112" i="10"/>
  <c r="O1112" i="10"/>
  <c r="P1112" i="10" s="1"/>
  <c r="K1111" i="10"/>
  <c r="H1111" i="10"/>
  <c r="O1111" i="10"/>
  <c r="P1111" i="10" s="1"/>
  <c r="E6" i="12"/>
  <c r="B274" i="20"/>
  <c r="B273" i="20"/>
  <c r="B455" i="20"/>
  <c r="B454" i="20"/>
  <c r="D455" i="20"/>
  <c r="D273" i="20"/>
  <c r="D274" i="20"/>
  <c r="F455" i="20"/>
  <c r="F273" i="20"/>
  <c r="F274" i="20"/>
  <c r="H455" i="20"/>
  <c r="H273" i="20"/>
  <c r="H274" i="20"/>
  <c r="J455" i="20"/>
  <c r="J273" i="20"/>
  <c r="J274" i="20"/>
  <c r="D454" i="20"/>
  <c r="F454" i="20"/>
  <c r="H454" i="20"/>
  <c r="J454" i="20"/>
  <c r="K1110" i="10"/>
  <c r="H1110" i="10"/>
  <c r="O1110" i="10"/>
  <c r="P1110" i="10" s="1"/>
  <c r="K1109" i="10"/>
  <c r="H1109" i="10"/>
  <c r="O1109" i="10"/>
  <c r="P1109" i="10" s="1"/>
  <c r="K1101" i="10"/>
  <c r="K1085" i="10"/>
  <c r="K920" i="10"/>
  <c r="H23" i="28"/>
  <c r="O1101" i="10"/>
  <c r="P1101" i="10" s="1"/>
  <c r="H1101" i="10"/>
  <c r="O1085" i="10"/>
  <c r="P1085" i="10" s="1"/>
  <c r="H1085" i="10"/>
  <c r="O920" i="10"/>
  <c r="P920" i="10" s="1"/>
  <c r="H920" i="10"/>
  <c r="O1100" i="10"/>
  <c r="P1100" i="10" s="1"/>
  <c r="H1100" i="10"/>
  <c r="O922" i="10"/>
  <c r="P922" i="10" s="1"/>
  <c r="H922" i="10"/>
  <c r="C73" i="30" l="1"/>
  <c r="C92" i="30"/>
  <c r="C91" i="30"/>
  <c r="C90" i="30"/>
  <c r="C89" i="30"/>
  <c r="C88" i="30"/>
  <c r="C87" i="30"/>
  <c r="C86" i="30"/>
  <c r="C85" i="30"/>
  <c r="C84" i="30"/>
  <c r="C83" i="30"/>
  <c r="C82" i="30"/>
  <c r="C81" i="30"/>
  <c r="C80" i="30"/>
  <c r="C15" i="30"/>
  <c r="C37" i="30"/>
  <c r="C68" i="30"/>
  <c r="C30" i="30"/>
  <c r="C40" i="30"/>
  <c r="C78" i="30"/>
  <c r="C64" i="30"/>
  <c r="C59" i="30"/>
  <c r="C35" i="30"/>
  <c r="C16" i="30"/>
  <c r="C44" i="30"/>
  <c r="C11" i="30"/>
  <c r="C22" i="30"/>
  <c r="C6" i="30"/>
  <c r="C77" i="30"/>
  <c r="C38" i="30"/>
  <c r="C76" i="30"/>
  <c r="C31" i="30"/>
  <c r="C4" i="30"/>
  <c r="C49" i="30"/>
  <c r="L1141" i="10" a="1"/>
  <c r="L1141" i="10" s="1"/>
  <c r="L1140" i="10" a="1"/>
  <c r="L1140" i="10" s="1"/>
  <c r="L1139" i="10" a="1"/>
  <c r="L1139" i="10" s="1"/>
  <c r="L1138" i="10" a="1"/>
  <c r="L1138" i="10" s="1"/>
  <c r="L1137" i="10" a="1"/>
  <c r="L1137" i="10" s="1"/>
  <c r="L1136" i="10" a="1"/>
  <c r="L1136" i="10" s="1"/>
  <c r="L1135" i="10" a="1"/>
  <c r="L1135" i="10" s="1"/>
  <c r="L1134" i="10" a="1"/>
  <c r="L1134" i="10" s="1"/>
  <c r="L1132" i="10" a="1"/>
  <c r="L1132" i="10" s="1"/>
  <c r="L1133" i="10" a="1"/>
  <c r="L1133" i="10" s="1"/>
  <c r="L1131" i="10" a="1"/>
  <c r="L1131" i="10" s="1"/>
  <c r="L1130" i="10" a="1"/>
  <c r="L1130" i="10" s="1"/>
  <c r="L1129" i="10" a="1"/>
  <c r="L1129" i="10" s="1"/>
  <c r="L1128" i="10" a="1"/>
  <c r="L1128" i="10" s="1"/>
  <c r="L1127" i="10" a="1"/>
  <c r="L1127" i="10" s="1"/>
  <c r="L1126" i="10" a="1"/>
  <c r="L1126" i="10" s="1"/>
  <c r="L1125" i="10" a="1"/>
  <c r="L1125" i="10" s="1"/>
  <c r="L1124" i="10" a="1"/>
  <c r="L1124" i="10" s="1"/>
  <c r="L1123" i="10" a="1"/>
  <c r="L1123" i="10" s="1"/>
  <c r="L1122" i="10" a="1"/>
  <c r="L1122" i="10" s="1"/>
  <c r="L1121" i="10" a="1"/>
  <c r="L1121" i="10" s="1"/>
  <c r="L1120" i="10" a="1"/>
  <c r="L1120" i="10" s="1"/>
  <c r="L1119" i="10" a="1"/>
  <c r="L1119" i="10" s="1"/>
  <c r="L1118" i="10" a="1"/>
  <c r="L1118" i="10" s="1"/>
  <c r="L1117" i="10" a="1"/>
  <c r="L1117" i="10" s="1"/>
  <c r="L1116" i="10" a="1"/>
  <c r="L1116" i="10" s="1"/>
  <c r="L1115" i="10" a="1"/>
  <c r="L1115" i="10" s="1"/>
  <c r="L1114" i="10" a="1"/>
  <c r="L1114" i="10" s="1"/>
  <c r="L1112" i="10" a="1"/>
  <c r="L1112" i="10" s="1"/>
  <c r="L1113" i="10" a="1"/>
  <c r="L1113" i="10" s="1"/>
  <c r="L1111" i="10" a="1"/>
  <c r="L1111" i="10" s="1"/>
  <c r="L1110" i="10" a="1"/>
  <c r="L1110" i="10" s="1"/>
  <c r="M6" i="12"/>
  <c r="O1099" i="10"/>
  <c r="P1099" i="10" s="1"/>
  <c r="H1099" i="10"/>
  <c r="H1098" i="10"/>
  <c r="O1098" i="10"/>
  <c r="P1098" i="10" s="1"/>
  <c r="H1102" i="10"/>
  <c r="O1102" i="10"/>
  <c r="P1102" i="10" s="1"/>
  <c r="K1108" i="10"/>
  <c r="H1108" i="10"/>
  <c r="O1108" i="10"/>
  <c r="P1108" i="10" s="1"/>
  <c r="K1107" i="10"/>
  <c r="O1107" i="10"/>
  <c r="P1107" i="10" s="1"/>
  <c r="L1107" i="10" a="1"/>
  <c r="L1107" i="10" s="1"/>
  <c r="H1107" i="10"/>
  <c r="L1106" i="10" a="1"/>
  <c r="L1106" i="10" s="1"/>
  <c r="K1106" i="10"/>
  <c r="O1106" i="10"/>
  <c r="P1106" i="10" s="1"/>
  <c r="H1106" i="10"/>
  <c r="AL3" i="29"/>
  <c r="AF3" i="29"/>
  <c r="Q3" i="29"/>
  <c r="P3" i="29"/>
  <c r="AN1" i="29"/>
  <c r="E117" i="12"/>
  <c r="K1082" i="10"/>
  <c r="K1084" i="10"/>
  <c r="K1096" i="10"/>
  <c r="K1097" i="10"/>
  <c r="K1105" i="10"/>
  <c r="K1095" i="10"/>
  <c r="J30" i="28"/>
  <c r="J31" i="28"/>
  <c r="J32" i="28"/>
  <c r="J33" i="28"/>
  <c r="J34" i="28"/>
  <c r="J35" i="28"/>
  <c r="J36" i="28"/>
  <c r="J37" i="28"/>
  <c r="J38" i="28"/>
  <c r="J39" i="28"/>
  <c r="J40" i="28"/>
  <c r="J29" i="28"/>
  <c r="J21" i="28"/>
  <c r="J22" i="28"/>
  <c r="J6" i="28"/>
  <c r="J7" i="28"/>
  <c r="J8" i="28"/>
  <c r="J9" i="28"/>
  <c r="J10" i="28"/>
  <c r="J11" i="28"/>
  <c r="J12" i="28"/>
  <c r="J13" i="28"/>
  <c r="J14" i="28"/>
  <c r="J15" i="28"/>
  <c r="J16" i="28"/>
  <c r="J17" i="28"/>
  <c r="J18" i="28"/>
  <c r="J19" i="28"/>
  <c r="J20" i="28"/>
  <c r="J5" i="28"/>
  <c r="K1088" i="10"/>
  <c r="K1089" i="10"/>
  <c r="K1090" i="10"/>
  <c r="K1091" i="10"/>
  <c r="K1092" i="10"/>
  <c r="K1093" i="10"/>
  <c r="K1094" i="10"/>
  <c r="K1081" i="10"/>
  <c r="K1104" i="10"/>
  <c r="K1063" i="10"/>
  <c r="K1083" i="10"/>
  <c r="H1081" i="10"/>
  <c r="H1104" i="10"/>
  <c r="H1063" i="10"/>
  <c r="H1083" i="10"/>
  <c r="H1105" i="10"/>
  <c r="H1095" i="10"/>
  <c r="H1096" i="10"/>
  <c r="H1097" i="10"/>
  <c r="H1082" i="10"/>
  <c r="H1084" i="10"/>
  <c r="O1081" i="10"/>
  <c r="P1081" i="10" s="1"/>
  <c r="O1104" i="10"/>
  <c r="P1104" i="10" s="1"/>
  <c r="O1063" i="10"/>
  <c r="P1063" i="10" s="1"/>
  <c r="O1083" i="10"/>
  <c r="P1083" i="10" s="1"/>
  <c r="O1105" i="10"/>
  <c r="P1105" i="10" s="1"/>
  <c r="O1095" i="10"/>
  <c r="P1095" i="10" s="1"/>
  <c r="O1096" i="10"/>
  <c r="P1096" i="10" s="1"/>
  <c r="O1097" i="10"/>
  <c r="P1097" i="10" s="1"/>
  <c r="O1082" i="10"/>
  <c r="P1082" i="10" s="1"/>
  <c r="O1084" i="10"/>
  <c r="P1084" i="10" s="1"/>
  <c r="K1087" i="10"/>
  <c r="H1087" i="10"/>
  <c r="H1088" i="10"/>
  <c r="H1089" i="10"/>
  <c r="H1090" i="10"/>
  <c r="H1091" i="10"/>
  <c r="H1092" i="10"/>
  <c r="H1093" i="10"/>
  <c r="H1094" i="10"/>
  <c r="O1087" i="10"/>
  <c r="P1087" i="10" s="1"/>
  <c r="O1088" i="10"/>
  <c r="P1088" i="10" s="1"/>
  <c r="O1089" i="10"/>
  <c r="P1089" i="10" s="1"/>
  <c r="O1090" i="10"/>
  <c r="P1090" i="10" s="1"/>
  <c r="O1091" i="10"/>
  <c r="P1091" i="10" s="1"/>
  <c r="O1092" i="10"/>
  <c r="P1092" i="10" s="1"/>
  <c r="O1093" i="10"/>
  <c r="P1093" i="10" s="1"/>
  <c r="O1094" i="10"/>
  <c r="P1094" i="10" s="1"/>
  <c r="K1103" i="10"/>
  <c r="H1103" i="10"/>
  <c r="O1103" i="10"/>
  <c r="P1103" i="10" s="1"/>
  <c r="E82" i="12"/>
  <c r="B70" i="27"/>
  <c r="D70" i="27"/>
  <c r="E70" i="27" s="1"/>
  <c r="B453" i="20"/>
  <c r="B269" i="20"/>
  <c r="B270" i="20"/>
  <c r="D270" i="20"/>
  <c r="F270" i="20"/>
  <c r="H270" i="20"/>
  <c r="J270" i="20"/>
  <c r="D269" i="20"/>
  <c r="F269" i="20"/>
  <c r="H269" i="20"/>
  <c r="J269" i="20"/>
  <c r="D453" i="20"/>
  <c r="F453" i="20"/>
  <c r="H453" i="20"/>
  <c r="J453" i="20"/>
  <c r="K1062" i="10"/>
  <c r="H1062" i="10"/>
  <c r="O1062" i="10"/>
  <c r="P1062" i="10" s="1"/>
  <c r="E45" i="12"/>
  <c r="B69" i="27"/>
  <c r="D69" i="27"/>
  <c r="E69" i="27" s="1"/>
  <c r="B452" i="20"/>
  <c r="B267" i="20"/>
  <c r="B268" i="20"/>
  <c r="D267" i="20"/>
  <c r="D268" i="20"/>
  <c r="F267" i="20"/>
  <c r="F268" i="20"/>
  <c r="H267" i="20"/>
  <c r="H268" i="20"/>
  <c r="J267" i="20"/>
  <c r="J268" i="20"/>
  <c r="D452" i="20"/>
  <c r="F452" i="20"/>
  <c r="H452" i="20"/>
  <c r="J452" i="20"/>
  <c r="K1086" i="10"/>
  <c r="H1086" i="10"/>
  <c r="O1086" i="10"/>
  <c r="P1086" i="10" s="1"/>
  <c r="E15" i="12"/>
  <c r="B450" i="20"/>
  <c r="B451" i="20"/>
  <c r="B265" i="20"/>
  <c r="B266" i="20"/>
  <c r="D451" i="20"/>
  <c r="D265" i="20"/>
  <c r="D266" i="20"/>
  <c r="F451" i="20"/>
  <c r="F265" i="20"/>
  <c r="F266" i="20"/>
  <c r="H451" i="20"/>
  <c r="H265" i="20"/>
  <c r="H266" i="20"/>
  <c r="J451" i="20"/>
  <c r="J265" i="20"/>
  <c r="J266" i="20"/>
  <c r="D450" i="20"/>
  <c r="F450" i="20"/>
  <c r="H450" i="20"/>
  <c r="J450" i="20"/>
  <c r="K1080" i="10"/>
  <c r="H1080" i="10"/>
  <c r="O1080" i="10"/>
  <c r="P1080" i="10" s="1"/>
  <c r="E118" i="12"/>
  <c r="B68" i="27"/>
  <c r="D68" i="27"/>
  <c r="E68" i="27" s="1"/>
  <c r="D67" i="27"/>
  <c r="E67" i="27" s="1"/>
  <c r="B67" i="27"/>
  <c r="B66" i="27"/>
  <c r="D66" i="27"/>
  <c r="E66" i="27" s="1"/>
  <c r="B65" i="27"/>
  <c r="D65" i="27"/>
  <c r="E65" i="27" s="1"/>
  <c r="B3" i="27"/>
  <c r="B4" i="27"/>
  <c r="B5" i="27"/>
  <c r="B6" i="27"/>
  <c r="B7" i="27"/>
  <c r="B8" i="27"/>
  <c r="B9" i="27"/>
  <c r="B10" i="27"/>
  <c r="B11" i="27"/>
  <c r="B12" i="27"/>
  <c r="B13" i="27"/>
  <c r="B14" i="27"/>
  <c r="B15" i="27"/>
  <c r="B16" i="27"/>
  <c r="B17" i="27"/>
  <c r="B18" i="27"/>
  <c r="B19" i="27"/>
  <c r="B20" i="27"/>
  <c r="B21" i="27"/>
  <c r="B22" i="27"/>
  <c r="B23" i="27"/>
  <c r="B24" i="27"/>
  <c r="B25" i="27"/>
  <c r="B26" i="27"/>
  <c r="B27" i="27"/>
  <c r="B28" i="27"/>
  <c r="B29" i="27"/>
  <c r="B30" i="27"/>
  <c r="B31" i="27"/>
  <c r="B32" i="27"/>
  <c r="B33" i="27"/>
  <c r="B34" i="27"/>
  <c r="B35" i="27"/>
  <c r="B36" i="27"/>
  <c r="B37"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B64" i="27"/>
  <c r="B2" i="27"/>
  <c r="D2" i="27"/>
  <c r="E2" i="27" s="1"/>
  <c r="D3" i="27"/>
  <c r="E3" i="27" s="1"/>
  <c r="D4" i="27"/>
  <c r="E4" i="27" s="1"/>
  <c r="D5" i="27"/>
  <c r="E5" i="27" s="1"/>
  <c r="D6" i="27"/>
  <c r="E6" i="27" s="1"/>
  <c r="D7" i="27"/>
  <c r="E7" i="27" s="1"/>
  <c r="D8" i="27"/>
  <c r="E8" i="27" s="1"/>
  <c r="D9" i="27"/>
  <c r="E9" i="27" s="1"/>
  <c r="D10" i="27"/>
  <c r="E10" i="27" s="1"/>
  <c r="D11" i="27"/>
  <c r="E11" i="27" s="1"/>
  <c r="D12" i="27"/>
  <c r="E12" i="27" s="1"/>
  <c r="D13" i="27"/>
  <c r="E13" i="27" s="1"/>
  <c r="D14" i="27"/>
  <c r="E14" i="27" s="1"/>
  <c r="D15" i="27"/>
  <c r="E15" i="27" s="1"/>
  <c r="D16" i="27"/>
  <c r="E16" i="27" s="1"/>
  <c r="D17" i="27"/>
  <c r="E17" i="27" s="1"/>
  <c r="D18" i="27"/>
  <c r="E18" i="27" s="1"/>
  <c r="D19" i="27"/>
  <c r="E19" i="27" s="1"/>
  <c r="D20" i="27"/>
  <c r="E20" i="27" s="1"/>
  <c r="D21" i="27"/>
  <c r="E21" i="27" s="1"/>
  <c r="D22" i="27"/>
  <c r="E22" i="27" s="1"/>
  <c r="D23" i="27"/>
  <c r="E23" i="27" s="1"/>
  <c r="D24" i="27"/>
  <c r="E24" i="27" s="1"/>
  <c r="D25" i="27"/>
  <c r="E25" i="27" s="1"/>
  <c r="D26" i="27"/>
  <c r="E26" i="27" s="1"/>
  <c r="D27" i="27"/>
  <c r="E27" i="27" s="1"/>
  <c r="D28" i="27"/>
  <c r="E28" i="27" s="1"/>
  <c r="D29" i="27"/>
  <c r="E29" i="27" s="1"/>
  <c r="D30" i="27"/>
  <c r="E30" i="27" s="1"/>
  <c r="D31" i="27"/>
  <c r="E31" i="27" s="1"/>
  <c r="D32" i="27"/>
  <c r="E32" i="27" s="1"/>
  <c r="D33" i="27"/>
  <c r="E33" i="27" s="1"/>
  <c r="D34" i="27"/>
  <c r="E34" i="27" s="1"/>
  <c r="D35" i="27"/>
  <c r="E35" i="27" s="1"/>
  <c r="D36" i="27"/>
  <c r="E36" i="27" s="1"/>
  <c r="D37" i="27"/>
  <c r="E37" i="27" s="1"/>
  <c r="D38" i="27"/>
  <c r="E38" i="27" s="1"/>
  <c r="D39" i="27"/>
  <c r="E39" i="27" s="1"/>
  <c r="D40" i="27"/>
  <c r="E40" i="27" s="1"/>
  <c r="D41" i="27"/>
  <c r="E41" i="27" s="1"/>
  <c r="D42" i="27"/>
  <c r="E42" i="27" s="1"/>
  <c r="D43" i="27"/>
  <c r="E43" i="27" s="1"/>
  <c r="D44" i="27"/>
  <c r="E44" i="27" s="1"/>
  <c r="D45" i="27"/>
  <c r="E45" i="27" s="1"/>
  <c r="D46" i="27"/>
  <c r="E46" i="27" s="1"/>
  <c r="D47" i="27"/>
  <c r="E47" i="27" s="1"/>
  <c r="D48" i="27"/>
  <c r="E48" i="27" s="1"/>
  <c r="D49" i="27"/>
  <c r="E49" i="27" s="1"/>
  <c r="D50" i="27"/>
  <c r="E50" i="27" s="1"/>
  <c r="D51" i="27"/>
  <c r="E51" i="27" s="1"/>
  <c r="D52" i="27"/>
  <c r="E52" i="27" s="1"/>
  <c r="D53" i="27"/>
  <c r="E53" i="27" s="1"/>
  <c r="D54" i="27"/>
  <c r="E54" i="27" s="1"/>
  <c r="D55" i="27"/>
  <c r="E55" i="27" s="1"/>
  <c r="D56" i="27"/>
  <c r="E56" i="27" s="1"/>
  <c r="D57" i="27"/>
  <c r="E57" i="27" s="1"/>
  <c r="D58" i="27"/>
  <c r="E58" i="27" s="1"/>
  <c r="D59" i="27"/>
  <c r="E59" i="27" s="1"/>
  <c r="D60" i="27"/>
  <c r="E60" i="27" s="1"/>
  <c r="D61" i="27"/>
  <c r="E61" i="27" s="1"/>
  <c r="D62" i="27"/>
  <c r="E62" i="27" s="1"/>
  <c r="D63" i="27"/>
  <c r="E63" i="27" s="1"/>
  <c r="D64" i="27"/>
  <c r="E64" i="27" s="1"/>
  <c r="J73" i="30" l="1"/>
  <c r="K26" i="30"/>
  <c r="K34" i="30"/>
  <c r="K5" i="30"/>
  <c r="K10" i="30"/>
  <c r="K47" i="30"/>
  <c r="J61" i="30"/>
  <c r="J67" i="30"/>
  <c r="L1109" i="10" a="1"/>
  <c r="L1109" i="10" s="1"/>
  <c r="L1085" i="10" a="1"/>
  <c r="L1085" i="10" s="1"/>
  <c r="L1101" i="10" a="1"/>
  <c r="L1101" i="10" s="1"/>
  <c r="L920" i="10" a="1"/>
  <c r="L920" i="10" s="1"/>
  <c r="L1099" i="10" a="1"/>
  <c r="L1099" i="10" s="1"/>
  <c r="L1098" i="10" a="1"/>
  <c r="L1098" i="10" s="1"/>
  <c r="L1100" i="10" a="1"/>
  <c r="L1100" i="10" s="1"/>
  <c r="L922" i="10" a="1"/>
  <c r="L922" i="10" s="1"/>
  <c r="L1108" i="10" a="1"/>
  <c r="L1108" i="10" s="1"/>
  <c r="L1102" i="10" a="1"/>
  <c r="L1102" i="10" s="1"/>
  <c r="W3" i="29"/>
  <c r="L1092" i="10" a="1"/>
  <c r="L1092" i="10" s="1"/>
  <c r="L1091" i="10" a="1"/>
  <c r="L1091" i="10" s="1"/>
  <c r="L1089" i="10" a="1"/>
  <c r="L1089" i="10" s="1"/>
  <c r="L1094" i="10" a="1"/>
  <c r="L1094" i="10" s="1"/>
  <c r="L1088" i="10" a="1"/>
  <c r="L1088" i="10" s="1"/>
  <c r="L1087" i="10" a="1"/>
  <c r="L1087" i="10" s="1"/>
  <c r="L1090" i="10" a="1"/>
  <c r="L1090" i="10" s="1"/>
  <c r="L1093" i="10" a="1"/>
  <c r="L1093" i="10" s="1"/>
  <c r="L1104" i="10" a="1"/>
  <c r="L1104" i="10" s="1"/>
  <c r="L1105" i="10" a="1"/>
  <c r="L1105" i="10" s="1"/>
  <c r="L1097" i="10" a="1"/>
  <c r="L1097" i="10" s="1"/>
  <c r="L1084" i="10" a="1"/>
  <c r="L1084" i="10" s="1"/>
  <c r="L1082" i="10" a="1"/>
  <c r="L1082" i="10" s="1"/>
  <c r="L1095" i="10" a="1"/>
  <c r="L1095" i="10" s="1"/>
  <c r="L1063" i="10" a="1"/>
  <c r="L1063" i="10" s="1"/>
  <c r="L1083" i="10" a="1"/>
  <c r="L1083" i="10" s="1"/>
  <c r="L1081" i="10" a="1"/>
  <c r="L1081" i="10" s="1"/>
  <c r="L1096" i="10" a="1"/>
  <c r="L1096" i="10" s="1"/>
  <c r="L1103" i="10" a="1"/>
  <c r="L1103" i="10" s="1"/>
  <c r="L1062" i="10" a="1"/>
  <c r="L1062" i="10" s="1"/>
  <c r="M82" i="12"/>
  <c r="L1086" i="10" a="1"/>
  <c r="L1086" i="10" s="1"/>
  <c r="L1080" i="10" a="1"/>
  <c r="L1080" i="10" s="1"/>
  <c r="M15" i="12"/>
  <c r="I2" i="27"/>
  <c r="B449" i="20"/>
  <c r="B448" i="20"/>
  <c r="B264" i="20"/>
  <c r="B263" i="20"/>
  <c r="B260" i="20"/>
  <c r="D264" i="20"/>
  <c r="D448" i="20"/>
  <c r="D449" i="20"/>
  <c r="F264" i="20"/>
  <c r="F448" i="20"/>
  <c r="F449" i="20"/>
  <c r="H264" i="20"/>
  <c r="H448" i="20"/>
  <c r="H449" i="20"/>
  <c r="J264" i="20"/>
  <c r="J448" i="20"/>
  <c r="J449" i="20"/>
  <c r="D263" i="20"/>
  <c r="F263" i="20"/>
  <c r="H263" i="20"/>
  <c r="J263" i="20"/>
  <c r="K1075" i="10"/>
  <c r="K1061" i="10"/>
  <c r="H1061" i="10"/>
  <c r="O1061" i="10"/>
  <c r="P1061" i="10" s="1"/>
  <c r="H1075" i="10"/>
  <c r="O1075" i="10"/>
  <c r="P1075" i="10" s="1"/>
  <c r="K1060" i="10"/>
  <c r="H1060" i="10"/>
  <c r="O1060" i="10"/>
  <c r="P1060" i="10" s="1"/>
  <c r="K1059" i="10"/>
  <c r="H1059" i="10"/>
  <c r="O1059" i="10"/>
  <c r="P1059" i="10" s="1"/>
  <c r="K1058" i="10"/>
  <c r="H1058" i="10"/>
  <c r="O1058" i="10"/>
  <c r="P1058" i="10" s="1"/>
  <c r="K1074" i="10"/>
  <c r="H1074" i="10"/>
  <c r="O1074" i="10"/>
  <c r="P1074" i="10" s="1"/>
  <c r="K1057" i="10"/>
  <c r="K1027" i="10"/>
  <c r="H1057" i="10"/>
  <c r="O1057" i="10"/>
  <c r="P1057" i="10" s="1"/>
  <c r="K1056" i="10"/>
  <c r="H1056" i="10"/>
  <c r="O1056" i="10"/>
  <c r="P1056" i="10" s="1"/>
  <c r="K1055" i="10"/>
  <c r="H1055" i="10"/>
  <c r="O1055" i="10"/>
  <c r="P1055" i="10" s="1"/>
  <c r="K1054" i="10"/>
  <c r="H1054" i="10"/>
  <c r="O1054" i="10"/>
  <c r="P1054" i="10" s="1"/>
  <c r="K1078" i="10"/>
  <c r="K1019" i="10"/>
  <c r="K1048" i="10"/>
  <c r="K1047" i="10"/>
  <c r="K1046" i="10"/>
  <c r="K1045" i="10"/>
  <c r="K1044" i="10"/>
  <c r="K1043" i="10"/>
  <c r="K1042" i="10"/>
  <c r="K1018" i="10"/>
  <c r="K1040" i="10"/>
  <c r="K1039" i="10"/>
  <c r="K1038" i="10"/>
  <c r="K1037" i="10"/>
  <c r="K1035" i="10"/>
  <c r="K1034" i="10"/>
  <c r="K1023" i="10"/>
  <c r="K1033" i="10"/>
  <c r="K1032" i="10"/>
  <c r="K1022" i="10"/>
  <c r="K1031" i="10"/>
  <c r="K875" i="10"/>
  <c r="K1036" i="10"/>
  <c r="K1026" i="10"/>
  <c r="K1024" i="10"/>
  <c r="K1041" i="10"/>
  <c r="K1025" i="10"/>
  <c r="L45" i="10" a="1"/>
  <c r="L45" i="10" s="1"/>
  <c r="L57" i="10" a="1"/>
  <c r="L57" i="10" s="1"/>
  <c r="L58" i="10" a="1"/>
  <c r="L58" i="10" s="1"/>
  <c r="L75" i="10" a="1"/>
  <c r="L75" i="10" s="1"/>
  <c r="L89" i="10" a="1"/>
  <c r="L89" i="10" s="1"/>
  <c r="L93" i="10" a="1"/>
  <c r="L93" i="10" s="1"/>
  <c r="L111" i="10" a="1"/>
  <c r="L111" i="10" s="1"/>
  <c r="L112" i="10" a="1"/>
  <c r="L112" i="10" s="1"/>
  <c r="L123" i="10" a="1"/>
  <c r="L123" i="10" s="1"/>
  <c r="L146" i="10" a="1"/>
  <c r="L146" i="10" s="1"/>
  <c r="L149" i="10" a="1"/>
  <c r="L149" i="10" s="1"/>
  <c r="L155" i="10" a="1"/>
  <c r="L155" i="10" s="1"/>
  <c r="L160" i="10" a="1"/>
  <c r="L160" i="10" s="1"/>
  <c r="L172" i="10" a="1"/>
  <c r="L172" i="10" s="1"/>
  <c r="L194" i="10" a="1"/>
  <c r="L194" i="10" s="1"/>
  <c r="L216" i="10" a="1"/>
  <c r="L216" i="10" s="1"/>
  <c r="L233" i="10" a="1"/>
  <c r="L233" i="10" s="1"/>
  <c r="L243" i="10" a="1"/>
  <c r="L243" i="10" s="1"/>
  <c r="L298" i="10" a="1"/>
  <c r="L298" i="10" s="1"/>
  <c r="L306" i="10" a="1"/>
  <c r="L306" i="10" s="1"/>
  <c r="L317" i="10" a="1"/>
  <c r="L317" i="10" s="1"/>
  <c r="L330" i="10" a="1"/>
  <c r="L330" i="10" s="1"/>
  <c r="L336" i="10" a="1"/>
  <c r="L336" i="10" s="1"/>
  <c r="L395" i="10" a="1"/>
  <c r="L395" i="10" s="1"/>
  <c r="L396" i="10" a="1"/>
  <c r="L396" i="10" s="1"/>
  <c r="L397" i="10" a="1"/>
  <c r="L397" i="10" s="1"/>
  <c r="L414" i="10" a="1"/>
  <c r="L414" i="10" s="1"/>
  <c r="L420" i="10" a="1"/>
  <c r="L420" i="10" s="1"/>
  <c r="L422" i="10" a="1"/>
  <c r="L422" i="10" s="1"/>
  <c r="L448" i="10" a="1"/>
  <c r="L448" i="10" s="1"/>
  <c r="L470" i="10" a="1"/>
  <c r="L470" i="10" s="1"/>
  <c r="L472" i="10" a="1"/>
  <c r="L472" i="10" s="1"/>
  <c r="L482" i="10" a="1"/>
  <c r="L482" i="10" s="1"/>
  <c r="L485" i="10" a="1"/>
  <c r="L485" i="10" s="1"/>
  <c r="L498" i="10" a="1"/>
  <c r="L498" i="10" s="1"/>
  <c r="L501" i="10" a="1"/>
  <c r="L501" i="10" s="1"/>
  <c r="L502" i="10" a="1"/>
  <c r="L502" i="10" s="1"/>
  <c r="L504" i="10" a="1"/>
  <c r="L504" i="10" s="1"/>
  <c r="L505" i="10" a="1"/>
  <c r="L505" i="10" s="1"/>
  <c r="L506" i="10" a="1"/>
  <c r="L506" i="10" s="1"/>
  <c r="L507" i="10" a="1"/>
  <c r="L507" i="10" s="1"/>
  <c r="L509" i="10" a="1"/>
  <c r="L509" i="10" s="1"/>
  <c r="L510" i="10" a="1"/>
  <c r="L510" i="10" s="1"/>
  <c r="L511" i="10" a="1"/>
  <c r="L511" i="10" s="1"/>
  <c r="L513" i="10" a="1"/>
  <c r="L513" i="10" s="1"/>
  <c r="L514" i="10" a="1"/>
  <c r="L514" i="10" s="1"/>
  <c r="L515" i="10" a="1"/>
  <c r="L515" i="10" s="1"/>
  <c r="L517" i="10" a="1"/>
  <c r="L517" i="10" s="1"/>
  <c r="L518" i="10" a="1"/>
  <c r="L518" i="10" s="1"/>
  <c r="L519" i="10" a="1"/>
  <c r="L519" i="10" s="1"/>
  <c r="L521" i="10" a="1"/>
  <c r="L521" i="10" s="1"/>
  <c r="L522" i="10" a="1"/>
  <c r="L522" i="10" s="1"/>
  <c r="L523" i="10" a="1"/>
  <c r="L523" i="10" s="1"/>
  <c r="L524" i="10" a="1"/>
  <c r="L524" i="10" s="1"/>
  <c r="L525" i="10" a="1"/>
  <c r="L525" i="10" s="1"/>
  <c r="L526" i="10" a="1"/>
  <c r="L526" i="10" s="1"/>
  <c r="L528" i="10" a="1"/>
  <c r="L528" i="10" s="1"/>
  <c r="L529" i="10" a="1"/>
  <c r="L529" i="10" s="1"/>
  <c r="L530" i="10" a="1"/>
  <c r="L530" i="10" s="1"/>
  <c r="L646" i="10" a="1"/>
  <c r="L646" i="10" s="1"/>
  <c r="L651" i="10" a="1"/>
  <c r="L651" i="10" s="1"/>
  <c r="L661" i="10" a="1"/>
  <c r="L661" i="10" s="1"/>
  <c r="L664" i="10" a="1"/>
  <c r="L664" i="10" s="1"/>
  <c r="L678" i="10" a="1"/>
  <c r="L678" i="10" s="1"/>
  <c r="L703" i="10" a="1"/>
  <c r="L703" i="10" s="1"/>
  <c r="L822" i="10" a="1"/>
  <c r="L822" i="10" s="1"/>
  <c r="L850" i="10" a="1"/>
  <c r="L850" i="10" s="1"/>
  <c r="L881" i="10" a="1"/>
  <c r="L881" i="10" s="1"/>
  <c r="L904" i="10" a="1"/>
  <c r="L904" i="10" s="1"/>
  <c r="L909" i="10" a="1"/>
  <c r="L909" i="10" s="1"/>
  <c r="L1017" i="10" a="1"/>
  <c r="L1017" i="10" s="1"/>
  <c r="L990" i="10" a="1"/>
  <c r="L990" i="10" s="1"/>
  <c r="L1019" i="10" a="1"/>
  <c r="L1019" i="10" s="1"/>
  <c r="L1020" i="10" a="1"/>
  <c r="L1020" i="10" s="1"/>
  <c r="L923" i="10" a="1"/>
  <c r="L923" i="10" s="1"/>
  <c r="L1021" i="10" a="1"/>
  <c r="L1021" i="10" s="1"/>
  <c r="K1073" i="10"/>
  <c r="O1073" i="10"/>
  <c r="P1073" i="10" s="1"/>
  <c r="H1073" i="10"/>
  <c r="K1079" i="10"/>
  <c r="H1079" i="10"/>
  <c r="O1079" i="10"/>
  <c r="P1079" i="10" s="1"/>
  <c r="K61" i="30" l="1"/>
  <c r="M45" i="12"/>
  <c r="K73" i="30"/>
  <c r="K67" i="30"/>
  <c r="J48" i="30"/>
  <c r="L1061" i="10" a="1"/>
  <c r="L1061" i="10" s="1"/>
  <c r="M118" i="12"/>
  <c r="K1021" i="10"/>
  <c r="H1021" i="10"/>
  <c r="O1021" i="10"/>
  <c r="P1021" i="10" s="1"/>
  <c r="H1078" i="10"/>
  <c r="O1078" i="10"/>
  <c r="P1078" i="10" s="1"/>
  <c r="K1077" i="10"/>
  <c r="H1077" i="10"/>
  <c r="O1077" i="10"/>
  <c r="P1077" i="10" s="1"/>
  <c r="K923" i="10"/>
  <c r="H923" i="10"/>
  <c r="O923" i="10"/>
  <c r="P923" i="10" s="1"/>
  <c r="K1076" i="10"/>
  <c r="H1076" i="10"/>
  <c r="O1076" i="10"/>
  <c r="P1076" i="10" s="1"/>
  <c r="K1020" i="10"/>
  <c r="H1020" i="10"/>
  <c r="O1020" i="10"/>
  <c r="P1020" i="10" s="1"/>
  <c r="H1019" i="10"/>
  <c r="O1019" i="10"/>
  <c r="P1019" i="10" s="1"/>
  <c r="K1029" i="10"/>
  <c r="H1029" i="10"/>
  <c r="O1029" i="10"/>
  <c r="P1029" i="10" s="1"/>
  <c r="K1072" i="10"/>
  <c r="H1072" i="10"/>
  <c r="O1072" i="10"/>
  <c r="P1072" i="10" s="1"/>
  <c r="K1071" i="10"/>
  <c r="H1071" i="10"/>
  <c r="O1071" i="10"/>
  <c r="P1071" i="10" s="1"/>
  <c r="K1070" i="10"/>
  <c r="H1070" i="10"/>
  <c r="O1070" i="10"/>
  <c r="P1070" i="10" s="1"/>
  <c r="K1028" i="10"/>
  <c r="H1028" i="10"/>
  <c r="O1028" i="10"/>
  <c r="P1028" i="10" s="1"/>
  <c r="K1069" i="10"/>
  <c r="H1069" i="10"/>
  <c r="O1069" i="10"/>
  <c r="P1069" i="10" s="1"/>
  <c r="K668" i="10"/>
  <c r="H668" i="10"/>
  <c r="O668" i="10"/>
  <c r="P668" i="10" s="1"/>
  <c r="K1068" i="10"/>
  <c r="H1068" i="10"/>
  <c r="O1068" i="10"/>
  <c r="P1068" i="10" s="1"/>
  <c r="K48" i="30" l="1"/>
  <c r="K1067" i="10"/>
  <c r="H1067" i="10"/>
  <c r="O1067" i="10"/>
  <c r="P1067" i="10" s="1"/>
  <c r="K1066" i="10"/>
  <c r="H1066" i="10"/>
  <c r="O1066" i="10"/>
  <c r="P1066" i="10" s="1"/>
  <c r="K1065" i="10"/>
  <c r="H1065" i="10"/>
  <c r="O1065" i="10"/>
  <c r="P1065" i="10" s="1"/>
  <c r="AN9" i="1"/>
  <c r="AN39" i="1"/>
  <c r="AN93" i="1"/>
  <c r="AN109" i="1"/>
  <c r="AN106" i="1"/>
  <c r="AN86" i="1"/>
  <c r="AN34" i="1"/>
  <c r="AN94" i="1"/>
  <c r="AN112" i="1"/>
  <c r="AN89" i="1"/>
  <c r="AN91" i="1"/>
  <c r="AN85" i="1"/>
  <c r="AN63" i="1"/>
  <c r="AN16" i="1"/>
  <c r="AN108" i="1"/>
  <c r="AN90" i="1"/>
  <c r="AN114" i="1"/>
  <c r="AN45" i="1"/>
  <c r="AN38" i="1"/>
  <c r="AN49" i="1"/>
  <c r="AN28" i="1"/>
  <c r="AN50" i="1"/>
  <c r="AN41" i="1"/>
  <c r="AN102" i="1"/>
  <c r="AN11" i="1"/>
  <c r="AN6" i="1"/>
  <c r="AN105" i="1"/>
  <c r="AN113" i="1"/>
  <c r="AN104" i="1"/>
  <c r="AN53" i="1"/>
  <c r="AN44" i="1"/>
  <c r="AN96" i="1"/>
  <c r="AN22" i="1"/>
  <c r="AN25" i="1"/>
  <c r="AN97" i="1"/>
  <c r="AN12" i="1"/>
  <c r="AN87" i="1"/>
  <c r="AN35" i="1"/>
  <c r="AN62" i="1"/>
  <c r="AN51" i="1"/>
  <c r="AN72" i="1"/>
  <c r="AN110" i="1"/>
  <c r="AN52" i="1"/>
  <c r="AN95" i="1"/>
  <c r="AN31" i="1"/>
  <c r="AN65" i="1"/>
  <c r="AN101" i="1"/>
  <c r="AN99" i="1"/>
  <c r="AN55" i="1"/>
  <c r="AN7" i="1"/>
  <c r="AN92" i="1"/>
  <c r="AN26" i="1"/>
  <c r="AN60" i="1"/>
  <c r="AN100" i="1"/>
  <c r="AN71" i="1"/>
  <c r="AN43" i="1"/>
  <c r="AN48" i="1"/>
  <c r="AN47" i="1"/>
  <c r="AN88" i="1"/>
  <c r="AN23" i="1"/>
  <c r="AN29" i="1"/>
  <c r="AN30" i="1"/>
  <c r="AN64" i="1"/>
  <c r="J64" i="17"/>
  <c r="I62" i="17"/>
  <c r="H62" i="17" s="1"/>
  <c r="J24" i="17"/>
  <c r="I16" i="17"/>
  <c r="H16" i="17" s="1"/>
  <c r="I22" i="17"/>
  <c r="H22" i="17" s="1"/>
  <c r="I23" i="17"/>
  <c r="H23" i="17" s="1"/>
  <c r="H3" i="20"/>
  <c r="H4" i="20"/>
  <c r="H5" i="20"/>
  <c r="H6" i="20"/>
  <c r="H7" i="20"/>
  <c r="H8" i="20"/>
  <c r="H9" i="20"/>
  <c r="H10" i="20"/>
  <c r="H11" i="20"/>
  <c r="H12" i="20"/>
  <c r="H13" i="20"/>
  <c r="H14" i="20"/>
  <c r="H15" i="20"/>
  <c r="H16" i="20"/>
  <c r="H17" i="20"/>
  <c r="H18" i="20"/>
  <c r="H341" i="20"/>
  <c r="H345" i="20"/>
  <c r="H21" i="20"/>
  <c r="H346" i="20"/>
  <c r="H347" i="20"/>
  <c r="H348" i="20"/>
  <c r="H349" i="20"/>
  <c r="H350" i="20"/>
  <c r="H354" i="20"/>
  <c r="H355" i="20"/>
  <c r="H29" i="20"/>
  <c r="H30" i="20"/>
  <c r="H31" i="20"/>
  <c r="H32" i="20"/>
  <c r="H33" i="20"/>
  <c r="H34" i="20"/>
  <c r="H35" i="20"/>
  <c r="H356" i="20"/>
  <c r="H361" i="20"/>
  <c r="H38" i="20"/>
  <c r="H39" i="20"/>
  <c r="H40" i="20"/>
  <c r="H41" i="20"/>
  <c r="H42" i="20"/>
  <c r="H43" i="20"/>
  <c r="H44" i="20"/>
  <c r="H45" i="20"/>
  <c r="H46" i="20"/>
  <c r="H47" i="20"/>
  <c r="H48" i="20"/>
  <c r="H49" i="20"/>
  <c r="H50" i="20"/>
  <c r="H51" i="20"/>
  <c r="H52" i="20"/>
  <c r="H362" i="20"/>
  <c r="H54" i="20"/>
  <c r="H55" i="20"/>
  <c r="H56" i="20"/>
  <c r="H57" i="20"/>
  <c r="H363" i="20"/>
  <c r="H59" i="20"/>
  <c r="H60" i="20"/>
  <c r="H61" i="20"/>
  <c r="H62" i="20"/>
  <c r="H63" i="20"/>
  <c r="H364" i="20"/>
  <c r="H365" i="20"/>
  <c r="H366" i="20"/>
  <c r="H367" i="20"/>
  <c r="H368" i="20"/>
  <c r="H369" i="20"/>
  <c r="H370" i="20"/>
  <c r="H371" i="20"/>
  <c r="H72" i="20"/>
  <c r="H73" i="20"/>
  <c r="H372" i="20"/>
  <c r="H373" i="20"/>
  <c r="H76" i="20"/>
  <c r="H77" i="20"/>
  <c r="H78" i="20"/>
  <c r="H374" i="20"/>
  <c r="H375" i="20"/>
  <c r="H376" i="20"/>
  <c r="H82" i="20"/>
  <c r="H377" i="20"/>
  <c r="H378" i="20"/>
  <c r="H85" i="20"/>
  <c r="H86" i="20"/>
  <c r="H87" i="20"/>
  <c r="H379" i="20"/>
  <c r="H380" i="20"/>
  <c r="H381" i="20"/>
  <c r="H382" i="20"/>
  <c r="H390" i="20"/>
  <c r="H391" i="20"/>
  <c r="H392" i="20"/>
  <c r="H95" i="20"/>
  <c r="H393" i="20"/>
  <c r="H394" i="20"/>
  <c r="H395" i="20"/>
  <c r="H396" i="20"/>
  <c r="H397" i="20"/>
  <c r="H398" i="20"/>
  <c r="H399" i="20"/>
  <c r="H400" i="20"/>
  <c r="H401" i="20"/>
  <c r="H402" i="20"/>
  <c r="H106" i="20"/>
  <c r="H107" i="20"/>
  <c r="H403" i="20"/>
  <c r="H404" i="20"/>
  <c r="H405" i="20"/>
  <c r="H406" i="20"/>
  <c r="H407" i="20"/>
  <c r="H408" i="20"/>
  <c r="H409" i="20"/>
  <c r="H410" i="20"/>
  <c r="H116" i="20"/>
  <c r="H117" i="20"/>
  <c r="H118" i="20"/>
  <c r="H119" i="20"/>
  <c r="H120" i="20"/>
  <c r="H121" i="20"/>
  <c r="H122" i="20"/>
  <c r="H123" i="20"/>
  <c r="H124" i="20"/>
  <c r="H125" i="20"/>
  <c r="H126" i="20"/>
  <c r="H127" i="20"/>
  <c r="H128" i="20"/>
  <c r="H411" i="20"/>
  <c r="H412"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413" i="20"/>
  <c r="H414" i="20"/>
  <c r="H159" i="20"/>
  <c r="H160" i="20"/>
  <c r="H161" i="20"/>
  <c r="H162" i="20"/>
  <c r="H163" i="20"/>
  <c r="H164" i="20"/>
  <c r="H165" i="20"/>
  <c r="H166" i="20"/>
  <c r="H415" i="20"/>
  <c r="H416" i="20"/>
  <c r="H169" i="20"/>
  <c r="H170" i="20"/>
  <c r="H171" i="20"/>
  <c r="H172" i="20"/>
  <c r="H173" i="20"/>
  <c r="H174" i="20"/>
  <c r="H417" i="20"/>
  <c r="H418" i="20"/>
  <c r="H177" i="20"/>
  <c r="H178" i="20"/>
  <c r="H179" i="20"/>
  <c r="H180" i="20"/>
  <c r="H181" i="20"/>
  <c r="H182" i="20"/>
  <c r="H183" i="20"/>
  <c r="H184" i="20"/>
  <c r="H185" i="20"/>
  <c r="H186" i="20"/>
  <c r="H187" i="20"/>
  <c r="H188" i="20"/>
  <c r="H189" i="20"/>
  <c r="H190" i="20"/>
  <c r="H191" i="20"/>
  <c r="H192" i="20"/>
  <c r="H193" i="20"/>
  <c r="H194" i="20"/>
  <c r="H19" i="20"/>
  <c r="H20" i="20"/>
  <c r="H197" i="20"/>
  <c r="H198" i="20"/>
  <c r="H22" i="20"/>
  <c r="H23" i="20"/>
  <c r="H24" i="20"/>
  <c r="H202" i="20"/>
  <c r="H203" i="20"/>
  <c r="H25" i="20"/>
  <c r="H26" i="20"/>
  <c r="H27" i="20"/>
  <c r="H207" i="20"/>
  <c r="H208" i="20"/>
  <c r="H209" i="20"/>
  <c r="H210" i="20"/>
  <c r="H211" i="20"/>
  <c r="H212" i="20"/>
  <c r="H213" i="20"/>
  <c r="H214" i="20"/>
  <c r="H215" i="20"/>
  <c r="H216" i="20"/>
  <c r="H217" i="20"/>
  <c r="H218" i="20"/>
  <c r="H219" i="20"/>
  <c r="H220" i="20"/>
  <c r="H221" i="20"/>
  <c r="H222" i="20"/>
  <c r="H223" i="20"/>
  <c r="H224" i="20"/>
  <c r="H28" i="20"/>
  <c r="H36" i="20"/>
  <c r="H227" i="20"/>
  <c r="H228" i="20"/>
  <c r="H229" i="20"/>
  <c r="H230" i="20"/>
  <c r="H231" i="20"/>
  <c r="H37" i="20"/>
  <c r="H233" i="20"/>
  <c r="H234" i="20"/>
  <c r="H235" i="20"/>
  <c r="H236" i="20"/>
  <c r="H237" i="20"/>
  <c r="H238" i="20"/>
  <c r="H53" i="20"/>
  <c r="H58" i="20"/>
  <c r="H64" i="20"/>
  <c r="H242" i="20"/>
  <c r="H243" i="20"/>
  <c r="H65" i="20"/>
  <c r="H66" i="20"/>
  <c r="H246" i="20"/>
  <c r="H247" i="20"/>
  <c r="H67" i="20"/>
  <c r="H68" i="20"/>
  <c r="H250" i="20"/>
  <c r="H251" i="20"/>
  <c r="H69" i="20"/>
  <c r="H70" i="20"/>
  <c r="H254" i="20"/>
  <c r="H71" i="20"/>
  <c r="H74" i="20"/>
  <c r="H75" i="20"/>
  <c r="H79" i="20"/>
  <c r="H80" i="20"/>
  <c r="H81" i="20"/>
  <c r="H83" i="20"/>
  <c r="H262" i="20"/>
  <c r="H84" i="20"/>
  <c r="H88" i="20"/>
  <c r="H89" i="20"/>
  <c r="H90" i="20"/>
  <c r="H91" i="20"/>
  <c r="H92" i="20"/>
  <c r="H93" i="20"/>
  <c r="H94" i="20"/>
  <c r="H271" i="20"/>
  <c r="H272" i="20"/>
  <c r="H96" i="20"/>
  <c r="H97" i="20"/>
  <c r="H98" i="20"/>
  <c r="H99" i="20"/>
  <c r="H100" i="20"/>
  <c r="H101" i="20"/>
  <c r="H102" i="20"/>
  <c r="H280" i="20"/>
  <c r="H281" i="20"/>
  <c r="H282" i="20"/>
  <c r="H283" i="20"/>
  <c r="H284" i="20"/>
  <c r="H285" i="20"/>
  <c r="H286" i="20"/>
  <c r="H287" i="20"/>
  <c r="H288" i="20"/>
  <c r="H289" i="20"/>
  <c r="H290" i="20"/>
  <c r="H291" i="20"/>
  <c r="H292" i="20"/>
  <c r="H103" i="20"/>
  <c r="H10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105" i="20"/>
  <c r="H108" i="20"/>
  <c r="H323" i="20"/>
  <c r="H324" i="20"/>
  <c r="H325" i="20"/>
  <c r="H326" i="20"/>
  <c r="H327" i="20"/>
  <c r="H328" i="20"/>
  <c r="H329" i="20"/>
  <c r="H330" i="20"/>
  <c r="H109" i="20"/>
  <c r="H110" i="20"/>
  <c r="H333" i="20"/>
  <c r="H334" i="20"/>
  <c r="H335" i="20"/>
  <c r="H336" i="20"/>
  <c r="H337" i="20"/>
  <c r="H338" i="20"/>
  <c r="H111" i="20"/>
  <c r="H112" i="20"/>
  <c r="H113" i="20"/>
  <c r="H342" i="20"/>
  <c r="H343" i="20"/>
  <c r="H344" i="20"/>
  <c r="H419" i="20"/>
  <c r="H114" i="20"/>
  <c r="H115" i="20"/>
  <c r="H420" i="20"/>
  <c r="H129" i="20"/>
  <c r="H130" i="20"/>
  <c r="H351" i="20"/>
  <c r="H352" i="20"/>
  <c r="H353" i="20"/>
  <c r="H421" i="20"/>
  <c r="H157" i="20"/>
  <c r="H158" i="20"/>
  <c r="H357" i="20"/>
  <c r="H358" i="20"/>
  <c r="H359" i="20"/>
  <c r="H360" i="20"/>
  <c r="H422" i="20"/>
  <c r="H167" i="20"/>
  <c r="H168" i="20"/>
  <c r="H423" i="20"/>
  <c r="H424" i="20"/>
  <c r="H175" i="20"/>
  <c r="H176" i="20"/>
  <c r="H425" i="20"/>
  <c r="H426" i="20"/>
  <c r="H195" i="20"/>
  <c r="H196" i="20"/>
  <c r="H427" i="20"/>
  <c r="H428" i="20"/>
  <c r="H199" i="20"/>
  <c r="H200" i="20"/>
  <c r="H429" i="20"/>
  <c r="H201" i="20"/>
  <c r="H430" i="20"/>
  <c r="H431" i="20"/>
  <c r="H432" i="20"/>
  <c r="H204" i="20"/>
  <c r="H205" i="20"/>
  <c r="H383" i="20"/>
  <c r="H384" i="20"/>
  <c r="H385" i="20"/>
  <c r="H386" i="20"/>
  <c r="H387" i="20"/>
  <c r="H388" i="20"/>
  <c r="H389" i="20"/>
  <c r="H206" i="20"/>
  <c r="H225" i="20"/>
  <c r="H433" i="20"/>
  <c r="H434" i="20"/>
  <c r="H226" i="20"/>
  <c r="H232" i="20"/>
  <c r="H435" i="20"/>
  <c r="H239" i="20"/>
  <c r="H240" i="20"/>
  <c r="H241" i="20"/>
  <c r="H436" i="20"/>
  <c r="H437" i="20"/>
  <c r="H438" i="20"/>
  <c r="H244" i="20"/>
  <c r="H245" i="20"/>
  <c r="H248" i="20"/>
  <c r="H249" i="20"/>
  <c r="H439" i="20"/>
  <c r="H440" i="20"/>
  <c r="H252" i="20"/>
  <c r="H253" i="20"/>
  <c r="H255" i="20"/>
  <c r="H441" i="20"/>
  <c r="H442" i="20"/>
  <c r="H256" i="20"/>
  <c r="H257" i="20"/>
  <c r="H443" i="20"/>
  <c r="H444" i="20"/>
  <c r="H445" i="20"/>
  <c r="H446" i="20"/>
  <c r="H258" i="20"/>
  <c r="H259" i="20"/>
  <c r="H447" i="20"/>
  <c r="H260" i="20"/>
  <c r="H261" i="20"/>
  <c r="H2" i="20"/>
  <c r="K1064" i="10" l="1"/>
  <c r="H1064" i="10"/>
  <c r="O1064" i="10"/>
  <c r="P1064" i="10" s="1"/>
  <c r="K1053" i="10" l="1"/>
  <c r="H1053" i="10"/>
  <c r="O1053" i="10"/>
  <c r="P1053" i="10" s="1"/>
  <c r="K1052" i="10"/>
  <c r="H1052" i="10"/>
  <c r="O1052" i="10"/>
  <c r="P1052" i="10" s="1"/>
  <c r="K1051" i="10"/>
  <c r="H1051" i="10"/>
  <c r="O1051" i="10"/>
  <c r="P1051" i="10" s="1"/>
  <c r="K1050" i="10"/>
  <c r="H1050" i="10"/>
  <c r="O1050" i="10"/>
  <c r="P1050" i="10" s="1"/>
  <c r="H1027" i="10"/>
  <c r="O1027" i="10"/>
  <c r="P1027" i="10" s="1"/>
  <c r="K990" i="10"/>
  <c r="H990" i="10"/>
  <c r="O990" i="10"/>
  <c r="P990" i="10" s="1"/>
  <c r="K1049" i="10"/>
  <c r="H1049" i="10"/>
  <c r="O1049" i="10"/>
  <c r="P1049" i="10" s="1"/>
  <c r="H1037" i="10"/>
  <c r="H1038" i="10"/>
  <c r="H1039" i="10"/>
  <c r="H1040" i="10"/>
  <c r="H1041" i="10"/>
  <c r="H1018" i="10"/>
  <c r="H1042" i="10"/>
  <c r="H1043" i="10"/>
  <c r="H1025" i="10"/>
  <c r="H1026" i="10"/>
  <c r="H1044" i="10"/>
  <c r="H1045" i="10"/>
  <c r="H1046" i="10"/>
  <c r="H1047" i="10"/>
  <c r="H1048" i="10"/>
  <c r="O1037" i="10"/>
  <c r="P1037" i="10" s="1"/>
  <c r="O1038" i="10"/>
  <c r="P1038" i="10" s="1"/>
  <c r="O1039" i="10"/>
  <c r="P1039" i="10" s="1"/>
  <c r="O1040" i="10"/>
  <c r="P1040" i="10" s="1"/>
  <c r="O1041" i="10"/>
  <c r="P1041" i="10" s="1"/>
  <c r="O1018" i="10"/>
  <c r="P1018" i="10" s="1"/>
  <c r="O1042" i="10"/>
  <c r="P1042" i="10" s="1"/>
  <c r="O1043" i="10"/>
  <c r="P1043" i="10" s="1"/>
  <c r="O1025" i="10"/>
  <c r="P1025" i="10" s="1"/>
  <c r="O1026" i="10"/>
  <c r="P1026" i="10" s="1"/>
  <c r="O1044" i="10"/>
  <c r="P1044" i="10" s="1"/>
  <c r="O1045" i="10"/>
  <c r="P1045" i="10" s="1"/>
  <c r="O1046" i="10"/>
  <c r="P1046" i="10" s="1"/>
  <c r="O1047" i="10"/>
  <c r="P1047" i="10" s="1"/>
  <c r="O1048" i="10"/>
  <c r="P1048" i="10" s="1"/>
  <c r="K1030" i="10"/>
  <c r="H1030" i="10"/>
  <c r="H1031" i="10"/>
  <c r="H1022" i="10"/>
  <c r="H1032" i="10"/>
  <c r="H1033" i="10"/>
  <c r="H1023" i="10"/>
  <c r="H1034" i="10"/>
  <c r="H1024" i="10"/>
  <c r="H1035" i="10"/>
  <c r="H1036" i="10"/>
  <c r="O1030" i="10"/>
  <c r="P1030" i="10" s="1"/>
  <c r="O1031" i="10"/>
  <c r="P1031" i="10" s="1"/>
  <c r="O1022" i="10"/>
  <c r="P1022" i="10" s="1"/>
  <c r="O1032" i="10"/>
  <c r="P1032" i="10" s="1"/>
  <c r="O1033" i="10"/>
  <c r="P1033" i="10" s="1"/>
  <c r="O1023" i="10"/>
  <c r="P1023" i="10" s="1"/>
  <c r="O1034" i="10"/>
  <c r="P1034" i="10" s="1"/>
  <c r="O1024" i="10"/>
  <c r="P1024" i="10" s="1"/>
  <c r="O1035" i="10"/>
  <c r="P1035" i="10" s="1"/>
  <c r="O1036" i="10"/>
  <c r="P1036" i="10" s="1"/>
  <c r="K1001" i="10"/>
  <c r="K1002" i="10"/>
  <c r="K1003" i="10"/>
  <c r="K1004" i="10"/>
  <c r="K1005" i="10"/>
  <c r="K1006" i="10"/>
  <c r="K1007" i="10"/>
  <c r="K1008" i="10"/>
  <c r="K1009" i="10"/>
  <c r="K1010" i="10"/>
  <c r="K1011" i="10"/>
  <c r="K1012" i="10"/>
  <c r="K1013" i="10"/>
  <c r="K1014" i="10"/>
  <c r="K1015" i="10"/>
  <c r="K1016" i="10"/>
  <c r="H1003" i="10"/>
  <c r="H1004" i="10"/>
  <c r="H1005" i="10"/>
  <c r="H1006" i="10"/>
  <c r="H1007" i="10"/>
  <c r="H1008" i="10"/>
  <c r="H1009" i="10"/>
  <c r="H1010" i="10"/>
  <c r="H1011" i="10"/>
  <c r="H1012" i="10"/>
  <c r="H1013" i="10"/>
  <c r="H1014" i="10"/>
  <c r="H1015" i="10"/>
  <c r="H1016" i="10"/>
  <c r="O1003" i="10"/>
  <c r="P1003" i="10" s="1"/>
  <c r="O1004" i="10"/>
  <c r="P1004" i="10" s="1"/>
  <c r="O1005" i="10"/>
  <c r="P1005" i="10" s="1"/>
  <c r="O1006" i="10"/>
  <c r="P1006" i="10" s="1"/>
  <c r="O1007" i="10"/>
  <c r="P1007" i="10" s="1"/>
  <c r="O1008" i="10"/>
  <c r="P1008" i="10" s="1"/>
  <c r="O1009" i="10"/>
  <c r="P1009" i="10" s="1"/>
  <c r="O1010" i="10"/>
  <c r="P1010" i="10" s="1"/>
  <c r="O1011" i="10"/>
  <c r="P1011" i="10" s="1"/>
  <c r="O1012" i="10"/>
  <c r="P1012" i="10" s="1"/>
  <c r="O1013" i="10"/>
  <c r="P1013" i="10" s="1"/>
  <c r="O1014" i="10"/>
  <c r="P1014" i="10" s="1"/>
  <c r="O1015" i="10"/>
  <c r="P1015" i="10" s="1"/>
  <c r="O1016" i="10"/>
  <c r="P1016" i="10" s="1"/>
  <c r="K992" i="10"/>
  <c r="K993" i="10"/>
  <c r="K994" i="10"/>
  <c r="K995" i="10"/>
  <c r="K896" i="10"/>
  <c r="K996" i="10"/>
  <c r="K997" i="10"/>
  <c r="K998" i="10"/>
  <c r="K999" i="10"/>
  <c r="K1000" i="10"/>
  <c r="H1002" i="10"/>
  <c r="O1002" i="10"/>
  <c r="P1002" i="10" s="1"/>
  <c r="K991" i="10"/>
  <c r="H991" i="10"/>
  <c r="H992" i="10"/>
  <c r="H993" i="10"/>
  <c r="H994" i="10"/>
  <c r="H995" i="10"/>
  <c r="H896" i="10"/>
  <c r="H996" i="10"/>
  <c r="H997" i="10"/>
  <c r="H998" i="10"/>
  <c r="H999" i="10"/>
  <c r="H1000" i="10"/>
  <c r="H1001" i="10"/>
  <c r="O991" i="10"/>
  <c r="P991" i="10" s="1"/>
  <c r="O992" i="10"/>
  <c r="P992" i="10" s="1"/>
  <c r="O993" i="10"/>
  <c r="P993" i="10" s="1"/>
  <c r="O994" i="10"/>
  <c r="P994" i="10" s="1"/>
  <c r="O995" i="10"/>
  <c r="P995" i="10" s="1"/>
  <c r="O896" i="10"/>
  <c r="P896" i="10" s="1"/>
  <c r="O996" i="10"/>
  <c r="P996" i="10" s="1"/>
  <c r="O997" i="10"/>
  <c r="P997" i="10" s="1"/>
  <c r="O998" i="10"/>
  <c r="P998" i="10" s="1"/>
  <c r="O999" i="10"/>
  <c r="P999" i="10" s="1"/>
  <c r="O1000" i="10"/>
  <c r="P1000" i="10" s="1"/>
  <c r="O1001" i="10"/>
  <c r="P1001" i="10" s="1"/>
  <c r="K987" i="10"/>
  <c r="K988" i="10"/>
  <c r="K989" i="10"/>
  <c r="K1017" i="10"/>
  <c r="H1017" i="10"/>
  <c r="O1017" i="10"/>
  <c r="P1017" i="10" s="1"/>
  <c r="H988" i="10"/>
  <c r="H989" i="10"/>
  <c r="O988" i="10"/>
  <c r="P988" i="10" s="1"/>
  <c r="O989" i="10"/>
  <c r="P989" i="10" s="1"/>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D447" i="20"/>
  <c r="D260" i="20"/>
  <c r="D261" i="20"/>
  <c r="F447" i="20"/>
  <c r="F260" i="20"/>
  <c r="F261" i="20"/>
  <c r="J447" i="20"/>
  <c r="J260" i="20"/>
  <c r="J261" i="20"/>
  <c r="D258" i="20"/>
  <c r="D259" i="20"/>
  <c r="F258" i="20"/>
  <c r="F259" i="20"/>
  <c r="J258" i="20"/>
  <c r="J259" i="20"/>
  <c r="D445" i="20"/>
  <c r="D446" i="20"/>
  <c r="F445" i="20"/>
  <c r="F446" i="20"/>
  <c r="J445" i="20"/>
  <c r="J446" i="20"/>
  <c r="D256" i="20"/>
  <c r="D257" i="20"/>
  <c r="D443" i="20"/>
  <c r="D444" i="20"/>
  <c r="F256" i="20"/>
  <c r="F257" i="20"/>
  <c r="F443" i="20"/>
  <c r="F444" i="20"/>
  <c r="J256" i="20"/>
  <c r="J257" i="20"/>
  <c r="J443" i="20"/>
  <c r="J444" i="20"/>
  <c r="E122" i="12"/>
  <c r="G115" i="25"/>
  <c r="B115" i="25"/>
  <c r="B112" i="25"/>
  <c r="B113" i="25"/>
  <c r="B114" i="25"/>
  <c r="G112" i="25"/>
  <c r="G113" i="25"/>
  <c r="G114" i="25"/>
  <c r="B111" i="25"/>
  <c r="G111" i="25"/>
  <c r="E11" i="12"/>
  <c r="E14" i="12"/>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O958" i="10"/>
  <c r="P958" i="10" s="1"/>
  <c r="O959" i="10"/>
  <c r="P959" i="10" s="1"/>
  <c r="O960" i="10"/>
  <c r="P960" i="10" s="1"/>
  <c r="O961" i="10"/>
  <c r="P961" i="10" s="1"/>
  <c r="O962" i="10"/>
  <c r="P962" i="10" s="1"/>
  <c r="O963" i="10"/>
  <c r="P963" i="10" s="1"/>
  <c r="O964" i="10"/>
  <c r="P964" i="10" s="1"/>
  <c r="O965" i="10"/>
  <c r="P965" i="10" s="1"/>
  <c r="O966" i="10"/>
  <c r="P966" i="10" s="1"/>
  <c r="O967" i="10"/>
  <c r="P967" i="10" s="1"/>
  <c r="O968" i="10"/>
  <c r="P968" i="10" s="1"/>
  <c r="O969" i="10"/>
  <c r="P969" i="10" s="1"/>
  <c r="O970" i="10"/>
  <c r="P970" i="10" s="1"/>
  <c r="O971" i="10"/>
  <c r="P971" i="10" s="1"/>
  <c r="O972" i="10"/>
  <c r="P972" i="10" s="1"/>
  <c r="O973" i="10"/>
  <c r="P973" i="10" s="1"/>
  <c r="O974" i="10"/>
  <c r="P974" i="10" s="1"/>
  <c r="O975" i="10"/>
  <c r="P975" i="10" s="1"/>
  <c r="O976" i="10"/>
  <c r="P976" i="10" s="1"/>
  <c r="O977" i="10"/>
  <c r="P977" i="10" s="1"/>
  <c r="O978" i="10"/>
  <c r="P978" i="10" s="1"/>
  <c r="O979" i="10"/>
  <c r="P979" i="10" s="1"/>
  <c r="O980" i="10"/>
  <c r="P980" i="10" s="1"/>
  <c r="O981" i="10"/>
  <c r="P981" i="10" s="1"/>
  <c r="O982" i="10"/>
  <c r="P982" i="10" s="1"/>
  <c r="O983" i="10"/>
  <c r="P983" i="10" s="1"/>
  <c r="O984" i="10"/>
  <c r="P984" i="10" s="1"/>
  <c r="O985" i="10"/>
  <c r="P985" i="10" s="1"/>
  <c r="O986" i="10"/>
  <c r="P986" i="10" s="1"/>
  <c r="O987" i="10"/>
  <c r="P987" i="10" s="1"/>
  <c r="O957" i="10"/>
  <c r="P957" i="10" s="1"/>
  <c r="H957" i="10"/>
  <c r="K956" i="10"/>
  <c r="O956" i="10"/>
  <c r="P956" i="10" s="1"/>
  <c r="H956" i="10"/>
  <c r="O955" i="10"/>
  <c r="P955" i="10" s="1"/>
  <c r="K955" i="10"/>
  <c r="H955" i="10"/>
  <c r="K954" i="10"/>
  <c r="H954" i="10"/>
  <c r="O954" i="10"/>
  <c r="P954" i="10" s="1"/>
  <c r="K928" i="10"/>
  <c r="H928" i="10"/>
  <c r="O928" i="10"/>
  <c r="P928" i="10" s="1"/>
  <c r="K953" i="10"/>
  <c r="H953" i="10"/>
  <c r="O953" i="10"/>
  <c r="P953" i="10" s="1"/>
  <c r="K952" i="10"/>
  <c r="H952" i="10"/>
  <c r="O952" i="10"/>
  <c r="P952" i="10" s="1"/>
  <c r="K951" i="10"/>
  <c r="H951" i="10"/>
  <c r="O951" i="10"/>
  <c r="P951" i="10" s="1"/>
  <c r="K927" i="10"/>
  <c r="H927" i="10"/>
  <c r="O927" i="10"/>
  <c r="P927" i="10" s="1"/>
  <c r="K950" i="10"/>
  <c r="H950" i="10"/>
  <c r="O950" i="10"/>
  <c r="P950" i="10" s="1"/>
  <c r="K926" i="10"/>
  <c r="H926" i="10"/>
  <c r="O926" i="10"/>
  <c r="P926" i="10" s="1"/>
  <c r="K949" i="10"/>
  <c r="H949" i="10"/>
  <c r="O949" i="10"/>
  <c r="P949" i="10" s="1"/>
  <c r="K948" i="10"/>
  <c r="H948" i="10"/>
  <c r="O948" i="10"/>
  <c r="P948" i="10" s="1"/>
  <c r="K947" i="10"/>
  <c r="H947" i="10"/>
  <c r="O947" i="10"/>
  <c r="P947" i="10" s="1"/>
  <c r="K946" i="10"/>
  <c r="H946" i="10"/>
  <c r="O946" i="10"/>
  <c r="P946" i="10" s="1"/>
  <c r="K945" i="10"/>
  <c r="H945" i="10"/>
  <c r="O945" i="10"/>
  <c r="P945" i="10" s="1"/>
  <c r="K944" i="10"/>
  <c r="H944" i="10"/>
  <c r="O944" i="10"/>
  <c r="P944" i="10" s="1"/>
  <c r="K943" i="10"/>
  <c r="H943" i="10"/>
  <c r="O943" i="10"/>
  <c r="P943" i="10" s="1"/>
  <c r="K942" i="10"/>
  <c r="H942" i="10"/>
  <c r="O942" i="10"/>
  <c r="P942" i="10" s="1"/>
  <c r="K941" i="10"/>
  <c r="H941" i="10"/>
  <c r="O941" i="10"/>
  <c r="P941" i="10" s="1"/>
  <c r="K940" i="10"/>
  <c r="H940" i="10"/>
  <c r="O940" i="10"/>
  <c r="P940" i="10" s="1"/>
  <c r="K939" i="10"/>
  <c r="H939" i="10"/>
  <c r="O939" i="10"/>
  <c r="P939" i="10" s="1"/>
  <c r="K938" i="10"/>
  <c r="H938" i="10"/>
  <c r="O938" i="10"/>
  <c r="P938" i="10" s="1"/>
  <c r="K937" i="10"/>
  <c r="H937" i="10"/>
  <c r="O937" i="10"/>
  <c r="P937" i="10" s="1"/>
  <c r="K936" i="10"/>
  <c r="H936" i="10"/>
  <c r="O936" i="10"/>
  <c r="P936" i="10" s="1"/>
  <c r="K925" i="10"/>
  <c r="H925" i="10"/>
  <c r="O925" i="10"/>
  <c r="P925" i="10" s="1"/>
  <c r="K924" i="10"/>
  <c r="H924" i="10"/>
  <c r="O924" i="10"/>
  <c r="P924" i="10" s="1"/>
  <c r="K935" i="10"/>
  <c r="H935" i="10"/>
  <c r="O935" i="10"/>
  <c r="P935" i="10" s="1"/>
  <c r="K934" i="10"/>
  <c r="H934" i="10"/>
  <c r="O934" i="10"/>
  <c r="P934" i="10" s="1"/>
  <c r="K933" i="10"/>
  <c r="H933" i="10"/>
  <c r="O933" i="10"/>
  <c r="P933" i="10" s="1"/>
  <c r="K932" i="10"/>
  <c r="H932" i="10"/>
  <c r="O932" i="10"/>
  <c r="P932" i="10" s="1"/>
  <c r="K931" i="10"/>
  <c r="H931" i="10"/>
  <c r="O931" i="10"/>
  <c r="P931" i="10" s="1"/>
  <c r="K930" i="10"/>
  <c r="H930" i="10"/>
  <c r="O930" i="10"/>
  <c r="P930" i="10" s="1"/>
  <c r="K921" i="10"/>
  <c r="K929" i="10"/>
  <c r="H929" i="10"/>
  <c r="O929" i="10"/>
  <c r="P929" i="10" s="1"/>
  <c r="B441" i="22"/>
  <c r="B442" i="22"/>
  <c r="B443" i="22"/>
  <c r="B444" i="22"/>
  <c r="B445" i="22"/>
  <c r="B446" i="22"/>
  <c r="B447" i="22"/>
  <c r="B448" i="22"/>
  <c r="B449" i="22"/>
  <c r="B450" i="22"/>
  <c r="B451" i="22"/>
  <c r="B452" i="22"/>
  <c r="B453" i="22"/>
  <c r="B454" i="22"/>
  <c r="B455" i="22"/>
  <c r="B456" i="22"/>
  <c r="B457" i="22"/>
  <c r="B458" i="22"/>
  <c r="B459" i="22"/>
  <c r="B460" i="22"/>
  <c r="B461" i="22"/>
  <c r="B462" i="22"/>
  <c r="B463" i="22"/>
  <c r="B464" i="22"/>
  <c r="B465" i="22"/>
  <c r="B466" i="22"/>
  <c r="B467" i="22"/>
  <c r="B468" i="22"/>
  <c r="B469" i="22"/>
  <c r="O921" i="10"/>
  <c r="P921" i="10" s="1"/>
  <c r="H921" i="10"/>
  <c r="R3" i="26"/>
  <c r="S3" i="26" s="1"/>
  <c r="T3" i="26"/>
  <c r="U3" i="26"/>
  <c r="AI3" i="26"/>
  <c r="AM3" i="26"/>
  <c r="AO3" i="26"/>
  <c r="AQ3" i="26"/>
  <c r="R4" i="26"/>
  <c r="S4" i="26" s="1"/>
  <c r="T4" i="26"/>
  <c r="U4" i="26"/>
  <c r="AI4" i="26"/>
  <c r="AM4" i="26"/>
  <c r="AO4" i="26"/>
  <c r="AQ4" i="26"/>
  <c r="R5" i="26"/>
  <c r="S5" i="26" s="1"/>
  <c r="T5" i="26"/>
  <c r="U5" i="26"/>
  <c r="AI5" i="26"/>
  <c r="AM5" i="26"/>
  <c r="AO5" i="26"/>
  <c r="AQ5" i="26"/>
  <c r="R6" i="26"/>
  <c r="S6" i="26" s="1"/>
  <c r="T6" i="26"/>
  <c r="U6" i="26"/>
  <c r="AI6" i="26"/>
  <c r="AM6" i="26"/>
  <c r="AO6" i="26"/>
  <c r="AQ6" i="26"/>
  <c r="R7" i="26"/>
  <c r="Z7" i="26" s="1"/>
  <c r="T7" i="26"/>
  <c r="U7" i="26"/>
  <c r="AI7" i="26"/>
  <c r="AM7" i="26"/>
  <c r="AO7" i="26"/>
  <c r="AQ7" i="26"/>
  <c r="R8" i="26"/>
  <c r="S8" i="26" s="1"/>
  <c r="T8" i="26"/>
  <c r="U8" i="26"/>
  <c r="AI8" i="26"/>
  <c r="AM8" i="26"/>
  <c r="AO8" i="26"/>
  <c r="AQ8" i="26"/>
  <c r="R9" i="26"/>
  <c r="S9" i="26" s="1"/>
  <c r="T9" i="26"/>
  <c r="U9" i="26"/>
  <c r="AI9" i="26"/>
  <c r="AM9" i="26"/>
  <c r="AO9" i="26"/>
  <c r="AQ9" i="26"/>
  <c r="R10" i="26"/>
  <c r="S10" i="26" s="1"/>
  <c r="T10" i="26"/>
  <c r="U10" i="26"/>
  <c r="AI10" i="26"/>
  <c r="AM10" i="26"/>
  <c r="AO10" i="26"/>
  <c r="AQ10" i="26"/>
  <c r="R11" i="26"/>
  <c r="S11" i="26" s="1"/>
  <c r="T11" i="26"/>
  <c r="U11" i="26"/>
  <c r="AI11" i="26"/>
  <c r="AM11" i="26"/>
  <c r="AO11" i="26"/>
  <c r="AQ11" i="26"/>
  <c r="R12" i="26"/>
  <c r="X12" i="26" s="1"/>
  <c r="T12" i="26"/>
  <c r="U12" i="26"/>
  <c r="AI12" i="26"/>
  <c r="AM12" i="26"/>
  <c r="AO12" i="26"/>
  <c r="AQ12" i="26"/>
  <c r="R13" i="26"/>
  <c r="S13" i="26" s="1"/>
  <c r="T13" i="26"/>
  <c r="U13" i="26"/>
  <c r="AI13" i="26"/>
  <c r="AM13" i="26"/>
  <c r="AO13" i="26"/>
  <c r="AQ13" i="26"/>
  <c r="R14" i="26"/>
  <c r="S14" i="26" s="1"/>
  <c r="T14" i="26"/>
  <c r="U14" i="26"/>
  <c r="AI14" i="26"/>
  <c r="AM14" i="26"/>
  <c r="AO14" i="26"/>
  <c r="AQ14" i="26"/>
  <c r="R15" i="26"/>
  <c r="T15" i="26"/>
  <c r="U15" i="26"/>
  <c r="AI15" i="26"/>
  <c r="AM15" i="26"/>
  <c r="AO15" i="26"/>
  <c r="AQ15" i="26"/>
  <c r="R16" i="26"/>
  <c r="S16" i="26" s="1"/>
  <c r="T16" i="26"/>
  <c r="U16" i="26"/>
  <c r="AI16" i="26"/>
  <c r="AM16" i="26"/>
  <c r="AO16" i="26"/>
  <c r="AQ16" i="26"/>
  <c r="R17" i="26"/>
  <c r="Z17" i="26" s="1"/>
  <c r="T17" i="26"/>
  <c r="U17" i="26"/>
  <c r="AI17" i="26"/>
  <c r="AM17" i="26"/>
  <c r="AO17" i="26"/>
  <c r="AQ17" i="26"/>
  <c r="R18" i="26"/>
  <c r="T18" i="26"/>
  <c r="U18" i="26"/>
  <c r="AI18" i="26"/>
  <c r="AM18" i="26"/>
  <c r="AO18" i="26"/>
  <c r="AQ18" i="26"/>
  <c r="R19" i="26"/>
  <c r="X19" i="26" s="1"/>
  <c r="T19" i="26"/>
  <c r="U19" i="26"/>
  <c r="AI19" i="26"/>
  <c r="AM19" i="26"/>
  <c r="AO19" i="26"/>
  <c r="AQ19" i="26"/>
  <c r="R20" i="26"/>
  <c r="S20" i="26" s="1"/>
  <c r="T20" i="26"/>
  <c r="U20" i="26"/>
  <c r="AI20" i="26"/>
  <c r="AM20" i="26"/>
  <c r="AO20" i="26"/>
  <c r="AQ20" i="26"/>
  <c r="R21" i="26"/>
  <c r="X21" i="26" s="1"/>
  <c r="T21" i="26"/>
  <c r="U21" i="26"/>
  <c r="AI21" i="26"/>
  <c r="AM21" i="26"/>
  <c r="AO21" i="26"/>
  <c r="AQ21" i="26"/>
  <c r="R22" i="26"/>
  <c r="S22" i="26" s="1"/>
  <c r="T22" i="26"/>
  <c r="U22" i="26"/>
  <c r="AI22" i="26"/>
  <c r="AM22" i="26"/>
  <c r="AO22" i="26"/>
  <c r="AQ22" i="26"/>
  <c r="R23" i="26"/>
  <c r="S23" i="26" s="1"/>
  <c r="T23" i="26"/>
  <c r="U23" i="26"/>
  <c r="AI23" i="26"/>
  <c r="AM23" i="26"/>
  <c r="AO23" i="26"/>
  <c r="AQ23" i="26"/>
  <c r="R24" i="26"/>
  <c r="Z24" i="26" s="1"/>
  <c r="T24" i="26"/>
  <c r="U24" i="26"/>
  <c r="AI24" i="26"/>
  <c r="AM24" i="26"/>
  <c r="AO24" i="26"/>
  <c r="AQ24" i="26"/>
  <c r="R25" i="26"/>
  <c r="X25" i="26" s="1"/>
  <c r="T25" i="26"/>
  <c r="U25" i="26"/>
  <c r="AI25" i="26"/>
  <c r="AM25" i="26"/>
  <c r="AO25" i="26"/>
  <c r="AQ25" i="26"/>
  <c r="R26" i="26"/>
  <c r="S26" i="26" s="1"/>
  <c r="T26" i="26"/>
  <c r="U26" i="26"/>
  <c r="AI26" i="26"/>
  <c r="AM26" i="26"/>
  <c r="AO26" i="26"/>
  <c r="AQ26" i="26"/>
  <c r="R27" i="26"/>
  <c r="X27" i="26" s="1"/>
  <c r="T27" i="26"/>
  <c r="U27" i="26"/>
  <c r="AI27" i="26"/>
  <c r="AM27" i="26"/>
  <c r="AO27" i="26"/>
  <c r="AQ27" i="26"/>
  <c r="R28" i="26"/>
  <c r="S28" i="26" s="1"/>
  <c r="T28" i="26"/>
  <c r="U28" i="26"/>
  <c r="AI28" i="26"/>
  <c r="AM28" i="26"/>
  <c r="AO28" i="26"/>
  <c r="AQ28" i="26"/>
  <c r="R29" i="26"/>
  <c r="S29" i="26" s="1"/>
  <c r="T29" i="26"/>
  <c r="U29" i="26"/>
  <c r="AI29" i="26"/>
  <c r="AM29" i="26"/>
  <c r="AO29" i="26"/>
  <c r="AQ29" i="26"/>
  <c r="R30" i="26"/>
  <c r="S30" i="26" s="1"/>
  <c r="T30" i="26"/>
  <c r="U30" i="26"/>
  <c r="AI30" i="26"/>
  <c r="AM30" i="26"/>
  <c r="AO30" i="26"/>
  <c r="AQ30" i="26"/>
  <c r="R31" i="26"/>
  <c r="S31" i="26" s="1"/>
  <c r="T31" i="26"/>
  <c r="U31" i="26"/>
  <c r="AI31" i="26"/>
  <c r="AM31" i="26"/>
  <c r="AO31" i="26"/>
  <c r="AQ31" i="26"/>
  <c r="R32" i="26"/>
  <c r="T32" i="26"/>
  <c r="U32" i="26"/>
  <c r="AI32" i="26"/>
  <c r="AM32" i="26"/>
  <c r="AO32" i="26"/>
  <c r="AQ32" i="26"/>
  <c r="R33" i="26"/>
  <c r="S33" i="26" s="1"/>
  <c r="T33" i="26"/>
  <c r="U33" i="26"/>
  <c r="AI33" i="26"/>
  <c r="AM33" i="26"/>
  <c r="AO33" i="26"/>
  <c r="AQ33" i="26"/>
  <c r="R34" i="26"/>
  <c r="Z34" i="26" s="1"/>
  <c r="T34" i="26"/>
  <c r="U34" i="26"/>
  <c r="AI34" i="26"/>
  <c r="AM34" i="26"/>
  <c r="AO34" i="26"/>
  <c r="AQ34" i="26"/>
  <c r="R35" i="26"/>
  <c r="T35" i="26"/>
  <c r="U35" i="26"/>
  <c r="AI35" i="26"/>
  <c r="AM35" i="26"/>
  <c r="AO35" i="26"/>
  <c r="AQ35" i="26"/>
  <c r="R36" i="26"/>
  <c r="S36" i="26" s="1"/>
  <c r="T36" i="26"/>
  <c r="U36" i="26"/>
  <c r="AI36" i="26"/>
  <c r="AM36" i="26"/>
  <c r="AO36" i="26"/>
  <c r="AQ36" i="26"/>
  <c r="R37" i="26"/>
  <c r="S37" i="26" s="1"/>
  <c r="T37" i="26"/>
  <c r="U37" i="26"/>
  <c r="AI37" i="26"/>
  <c r="AM37" i="26"/>
  <c r="AO37" i="26"/>
  <c r="AQ37" i="26"/>
  <c r="R38" i="26"/>
  <c r="Z38" i="26" s="1"/>
  <c r="T38" i="26"/>
  <c r="U38" i="26"/>
  <c r="AI38" i="26"/>
  <c r="AM38" i="26"/>
  <c r="AO38" i="26"/>
  <c r="AQ38" i="26"/>
  <c r="R39" i="26"/>
  <c r="X39" i="26" s="1"/>
  <c r="T39" i="26"/>
  <c r="U39" i="26"/>
  <c r="AI39" i="26"/>
  <c r="AM39" i="26"/>
  <c r="AO39" i="26"/>
  <c r="AQ39" i="26"/>
  <c r="R40" i="26"/>
  <c r="S40" i="26" s="1"/>
  <c r="T40" i="26"/>
  <c r="U40" i="26"/>
  <c r="AI40" i="26"/>
  <c r="AM40" i="26"/>
  <c r="AO40" i="26"/>
  <c r="AQ40" i="26"/>
  <c r="R41" i="26"/>
  <c r="Z41" i="26" s="1"/>
  <c r="T41" i="26"/>
  <c r="U41" i="26"/>
  <c r="AI41" i="26"/>
  <c r="AM41" i="26"/>
  <c r="AO41" i="26"/>
  <c r="AQ41" i="26"/>
  <c r="R42" i="26"/>
  <c r="S42" i="26" s="1"/>
  <c r="T42" i="26"/>
  <c r="U42" i="26"/>
  <c r="AI42" i="26"/>
  <c r="AM42" i="26"/>
  <c r="AO42" i="26"/>
  <c r="AQ42" i="26"/>
  <c r="R43" i="26"/>
  <c r="S43" i="26" s="1"/>
  <c r="T43" i="26"/>
  <c r="U43" i="26"/>
  <c r="AI43" i="26"/>
  <c r="AM43" i="26"/>
  <c r="AO43" i="26"/>
  <c r="AQ43" i="26"/>
  <c r="R44" i="26"/>
  <c r="X44" i="26" s="1"/>
  <c r="T44" i="26"/>
  <c r="U44" i="26"/>
  <c r="AI44" i="26"/>
  <c r="AM44" i="26"/>
  <c r="AO44" i="26"/>
  <c r="AQ44" i="26"/>
  <c r="R45" i="26"/>
  <c r="S45" i="26" s="1"/>
  <c r="T45" i="26"/>
  <c r="U45" i="26"/>
  <c r="AI45" i="26"/>
  <c r="AM45" i="26"/>
  <c r="AO45" i="26"/>
  <c r="AQ45" i="26"/>
  <c r="R46" i="26"/>
  <c r="S46" i="26" s="1"/>
  <c r="T46" i="26"/>
  <c r="U46" i="26"/>
  <c r="AI46" i="26"/>
  <c r="AM46" i="26"/>
  <c r="AO46" i="26"/>
  <c r="AQ46" i="26"/>
  <c r="R47" i="26"/>
  <c r="S47" i="26" s="1"/>
  <c r="T47" i="26"/>
  <c r="U47" i="26"/>
  <c r="AI47" i="26"/>
  <c r="AM47" i="26"/>
  <c r="AO47" i="26"/>
  <c r="AQ47" i="26"/>
  <c r="R48" i="26"/>
  <c r="S48" i="26" s="1"/>
  <c r="T48" i="26"/>
  <c r="U48" i="26"/>
  <c r="AI48" i="26"/>
  <c r="AM48" i="26"/>
  <c r="AO48" i="26"/>
  <c r="AQ48" i="26"/>
  <c r="R49" i="26"/>
  <c r="X49" i="26" s="1"/>
  <c r="T49" i="26"/>
  <c r="U49" i="26"/>
  <c r="AI49" i="26"/>
  <c r="AM49" i="26"/>
  <c r="AO49" i="26"/>
  <c r="AQ49" i="26"/>
  <c r="R50" i="26"/>
  <c r="Z50" i="26" s="1"/>
  <c r="T50" i="26"/>
  <c r="U50" i="26"/>
  <c r="AI50" i="26"/>
  <c r="AM50" i="26"/>
  <c r="AO50" i="26"/>
  <c r="AQ50" i="26"/>
  <c r="R51" i="26"/>
  <c r="S51" i="26" s="1"/>
  <c r="T51" i="26"/>
  <c r="U51" i="26"/>
  <c r="AI51" i="26"/>
  <c r="AM51" i="26"/>
  <c r="AO51" i="26"/>
  <c r="AQ51" i="26"/>
  <c r="R52" i="26"/>
  <c r="T52" i="26"/>
  <c r="U52" i="26"/>
  <c r="AI52" i="26"/>
  <c r="AM52" i="26"/>
  <c r="AO52" i="26"/>
  <c r="AQ52" i="26"/>
  <c r="R53" i="26"/>
  <c r="S53" i="26" s="1"/>
  <c r="T53" i="26"/>
  <c r="U53" i="26"/>
  <c r="AI53" i="26"/>
  <c r="AM53" i="26"/>
  <c r="AO53" i="26"/>
  <c r="AQ53" i="26"/>
  <c r="R54" i="26"/>
  <c r="S54" i="26" s="1"/>
  <c r="T54" i="26"/>
  <c r="U54" i="26"/>
  <c r="AI54" i="26"/>
  <c r="AM54" i="26"/>
  <c r="AO54" i="26"/>
  <c r="AQ54" i="26"/>
  <c r="R55" i="26"/>
  <c r="Z55" i="26" s="1"/>
  <c r="T55" i="26"/>
  <c r="U55" i="26"/>
  <c r="AI55" i="26"/>
  <c r="AM55" i="26"/>
  <c r="AO55" i="26"/>
  <c r="AQ55" i="26"/>
  <c r="R56" i="26"/>
  <c r="S56" i="26" s="1"/>
  <c r="T56" i="26"/>
  <c r="U56" i="26"/>
  <c r="AI56" i="26"/>
  <c r="AM56" i="26"/>
  <c r="AO56" i="26"/>
  <c r="AQ56" i="26"/>
  <c r="R57" i="26"/>
  <c r="S57" i="26" s="1"/>
  <c r="T57" i="26"/>
  <c r="U57" i="26"/>
  <c r="AI57" i="26"/>
  <c r="AM57" i="26"/>
  <c r="AO57" i="26"/>
  <c r="AQ57" i="26"/>
  <c r="R58" i="26"/>
  <c r="S58" i="26" s="1"/>
  <c r="T58" i="26"/>
  <c r="U58" i="26"/>
  <c r="AI58" i="26"/>
  <c r="AM58" i="26"/>
  <c r="AO58" i="26"/>
  <c r="AQ58" i="26"/>
  <c r="R59" i="26"/>
  <c r="S59" i="26" s="1"/>
  <c r="T59" i="26"/>
  <c r="U59" i="26"/>
  <c r="AB59" i="26"/>
  <c r="AC59" i="26"/>
  <c r="AI59" i="26"/>
  <c r="AM59" i="26"/>
  <c r="AO59" i="26"/>
  <c r="AQ59" i="26"/>
  <c r="R60" i="26"/>
  <c r="S60" i="26" s="1"/>
  <c r="T60" i="26"/>
  <c r="U60" i="26"/>
  <c r="AI60" i="26"/>
  <c r="AM60" i="26"/>
  <c r="AO60" i="26"/>
  <c r="AQ60" i="26"/>
  <c r="R61" i="26"/>
  <c r="Z61" i="26" s="1"/>
  <c r="T61" i="26"/>
  <c r="U61" i="26"/>
  <c r="AI61" i="26"/>
  <c r="AM61" i="26"/>
  <c r="AO61" i="26"/>
  <c r="AQ61" i="26"/>
  <c r="R62" i="26"/>
  <c r="S62" i="26" s="1"/>
  <c r="T62" i="26"/>
  <c r="U62" i="26"/>
  <c r="AI62" i="26"/>
  <c r="AM62" i="26"/>
  <c r="AO62" i="26"/>
  <c r="AQ62" i="26"/>
  <c r="R63" i="26"/>
  <c r="Z63" i="26" s="1"/>
  <c r="T63" i="26"/>
  <c r="U63" i="26"/>
  <c r="AI63" i="26"/>
  <c r="AM63" i="26"/>
  <c r="AO63" i="26"/>
  <c r="AQ63" i="26"/>
  <c r="R64" i="26"/>
  <c r="S64" i="26" s="1"/>
  <c r="T64" i="26"/>
  <c r="U64" i="26"/>
  <c r="AI64" i="26"/>
  <c r="AM64" i="26"/>
  <c r="AO64" i="26"/>
  <c r="AQ64" i="26"/>
  <c r="R65" i="26"/>
  <c r="S65" i="26" s="1"/>
  <c r="T65" i="26"/>
  <c r="U65" i="26"/>
  <c r="AI65" i="26"/>
  <c r="AM65" i="26"/>
  <c r="AO65" i="26"/>
  <c r="AQ65" i="26"/>
  <c r="R66" i="26"/>
  <c r="X66" i="26" s="1"/>
  <c r="T66" i="26"/>
  <c r="U66" i="26"/>
  <c r="AI66" i="26"/>
  <c r="AM66" i="26"/>
  <c r="AO66" i="26"/>
  <c r="AQ66" i="26"/>
  <c r="R67" i="26"/>
  <c r="Z67" i="26" s="1"/>
  <c r="T67" i="26"/>
  <c r="U67" i="26"/>
  <c r="AB67" i="26"/>
  <c r="AI67" i="26"/>
  <c r="AM67" i="26"/>
  <c r="AO67" i="26"/>
  <c r="AQ67" i="26"/>
  <c r="R68" i="26"/>
  <c r="S68" i="26" s="1"/>
  <c r="T68" i="26"/>
  <c r="U68" i="26"/>
  <c r="AI68" i="26"/>
  <c r="AM68" i="26"/>
  <c r="AO68" i="26"/>
  <c r="AQ68" i="26"/>
  <c r="R69" i="26"/>
  <c r="Z69" i="26" s="1"/>
  <c r="T69" i="26"/>
  <c r="U69" i="26"/>
  <c r="AI69" i="26"/>
  <c r="AM69" i="26"/>
  <c r="AO69" i="26"/>
  <c r="AQ69" i="26"/>
  <c r="R70" i="26"/>
  <c r="Z70" i="26" s="1"/>
  <c r="T70" i="26"/>
  <c r="U70" i="26"/>
  <c r="AI70" i="26"/>
  <c r="AM70" i="26"/>
  <c r="AO70" i="26"/>
  <c r="AQ70" i="26"/>
  <c r="R71" i="26"/>
  <c r="Z71" i="26" s="1"/>
  <c r="T71" i="26"/>
  <c r="U71" i="26"/>
  <c r="AI71" i="26"/>
  <c r="AM71" i="26"/>
  <c r="AO71" i="26"/>
  <c r="AQ71" i="26"/>
  <c r="R72" i="26"/>
  <c r="S72" i="26" s="1"/>
  <c r="T72" i="26"/>
  <c r="U72" i="26"/>
  <c r="AI72" i="26"/>
  <c r="AM72" i="26"/>
  <c r="AO72" i="26"/>
  <c r="AQ72" i="26"/>
  <c r="R73" i="26"/>
  <c r="Z73" i="26" s="1"/>
  <c r="T73" i="26"/>
  <c r="U73" i="26"/>
  <c r="AB73" i="26"/>
  <c r="AI73" i="26"/>
  <c r="AM73" i="26"/>
  <c r="AO73" i="26"/>
  <c r="AQ73" i="26"/>
  <c r="R74" i="26"/>
  <c r="S74" i="26" s="1"/>
  <c r="T74" i="26"/>
  <c r="U74" i="26"/>
  <c r="AI74" i="26"/>
  <c r="AM74" i="26"/>
  <c r="AO74" i="26"/>
  <c r="AQ74" i="26"/>
  <c r="R75" i="26"/>
  <c r="S75" i="26" s="1"/>
  <c r="T75" i="26"/>
  <c r="U75" i="26"/>
  <c r="AI75" i="26"/>
  <c r="AM75" i="26"/>
  <c r="AO75" i="26"/>
  <c r="AQ75" i="26"/>
  <c r="R76" i="26"/>
  <c r="S76" i="26" s="1"/>
  <c r="T76" i="26"/>
  <c r="U76" i="26"/>
  <c r="AI76" i="26"/>
  <c r="AM76" i="26"/>
  <c r="AO76" i="26"/>
  <c r="AQ76" i="26"/>
  <c r="R77" i="26"/>
  <c r="Z77" i="26" s="1"/>
  <c r="T77" i="26"/>
  <c r="U77" i="26"/>
  <c r="AI77" i="26"/>
  <c r="AM77" i="26"/>
  <c r="AO77" i="26"/>
  <c r="AQ77" i="26"/>
  <c r="R78" i="26"/>
  <c r="T78" i="26"/>
  <c r="U78" i="26"/>
  <c r="AI78" i="26"/>
  <c r="AM78" i="26"/>
  <c r="AO78" i="26"/>
  <c r="AQ78" i="26"/>
  <c r="R79" i="26"/>
  <c r="S79" i="26" s="1"/>
  <c r="T79" i="26"/>
  <c r="U79" i="26"/>
  <c r="AI79" i="26"/>
  <c r="AM79" i="26"/>
  <c r="AO79" i="26"/>
  <c r="AQ79" i="26"/>
  <c r="R80" i="26"/>
  <c r="X80" i="26" s="1"/>
  <c r="T80" i="26"/>
  <c r="U80" i="26"/>
  <c r="AI80" i="26"/>
  <c r="AM80" i="26"/>
  <c r="AO80" i="26"/>
  <c r="AQ80" i="26"/>
  <c r="R81" i="26"/>
  <c r="X81" i="26" s="1"/>
  <c r="T81" i="26"/>
  <c r="U81" i="26"/>
  <c r="AI81" i="26"/>
  <c r="AM81" i="26"/>
  <c r="AO81" i="26"/>
  <c r="AQ81" i="26"/>
  <c r="R82" i="26"/>
  <c r="Z82" i="26" s="1"/>
  <c r="T82" i="26"/>
  <c r="U82" i="26"/>
  <c r="AI82" i="26"/>
  <c r="AM82" i="26"/>
  <c r="AO82" i="26"/>
  <c r="AQ82" i="26"/>
  <c r="R83" i="26"/>
  <c r="X83" i="26" s="1"/>
  <c r="T83" i="26"/>
  <c r="U83" i="26"/>
  <c r="AI83" i="26"/>
  <c r="AM83" i="26"/>
  <c r="AO83" i="26"/>
  <c r="AQ83" i="26"/>
  <c r="R84" i="26"/>
  <c r="X84" i="26" s="1"/>
  <c r="T84" i="26"/>
  <c r="U84" i="26"/>
  <c r="AI84" i="26"/>
  <c r="AM84" i="26"/>
  <c r="AO84" i="26"/>
  <c r="AQ84" i="26"/>
  <c r="R85" i="26"/>
  <c r="S85" i="26" s="1"/>
  <c r="T85" i="26"/>
  <c r="U85" i="26"/>
  <c r="AI85" i="26"/>
  <c r="AM85" i="26"/>
  <c r="AO85" i="26"/>
  <c r="AQ85" i="26"/>
  <c r="R86" i="26"/>
  <c r="S86" i="26" s="1"/>
  <c r="T86" i="26"/>
  <c r="U86" i="26"/>
  <c r="AI86" i="26"/>
  <c r="AM86" i="26"/>
  <c r="AO86" i="26"/>
  <c r="AQ86" i="26"/>
  <c r="R87" i="26"/>
  <c r="Z87" i="26" s="1"/>
  <c r="T87" i="26"/>
  <c r="U87" i="26"/>
  <c r="AI87" i="26"/>
  <c r="AM87" i="26"/>
  <c r="AO87" i="26"/>
  <c r="AQ87" i="26"/>
  <c r="R88" i="26"/>
  <c r="S88" i="26" s="1"/>
  <c r="T88" i="26"/>
  <c r="U88" i="26"/>
  <c r="AI88" i="26"/>
  <c r="AM88" i="26"/>
  <c r="AO88" i="26"/>
  <c r="AQ88" i="26"/>
  <c r="R89" i="26"/>
  <c r="S89" i="26" s="1"/>
  <c r="T89" i="26"/>
  <c r="U89" i="26"/>
  <c r="AI89" i="26"/>
  <c r="AM89" i="26"/>
  <c r="AO89" i="26"/>
  <c r="AQ89" i="26"/>
  <c r="R90" i="26"/>
  <c r="X90" i="26" s="1"/>
  <c r="T90" i="26"/>
  <c r="U90" i="26"/>
  <c r="AI90" i="26"/>
  <c r="AM90" i="26"/>
  <c r="AO90" i="26"/>
  <c r="AQ90" i="26"/>
  <c r="R91" i="26"/>
  <c r="X91" i="26" s="1"/>
  <c r="T91" i="26"/>
  <c r="U91" i="26"/>
  <c r="AI91" i="26"/>
  <c r="AM91" i="26"/>
  <c r="AO91" i="26"/>
  <c r="AQ91" i="26"/>
  <c r="R92" i="26"/>
  <c r="S92" i="26" s="1"/>
  <c r="T92" i="26"/>
  <c r="U92" i="26"/>
  <c r="AI92" i="26"/>
  <c r="AM92" i="26"/>
  <c r="AO92" i="26"/>
  <c r="AQ92" i="26"/>
  <c r="R93" i="26"/>
  <c r="S93" i="26" s="1"/>
  <c r="T93" i="26"/>
  <c r="U93" i="26"/>
  <c r="AI93" i="26"/>
  <c r="AM93" i="26"/>
  <c r="AO93" i="26"/>
  <c r="AQ93" i="26"/>
  <c r="R94" i="26"/>
  <c r="Z94" i="26" s="1"/>
  <c r="T94" i="26"/>
  <c r="U94" i="26"/>
  <c r="AI94" i="26"/>
  <c r="AM94" i="26"/>
  <c r="AO94" i="26"/>
  <c r="AQ94" i="26"/>
  <c r="R95" i="26"/>
  <c r="S95" i="26" s="1"/>
  <c r="T95" i="26"/>
  <c r="U95" i="26"/>
  <c r="AI95" i="26"/>
  <c r="AM95" i="26"/>
  <c r="AO95" i="26"/>
  <c r="AQ95" i="26"/>
  <c r="R96" i="26"/>
  <c r="Z96" i="26" s="1"/>
  <c r="T96" i="26"/>
  <c r="U96" i="26"/>
  <c r="AI96" i="26"/>
  <c r="AM96" i="26"/>
  <c r="AO96" i="26"/>
  <c r="AQ96" i="26"/>
  <c r="R97" i="26"/>
  <c r="X97" i="26" s="1"/>
  <c r="T97" i="26"/>
  <c r="U97" i="26"/>
  <c r="AI97" i="26"/>
  <c r="AM97" i="26"/>
  <c r="AO97" i="26"/>
  <c r="AQ97" i="26"/>
  <c r="R98" i="26"/>
  <c r="S98" i="26" s="1"/>
  <c r="T98" i="26"/>
  <c r="U98" i="26"/>
  <c r="AI98" i="26"/>
  <c r="AM98" i="26"/>
  <c r="AO98" i="26"/>
  <c r="AQ98" i="26"/>
  <c r="R99" i="26"/>
  <c r="S99" i="26" s="1"/>
  <c r="T99" i="26"/>
  <c r="U99" i="26"/>
  <c r="AI99" i="26"/>
  <c r="AM99" i="26"/>
  <c r="AO99" i="26"/>
  <c r="AQ99" i="26"/>
  <c r="R100" i="26"/>
  <c r="Z100" i="26" s="1"/>
  <c r="T100" i="26"/>
  <c r="U100" i="26"/>
  <c r="AI100" i="26"/>
  <c r="AM100" i="26"/>
  <c r="AO100" i="26"/>
  <c r="AQ100" i="26"/>
  <c r="R101" i="26"/>
  <c r="X101" i="26" s="1"/>
  <c r="T101" i="26"/>
  <c r="U101" i="26"/>
  <c r="AI101" i="26"/>
  <c r="AM101" i="26"/>
  <c r="AO101" i="26"/>
  <c r="AQ101" i="26"/>
  <c r="R102" i="26"/>
  <c r="Z102" i="26" s="1"/>
  <c r="T102" i="26"/>
  <c r="U102" i="26"/>
  <c r="AI102" i="26"/>
  <c r="AM102" i="26"/>
  <c r="AO102" i="26"/>
  <c r="AQ102" i="26"/>
  <c r="R103" i="26"/>
  <c r="S103" i="26" s="1"/>
  <c r="T103" i="26"/>
  <c r="U103" i="26"/>
  <c r="AI103" i="26"/>
  <c r="AM103" i="26"/>
  <c r="AO103" i="26"/>
  <c r="AQ103" i="26"/>
  <c r="R104" i="26"/>
  <c r="T104" i="26"/>
  <c r="U104" i="26"/>
  <c r="AI104" i="26"/>
  <c r="AM104" i="26"/>
  <c r="AO104" i="26"/>
  <c r="AQ104" i="26"/>
  <c r="R105" i="26"/>
  <c r="Z105" i="26" s="1"/>
  <c r="T105" i="26"/>
  <c r="U105" i="26"/>
  <c r="AI105" i="26"/>
  <c r="AM105" i="26"/>
  <c r="AO105" i="26"/>
  <c r="AQ105" i="26"/>
  <c r="R106" i="26"/>
  <c r="T106" i="26"/>
  <c r="U106" i="26"/>
  <c r="AI106" i="26"/>
  <c r="AM106" i="26"/>
  <c r="AO106" i="26"/>
  <c r="AQ106" i="26"/>
  <c r="R107" i="26"/>
  <c r="Z107" i="26" s="1"/>
  <c r="T107" i="26"/>
  <c r="U107" i="26"/>
  <c r="AI107" i="26"/>
  <c r="AM107" i="26"/>
  <c r="AO107" i="26"/>
  <c r="AQ107" i="26"/>
  <c r="R108" i="26"/>
  <c r="Z108" i="26" s="1"/>
  <c r="T108" i="26"/>
  <c r="U108" i="26"/>
  <c r="AI108" i="26"/>
  <c r="AM108" i="26"/>
  <c r="AO108" i="26"/>
  <c r="AQ108" i="26"/>
  <c r="R109" i="26"/>
  <c r="Z109" i="26" s="1"/>
  <c r="T109" i="26"/>
  <c r="U109" i="26"/>
  <c r="AI109" i="26"/>
  <c r="AM109" i="26"/>
  <c r="AO109" i="26"/>
  <c r="AQ109" i="26"/>
  <c r="AR1" i="26"/>
  <c r="K909" i="10"/>
  <c r="O909" i="10"/>
  <c r="P909" i="10" s="1"/>
  <c r="H909" i="10"/>
  <c r="B440" i="22"/>
  <c r="B439" i="22"/>
  <c r="I162" i="22"/>
  <c r="B162" i="22"/>
  <c r="B145" i="22"/>
  <c r="B146" i="22"/>
  <c r="B147" i="22"/>
  <c r="B148" i="22"/>
  <c r="B149" i="22"/>
  <c r="J42" i="30" l="1"/>
  <c r="J51" i="30"/>
  <c r="L1075" i="10" a="1"/>
  <c r="L1075" i="10" s="1"/>
  <c r="L1060" i="10" a="1"/>
  <c r="L1060" i="10" s="1"/>
  <c r="L1059" i="10" a="1"/>
  <c r="L1059" i="10" s="1"/>
  <c r="L1058" i="10" a="1"/>
  <c r="L1058" i="10" s="1"/>
  <c r="L1074" i="10" a="1"/>
  <c r="L1074" i="10" s="1"/>
  <c r="L1057" i="10" a="1"/>
  <c r="L1057" i="10" s="1"/>
  <c r="L1056" i="10" a="1"/>
  <c r="L1056" i="10" s="1"/>
  <c r="L1055" i="10" a="1"/>
  <c r="L1055" i="10" s="1"/>
  <c r="L1079" i="10" a="1"/>
  <c r="L1079" i="10" s="1"/>
  <c r="L1054" i="10" a="1"/>
  <c r="L1054" i="10" s="1"/>
  <c r="L980" i="10" a="1"/>
  <c r="L980" i="10" s="1"/>
  <c r="L964" i="10" a="1"/>
  <c r="L964" i="10" s="1"/>
  <c r="L933" i="10" a="1"/>
  <c r="L933" i="10" s="1"/>
  <c r="L1000" i="10" a="1"/>
  <c r="L1000" i="10" s="1"/>
  <c r="L996" i="10" a="1"/>
  <c r="L996" i="10" s="1"/>
  <c r="L993" i="10" a="1"/>
  <c r="L993" i="10" s="1"/>
  <c r="L989" i="10" a="1"/>
  <c r="L989" i="10" s="1"/>
  <c r="L985" i="10" a="1"/>
  <c r="L985" i="10" s="1"/>
  <c r="L981" i="10" a="1"/>
  <c r="L981" i="10" s="1"/>
  <c r="L977" i="10" a="1"/>
  <c r="L977" i="10" s="1"/>
  <c r="L973" i="10" a="1"/>
  <c r="L973" i="10" s="1"/>
  <c r="L969" i="10" a="1"/>
  <c r="L969" i="10" s="1"/>
  <c r="L965" i="10" a="1"/>
  <c r="L965" i="10" s="1"/>
  <c r="L961" i="10" a="1"/>
  <c r="L961" i="10" s="1"/>
  <c r="L957" i="10" a="1"/>
  <c r="L957" i="10" s="1"/>
  <c r="L954" i="10" a="1"/>
  <c r="L954" i="10" s="1"/>
  <c r="L950" i="10" a="1"/>
  <c r="L950" i="10" s="1"/>
  <c r="L946" i="10" a="1"/>
  <c r="L946" i="10" s="1"/>
  <c r="L942" i="10" a="1"/>
  <c r="L942" i="10" s="1"/>
  <c r="L938" i="10" a="1"/>
  <c r="L938" i="10" s="1"/>
  <c r="L934" i="10" a="1"/>
  <c r="L934" i="10" s="1"/>
  <c r="L930" i="10" a="1"/>
  <c r="L930" i="10" s="1"/>
  <c r="L926" i="10" a="1"/>
  <c r="L926" i="10" s="1"/>
  <c r="L919" i="10" a="1"/>
  <c r="L919" i="10" s="1"/>
  <c r="L801" i="10" a="1"/>
  <c r="L801" i="10" s="1"/>
  <c r="L999" i="10" a="1"/>
  <c r="L999" i="10" s="1"/>
  <c r="L984" i="10" a="1"/>
  <c r="L984" i="10" s="1"/>
  <c r="L968" i="10" a="1"/>
  <c r="L968" i="10" s="1"/>
  <c r="L953" i="10" a="1"/>
  <c r="L953" i="10" s="1"/>
  <c r="L929" i="10" a="1"/>
  <c r="L929" i="10" s="1"/>
  <c r="L603" i="10" a="1"/>
  <c r="L603" i="10" s="1"/>
  <c r="L599" i="10" a="1"/>
  <c r="L599" i="10" s="1"/>
  <c r="L495" i="10" a="1"/>
  <c r="L495" i="10" s="1"/>
  <c r="L443" i="10" a="1"/>
  <c r="L443" i="10" s="1"/>
  <c r="L419" i="10" a="1"/>
  <c r="L419" i="10" s="1"/>
  <c r="L379" i="10" a="1"/>
  <c r="L379" i="10" s="1"/>
  <c r="L1071" i="10" a="1"/>
  <c r="L1071" i="10" s="1"/>
  <c r="L1029" i="10" a="1"/>
  <c r="L1029" i="10" s="1"/>
  <c r="L1068" i="10" a="1"/>
  <c r="L1068" i="10" s="1"/>
  <c r="L1078" i="10" a="1"/>
  <c r="L1078" i="10" s="1"/>
  <c r="L1076" i="10" a="1"/>
  <c r="L1076" i="10" s="1"/>
  <c r="L1028" i="10" a="1"/>
  <c r="L1028" i="10" s="1"/>
  <c r="L1072" i="10" a="1"/>
  <c r="L1072" i="10" s="1"/>
  <c r="L1069" i="10" a="1"/>
  <c r="L1069" i="10" s="1"/>
  <c r="L1077" i="10" a="1"/>
  <c r="L1077" i="10" s="1"/>
  <c r="L1070" i="10" a="1"/>
  <c r="L1070" i="10" s="1"/>
  <c r="L1066" i="10" a="1"/>
  <c r="L1066" i="10" s="1"/>
  <c r="L1067" i="10" a="1"/>
  <c r="L1067" i="10" s="1"/>
  <c r="L1065" i="10" a="1"/>
  <c r="L1065" i="10" s="1"/>
  <c r="L1064" i="10" a="1"/>
  <c r="L1064" i="10" s="1"/>
  <c r="L988" i="10" a="1"/>
  <c r="L988" i="10" s="1"/>
  <c r="L972" i="10" a="1"/>
  <c r="L972" i="10" s="1"/>
  <c r="L960" i="10" a="1"/>
  <c r="L960" i="10" s="1"/>
  <c r="L949" i="10" a="1"/>
  <c r="L949" i="10" s="1"/>
  <c r="L941" i="10" a="1"/>
  <c r="L941" i="10" s="1"/>
  <c r="L937" i="10" a="1"/>
  <c r="L937" i="10" s="1"/>
  <c r="L998" i="10" a="1"/>
  <c r="L998" i="10" s="1"/>
  <c r="L991" i="10" a="1"/>
  <c r="L991" i="10" s="1"/>
  <c r="L983" i="10" a="1"/>
  <c r="L983" i="10" s="1"/>
  <c r="L975" i="10" a="1"/>
  <c r="L975" i="10" s="1"/>
  <c r="L967" i="10" a="1"/>
  <c r="L967" i="10" s="1"/>
  <c r="L963" i="10" a="1"/>
  <c r="L963" i="10" s="1"/>
  <c r="L952" i="10" a="1"/>
  <c r="L952" i="10" s="1"/>
  <c r="L940" i="10" a="1"/>
  <c r="L940" i="10" s="1"/>
  <c r="L932" i="10" a="1"/>
  <c r="L932" i="10" s="1"/>
  <c r="L924" i="10" a="1"/>
  <c r="L924" i="10" s="1"/>
  <c r="L763" i="10" a="1"/>
  <c r="L763" i="10" s="1"/>
  <c r="L626" i="10" a="1"/>
  <c r="L626" i="10" s="1"/>
  <c r="L598" i="10" a="1"/>
  <c r="L598" i="10" s="1"/>
  <c r="L582" i="10" a="1"/>
  <c r="L582" i="10" s="1"/>
  <c r="L474" i="10" a="1"/>
  <c r="L474" i="10" s="1"/>
  <c r="L442" i="10" a="1"/>
  <c r="L442" i="10" s="1"/>
  <c r="L992" i="10" a="1"/>
  <c r="L992" i="10" s="1"/>
  <c r="L976" i="10" a="1"/>
  <c r="L976" i="10" s="1"/>
  <c r="L956" i="10" a="1"/>
  <c r="L956" i="10" s="1"/>
  <c r="L945" i="10" a="1"/>
  <c r="L945" i="10" s="1"/>
  <c r="L925" i="10" a="1"/>
  <c r="L925" i="10" s="1"/>
  <c r="L995" i="10" a="1"/>
  <c r="L995" i="10" s="1"/>
  <c r="L987" i="10" a="1"/>
  <c r="L987" i="10" s="1"/>
  <c r="L979" i="10" a="1"/>
  <c r="L979" i="10" s="1"/>
  <c r="L971" i="10" a="1"/>
  <c r="L971" i="10" s="1"/>
  <c r="L959" i="10" a="1"/>
  <c r="L959" i="10" s="1"/>
  <c r="L948" i="10" a="1"/>
  <c r="L948" i="10" s="1"/>
  <c r="L944" i="10" a="1"/>
  <c r="L944" i="10" s="1"/>
  <c r="L936" i="10" a="1"/>
  <c r="L936" i="10" s="1"/>
  <c r="L928" i="10" a="1"/>
  <c r="L928" i="10" s="1"/>
  <c r="L1001" i="10" a="1"/>
  <c r="L1001" i="10" s="1"/>
  <c r="L997" i="10" a="1"/>
  <c r="L997" i="10" s="1"/>
  <c r="L994" i="10" a="1"/>
  <c r="L994" i="10" s="1"/>
  <c r="L982" i="10" a="1"/>
  <c r="L982" i="10" s="1"/>
  <c r="L978" i="10" a="1"/>
  <c r="L978" i="10" s="1"/>
  <c r="L974" i="10" a="1"/>
  <c r="L974" i="10" s="1"/>
  <c r="L970" i="10" a="1"/>
  <c r="L970" i="10" s="1"/>
  <c r="L966" i="10" a="1"/>
  <c r="L966" i="10" s="1"/>
  <c r="L962" i="10" a="1"/>
  <c r="L962" i="10" s="1"/>
  <c r="L958" i="10" a="1"/>
  <c r="L958" i="10" s="1"/>
  <c r="L955" i="10" a="1"/>
  <c r="L955" i="10" s="1"/>
  <c r="L951" i="10" a="1"/>
  <c r="L951" i="10" s="1"/>
  <c r="L947" i="10" a="1"/>
  <c r="L947" i="10" s="1"/>
  <c r="L943" i="10" a="1"/>
  <c r="L943" i="10" s="1"/>
  <c r="L939" i="10" a="1"/>
  <c r="L939" i="10" s="1"/>
  <c r="L935" i="10" a="1"/>
  <c r="L935" i="10" s="1"/>
  <c r="L931" i="10" a="1"/>
  <c r="L931" i="10" s="1"/>
  <c r="L927" i="10" a="1"/>
  <c r="L927" i="10" s="1"/>
  <c r="L875" i="10" a="1"/>
  <c r="L875" i="10" s="1"/>
  <c r="L842" i="10" a="1"/>
  <c r="L842" i="10" s="1"/>
  <c r="L632" i="10" a="1"/>
  <c r="L632" i="10" s="1"/>
  <c r="L624" i="10" a="1"/>
  <c r="L624" i="10" s="1"/>
  <c r="L604" i="10" a="1"/>
  <c r="L604" i="10" s="1"/>
  <c r="L600" i="10" a="1"/>
  <c r="L600" i="10" s="1"/>
  <c r="L596" i="10" a="1"/>
  <c r="L596" i="10" s="1"/>
  <c r="L548" i="10" a="1"/>
  <c r="L548" i="10" s="1"/>
  <c r="L404" i="10" a="1"/>
  <c r="L404" i="10" s="1"/>
  <c r="L392" i="10" a="1"/>
  <c r="L392" i="10" s="1"/>
  <c r="L352" i="10" a="1"/>
  <c r="L352" i="10" s="1"/>
  <c r="L351" i="10" a="1"/>
  <c r="L351" i="10" s="1"/>
  <c r="L323" i="10" a="1"/>
  <c r="L323" i="10" s="1"/>
  <c r="L303" i="10" a="1"/>
  <c r="L303" i="10" s="1"/>
  <c r="L283" i="10" a="1"/>
  <c r="L283" i="10" s="1"/>
  <c r="L259" i="10" a="1"/>
  <c r="L259" i="10" s="1"/>
  <c r="L83" i="10" a="1"/>
  <c r="L83" i="10" s="1"/>
  <c r="L39" i="10" a="1"/>
  <c r="L39" i="10" s="1"/>
  <c r="L1013" i="10" a="1"/>
  <c r="L1013" i="10" s="1"/>
  <c r="L1009" i="10" a="1"/>
  <c r="L1009" i="10" s="1"/>
  <c r="L1005" i="10" a="1"/>
  <c r="L1005" i="10" s="1"/>
  <c r="L1034" i="10" a="1"/>
  <c r="L1034" i="10" s="1"/>
  <c r="L1022" i="10" a="1"/>
  <c r="L1022" i="10" s="1"/>
  <c r="L1047" i="10" a="1"/>
  <c r="L1047" i="10" s="1"/>
  <c r="L1026" i="10" a="1"/>
  <c r="L1026" i="10" s="1"/>
  <c r="L1018" i="10" a="1"/>
  <c r="L1018" i="10" s="1"/>
  <c r="L1038" i="10" a="1"/>
  <c r="L1038" i="10" s="1"/>
  <c r="L382" i="10" a="1"/>
  <c r="L382" i="10" s="1"/>
  <c r="L374" i="10" a="1"/>
  <c r="L374" i="10" s="1"/>
  <c r="L370" i="10" a="1"/>
  <c r="L370" i="10" s="1"/>
  <c r="L322" i="10" a="1"/>
  <c r="L322" i="10" s="1"/>
  <c r="L758" i="10" a="1"/>
  <c r="L758" i="10" s="1"/>
  <c r="L597" i="10" a="1"/>
  <c r="L597" i="10" s="1"/>
  <c r="L565" i="10" a="1"/>
  <c r="L565" i="10" s="1"/>
  <c r="L469" i="10" a="1"/>
  <c r="L469" i="10" s="1"/>
  <c r="L369" i="10" a="1"/>
  <c r="L369" i="10" s="1"/>
  <c r="L286" i="10" a="1"/>
  <c r="L286" i="10" s="1"/>
  <c r="L118" i="10" a="1"/>
  <c r="L118" i="10" s="1"/>
  <c r="L46" i="10" a="1"/>
  <c r="L46" i="10" s="1"/>
  <c r="L42" i="10" a="1"/>
  <c r="L42" i="10" s="1"/>
  <c r="L38" i="10" a="1"/>
  <c r="L38" i="10" s="1"/>
  <c r="L1016" i="10" a="1"/>
  <c r="L1016" i="10" s="1"/>
  <c r="L1012" i="10" a="1"/>
  <c r="L1012" i="10" s="1"/>
  <c r="L1008" i="10" a="1"/>
  <c r="L1008" i="10" s="1"/>
  <c r="L1004" i="10" a="1"/>
  <c r="L1004" i="10" s="1"/>
  <c r="L1036" i="10" a="1"/>
  <c r="L1036" i="10" s="1"/>
  <c r="L1023" i="10" a="1"/>
  <c r="L1023" i="10" s="1"/>
  <c r="L1031" i="10" a="1"/>
  <c r="L1031" i="10" s="1"/>
  <c r="L1046" i="10" a="1"/>
  <c r="L1046" i="10" s="1"/>
  <c r="L1025" i="10" a="1"/>
  <c r="L1025" i="10" s="1"/>
  <c r="L1041" i="10" a="1"/>
  <c r="L1041" i="10" s="1"/>
  <c r="L1037" i="10" a="1"/>
  <c r="L1037" i="10" s="1"/>
  <c r="L1049" i="10" a="1"/>
  <c r="L1049" i="10" s="1"/>
  <c r="L1051" i="10" a="1"/>
  <c r="L1051" i="10" s="1"/>
  <c r="L337" i="10" a="1"/>
  <c r="L337" i="10" s="1"/>
  <c r="L321" i="10" a="1"/>
  <c r="L321" i="10" s="1"/>
  <c r="L301" i="10" a="1"/>
  <c r="L301" i="10" s="1"/>
  <c r="L41" i="10" a="1"/>
  <c r="L41" i="10" s="1"/>
  <c r="L21" i="10" a="1"/>
  <c r="L21" i="10" s="1"/>
  <c r="L1002" i="10" a="1"/>
  <c r="L1002" i="10" s="1"/>
  <c r="L1015" i="10" a="1"/>
  <c r="L1015" i="10" s="1"/>
  <c r="L1011" i="10" a="1"/>
  <c r="L1011" i="10" s="1"/>
  <c r="L1007" i="10" a="1"/>
  <c r="L1007" i="10" s="1"/>
  <c r="L1003" i="10" a="1"/>
  <c r="L1003" i="10" s="1"/>
  <c r="L1035" i="10" a="1"/>
  <c r="L1035" i="10" s="1"/>
  <c r="L1033" i="10" a="1"/>
  <c r="L1033" i="10" s="1"/>
  <c r="L1030" i="10" a="1"/>
  <c r="L1030" i="10" s="1"/>
  <c r="L1045" i="10" a="1"/>
  <c r="L1045" i="10" s="1"/>
  <c r="L1043" i="10" a="1"/>
  <c r="L1043" i="10" s="1"/>
  <c r="L1040" i="10" a="1"/>
  <c r="L1040" i="10" s="1"/>
  <c r="L1052" i="10" a="1"/>
  <c r="L1052" i="10" s="1"/>
  <c r="L96" i="10" a="1"/>
  <c r="L96" i="10" s="1"/>
  <c r="L40" i="10" a="1"/>
  <c r="L40" i="10" s="1"/>
  <c r="L12" i="10" a="1"/>
  <c r="L12" i="10" s="1"/>
  <c r="L4" i="10" a="1"/>
  <c r="L4" i="10" s="1"/>
  <c r="L1014" i="10" a="1"/>
  <c r="L1014" i="10" s="1"/>
  <c r="L1010" i="10" a="1"/>
  <c r="L1010" i="10" s="1"/>
  <c r="L1006" i="10" a="1"/>
  <c r="L1006" i="10" s="1"/>
  <c r="L1024" i="10" a="1"/>
  <c r="L1024" i="10" s="1"/>
  <c r="L1032" i="10" a="1"/>
  <c r="L1032" i="10" s="1"/>
  <c r="L1048" i="10" a="1"/>
  <c r="L1048" i="10" s="1"/>
  <c r="L1044" i="10" a="1"/>
  <c r="L1044" i="10" s="1"/>
  <c r="L1042" i="10" a="1"/>
  <c r="L1042" i="10" s="1"/>
  <c r="L1039" i="10" a="1"/>
  <c r="L1039" i="10" s="1"/>
  <c r="L1027" i="10" a="1"/>
  <c r="L1027" i="10" s="1"/>
  <c r="L1050" i="10" a="1"/>
  <c r="L1050" i="10" s="1"/>
  <c r="L1053" i="10" a="1"/>
  <c r="L1053" i="10" s="1"/>
  <c r="X78" i="26"/>
  <c r="X106" i="26"/>
  <c r="Z4" i="26"/>
  <c r="S106" i="26"/>
  <c r="S63" i="26"/>
  <c r="X63" i="26" s="1"/>
  <c r="S109" i="26"/>
  <c r="X109" i="26" s="1"/>
  <c r="Z37" i="26"/>
  <c r="X3" i="26"/>
  <c r="X45" i="26"/>
  <c r="Z86" i="26"/>
  <c r="S91" i="26"/>
  <c r="Z88" i="26"/>
  <c r="X56" i="26"/>
  <c r="S17" i="26"/>
  <c r="X17" i="26" s="1"/>
  <c r="Z3" i="26"/>
  <c r="S105" i="26"/>
  <c r="X105" i="26" s="1"/>
  <c r="Z66" i="26"/>
  <c r="S97" i="26"/>
  <c r="X99" i="26"/>
  <c r="Z45" i="26"/>
  <c r="S108" i="26"/>
  <c r="Z28" i="26"/>
  <c r="Z97" i="26"/>
  <c r="S90" i="26"/>
  <c r="X33" i="26"/>
  <c r="X82" i="26"/>
  <c r="Z8" i="26"/>
  <c r="S94" i="26"/>
  <c r="S82" i="26"/>
  <c r="X77" i="26"/>
  <c r="X59" i="26"/>
  <c r="S19" i="26"/>
  <c r="S80" i="26"/>
  <c r="Z54" i="26"/>
  <c r="S39" i="26"/>
  <c r="Z31" i="26"/>
  <c r="S73" i="26"/>
  <c r="X73" i="26" s="1"/>
  <c r="Z68" i="26"/>
  <c r="S41" i="26"/>
  <c r="Z58" i="26"/>
  <c r="X22" i="26"/>
  <c r="S83" i="26"/>
  <c r="X65" i="26"/>
  <c r="Z14" i="26"/>
  <c r="S50" i="26"/>
  <c r="X50" i="26" s="1"/>
  <c r="X76" i="26"/>
  <c r="Z80" i="26"/>
  <c r="Z16" i="26"/>
  <c r="X87" i="26"/>
  <c r="Z76" i="26"/>
  <c r="Z103" i="26"/>
  <c r="X103" i="26"/>
  <c r="S96" i="26"/>
  <c r="X96" i="26" s="1"/>
  <c r="Z91" i="26"/>
  <c r="S71" i="26"/>
  <c r="X24" i="26"/>
  <c r="S12" i="26"/>
  <c r="Z93" i="26"/>
  <c r="X6" i="26"/>
  <c r="S70" i="26"/>
  <c r="X61" i="26"/>
  <c r="Z33" i="26"/>
  <c r="X16" i="26"/>
  <c r="S21" i="26"/>
  <c r="S78" i="26"/>
  <c r="X13" i="26"/>
  <c r="X70" i="26"/>
  <c r="Z74" i="26"/>
  <c r="X94" i="26"/>
  <c r="Z60" i="26"/>
  <c r="S44" i="26"/>
  <c r="S25" i="26"/>
  <c r="X71" i="26"/>
  <c r="Z90" i="26"/>
  <c r="Z48" i="26"/>
  <c r="X102" i="26"/>
  <c r="X67" i="26"/>
  <c r="S100" i="26"/>
  <c r="S67" i="26"/>
  <c r="X40" i="26"/>
  <c r="X42" i="26"/>
  <c r="X8" i="26"/>
  <c r="X51" i="26"/>
  <c r="X98" i="26"/>
  <c r="Z25" i="26"/>
  <c r="Z21" i="26"/>
  <c r="Z19" i="26"/>
  <c r="S102" i="26"/>
  <c r="X92" i="26"/>
  <c r="X88" i="26"/>
  <c r="X86" i="26"/>
  <c r="S77" i="26"/>
  <c r="Z65" i="26"/>
  <c r="Z42" i="26"/>
  <c r="X36" i="26"/>
  <c r="S34" i="26"/>
  <c r="X34" i="26" s="1"/>
  <c r="S27" i="26"/>
  <c r="S84" i="26"/>
  <c r="X62" i="26"/>
  <c r="S52" i="26"/>
  <c r="X52" i="26" s="1"/>
  <c r="S35" i="26"/>
  <c r="X35" i="26" s="1"/>
  <c r="Z64" i="26"/>
  <c r="X4" i="26"/>
  <c r="Z6" i="26"/>
  <c r="Z85" i="26"/>
  <c r="S24" i="26"/>
  <c r="S18" i="26"/>
  <c r="X18" i="26" s="1"/>
  <c r="S104" i="26"/>
  <c r="X104" i="26" s="1"/>
  <c r="X10" i="26"/>
  <c r="X93" i="26"/>
  <c r="X85" i="26"/>
  <c r="X58" i="26"/>
  <c r="Z83" i="26"/>
  <c r="X47" i="26"/>
  <c r="X53" i="26"/>
  <c r="Z23" i="26"/>
  <c r="X74" i="26"/>
  <c r="X108" i="26"/>
  <c r="Z106" i="26"/>
  <c r="X100" i="26"/>
  <c r="Z53" i="26"/>
  <c r="Z51" i="26"/>
  <c r="X30" i="26"/>
  <c r="Z11" i="26"/>
  <c r="X23" i="26"/>
  <c r="X57" i="26"/>
  <c r="X29" i="26"/>
  <c r="X64" i="26"/>
  <c r="X79" i="26"/>
  <c r="Z36" i="26"/>
  <c r="X11" i="26"/>
  <c r="S7" i="26"/>
  <c r="X7" i="26" s="1"/>
  <c r="X5" i="26"/>
  <c r="X28" i="26"/>
  <c r="X68" i="26"/>
  <c r="S101" i="26"/>
  <c r="S81" i="26"/>
  <c r="S49" i="26"/>
  <c r="S32" i="26"/>
  <c r="X32" i="26" s="1"/>
  <c r="S15" i="26"/>
  <c r="X15" i="26" s="1"/>
  <c r="Z44" i="26"/>
  <c r="Z27" i="26"/>
  <c r="Z10" i="26"/>
  <c r="S107" i="26"/>
  <c r="X107" i="26" s="1"/>
  <c r="Z99" i="26"/>
  <c r="S87" i="26"/>
  <c r="Z79" i="26"/>
  <c r="S61" i="26"/>
  <c r="S55" i="26"/>
  <c r="X55" i="26" s="1"/>
  <c r="Z47" i="26"/>
  <c r="S38" i="26"/>
  <c r="X38" i="26" s="1"/>
  <c r="Z30" i="26"/>
  <c r="Z13" i="26"/>
  <c r="Z62" i="26"/>
  <c r="Z56" i="26"/>
  <c r="Z39" i="26"/>
  <c r="Z59" i="26"/>
  <c r="Z22" i="26"/>
  <c r="Z5" i="26"/>
  <c r="X48" i="26"/>
  <c r="X31" i="26"/>
  <c r="X14" i="26"/>
  <c r="X60" i="26"/>
  <c r="Z57" i="26"/>
  <c r="X54" i="26"/>
  <c r="Z40" i="26"/>
  <c r="X37" i="26"/>
  <c r="Z20" i="26"/>
  <c r="Z43" i="26"/>
  <c r="Z26" i="26"/>
  <c r="Z9" i="26"/>
  <c r="Z92" i="26"/>
  <c r="X89" i="26"/>
  <c r="Z72" i="26"/>
  <c r="Z98" i="26"/>
  <c r="X95" i="26"/>
  <c r="Z78" i="26"/>
  <c r="Z46" i="26"/>
  <c r="X43" i="26"/>
  <c r="Z29" i="26"/>
  <c r="X26" i="26"/>
  <c r="Z12" i="26"/>
  <c r="X9" i="26"/>
  <c r="Z89" i="26"/>
  <c r="Z49" i="26"/>
  <c r="Z32" i="26"/>
  <c r="Z15" i="26"/>
  <c r="Z84" i="26"/>
  <c r="S69" i="26"/>
  <c r="X69" i="26" s="1"/>
  <c r="S66" i="26"/>
  <c r="Z35" i="26"/>
  <c r="Z18" i="26"/>
  <c r="Z95" i="26"/>
  <c r="Z75" i="26"/>
  <c r="X75" i="26"/>
  <c r="X72" i="26"/>
  <c r="Z101" i="26"/>
  <c r="Z81" i="26"/>
  <c r="Z104" i="26"/>
  <c r="Z52" i="26"/>
  <c r="I411" i="22"/>
  <c r="I410" i="22"/>
  <c r="I409" i="22"/>
  <c r="I408" i="22"/>
  <c r="I407" i="22"/>
  <c r="I406" i="22"/>
  <c r="B408" i="22"/>
  <c r="B409" i="22"/>
  <c r="B410" i="22"/>
  <c r="B406" i="22"/>
  <c r="B407" i="22"/>
  <c r="B411" i="22"/>
  <c r="I119" i="22"/>
  <c r="B119" i="22"/>
  <c r="I129" i="22"/>
  <c r="I130" i="22"/>
  <c r="I131" i="22"/>
  <c r="I132" i="22"/>
  <c r="I133" i="22"/>
  <c r="I134" i="22"/>
  <c r="I135" i="22"/>
  <c r="I136" i="22"/>
  <c r="I137" i="22"/>
  <c r="I138" i="22"/>
  <c r="I139" i="22"/>
  <c r="I140" i="22"/>
  <c r="I141" i="22"/>
  <c r="B137" i="22"/>
  <c r="B138" i="22"/>
  <c r="B139" i="22"/>
  <c r="B140" i="22"/>
  <c r="B131" i="22"/>
  <c r="B132" i="22"/>
  <c r="B133" i="22"/>
  <c r="B134" i="22"/>
  <c r="B135" i="22"/>
  <c r="B136" i="22"/>
  <c r="I124" i="22"/>
  <c r="I125" i="22"/>
  <c r="I126" i="22"/>
  <c r="I127" i="22"/>
  <c r="I128" i="22"/>
  <c r="B124" i="22"/>
  <c r="B125" i="22"/>
  <c r="B126" i="22"/>
  <c r="B127" i="22"/>
  <c r="B128" i="22"/>
  <c r="B129" i="22"/>
  <c r="B130" i="22"/>
  <c r="B141" i="22"/>
  <c r="B33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108" i="22"/>
  <c r="I109" i="22"/>
  <c r="I110" i="22"/>
  <c r="I111" i="22"/>
  <c r="I112" i="22"/>
  <c r="I113" i="22"/>
  <c r="I114" i="22"/>
  <c r="I115" i="22"/>
  <c r="I116" i="22"/>
  <c r="I117" i="22"/>
  <c r="I118" i="22"/>
  <c r="I120" i="22"/>
  <c r="I121" i="22"/>
  <c r="I122" i="22"/>
  <c r="I123" i="22"/>
  <c r="I142" i="22"/>
  <c r="I143" i="22"/>
  <c r="I144" i="22"/>
  <c r="I150" i="22"/>
  <c r="I151" i="22"/>
  <c r="I152" i="22"/>
  <c r="I153" i="22"/>
  <c r="I154" i="22"/>
  <c r="I155" i="22"/>
  <c r="I156" i="22"/>
  <c r="I157" i="22"/>
  <c r="I158" i="22"/>
  <c r="I159" i="22"/>
  <c r="I160" i="22"/>
  <c r="I161" i="22"/>
  <c r="I163" i="22"/>
  <c r="I164" i="22"/>
  <c r="I165" i="22"/>
  <c r="I166" i="22"/>
  <c r="I167" i="22"/>
  <c r="I168" i="22"/>
  <c r="I169" i="22"/>
  <c r="I170" i="22"/>
  <c r="I171" i="22"/>
  <c r="I172" i="22"/>
  <c r="I173" i="22"/>
  <c r="I174" i="22"/>
  <c r="I175" i="22"/>
  <c r="I176" i="22"/>
  <c r="I177" i="22"/>
  <c r="I178" i="22"/>
  <c r="I179" i="22"/>
  <c r="I180" i="22"/>
  <c r="I197" i="22"/>
  <c r="I198" i="22"/>
  <c r="I199" i="22"/>
  <c r="I200" i="22"/>
  <c r="I201" i="22"/>
  <c r="I202" i="22"/>
  <c r="I203" i="22"/>
  <c r="I204" i="22"/>
  <c r="I205" i="22"/>
  <c r="I206" i="22"/>
  <c r="I207" i="22"/>
  <c r="I208" i="22"/>
  <c r="I209" i="22"/>
  <c r="I210" i="22"/>
  <c r="I211" i="22"/>
  <c r="I212" i="22"/>
  <c r="I213" i="22"/>
  <c r="I214" i="22"/>
  <c r="I215" i="22"/>
  <c r="I216" i="22"/>
  <c r="I217" i="22"/>
  <c r="I218" i="22"/>
  <c r="I219" i="22"/>
  <c r="I220" i="22"/>
  <c r="I221" i="22"/>
  <c r="I222" i="22"/>
  <c r="I223" i="22"/>
  <c r="I224" i="22"/>
  <c r="I225" i="22"/>
  <c r="I226" i="22"/>
  <c r="I227" i="22"/>
  <c r="I228" i="22"/>
  <c r="I229" i="22"/>
  <c r="I230" i="22"/>
  <c r="I231" i="22"/>
  <c r="I232" i="22"/>
  <c r="I233" i="22"/>
  <c r="I234" i="22"/>
  <c r="I235" i="22"/>
  <c r="I236" i="22"/>
  <c r="I237" i="22"/>
  <c r="I238" i="22"/>
  <c r="I239" i="22"/>
  <c r="I240" i="22"/>
  <c r="I241" i="22"/>
  <c r="I242" i="22"/>
  <c r="I243" i="22"/>
  <c r="I244" i="22"/>
  <c r="I249" i="22"/>
  <c r="I250" i="22"/>
  <c r="I251" i="22"/>
  <c r="I252" i="22"/>
  <c r="I253" i="22"/>
  <c r="I254" i="22"/>
  <c r="I255" i="22"/>
  <c r="I256" i="22"/>
  <c r="I257" i="22"/>
  <c r="I258" i="22"/>
  <c r="I259" i="22"/>
  <c r="I260" i="22"/>
  <c r="I261" i="22"/>
  <c r="I262" i="22"/>
  <c r="I263" i="22"/>
  <c r="I264" i="22"/>
  <c r="I265" i="22"/>
  <c r="I266" i="22"/>
  <c r="I267" i="22"/>
  <c r="I268" i="22"/>
  <c r="I269" i="22"/>
  <c r="I270" i="22"/>
  <c r="I271" i="22"/>
  <c r="I272" i="22"/>
  <c r="I273" i="22"/>
  <c r="I274" i="22"/>
  <c r="I275" i="22"/>
  <c r="I276" i="22"/>
  <c r="I303" i="22"/>
  <c r="I304" i="22"/>
  <c r="I305" i="22"/>
  <c r="I306" i="22"/>
  <c r="I307" i="22"/>
  <c r="I308" i="22"/>
  <c r="I309" i="22"/>
  <c r="I310" i="22"/>
  <c r="I311" i="22"/>
  <c r="I312" i="22"/>
  <c r="I313" i="22"/>
  <c r="I314" i="22"/>
  <c r="I328" i="22"/>
  <c r="I329" i="22"/>
  <c r="I330" i="22"/>
  <c r="I331" i="22"/>
  <c r="I333" i="22"/>
  <c r="I334" i="22"/>
  <c r="I335" i="22"/>
  <c r="I336" i="22"/>
  <c r="I337" i="22"/>
  <c r="I338" i="22"/>
  <c r="I339" i="22"/>
  <c r="I340" i="22"/>
  <c r="I341" i="22"/>
  <c r="I342" i="22"/>
  <c r="I343" i="22"/>
  <c r="I344" i="22"/>
  <c r="I345" i="22"/>
  <c r="I346" i="22"/>
  <c r="I347" i="22"/>
  <c r="I348" i="22"/>
  <c r="I354" i="22"/>
  <c r="I355" i="22"/>
  <c r="I356" i="22"/>
  <c r="I357" i="22"/>
  <c r="I358" i="22"/>
  <c r="I359" i="22"/>
  <c r="I360" i="22"/>
  <c r="I361" i="22"/>
  <c r="I362" i="22"/>
  <c r="I363" i="22"/>
  <c r="I364" i="22"/>
  <c r="I365" i="22"/>
  <c r="I366" i="22"/>
  <c r="I367" i="22"/>
  <c r="I368" i="22"/>
  <c r="I369" i="22"/>
  <c r="I370" i="22"/>
  <c r="I371" i="22"/>
  <c r="I372" i="22"/>
  <c r="I373" i="22"/>
  <c r="I374" i="22"/>
  <c r="I375" i="22"/>
  <c r="I376" i="22"/>
  <c r="I377" i="22"/>
  <c r="I378" i="22"/>
  <c r="I379" i="22"/>
  <c r="I380" i="22"/>
  <c r="I381" i="22"/>
  <c r="I382" i="22"/>
  <c r="I383" i="22"/>
  <c r="I384" i="22"/>
  <c r="I385" i="22"/>
  <c r="I386" i="22"/>
  <c r="I387" i="22"/>
  <c r="I388" i="22"/>
  <c r="I389" i="22"/>
  <c r="I390" i="22"/>
  <c r="I391" i="22"/>
  <c r="I392" i="22"/>
  <c r="I393" i="22"/>
  <c r="I394" i="22"/>
  <c r="I395" i="22"/>
  <c r="I396" i="22"/>
  <c r="I397" i="22"/>
  <c r="I398" i="22"/>
  <c r="I399" i="22"/>
  <c r="I400" i="22"/>
  <c r="I401" i="22"/>
  <c r="I402" i="22"/>
  <c r="I403" i="22"/>
  <c r="I404" i="22"/>
  <c r="I405" i="22"/>
  <c r="I412" i="22"/>
  <c r="I413" i="22"/>
  <c r="I414" i="22"/>
  <c r="I415" i="22"/>
  <c r="I416" i="22"/>
  <c r="I417" i="22"/>
  <c r="I418" i="22"/>
  <c r="I419" i="22"/>
  <c r="I420" i="22"/>
  <c r="I421" i="22"/>
  <c r="I422" i="22"/>
  <c r="I423" i="22"/>
  <c r="I424" i="22"/>
  <c r="I425" i="22"/>
  <c r="I426" i="22"/>
  <c r="I427" i="22"/>
  <c r="I428" i="22"/>
  <c r="I429" i="22"/>
  <c r="I430" i="22"/>
  <c r="I431" i="22"/>
  <c r="I432" i="22"/>
  <c r="I433" i="22"/>
  <c r="I434" i="22"/>
  <c r="I435" i="22"/>
  <c r="I436" i="22"/>
  <c r="I437" i="22"/>
  <c r="I438" i="22"/>
  <c r="I3" i="22"/>
  <c r="I4" i="22"/>
  <c r="I5" i="22"/>
  <c r="I6" i="22"/>
  <c r="I7" i="22"/>
  <c r="I8" i="22"/>
  <c r="I9" i="22"/>
  <c r="I10" i="22"/>
  <c r="I2" i="22"/>
  <c r="I12" i="22"/>
  <c r="I11" i="22"/>
  <c r="E90" i="12"/>
  <c r="B252" i="20"/>
  <c r="B253" i="20"/>
  <c r="B255" i="20"/>
  <c r="B441" i="20"/>
  <c r="B442" i="20"/>
  <c r="D253" i="20"/>
  <c r="D255" i="20"/>
  <c r="D441" i="20"/>
  <c r="D442" i="20"/>
  <c r="F253" i="20"/>
  <c r="F255" i="20"/>
  <c r="F441" i="20"/>
  <c r="F442" i="20"/>
  <c r="J253" i="20"/>
  <c r="J255" i="20"/>
  <c r="J441" i="20"/>
  <c r="J442" i="20"/>
  <c r="D252" i="20"/>
  <c r="F252" i="20"/>
  <c r="J252" i="20"/>
  <c r="K908" i="10"/>
  <c r="L908" i="10" s="1" a="1"/>
  <c r="L908" i="10" s="1"/>
  <c r="H908" i="10"/>
  <c r="O908" i="10"/>
  <c r="P908" i="10" s="1"/>
  <c r="E44" i="12"/>
  <c r="B248" i="20"/>
  <c r="B249" i="20"/>
  <c r="B439" i="20"/>
  <c r="B440" i="20"/>
  <c r="D249" i="20"/>
  <c r="D439" i="20"/>
  <c r="D440" i="20"/>
  <c r="F249" i="20"/>
  <c r="F439" i="20"/>
  <c r="F440" i="20"/>
  <c r="J249" i="20"/>
  <c r="J439" i="20"/>
  <c r="J440" i="20"/>
  <c r="D248" i="20"/>
  <c r="F248" i="20"/>
  <c r="J248" i="20"/>
  <c r="K919" i="10"/>
  <c r="H919" i="10"/>
  <c r="O919" i="10"/>
  <c r="P919" i="10" s="1"/>
  <c r="K918" i="10"/>
  <c r="L918" i="10" s="1" a="1"/>
  <c r="L918" i="10" s="1"/>
  <c r="O918" i="10"/>
  <c r="P918" i="10" s="1"/>
  <c r="H918" i="10"/>
  <c r="K917" i="10"/>
  <c r="L917" i="10" s="1" a="1"/>
  <c r="L917" i="10" s="1"/>
  <c r="O917" i="10"/>
  <c r="P917" i="10" s="1"/>
  <c r="H917" i="10"/>
  <c r="K895" i="10"/>
  <c r="L895" i="10" s="1" a="1"/>
  <c r="L895" i="10" s="1"/>
  <c r="H895" i="10"/>
  <c r="O895" i="10"/>
  <c r="P895" i="10" s="1"/>
  <c r="K912" i="10"/>
  <c r="L912" i="10" s="1" a="1"/>
  <c r="L912" i="10" s="1"/>
  <c r="H912" i="10"/>
  <c r="O912" i="10"/>
  <c r="P912" i="10" s="1"/>
  <c r="K906" i="10"/>
  <c r="L906" i="10" s="1" a="1"/>
  <c r="L906" i="10" s="1"/>
  <c r="H906" i="10"/>
  <c r="O906" i="10"/>
  <c r="P906" i="10" s="1"/>
  <c r="K893" i="10"/>
  <c r="L893" i="10" s="1" a="1"/>
  <c r="L893" i="10" s="1"/>
  <c r="H893" i="10"/>
  <c r="O893" i="10"/>
  <c r="P893" i="10" s="1"/>
  <c r="K882" i="10"/>
  <c r="L882" i="10" s="1" a="1"/>
  <c r="L882" i="10" s="1"/>
  <c r="H882" i="10"/>
  <c r="O882" i="10"/>
  <c r="P882" i="10" s="1"/>
  <c r="K905" i="10"/>
  <c r="L905" i="10" s="1" a="1"/>
  <c r="L905" i="10" s="1"/>
  <c r="H905" i="10"/>
  <c r="O905" i="10"/>
  <c r="P905" i="10" s="1"/>
  <c r="K902" i="10"/>
  <c r="L902" i="10" s="1" a="1"/>
  <c r="L902" i="10" s="1"/>
  <c r="H902" i="10"/>
  <c r="O902" i="10"/>
  <c r="P902" i="10" s="1"/>
  <c r="K892" i="10"/>
  <c r="L892" i="10" s="1" a="1"/>
  <c r="L892" i="10" s="1"/>
  <c r="H892" i="10"/>
  <c r="O892" i="10"/>
  <c r="P892" i="10" s="1"/>
  <c r="K911" i="10"/>
  <c r="L911" i="10" s="1" a="1"/>
  <c r="L911" i="10" s="1"/>
  <c r="H911" i="10"/>
  <c r="O911" i="10"/>
  <c r="P911" i="10" s="1"/>
  <c r="K904" i="10"/>
  <c r="H904" i="10"/>
  <c r="O904" i="10"/>
  <c r="P904" i="10" s="1"/>
  <c r="K916" i="10"/>
  <c r="L916" i="10" s="1" a="1"/>
  <c r="L916" i="10" s="1"/>
  <c r="H916" i="10"/>
  <c r="O916" i="10"/>
  <c r="P916" i="10" s="1"/>
  <c r="K903" i="10"/>
  <c r="L903" i="10" s="1" a="1"/>
  <c r="L903" i="10" s="1"/>
  <c r="H903" i="10"/>
  <c r="O903" i="10"/>
  <c r="P903" i="10" s="1"/>
  <c r="K891" i="10"/>
  <c r="L891" i="10" s="1" a="1"/>
  <c r="L891" i="10" s="1"/>
  <c r="H891" i="10"/>
  <c r="O891" i="10"/>
  <c r="P891" i="10" s="1"/>
  <c r="K901" i="10"/>
  <c r="L901" i="10" s="1" a="1"/>
  <c r="L901" i="10" s="1"/>
  <c r="H901" i="10"/>
  <c r="O901" i="10"/>
  <c r="P901" i="10" s="1"/>
  <c r="K885" i="10"/>
  <c r="L885" i="10" s="1" a="1"/>
  <c r="L885" i="10" s="1"/>
  <c r="H885" i="10"/>
  <c r="O885" i="10"/>
  <c r="P885" i="10" s="1"/>
  <c r="K907" i="10"/>
  <c r="L907" i="10" s="1" a="1"/>
  <c r="L907" i="10" s="1"/>
  <c r="H907" i="10"/>
  <c r="O907" i="10"/>
  <c r="P907" i="10" s="1"/>
  <c r="K890" i="10"/>
  <c r="L890" i="10" s="1" a="1"/>
  <c r="L890" i="10" s="1"/>
  <c r="H890" i="10"/>
  <c r="O890" i="10"/>
  <c r="P890" i="10" s="1"/>
  <c r="K898" i="10"/>
  <c r="L898" i="10" s="1" a="1"/>
  <c r="L898" i="10" s="1"/>
  <c r="H898" i="10"/>
  <c r="O898" i="10"/>
  <c r="P898" i="10" s="1"/>
  <c r="K889" i="10"/>
  <c r="L889" i="10" s="1" a="1"/>
  <c r="L889" i="10" s="1"/>
  <c r="H889" i="10"/>
  <c r="O889" i="10"/>
  <c r="P889" i="10" s="1"/>
  <c r="K900" i="10"/>
  <c r="L900" i="10" s="1" a="1"/>
  <c r="L900" i="10" s="1"/>
  <c r="K888" i="10"/>
  <c r="L888" i="10" s="1" a="1"/>
  <c r="L888" i="10" s="1"/>
  <c r="H888" i="10"/>
  <c r="O888" i="10"/>
  <c r="P888" i="10" s="1"/>
  <c r="H900" i="10"/>
  <c r="O900" i="10"/>
  <c r="P900" i="10" s="1"/>
  <c r="K915" i="10"/>
  <c r="L915" i="10" s="1" a="1"/>
  <c r="L915" i="10" s="1"/>
  <c r="H915" i="10"/>
  <c r="O915" i="10"/>
  <c r="P915" i="10" s="1"/>
  <c r="K899" i="10"/>
  <c r="L899" i="10" s="1" a="1"/>
  <c r="L899" i="10" s="1"/>
  <c r="H899" i="10"/>
  <c r="O899" i="10"/>
  <c r="P899" i="10" s="1"/>
  <c r="K887" i="10"/>
  <c r="L887" i="10" s="1" a="1"/>
  <c r="L887" i="10" s="1"/>
  <c r="H887" i="10"/>
  <c r="O887" i="10"/>
  <c r="P887" i="10" s="1"/>
  <c r="K914" i="10"/>
  <c r="L914" i="10" s="1" a="1"/>
  <c r="L914" i="10" s="1"/>
  <c r="H914" i="10"/>
  <c r="O914" i="10"/>
  <c r="P914" i="10" s="1"/>
  <c r="K897" i="10"/>
  <c r="L897" i="10" s="1" a="1"/>
  <c r="L897" i="10" s="1"/>
  <c r="H897" i="10"/>
  <c r="O897" i="10"/>
  <c r="P897" i="10" s="1"/>
  <c r="K913" i="10"/>
  <c r="L913" i="10" s="1" a="1"/>
  <c r="L913" i="10" s="1"/>
  <c r="H913" i="10"/>
  <c r="O913" i="10"/>
  <c r="P913" i="10" s="1"/>
  <c r="K886" i="10"/>
  <c r="L886" i="10" s="1" a="1"/>
  <c r="L886" i="10" s="1"/>
  <c r="H886" i="10"/>
  <c r="O886" i="10"/>
  <c r="P886" i="10" s="1"/>
  <c r="K894" i="10"/>
  <c r="L894" i="10" s="1" a="1"/>
  <c r="L894" i="10" s="1"/>
  <c r="H894" i="10"/>
  <c r="O894" i="10"/>
  <c r="P894" i="10" s="1"/>
  <c r="K910" i="10"/>
  <c r="L910" i="10" s="1" a="1"/>
  <c r="L910" i="10" s="1"/>
  <c r="H910" i="10"/>
  <c r="O910" i="10"/>
  <c r="P910" i="10" s="1"/>
  <c r="K884" i="10"/>
  <c r="L884" i="10" s="1" a="1"/>
  <c r="L884" i="10" s="1"/>
  <c r="H884" i="10"/>
  <c r="O884" i="10"/>
  <c r="P884" i="10" s="1"/>
  <c r="E106" i="12"/>
  <c r="B436" i="20"/>
  <c r="B437" i="20"/>
  <c r="B438" i="20"/>
  <c r="B244" i="20"/>
  <c r="B245" i="20"/>
  <c r="D245" i="20"/>
  <c r="F245" i="20"/>
  <c r="J245" i="20"/>
  <c r="D244" i="20"/>
  <c r="F244" i="20"/>
  <c r="J244" i="20"/>
  <c r="D438" i="20"/>
  <c r="F438" i="20"/>
  <c r="J438" i="20"/>
  <c r="D437" i="20"/>
  <c r="F437" i="20"/>
  <c r="J437" i="20"/>
  <c r="D436" i="20"/>
  <c r="F436" i="20"/>
  <c r="J436" i="20"/>
  <c r="K863" i="10"/>
  <c r="L863" i="10" s="1" a="1"/>
  <c r="L863" i="10" s="1"/>
  <c r="H863" i="10"/>
  <c r="O863" i="10"/>
  <c r="P863" i="10" s="1"/>
  <c r="K883" i="10"/>
  <c r="L883" i="10" s="1" a="1"/>
  <c r="L883" i="10" s="1"/>
  <c r="O883" i="10"/>
  <c r="P883" i="10" s="1"/>
  <c r="H883" i="10"/>
  <c r="K846" i="10"/>
  <c r="L846" i="10" s="1" a="1"/>
  <c r="L846" i="10" s="1"/>
  <c r="O846" i="10"/>
  <c r="P846" i="10" s="1"/>
  <c r="H846" i="10"/>
  <c r="K862" i="10"/>
  <c r="L862" i="10" s="1" a="1"/>
  <c r="L862" i="10" s="1"/>
  <c r="O862" i="10"/>
  <c r="P862" i="10" s="1"/>
  <c r="H862" i="10"/>
  <c r="K880" i="10"/>
  <c r="L880" i="10" s="1" a="1"/>
  <c r="L880" i="10" s="1"/>
  <c r="O880" i="10"/>
  <c r="P880" i="10" s="1"/>
  <c r="H880" i="10"/>
  <c r="K879" i="10"/>
  <c r="L879" i="10" s="1" a="1"/>
  <c r="L879" i="10" s="1"/>
  <c r="O879" i="10"/>
  <c r="P879" i="10" s="1"/>
  <c r="H879" i="10"/>
  <c r="K878" i="10"/>
  <c r="L878" i="10" s="1" a="1"/>
  <c r="L878" i="10" s="1"/>
  <c r="O878" i="10"/>
  <c r="P878" i="10" s="1"/>
  <c r="H878" i="10"/>
  <c r="K861" i="10"/>
  <c r="L861" i="10" s="1" a="1"/>
  <c r="L861" i="10" s="1"/>
  <c r="O861" i="10"/>
  <c r="P861" i="10" s="1"/>
  <c r="H861" i="10"/>
  <c r="K877" i="10"/>
  <c r="L877" i="10" s="1" a="1"/>
  <c r="L877" i="10" s="1"/>
  <c r="O877" i="10"/>
  <c r="P877" i="10" s="1"/>
  <c r="H877" i="10"/>
  <c r="K876" i="10"/>
  <c r="L876" i="10" s="1" a="1"/>
  <c r="L876" i="10" s="1"/>
  <c r="O876" i="10"/>
  <c r="P876" i="10" s="1"/>
  <c r="H876" i="10"/>
  <c r="O875" i="10"/>
  <c r="P875" i="10" s="1"/>
  <c r="H875" i="10"/>
  <c r="K874" i="10"/>
  <c r="L874" i="10" s="1" a="1"/>
  <c r="L874" i="10" s="1"/>
  <c r="O874" i="10"/>
  <c r="P874" i="10" s="1"/>
  <c r="H874" i="10"/>
  <c r="K873" i="10"/>
  <c r="L873" i="10" s="1" a="1"/>
  <c r="L873" i="10" s="1"/>
  <c r="H873" i="10"/>
  <c r="O873" i="10"/>
  <c r="P873" i="10" s="1"/>
  <c r="K872" i="10"/>
  <c r="L872" i="10" s="1" a="1"/>
  <c r="L872" i="10" s="1"/>
  <c r="K845" i="10"/>
  <c r="L845" i="10" s="1" a="1"/>
  <c r="L845" i="10" s="1"/>
  <c r="H872" i="10"/>
  <c r="O872" i="10"/>
  <c r="P872" i="10" s="1"/>
  <c r="K871" i="10"/>
  <c r="L871" i="10" s="1" a="1"/>
  <c r="L871" i="10" s="1"/>
  <c r="H871" i="10"/>
  <c r="O871" i="10"/>
  <c r="P871" i="10" s="1"/>
  <c r="K870" i="10"/>
  <c r="L870" i="10" s="1" a="1"/>
  <c r="L870" i="10" s="1"/>
  <c r="H870" i="10"/>
  <c r="O870" i="10"/>
  <c r="P870" i="10" s="1"/>
  <c r="K869" i="10"/>
  <c r="L869" i="10" s="1" a="1"/>
  <c r="L869" i="10" s="1"/>
  <c r="H869" i="10"/>
  <c r="O869" i="10"/>
  <c r="P869" i="10" s="1"/>
  <c r="K868" i="10"/>
  <c r="L868" i="10" s="1" a="1"/>
  <c r="L868" i="10" s="1"/>
  <c r="H868" i="10"/>
  <c r="O868" i="10"/>
  <c r="P868" i="10" s="1"/>
  <c r="K867" i="10"/>
  <c r="L867" i="10" s="1" a="1"/>
  <c r="L867" i="10" s="1"/>
  <c r="H867" i="10"/>
  <c r="O867" i="10"/>
  <c r="P867" i="10" s="1"/>
  <c r="K866" i="10"/>
  <c r="L866" i="10" s="1" a="1"/>
  <c r="L866" i="10" s="1"/>
  <c r="H866" i="10"/>
  <c r="O866" i="10"/>
  <c r="P866" i="10" s="1"/>
  <c r="K860" i="10"/>
  <c r="L860" i="10" s="1" a="1"/>
  <c r="L860" i="10" s="1"/>
  <c r="K810" i="10"/>
  <c r="L810" i="10" s="1" a="1"/>
  <c r="L810" i="10" s="1"/>
  <c r="H860" i="10"/>
  <c r="O860" i="10"/>
  <c r="P860" i="10" s="1"/>
  <c r="K859" i="10"/>
  <c r="L859" i="10" s="1" a="1"/>
  <c r="L859" i="10" s="1"/>
  <c r="H859" i="10"/>
  <c r="O859" i="10"/>
  <c r="P859" i="10" s="1"/>
  <c r="K864" i="10"/>
  <c r="L864" i="10" s="1" a="1"/>
  <c r="L864" i="10" s="1"/>
  <c r="H864" i="10"/>
  <c r="O864" i="10"/>
  <c r="P864" i="10" s="1"/>
  <c r="K858" i="10"/>
  <c r="L858" i="10" s="1" a="1"/>
  <c r="L858" i="10" s="1"/>
  <c r="H858" i="10"/>
  <c r="O858" i="10"/>
  <c r="P858" i="10" s="1"/>
  <c r="K853" i="10"/>
  <c r="L853" i="10" s="1" a="1"/>
  <c r="L853" i="10" s="1"/>
  <c r="H853" i="10"/>
  <c r="O853" i="10"/>
  <c r="P853" i="10" s="1"/>
  <c r="K857" i="10"/>
  <c r="L857" i="10" s="1" a="1"/>
  <c r="L857" i="10" s="1"/>
  <c r="H857" i="10"/>
  <c r="O857" i="10"/>
  <c r="P857" i="10" s="1"/>
  <c r="K852" i="10"/>
  <c r="L852" i="10" s="1" a="1"/>
  <c r="L852" i="10" s="1"/>
  <c r="H852" i="10"/>
  <c r="O852" i="10"/>
  <c r="P852" i="10" s="1"/>
  <c r="K851" i="10"/>
  <c r="L851" i="10" s="1" a="1"/>
  <c r="L851" i="10" s="1"/>
  <c r="H851" i="10"/>
  <c r="O851" i="10"/>
  <c r="P851" i="10" s="1"/>
  <c r="K856" i="10"/>
  <c r="L856" i="10" s="1" a="1"/>
  <c r="L856" i="10" s="1"/>
  <c r="H856" i="10"/>
  <c r="O856" i="10"/>
  <c r="P856" i="10" s="1"/>
  <c r="K855" i="10"/>
  <c r="L855" i="10" s="1" a="1"/>
  <c r="L855" i="10" s="1"/>
  <c r="H855" i="10"/>
  <c r="O855" i="10"/>
  <c r="P855" i="10" s="1"/>
  <c r="K865" i="10"/>
  <c r="L865" i="10" s="1" a="1"/>
  <c r="L865" i="10" s="1"/>
  <c r="H865" i="10"/>
  <c r="O865" i="10"/>
  <c r="P865" i="10" s="1"/>
  <c r="K854" i="10"/>
  <c r="L854" i="10" s="1" a="1"/>
  <c r="L854" i="10" s="1"/>
  <c r="H854" i="10"/>
  <c r="O854" i="10"/>
  <c r="P854" i="10" s="1"/>
  <c r="K881" i="10"/>
  <c r="H881" i="10"/>
  <c r="O881" i="10"/>
  <c r="P881" i="10" s="1"/>
  <c r="E22" i="12"/>
  <c r="B435" i="20"/>
  <c r="B239" i="20"/>
  <c r="B240" i="20"/>
  <c r="B241" i="20"/>
  <c r="D241" i="20"/>
  <c r="F241" i="20"/>
  <c r="J241" i="20"/>
  <c r="D240" i="20"/>
  <c r="F240" i="20"/>
  <c r="J240" i="20"/>
  <c r="D239" i="20"/>
  <c r="F239" i="20"/>
  <c r="J239" i="20"/>
  <c r="D435" i="20"/>
  <c r="F435" i="20"/>
  <c r="J435" i="20"/>
  <c r="K850" i="10"/>
  <c r="H850" i="10"/>
  <c r="O850" i="10"/>
  <c r="P850" i="10" s="1"/>
  <c r="E43" i="12"/>
  <c r="B434" i="20"/>
  <c r="B226" i="20"/>
  <c r="B232" i="20"/>
  <c r="J232" i="20"/>
  <c r="F232" i="20"/>
  <c r="D232" i="20"/>
  <c r="J226" i="20"/>
  <c r="F226" i="20"/>
  <c r="D226" i="20"/>
  <c r="J434" i="20"/>
  <c r="F434" i="20"/>
  <c r="D434" i="20"/>
  <c r="K841" i="10"/>
  <c r="L841" i="10" s="1" a="1"/>
  <c r="L841" i="10" s="1"/>
  <c r="O841" i="10"/>
  <c r="P841" i="10" s="1"/>
  <c r="H841" i="10"/>
  <c r="K848" i="10"/>
  <c r="L848" i="10" s="1" a="1"/>
  <c r="L848" i="10" s="1"/>
  <c r="O848" i="10"/>
  <c r="P848" i="10" s="1"/>
  <c r="H848" i="10"/>
  <c r="K847" i="10"/>
  <c r="L847" i="10" s="1" a="1"/>
  <c r="L847" i="10" s="1"/>
  <c r="O847" i="10"/>
  <c r="P847" i="10" s="1"/>
  <c r="H847" i="10"/>
  <c r="K849" i="10"/>
  <c r="L849" i="10" s="1" a="1"/>
  <c r="L849" i="10" s="1"/>
  <c r="O849" i="10"/>
  <c r="P849" i="10" s="1"/>
  <c r="H849" i="10"/>
  <c r="K811" i="10"/>
  <c r="L811" i="10" s="1" a="1"/>
  <c r="L811" i="10" s="1"/>
  <c r="H811" i="10"/>
  <c r="O811" i="10"/>
  <c r="P811" i="10" s="1"/>
  <c r="K840" i="10"/>
  <c r="L840" i="10" s="1" a="1"/>
  <c r="L840" i="10" s="1"/>
  <c r="H840" i="10"/>
  <c r="O840" i="10"/>
  <c r="P840" i="10" s="1"/>
  <c r="K839" i="10"/>
  <c r="L839" i="10" s="1" a="1"/>
  <c r="L839" i="10" s="1"/>
  <c r="H839" i="10"/>
  <c r="O839" i="10"/>
  <c r="P839" i="10" s="1"/>
  <c r="K838" i="10"/>
  <c r="L838" i="10" s="1" a="1"/>
  <c r="L838" i="10" s="1"/>
  <c r="H838" i="10"/>
  <c r="O838" i="10"/>
  <c r="P838" i="10" s="1"/>
  <c r="K837" i="10"/>
  <c r="L837" i="10" s="1" a="1"/>
  <c r="L837" i="10" s="1"/>
  <c r="H837" i="10"/>
  <c r="O837" i="10"/>
  <c r="P837" i="10" s="1"/>
  <c r="K818" i="10"/>
  <c r="L818" i="10" s="1" a="1"/>
  <c r="L818" i="10" s="1"/>
  <c r="H818" i="10"/>
  <c r="O818" i="10"/>
  <c r="P818" i="10" s="1"/>
  <c r="K835" i="10"/>
  <c r="L835" i="10" s="1" a="1"/>
  <c r="L835" i="10" s="1"/>
  <c r="K836" i="10"/>
  <c r="L836" i="10" s="1" a="1"/>
  <c r="L836" i="10" s="1"/>
  <c r="H836" i="10"/>
  <c r="O836" i="10"/>
  <c r="P836" i="10" s="1"/>
  <c r="H835" i="10"/>
  <c r="O835" i="10"/>
  <c r="P835" i="10" s="1"/>
  <c r="K809" i="10"/>
  <c r="L809" i="10" s="1" a="1"/>
  <c r="L809" i="10" s="1"/>
  <c r="H809" i="10"/>
  <c r="O809" i="10"/>
  <c r="P809" i="10" s="1"/>
  <c r="H845" i="10"/>
  <c r="O845" i="10"/>
  <c r="P845" i="10" s="1"/>
  <c r="K844" i="10"/>
  <c r="L844" i="10" s="1" a="1"/>
  <c r="L844" i="10" s="1"/>
  <c r="H844" i="10"/>
  <c r="O844" i="10"/>
  <c r="P844" i="10" s="1"/>
  <c r="K834" i="10"/>
  <c r="L834" i="10" s="1" a="1"/>
  <c r="L834" i="10" s="1"/>
  <c r="H834" i="10"/>
  <c r="O834" i="10"/>
  <c r="P834" i="10" s="1"/>
  <c r="K833" i="10"/>
  <c r="L833" i="10" s="1" a="1"/>
  <c r="L833" i="10" s="1"/>
  <c r="H833" i="10"/>
  <c r="O833" i="10"/>
  <c r="P833" i="10" s="1"/>
  <c r="K817" i="10"/>
  <c r="L817" i="10" s="1" a="1"/>
  <c r="L817" i="10" s="1"/>
  <c r="H817" i="10"/>
  <c r="O817" i="10"/>
  <c r="P817" i="10" s="1"/>
  <c r="K832" i="10"/>
  <c r="L832" i="10" s="1" a="1"/>
  <c r="L832" i="10" s="1"/>
  <c r="H832" i="10"/>
  <c r="O832" i="10"/>
  <c r="P832" i="10" s="1"/>
  <c r="K816" i="10"/>
  <c r="L816" i="10" s="1" a="1"/>
  <c r="L816" i="10" s="1"/>
  <c r="H816" i="10"/>
  <c r="O816" i="10"/>
  <c r="P816" i="10" s="1"/>
  <c r="H810" i="10"/>
  <c r="O810" i="10"/>
  <c r="P810" i="10" s="1"/>
  <c r="K813" i="10"/>
  <c r="L813" i="10" s="1" a="1"/>
  <c r="L813" i="10" s="1"/>
  <c r="H813" i="10"/>
  <c r="O813" i="10"/>
  <c r="P813" i="10" s="1"/>
  <c r="K821" i="10"/>
  <c r="L821" i="10" s="1" a="1"/>
  <c r="L821" i="10" s="1"/>
  <c r="H821" i="10"/>
  <c r="O821" i="10"/>
  <c r="P821" i="10" s="1"/>
  <c r="K831" i="10"/>
  <c r="L831" i="10" s="1" a="1"/>
  <c r="L831" i="10" s="1"/>
  <c r="H831" i="10"/>
  <c r="O831" i="10"/>
  <c r="P831" i="10" s="1"/>
  <c r="K812" i="10"/>
  <c r="L812" i="10" s="1" a="1"/>
  <c r="L812" i="10" s="1"/>
  <c r="H812" i="10"/>
  <c r="O812" i="10"/>
  <c r="P812" i="10" s="1"/>
  <c r="K815" i="10"/>
  <c r="L815" i="10" s="1" a="1"/>
  <c r="L815" i="10" s="1"/>
  <c r="H815" i="10"/>
  <c r="O815" i="10"/>
  <c r="P815" i="10" s="1"/>
  <c r="K820" i="10"/>
  <c r="L820" i="10" s="1" a="1"/>
  <c r="L820" i="10" s="1"/>
  <c r="H820" i="10"/>
  <c r="O820" i="10"/>
  <c r="P820" i="10" s="1"/>
  <c r="K830" i="10"/>
  <c r="L830" i="10" s="1" a="1"/>
  <c r="L830" i="10" s="1"/>
  <c r="H830" i="10"/>
  <c r="O830" i="10"/>
  <c r="P830" i="10" s="1"/>
  <c r="K843" i="10"/>
  <c r="L843" i="10" s="1" a="1"/>
  <c r="L843" i="10" s="1"/>
  <c r="H843" i="10"/>
  <c r="O843" i="10"/>
  <c r="P843" i="10" s="1"/>
  <c r="K819" i="10"/>
  <c r="L819" i="10" s="1" a="1"/>
  <c r="L819" i="10" s="1"/>
  <c r="H819" i="10"/>
  <c r="O819" i="10"/>
  <c r="P819" i="10" s="1"/>
  <c r="K814" i="10"/>
  <c r="L814" i="10" s="1" a="1"/>
  <c r="L814" i="10" s="1"/>
  <c r="H814" i="10"/>
  <c r="O814" i="10"/>
  <c r="P814" i="10" s="1"/>
  <c r="K829" i="10"/>
  <c r="L829" i="10" s="1" a="1"/>
  <c r="L829" i="10" s="1"/>
  <c r="H829" i="10"/>
  <c r="O829" i="10"/>
  <c r="P829" i="10" s="1"/>
  <c r="K828" i="10"/>
  <c r="L828" i="10" s="1" a="1"/>
  <c r="L828" i="10" s="1"/>
  <c r="H828" i="10"/>
  <c r="O828" i="10"/>
  <c r="P828" i="10" s="1"/>
  <c r="E17" i="12"/>
  <c r="B206" i="20"/>
  <c r="B225" i="20"/>
  <c r="B433" i="20"/>
  <c r="D433" i="20"/>
  <c r="F433" i="20"/>
  <c r="J433" i="20"/>
  <c r="D225" i="20"/>
  <c r="F225" i="20"/>
  <c r="J225" i="20"/>
  <c r="D206" i="20"/>
  <c r="F206" i="20"/>
  <c r="J206" i="20"/>
  <c r="K842" i="10"/>
  <c r="H842" i="10"/>
  <c r="O842" i="10"/>
  <c r="P842" i="10" s="1"/>
  <c r="K827" i="10"/>
  <c r="L827" i="10" s="1" a="1"/>
  <c r="L827" i="10" s="1"/>
  <c r="O827" i="10"/>
  <c r="P827" i="10" s="1"/>
  <c r="H827" i="10"/>
  <c r="K826" i="10"/>
  <c r="L826" i="10" s="1" a="1"/>
  <c r="L826" i="10" s="1"/>
  <c r="O826" i="10"/>
  <c r="P826" i="10" s="1"/>
  <c r="H826" i="10"/>
  <c r="K825" i="10"/>
  <c r="L825" i="10" s="1" a="1"/>
  <c r="L825" i="10" s="1"/>
  <c r="O825" i="10"/>
  <c r="P825" i="10" s="1"/>
  <c r="H825" i="10"/>
  <c r="K824" i="10"/>
  <c r="L824" i="10" s="1" a="1"/>
  <c r="L824" i="10" s="1"/>
  <c r="O824" i="10"/>
  <c r="P824" i="10" s="1"/>
  <c r="H824" i="10"/>
  <c r="K823" i="10"/>
  <c r="L823" i="10" s="1" a="1"/>
  <c r="L823" i="10" s="1"/>
  <c r="O823" i="10"/>
  <c r="P823" i="10" s="1"/>
  <c r="H823" i="10"/>
  <c r="K822" i="10"/>
  <c r="O822" i="10"/>
  <c r="P822" i="10" s="1"/>
  <c r="H822" i="10"/>
  <c r="K808" i="10"/>
  <c r="L808" i="10" s="1" a="1"/>
  <c r="L808" i="10" s="1"/>
  <c r="O808" i="10"/>
  <c r="P808" i="10" s="1"/>
  <c r="H808" i="10"/>
  <c r="K806" i="10"/>
  <c r="L806" i="10" s="1" a="1"/>
  <c r="L806" i="10" s="1"/>
  <c r="K807" i="10"/>
  <c r="L807" i="10" s="1" a="1"/>
  <c r="L807" i="10" s="1"/>
  <c r="H807" i="10"/>
  <c r="O807" i="10"/>
  <c r="P807" i="10" s="1"/>
  <c r="O806" i="10"/>
  <c r="P806" i="10" s="1"/>
  <c r="H806" i="10"/>
  <c r="K805" i="10"/>
  <c r="L805" i="10" s="1" a="1"/>
  <c r="L805" i="10" s="1"/>
  <c r="H805" i="10"/>
  <c r="O805" i="10"/>
  <c r="P805" i="10" s="1"/>
  <c r="R6" i="1"/>
  <c r="R7" i="1"/>
  <c r="R9" i="1"/>
  <c r="R11" i="1"/>
  <c r="R12" i="1"/>
  <c r="R16" i="1"/>
  <c r="R22" i="1"/>
  <c r="R23" i="1"/>
  <c r="R25" i="1"/>
  <c r="R26" i="1"/>
  <c r="R28" i="1"/>
  <c r="R29" i="1"/>
  <c r="R30" i="1"/>
  <c r="R31" i="1"/>
  <c r="R34" i="1"/>
  <c r="R35" i="1"/>
  <c r="R38" i="1"/>
  <c r="R39" i="1"/>
  <c r="R41" i="1"/>
  <c r="R43" i="1"/>
  <c r="R44" i="1"/>
  <c r="R45" i="1"/>
  <c r="R47" i="1"/>
  <c r="R48" i="1"/>
  <c r="R49" i="1"/>
  <c r="R50" i="1"/>
  <c r="R51" i="1"/>
  <c r="R52" i="1"/>
  <c r="R53" i="1"/>
  <c r="R55" i="1"/>
  <c r="R60" i="1"/>
  <c r="R62" i="1"/>
  <c r="R63" i="1"/>
  <c r="R64" i="1"/>
  <c r="R65" i="1"/>
  <c r="R71" i="1"/>
  <c r="R72" i="1"/>
  <c r="R85" i="1"/>
  <c r="R86" i="1"/>
  <c r="R87" i="1"/>
  <c r="R88" i="1"/>
  <c r="R89" i="1"/>
  <c r="R90" i="1"/>
  <c r="R91" i="1"/>
  <c r="R92" i="1"/>
  <c r="R93" i="1"/>
  <c r="R94" i="1"/>
  <c r="R95" i="1"/>
  <c r="R96" i="1"/>
  <c r="R97" i="1"/>
  <c r="R99" i="1"/>
  <c r="R100" i="1"/>
  <c r="R101" i="1"/>
  <c r="R102" i="1"/>
  <c r="R104" i="1"/>
  <c r="R105" i="1"/>
  <c r="R106" i="1"/>
  <c r="R108" i="1"/>
  <c r="R109" i="1"/>
  <c r="R110" i="1"/>
  <c r="R112" i="1"/>
  <c r="R113" i="1"/>
  <c r="R114" i="1"/>
  <c r="Q6" i="1"/>
  <c r="D18" i="15" s="1"/>
  <c r="Q7" i="1"/>
  <c r="Q9" i="1"/>
  <c r="Q11" i="1"/>
  <c r="D16" i="15" s="1"/>
  <c r="Q12" i="1"/>
  <c r="Q16" i="1"/>
  <c r="Q22" i="1"/>
  <c r="Q23" i="1"/>
  <c r="Q25" i="1"/>
  <c r="Q26" i="1"/>
  <c r="Q28" i="1"/>
  <c r="D95" i="15" s="1"/>
  <c r="Q29" i="1"/>
  <c r="Q30" i="1"/>
  <c r="Q31" i="1"/>
  <c r="Q34" i="1"/>
  <c r="Q35" i="1"/>
  <c r="D56" i="15" s="1"/>
  <c r="Q38" i="1"/>
  <c r="D57" i="15" s="1"/>
  <c r="Q39" i="1"/>
  <c r="D63" i="15" s="1"/>
  <c r="Q41" i="1"/>
  <c r="Q43" i="1"/>
  <c r="D41" i="15" s="1"/>
  <c r="Q44" i="1"/>
  <c r="D21" i="15" s="1"/>
  <c r="Q45" i="1"/>
  <c r="D10" i="15" s="1"/>
  <c r="Q47" i="1"/>
  <c r="D44" i="15" s="1"/>
  <c r="Q48" i="1"/>
  <c r="Q49" i="1"/>
  <c r="D49" i="15" s="1"/>
  <c r="Q50" i="1"/>
  <c r="D13" i="15" s="1"/>
  <c r="Q51" i="1"/>
  <c r="D59" i="15" s="1"/>
  <c r="Q52" i="1"/>
  <c r="D29" i="15" s="1"/>
  <c r="Q53" i="1"/>
  <c r="Q55" i="1"/>
  <c r="Q60" i="1"/>
  <c r="Q62" i="1"/>
  <c r="Q63" i="1"/>
  <c r="D116" i="15" s="1"/>
  <c r="Q64" i="1"/>
  <c r="D17" i="15" s="1"/>
  <c r="Q65" i="1"/>
  <c r="Q71" i="1"/>
  <c r="D82" i="15" s="1"/>
  <c r="Q72" i="1"/>
  <c r="Q85" i="1"/>
  <c r="Q86" i="1"/>
  <c r="Q87" i="1"/>
  <c r="Q88" i="1"/>
  <c r="Q89" i="1"/>
  <c r="Q90" i="1"/>
  <c r="Q91" i="1"/>
  <c r="Q92" i="1"/>
  <c r="Q93" i="1"/>
  <c r="Q94" i="1"/>
  <c r="Q95" i="1"/>
  <c r="Q96" i="1"/>
  <c r="Q97" i="1"/>
  <c r="Q99" i="1"/>
  <c r="Q100" i="1"/>
  <c r="Q101" i="1"/>
  <c r="Q102" i="1"/>
  <c r="Q104" i="1"/>
  <c r="Q105" i="1"/>
  <c r="Q106" i="1"/>
  <c r="Q108" i="1"/>
  <c r="Q109" i="1"/>
  <c r="Q110" i="1"/>
  <c r="Q112" i="1"/>
  <c r="Q113" i="1"/>
  <c r="Q114" i="1"/>
  <c r="D123" i="15" l="1"/>
  <c r="D124" i="15"/>
  <c r="D121" i="15"/>
  <c r="D122" i="15"/>
  <c r="D150" i="15"/>
  <c r="D149" i="15"/>
  <c r="D117" i="15"/>
  <c r="D118" i="15"/>
  <c r="D38" i="15"/>
  <c r="D39" i="15"/>
  <c r="D173" i="15"/>
  <c r="D174" i="15"/>
  <c r="D148" i="15"/>
  <c r="D147" i="15"/>
  <c r="D47" i="15"/>
  <c r="D48" i="15"/>
  <c r="D85" i="15"/>
  <c r="D87" i="15"/>
  <c r="D86" i="15"/>
  <c r="D127" i="15"/>
  <c r="D128" i="15"/>
  <c r="D171" i="15"/>
  <c r="D172" i="15"/>
  <c r="D161" i="15"/>
  <c r="D162" i="15"/>
  <c r="D153" i="15"/>
  <c r="D154" i="15"/>
  <c r="D146" i="15"/>
  <c r="D145" i="15"/>
  <c r="D138" i="15"/>
  <c r="D137" i="15"/>
  <c r="D76" i="15"/>
  <c r="D78" i="15"/>
  <c r="D77" i="15"/>
  <c r="D42" i="15"/>
  <c r="D43" i="15"/>
  <c r="D45" i="15"/>
  <c r="D46" i="15"/>
  <c r="D60" i="15"/>
  <c r="D62" i="15"/>
  <c r="D61" i="15"/>
  <c r="D133" i="15"/>
  <c r="D134" i="15"/>
  <c r="D166" i="15"/>
  <c r="D165" i="15"/>
  <c r="D142" i="15"/>
  <c r="D141" i="15"/>
  <c r="D106" i="15"/>
  <c r="D107" i="15"/>
  <c r="D34" i="15"/>
  <c r="D33" i="15"/>
  <c r="D30" i="15"/>
  <c r="D35" i="15"/>
  <c r="D31" i="15"/>
  <c r="D32" i="15"/>
  <c r="D8" i="15"/>
  <c r="D9" i="15"/>
  <c r="D131" i="15"/>
  <c r="D132" i="15"/>
  <c r="D164" i="15"/>
  <c r="D163" i="15"/>
  <c r="D155" i="15"/>
  <c r="D156" i="15"/>
  <c r="D140" i="15"/>
  <c r="D139" i="15"/>
  <c r="D136" i="15"/>
  <c r="D135" i="15"/>
  <c r="D125" i="15"/>
  <c r="D126" i="15"/>
  <c r="D170" i="15"/>
  <c r="D169" i="15"/>
  <c r="D159" i="15"/>
  <c r="D160" i="15"/>
  <c r="D152" i="15"/>
  <c r="D151" i="15"/>
  <c r="D143" i="15"/>
  <c r="D144" i="15"/>
  <c r="D120" i="15"/>
  <c r="D119" i="15"/>
  <c r="D55" i="15"/>
  <c r="D54" i="15"/>
  <c r="D11" i="15"/>
  <c r="D12" i="15"/>
  <c r="D15" i="15"/>
  <c r="D14" i="15"/>
  <c r="D4" i="15"/>
  <c r="D5" i="15"/>
  <c r="D7" i="15"/>
  <c r="D6" i="15"/>
  <c r="D72" i="15"/>
  <c r="D73" i="15"/>
  <c r="D3" i="15"/>
  <c r="D2" i="15"/>
  <c r="J32" i="30"/>
  <c r="J63" i="30"/>
  <c r="J24" i="30"/>
  <c r="J29" i="30"/>
  <c r="J20" i="30"/>
  <c r="J56" i="30"/>
  <c r="M14" i="12"/>
  <c r="M122" i="12"/>
  <c r="M44" i="12"/>
  <c r="M22" i="12"/>
  <c r="M17" i="12"/>
  <c r="C109" i="12"/>
  <c r="K802" i="10"/>
  <c r="L802" i="10" s="1" a="1"/>
  <c r="L802" i="10" s="1"/>
  <c r="K42" i="30" l="1"/>
  <c r="K63" i="30"/>
  <c r="K32" i="30"/>
  <c r="K20" i="30"/>
  <c r="K51" i="30"/>
  <c r="M90" i="12"/>
  <c r="M11" i="12"/>
  <c r="M106" i="12"/>
  <c r="H802" i="10"/>
  <c r="O802" i="10"/>
  <c r="P802" i="10" s="1"/>
  <c r="K798" i="10"/>
  <c r="L798" i="10" s="1" a="1"/>
  <c r="L798" i="10" s="1"/>
  <c r="H798" i="10"/>
  <c r="O798" i="10"/>
  <c r="P798" i="10" s="1"/>
  <c r="E91" i="12"/>
  <c r="B387" i="20"/>
  <c r="B388" i="20"/>
  <c r="B389" i="20"/>
  <c r="D389" i="20"/>
  <c r="F389" i="20"/>
  <c r="J389" i="20"/>
  <c r="D388" i="20"/>
  <c r="F388" i="20"/>
  <c r="J388" i="20"/>
  <c r="D387" i="20"/>
  <c r="F387" i="20"/>
  <c r="J387" i="20"/>
  <c r="K801" i="10"/>
  <c r="H801" i="10"/>
  <c r="O801" i="10"/>
  <c r="P801" i="10" s="1"/>
  <c r="N25" i="1"/>
  <c r="O25" i="1"/>
  <c r="AF25" i="1"/>
  <c r="AJ25" i="1"/>
  <c r="AL25" i="1"/>
  <c r="AP25" i="1"/>
  <c r="K803" i="10"/>
  <c r="L803" i="10" s="1" a="1"/>
  <c r="L803" i="10" s="1"/>
  <c r="H803" i="10"/>
  <c r="O803" i="10"/>
  <c r="P803" i="10" s="1"/>
  <c r="K796" i="10"/>
  <c r="L796" i="10" s="1" a="1"/>
  <c r="L796" i="10" s="1"/>
  <c r="H796" i="10"/>
  <c r="O796" i="10"/>
  <c r="P796" i="10" s="1"/>
  <c r="K797" i="10"/>
  <c r="L797" i="10" s="1" a="1"/>
  <c r="L797" i="10" s="1"/>
  <c r="H797" i="10"/>
  <c r="O797" i="10"/>
  <c r="P797" i="10" s="1"/>
  <c r="K799" i="10"/>
  <c r="L799" i="10" s="1" a="1"/>
  <c r="L799" i="10" s="1"/>
  <c r="H799" i="10"/>
  <c r="O799" i="10"/>
  <c r="P799" i="10" s="1"/>
  <c r="K800" i="10"/>
  <c r="L800" i="10" s="1" a="1"/>
  <c r="L800" i="10" s="1"/>
  <c r="H800" i="10"/>
  <c r="O800" i="10"/>
  <c r="P800" i="10" s="1"/>
  <c r="K804" i="10"/>
  <c r="L804" i="10" s="1" a="1"/>
  <c r="L804" i="10" s="1"/>
  <c r="H804" i="10"/>
  <c r="O804" i="10"/>
  <c r="P804" i="10" s="1"/>
  <c r="K773" i="10"/>
  <c r="L773" i="10" s="1" a="1"/>
  <c r="L773" i="10" s="1"/>
  <c r="H773" i="10"/>
  <c r="O773" i="10"/>
  <c r="P773" i="10" s="1"/>
  <c r="K794" i="10"/>
  <c r="L794" i="10" s="1" a="1"/>
  <c r="L794" i="10" s="1"/>
  <c r="H794" i="10"/>
  <c r="O794" i="10"/>
  <c r="P794" i="10" s="1"/>
  <c r="K787" i="10"/>
  <c r="L787" i="10" s="1" a="1"/>
  <c r="L787" i="10" s="1"/>
  <c r="H787" i="10"/>
  <c r="O787" i="10"/>
  <c r="P787" i="10" s="1"/>
  <c r="K789" i="10"/>
  <c r="L789" i="10" s="1" a="1"/>
  <c r="L789" i="10" s="1"/>
  <c r="H789" i="10"/>
  <c r="O789" i="10"/>
  <c r="P789" i="10" s="1"/>
  <c r="K779" i="10"/>
  <c r="L779" i="10" s="1" a="1"/>
  <c r="L779" i="10" s="1"/>
  <c r="H779" i="10"/>
  <c r="O779" i="10"/>
  <c r="P779" i="10" s="1"/>
  <c r="K791" i="10"/>
  <c r="L791" i="10" s="1" a="1"/>
  <c r="L791" i="10" s="1"/>
  <c r="K777" i="10"/>
  <c r="L777" i="10" s="1" a="1"/>
  <c r="L777" i="10" s="1"/>
  <c r="H777" i="10"/>
  <c r="O777" i="10"/>
  <c r="P777" i="10" s="1"/>
  <c r="H791" i="10"/>
  <c r="O791" i="10"/>
  <c r="P791" i="10" s="1"/>
  <c r="K784" i="10"/>
  <c r="L784" i="10" s="1" a="1"/>
  <c r="L784" i="10" s="1"/>
  <c r="H784" i="10"/>
  <c r="O784" i="10"/>
  <c r="P784" i="10" s="1"/>
  <c r="K792" i="10"/>
  <c r="L792" i="10" s="1" a="1"/>
  <c r="L792" i="10" s="1"/>
  <c r="H792" i="10"/>
  <c r="O792" i="10"/>
  <c r="P792" i="10" s="1"/>
  <c r="K782" i="10"/>
  <c r="L782" i="10" s="1" a="1"/>
  <c r="L782" i="10" s="1"/>
  <c r="H782" i="10"/>
  <c r="O782" i="10"/>
  <c r="P782" i="10" s="1"/>
  <c r="K776" i="10"/>
  <c r="L776" i="10" s="1" a="1"/>
  <c r="L776" i="10" s="1"/>
  <c r="H776" i="10"/>
  <c r="O776" i="10"/>
  <c r="P776" i="10" s="1"/>
  <c r="K775" i="10"/>
  <c r="L775" i="10" s="1" a="1"/>
  <c r="L775" i="10" s="1"/>
  <c r="H775" i="10"/>
  <c r="O775" i="10"/>
  <c r="P775" i="10" s="1"/>
  <c r="K780" i="10"/>
  <c r="L780" i="10" s="1" a="1"/>
  <c r="L780" i="10" s="1"/>
  <c r="H780" i="10"/>
  <c r="O780" i="10"/>
  <c r="P780" i="10" s="1"/>
  <c r="K790" i="10"/>
  <c r="L790" i="10" s="1" a="1"/>
  <c r="L790" i="10" s="1"/>
  <c r="H790" i="10"/>
  <c r="O790" i="10"/>
  <c r="P790" i="10" s="1"/>
  <c r="K793" i="10"/>
  <c r="L793" i="10" s="1" a="1"/>
  <c r="L793" i="10" s="1"/>
  <c r="H793" i="10"/>
  <c r="O793" i="10"/>
  <c r="P793" i="10" s="1"/>
  <c r="K785" i="10"/>
  <c r="L785" i="10" s="1" a="1"/>
  <c r="L785" i="10" s="1"/>
  <c r="H785" i="10"/>
  <c r="O785" i="10"/>
  <c r="P785" i="10" s="1"/>
  <c r="K788" i="10"/>
  <c r="L788" i="10" s="1" a="1"/>
  <c r="L788" i="10" s="1"/>
  <c r="H788" i="10"/>
  <c r="O788" i="10"/>
  <c r="P788" i="10" s="1"/>
  <c r="K795" i="10"/>
  <c r="L795" i="10" s="1" a="1"/>
  <c r="L795" i="10" s="1"/>
  <c r="H795" i="10"/>
  <c r="O795" i="10"/>
  <c r="P795" i="10" s="1"/>
  <c r="K781" i="10"/>
  <c r="L781" i="10" s="1" a="1"/>
  <c r="L781" i="10" s="1"/>
  <c r="H781" i="10"/>
  <c r="O781" i="10"/>
  <c r="P781" i="10" s="1"/>
  <c r="K786" i="10"/>
  <c r="L786" i="10" s="1" a="1"/>
  <c r="L786" i="10" s="1"/>
  <c r="H786" i="10"/>
  <c r="O786" i="10"/>
  <c r="P786" i="10" s="1"/>
  <c r="K783" i="10"/>
  <c r="L783" i="10" s="1" a="1"/>
  <c r="L783" i="10" s="1"/>
  <c r="H783" i="10"/>
  <c r="O783" i="10"/>
  <c r="P783" i="10" s="1"/>
  <c r="K778" i="10"/>
  <c r="L778" i="10" s="1" a="1"/>
  <c r="L778" i="10" s="1"/>
  <c r="H778" i="10"/>
  <c r="O778" i="10"/>
  <c r="P778" i="10" s="1"/>
  <c r="K774" i="10"/>
  <c r="L774" i="10" s="1" a="1"/>
  <c r="L774" i="10" s="1"/>
  <c r="H774" i="10"/>
  <c r="O774" i="10"/>
  <c r="P774" i="10" s="1"/>
  <c r="AP6" i="1"/>
  <c r="AP7" i="1"/>
  <c r="AP9" i="1"/>
  <c r="AP11" i="1"/>
  <c r="AP12" i="1"/>
  <c r="AP16" i="1"/>
  <c r="AP22" i="1"/>
  <c r="AP23" i="1"/>
  <c r="AP26" i="1"/>
  <c r="AP28" i="1"/>
  <c r="AP29" i="1"/>
  <c r="AP30" i="1"/>
  <c r="AP31" i="1"/>
  <c r="AP34" i="1"/>
  <c r="AP35" i="1"/>
  <c r="AP38" i="1"/>
  <c r="AP39" i="1"/>
  <c r="AP41" i="1"/>
  <c r="AP43" i="1"/>
  <c r="AP44" i="1"/>
  <c r="AP45" i="1"/>
  <c r="AP47" i="1"/>
  <c r="AP48" i="1"/>
  <c r="AP49" i="1"/>
  <c r="AP50" i="1"/>
  <c r="AP51" i="1"/>
  <c r="AP52" i="1"/>
  <c r="AP53" i="1"/>
  <c r="AP55" i="1"/>
  <c r="AP60" i="1"/>
  <c r="AP62" i="1"/>
  <c r="AP63" i="1"/>
  <c r="AP64" i="1"/>
  <c r="AP65" i="1"/>
  <c r="AP71" i="1"/>
  <c r="AP72" i="1"/>
  <c r="AP85" i="1"/>
  <c r="AP86" i="1"/>
  <c r="AP87" i="1"/>
  <c r="AP88" i="1"/>
  <c r="AP89" i="1"/>
  <c r="AP90" i="1"/>
  <c r="AP91" i="1"/>
  <c r="AP92" i="1"/>
  <c r="AP93" i="1"/>
  <c r="AP94" i="1"/>
  <c r="AP95" i="1"/>
  <c r="AP96" i="1"/>
  <c r="AP97" i="1"/>
  <c r="AP99" i="1"/>
  <c r="AP100" i="1"/>
  <c r="AP101" i="1"/>
  <c r="AP102" i="1"/>
  <c r="AP104" i="1"/>
  <c r="AP105" i="1"/>
  <c r="AP106" i="1"/>
  <c r="AP108" i="1"/>
  <c r="AP109" i="1"/>
  <c r="AP110" i="1"/>
  <c r="AP112" i="1"/>
  <c r="AP113" i="1"/>
  <c r="AP114" i="1"/>
  <c r="B98" i="25"/>
  <c r="G98" i="25"/>
  <c r="B97" i="25"/>
  <c r="G97" i="25"/>
  <c r="B96" i="25"/>
  <c r="G96" i="25"/>
  <c r="B99" i="25"/>
  <c r="G99" i="25"/>
  <c r="B94" i="25"/>
  <c r="G94" i="25"/>
  <c r="B57" i="25"/>
  <c r="G57" i="25"/>
  <c r="B58" i="25"/>
  <c r="B59" i="25"/>
  <c r="G58" i="25"/>
  <c r="G59" i="25"/>
  <c r="B42" i="25"/>
  <c r="G42" i="25"/>
  <c r="B40" i="25"/>
  <c r="G40" i="25"/>
  <c r="B38" i="25"/>
  <c r="G38" i="25"/>
  <c r="B35" i="25"/>
  <c r="B36" i="25"/>
  <c r="G35" i="25"/>
  <c r="G36" i="25"/>
  <c r="B8" i="25"/>
  <c r="G8" i="25"/>
  <c r="E108" i="12"/>
  <c r="B5" i="25"/>
  <c r="G5" i="25"/>
  <c r="G3" i="25"/>
  <c r="G4" i="25"/>
  <c r="G6" i="25"/>
  <c r="G7" i="25"/>
  <c r="G9" i="25"/>
  <c r="G10" i="25"/>
  <c r="G11" i="25"/>
  <c r="G12" i="25"/>
  <c r="G13" i="25"/>
  <c r="G14" i="25"/>
  <c r="G15" i="25"/>
  <c r="G16" i="25"/>
  <c r="G17" i="25"/>
  <c r="G18" i="25"/>
  <c r="G19" i="25"/>
  <c r="G20" i="25"/>
  <c r="G21" i="25"/>
  <c r="G22" i="25"/>
  <c r="G23" i="25"/>
  <c r="G24" i="25"/>
  <c r="G25" i="25"/>
  <c r="G26" i="25"/>
  <c r="G27" i="25"/>
  <c r="G28" i="25"/>
  <c r="G29" i="25"/>
  <c r="G30" i="25"/>
  <c r="G31" i="25"/>
  <c r="G32" i="25"/>
  <c r="G33" i="25"/>
  <c r="G34" i="25"/>
  <c r="G37" i="25"/>
  <c r="G39" i="25"/>
  <c r="G41" i="25"/>
  <c r="G43" i="25"/>
  <c r="G44" i="25"/>
  <c r="G45" i="25"/>
  <c r="G46" i="25"/>
  <c r="G47" i="25"/>
  <c r="G48" i="25"/>
  <c r="G49" i="25"/>
  <c r="G50" i="25"/>
  <c r="G51" i="25"/>
  <c r="G52" i="25"/>
  <c r="G53" i="25"/>
  <c r="G54" i="25"/>
  <c r="G55" i="25"/>
  <c r="G56"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5" i="25"/>
  <c r="G100" i="25"/>
  <c r="G101" i="25"/>
  <c r="G102" i="25"/>
  <c r="G103" i="25"/>
  <c r="G104" i="25"/>
  <c r="G105" i="25"/>
  <c r="G106" i="25"/>
  <c r="G107" i="25"/>
  <c r="G108" i="25"/>
  <c r="G109" i="25"/>
  <c r="G110" i="25"/>
  <c r="G2" i="25"/>
  <c r="B10" i="25"/>
  <c r="B88" i="25"/>
  <c r="B89" i="25"/>
  <c r="B90" i="25"/>
  <c r="B86" i="25"/>
  <c r="B31" i="25"/>
  <c r="B29" i="25"/>
  <c r="B83" i="25"/>
  <c r="B84" i="25"/>
  <c r="B26" i="25"/>
  <c r="B27" i="25"/>
  <c r="B81" i="25"/>
  <c r="B77" i="25"/>
  <c r="B78" i="25"/>
  <c r="B73" i="25"/>
  <c r="B74" i="25"/>
  <c r="B75" i="25"/>
  <c r="B21" i="25"/>
  <c r="B22" i="25"/>
  <c r="B16" i="25"/>
  <c r="B17" i="25"/>
  <c r="B18" i="25"/>
  <c r="B19" i="25"/>
  <c r="B45" i="25"/>
  <c r="B70" i="25"/>
  <c r="B71" i="25"/>
  <c r="B13" i="25"/>
  <c r="B14" i="25"/>
  <c r="B3" i="25"/>
  <c r="B66" i="25"/>
  <c r="B108" i="25"/>
  <c r="B109" i="25"/>
  <c r="B110" i="25"/>
  <c r="B63" i="25"/>
  <c r="B64" i="25"/>
  <c r="B49" i="25"/>
  <c r="B4" i="25"/>
  <c r="B6" i="25"/>
  <c r="B7" i="25"/>
  <c r="B106" i="25"/>
  <c r="B103" i="25"/>
  <c r="B104" i="25"/>
  <c r="B105" i="25"/>
  <c r="B102" i="25"/>
  <c r="B101" i="25"/>
  <c r="B100" i="25"/>
  <c r="B34" i="25"/>
  <c r="B37" i="25"/>
  <c r="B60" i="25"/>
  <c r="B39" i="25"/>
  <c r="B93" i="25"/>
  <c r="B61" i="25"/>
  <c r="B95" i="25"/>
  <c r="B41" i="25"/>
  <c r="B9" i="25"/>
  <c r="B11" i="25"/>
  <c r="B33" i="25"/>
  <c r="B55" i="25"/>
  <c r="B56" i="25"/>
  <c r="B54" i="25"/>
  <c r="B92" i="25"/>
  <c r="B47" i="25"/>
  <c r="B28" i="25"/>
  <c r="B30" i="25"/>
  <c r="B32" i="25"/>
  <c r="B85" i="25"/>
  <c r="B87" i="25"/>
  <c r="B91" i="25"/>
  <c r="B82" i="25"/>
  <c r="B53" i="25"/>
  <c r="B25" i="25"/>
  <c r="B80" i="25"/>
  <c r="B46" i="25"/>
  <c r="B76" i="25"/>
  <c r="B52" i="25"/>
  <c r="B79" i="25"/>
  <c r="B23" i="25"/>
  <c r="B24" i="25"/>
  <c r="B20" i="25"/>
  <c r="B72" i="25"/>
  <c r="B51" i="25"/>
  <c r="B69" i="25"/>
  <c r="B44" i="25"/>
  <c r="B15" i="25"/>
  <c r="B12" i="25"/>
  <c r="B62" i="25"/>
  <c r="B50" i="25"/>
  <c r="B107" i="25"/>
  <c r="B43" i="25"/>
  <c r="B65" i="25"/>
  <c r="B67" i="25"/>
  <c r="B2" i="25"/>
  <c r="B68" i="25"/>
  <c r="B48" i="25"/>
  <c r="K770" i="10"/>
  <c r="L770" i="10" s="1" a="1"/>
  <c r="L770" i="10" s="1"/>
  <c r="H770" i="10"/>
  <c r="O770" i="10"/>
  <c r="P770" i="10" s="1"/>
  <c r="K766" i="10"/>
  <c r="L766" i="10" s="1" a="1"/>
  <c r="L766" i="10" s="1"/>
  <c r="H766" i="10"/>
  <c r="O766" i="10"/>
  <c r="P766" i="10" s="1"/>
  <c r="K767" i="10"/>
  <c r="L767" i="10" s="1" a="1"/>
  <c r="L767" i="10" s="1"/>
  <c r="H767" i="10"/>
  <c r="O767" i="10"/>
  <c r="P767" i="10" s="1"/>
  <c r="K771" i="10"/>
  <c r="L771" i="10" s="1" a="1"/>
  <c r="L771" i="10" s="1"/>
  <c r="H771" i="10"/>
  <c r="O771" i="10"/>
  <c r="P771" i="10" s="1"/>
  <c r="K772" i="10"/>
  <c r="L772" i="10" s="1" a="1"/>
  <c r="L772" i="10" s="1"/>
  <c r="H772" i="10"/>
  <c r="O772" i="10"/>
  <c r="P772" i="10" s="1"/>
  <c r="K769" i="10"/>
  <c r="L769" i="10" s="1" a="1"/>
  <c r="L769" i="10" s="1"/>
  <c r="H769" i="10"/>
  <c r="O769" i="10"/>
  <c r="P769" i="10" s="1"/>
  <c r="K768" i="10"/>
  <c r="L768" i="10" s="1" a="1"/>
  <c r="L768" i="10" s="1"/>
  <c r="H768" i="10"/>
  <c r="O768" i="10"/>
  <c r="P768" i="10" s="1"/>
  <c r="K747" i="10"/>
  <c r="L747" i="10" s="1" a="1"/>
  <c r="L747" i="10" s="1"/>
  <c r="H747" i="10"/>
  <c r="O747" i="10"/>
  <c r="P747" i="10" s="1"/>
  <c r="K746" i="10"/>
  <c r="L746" i="10" s="1" a="1"/>
  <c r="L746" i="10" s="1"/>
  <c r="H746" i="10"/>
  <c r="O746" i="10"/>
  <c r="P746" i="10" s="1"/>
  <c r="K733" i="10"/>
  <c r="L733" i="10" s="1" a="1"/>
  <c r="L733" i="10" s="1"/>
  <c r="H733" i="10"/>
  <c r="O733" i="10"/>
  <c r="P733" i="10" s="1"/>
  <c r="K753" i="10"/>
  <c r="L753" i="10" s="1" a="1"/>
  <c r="L753" i="10" s="1"/>
  <c r="H753" i="10"/>
  <c r="O753" i="10"/>
  <c r="P753" i="10" s="1"/>
  <c r="K740" i="10"/>
  <c r="L740" i="10" s="1" a="1"/>
  <c r="L740" i="10" s="1"/>
  <c r="H740" i="10"/>
  <c r="O740" i="10"/>
  <c r="P740" i="10" s="1"/>
  <c r="K761" i="10"/>
  <c r="L761" i="10" s="1" a="1"/>
  <c r="L761" i="10" s="1"/>
  <c r="H761" i="10"/>
  <c r="O761" i="10"/>
  <c r="P761" i="10" s="1"/>
  <c r="K738" i="10"/>
  <c r="L738" i="10" s="1" a="1"/>
  <c r="L738" i="10" s="1"/>
  <c r="H738" i="10"/>
  <c r="O738" i="10"/>
  <c r="P738" i="10" s="1"/>
  <c r="K744" i="10"/>
  <c r="L744" i="10" s="1" a="1"/>
  <c r="L744" i="10" s="1"/>
  <c r="H744" i="10"/>
  <c r="O744" i="10"/>
  <c r="P744" i="10" s="1"/>
  <c r="K757" i="10"/>
  <c r="L757" i="10" s="1" a="1"/>
  <c r="L757" i="10" s="1"/>
  <c r="H757" i="10"/>
  <c r="O757" i="10"/>
  <c r="P757" i="10" s="1"/>
  <c r="K742" i="10"/>
  <c r="L742" i="10" s="1" a="1"/>
  <c r="L742" i="10" s="1"/>
  <c r="H742" i="10"/>
  <c r="O742" i="10"/>
  <c r="P742" i="10" s="1"/>
  <c r="K759" i="10"/>
  <c r="L759" i="10" s="1" a="1"/>
  <c r="L759" i="10" s="1"/>
  <c r="K748" i="10"/>
  <c r="L748" i="10" s="1" a="1"/>
  <c r="L748" i="10" s="1"/>
  <c r="H748" i="10"/>
  <c r="O748" i="10"/>
  <c r="P748" i="10" s="1"/>
  <c r="H759" i="10"/>
  <c r="O759" i="10"/>
  <c r="P759" i="10" s="1"/>
  <c r="K749" i="10"/>
  <c r="L749" i="10" s="1" a="1"/>
  <c r="L749" i="10" s="1"/>
  <c r="H749" i="10"/>
  <c r="O749" i="10"/>
  <c r="P749" i="10" s="1"/>
  <c r="K752" i="10"/>
  <c r="L752" i="10" s="1" a="1"/>
  <c r="L752" i="10" s="1"/>
  <c r="H752" i="10"/>
  <c r="O752" i="10"/>
  <c r="P752" i="10" s="1"/>
  <c r="K760" i="10"/>
  <c r="L760" i="10" s="1" a="1"/>
  <c r="L760" i="10" s="1"/>
  <c r="H760" i="10"/>
  <c r="O760" i="10"/>
  <c r="P760" i="10" s="1"/>
  <c r="K745" i="10"/>
  <c r="L745" i="10" s="1" a="1"/>
  <c r="L745" i="10" s="1"/>
  <c r="H745" i="10"/>
  <c r="O745" i="10"/>
  <c r="P745" i="10" s="1"/>
  <c r="K755" i="10"/>
  <c r="L755" i="10" s="1" a="1"/>
  <c r="L755" i="10" s="1"/>
  <c r="H755" i="10"/>
  <c r="O755" i="10"/>
  <c r="P755" i="10" s="1"/>
  <c r="K765" i="10"/>
  <c r="L765" i="10" s="1" a="1"/>
  <c r="L765" i="10" s="1"/>
  <c r="H765" i="10"/>
  <c r="O765" i="10"/>
  <c r="P765" i="10" s="1"/>
  <c r="K751" i="10"/>
  <c r="L751" i="10" s="1" a="1"/>
  <c r="L751" i="10" s="1"/>
  <c r="H751" i="10"/>
  <c r="O751" i="10"/>
  <c r="P751" i="10" s="1"/>
  <c r="K743" i="10"/>
  <c r="L743" i="10" s="1" a="1"/>
  <c r="L743" i="10" s="1"/>
  <c r="K754" i="10"/>
  <c r="L754" i="10" s="1" a="1"/>
  <c r="L754" i="10" s="1"/>
  <c r="H754" i="10"/>
  <c r="O754" i="10"/>
  <c r="P754" i="10" s="1"/>
  <c r="H743" i="10"/>
  <c r="O743" i="10"/>
  <c r="P743" i="10" s="1"/>
  <c r="K750" i="10"/>
  <c r="L750" i="10" s="1" a="1"/>
  <c r="L750" i="10" s="1"/>
  <c r="H750" i="10"/>
  <c r="O750" i="10"/>
  <c r="P750" i="10" s="1"/>
  <c r="K764" i="10"/>
  <c r="L764" i="10" s="1" a="1"/>
  <c r="L764" i="10" s="1"/>
  <c r="H764" i="10"/>
  <c r="O764" i="10"/>
  <c r="P764" i="10" s="1"/>
  <c r="K762" i="10"/>
  <c r="L762" i="10" s="1" a="1"/>
  <c r="L762" i="10" s="1"/>
  <c r="H762" i="10"/>
  <c r="O762" i="10"/>
  <c r="P762" i="10" s="1"/>
  <c r="K24" i="30" l="1"/>
  <c r="K29" i="30"/>
  <c r="M43" i="12"/>
  <c r="W25" i="1"/>
  <c r="P25" i="1"/>
  <c r="B383" i="20"/>
  <c r="B384" i="20"/>
  <c r="B385" i="20"/>
  <c r="B386" i="20"/>
  <c r="D386" i="20"/>
  <c r="F386" i="20"/>
  <c r="J386" i="20"/>
  <c r="D385" i="20"/>
  <c r="F385" i="20"/>
  <c r="J385" i="20"/>
  <c r="D384" i="20"/>
  <c r="F384" i="20"/>
  <c r="J384" i="20"/>
  <c r="D383" i="20"/>
  <c r="F383" i="20"/>
  <c r="J383" i="20"/>
  <c r="K763" i="10"/>
  <c r="H763" i="10"/>
  <c r="O763" i="10"/>
  <c r="P763" i="10" s="1"/>
  <c r="B438" i="22"/>
  <c r="B437" i="22"/>
  <c r="B436" i="22"/>
  <c r="B435" i="22"/>
  <c r="B431" i="20"/>
  <c r="B432" i="20"/>
  <c r="B204" i="20"/>
  <c r="B205" i="20"/>
  <c r="B430" i="20"/>
  <c r="D205" i="20"/>
  <c r="F205" i="20"/>
  <c r="J205" i="20"/>
  <c r="D204" i="20"/>
  <c r="F204" i="20"/>
  <c r="J204" i="20"/>
  <c r="D432" i="20"/>
  <c r="F432" i="20"/>
  <c r="J432" i="20"/>
  <c r="D431" i="20"/>
  <c r="F431" i="20"/>
  <c r="J431" i="20"/>
  <c r="D430" i="20"/>
  <c r="F430" i="20"/>
  <c r="J430" i="20"/>
  <c r="K758" i="10"/>
  <c r="H758" i="10"/>
  <c r="O758" i="10"/>
  <c r="P758" i="10" s="1"/>
  <c r="E107" i="12"/>
  <c r="B429" i="20"/>
  <c r="B201" i="20"/>
  <c r="J201" i="20"/>
  <c r="F201" i="20"/>
  <c r="D201" i="20"/>
  <c r="J429" i="20"/>
  <c r="F429" i="20"/>
  <c r="D429" i="20"/>
  <c r="K756" i="10"/>
  <c r="L756" i="10" s="1" a="1"/>
  <c r="L756" i="10" s="1"/>
  <c r="O756" i="10"/>
  <c r="P756" i="10" s="1"/>
  <c r="H756" i="10"/>
  <c r="E51" i="12"/>
  <c r="B434" i="22"/>
  <c r="B418" i="22"/>
  <c r="B419" i="22"/>
  <c r="B420" i="22"/>
  <c r="B421" i="22"/>
  <c r="B422" i="22"/>
  <c r="B423" i="22"/>
  <c r="B424" i="22"/>
  <c r="B425" i="22"/>
  <c r="B426" i="22"/>
  <c r="B427" i="22"/>
  <c r="B428" i="22"/>
  <c r="B429" i="22"/>
  <c r="B430" i="22"/>
  <c r="B431" i="22"/>
  <c r="B432" i="22"/>
  <c r="B433" i="22"/>
  <c r="E103" i="12"/>
  <c r="B427" i="20"/>
  <c r="B428" i="20"/>
  <c r="B199" i="20"/>
  <c r="B200" i="20"/>
  <c r="J200" i="20"/>
  <c r="F200" i="20"/>
  <c r="D200" i="20"/>
  <c r="J199" i="20"/>
  <c r="F199" i="20"/>
  <c r="D199" i="20"/>
  <c r="J428" i="20"/>
  <c r="F428" i="20"/>
  <c r="D428" i="20"/>
  <c r="J427" i="20"/>
  <c r="F427" i="20"/>
  <c r="D427" i="20"/>
  <c r="K707" i="10"/>
  <c r="L707" i="10" s="1" a="1"/>
  <c r="L707" i="10" s="1"/>
  <c r="O707" i="10"/>
  <c r="P707" i="10" s="1"/>
  <c r="H707" i="10"/>
  <c r="AQ50" i="12" l="1" a="1"/>
  <c r="AQ50" i="12" s="1"/>
  <c r="AP49" i="12" a="1"/>
  <c r="AP49" i="12" s="1"/>
  <c r="AP48" i="12" a="1"/>
  <c r="AP48" i="12" s="1"/>
  <c r="AP47" i="12" a="1"/>
  <c r="AP47" i="12" s="1"/>
  <c r="AM15" i="12" a="1"/>
  <c r="AM15" i="12" s="1"/>
  <c r="AM11" i="12" a="1"/>
  <c r="AM11" i="12" s="1"/>
  <c r="AM45" i="12" a="1"/>
  <c r="AM45" i="12" s="1"/>
  <c r="AM107" i="12" a="1"/>
  <c r="AM107" i="12" s="1"/>
  <c r="AM43" i="12" a="1"/>
  <c r="AM43" i="12" s="1"/>
  <c r="AM51" i="12" a="1"/>
  <c r="AM51" i="12" s="1"/>
  <c r="AM95" i="12" a="1"/>
  <c r="AM95" i="12" s="1"/>
  <c r="AM55" i="12" a="1"/>
  <c r="AM55" i="12" s="1"/>
  <c r="AM121" i="12" a="1"/>
  <c r="AM121" i="12" s="1"/>
  <c r="AM82" i="12" a="1"/>
  <c r="AM82" i="12" s="1"/>
  <c r="AM14" i="12" a="1"/>
  <c r="AM14" i="12" s="1"/>
  <c r="AM122" i="12" a="1"/>
  <c r="AM122" i="12" s="1"/>
  <c r="AM103" i="12" a="1"/>
  <c r="AM103" i="12" s="1"/>
  <c r="AP46" i="12" a="1"/>
  <c r="AP46" i="12" s="1"/>
  <c r="AN82" i="12" a="1"/>
  <c r="AN82" i="12" s="1"/>
  <c r="AN55" i="12" a="1"/>
  <c r="AN55" i="12" s="1"/>
  <c r="AO118" i="12" a="1"/>
  <c r="AO118" i="12" s="1"/>
  <c r="AN107" i="12" a="1"/>
  <c r="AN107" i="12" s="1"/>
  <c r="AO130" i="12" a="1"/>
  <c r="AO130" i="12" s="1"/>
  <c r="AO107" i="12" a="1"/>
  <c r="AO107" i="12" s="1"/>
  <c r="AN67" i="12" a="1"/>
  <c r="AN67" i="12" s="1"/>
  <c r="AO98" i="12" a="1"/>
  <c r="AO98" i="12" s="1"/>
  <c r="AN117" i="12" a="1"/>
  <c r="AN117" i="12" s="1"/>
  <c r="AO106" i="12" a="1"/>
  <c r="AO106" i="12" s="1"/>
  <c r="AN90" i="12" a="1"/>
  <c r="AN90" i="12" s="1"/>
  <c r="AO95" i="12" a="1"/>
  <c r="AO95" i="12" s="1"/>
  <c r="AO90" i="12" a="1"/>
  <c r="AO90" i="12" s="1"/>
  <c r="AN64" i="12" a="1"/>
  <c r="AN64" i="12" s="1"/>
  <c r="AN122" i="12" a="1"/>
  <c r="AN122" i="12" s="1"/>
  <c r="AO64" i="12" a="1"/>
  <c r="AO64" i="12" s="1"/>
  <c r="AO122" i="12" a="1"/>
  <c r="AO122" i="12" s="1"/>
  <c r="AN120" i="12" a="1"/>
  <c r="AN120" i="12" s="1"/>
  <c r="AO62" i="12" a="1"/>
  <c r="AO62" i="12" s="1"/>
  <c r="AN5" i="12" a="1"/>
  <c r="AN5" i="12" s="1"/>
  <c r="AO65" i="12" a="1"/>
  <c r="AO65" i="12" s="1"/>
  <c r="AN6" i="12" a="1"/>
  <c r="AN6" i="12" s="1"/>
  <c r="AN81" i="12" a="1"/>
  <c r="AN81" i="12" s="1"/>
  <c r="AO103" i="12" a="1"/>
  <c r="AO103" i="12" s="1"/>
  <c r="AO82" i="12" a="1"/>
  <c r="AO82" i="12" s="1"/>
  <c r="AN69" i="12" a="1"/>
  <c r="AN69" i="12" s="1"/>
  <c r="AO69" i="12" a="1"/>
  <c r="AO69" i="12" s="1"/>
  <c r="AN99" i="12" a="1"/>
  <c r="AN99" i="12" s="1"/>
  <c r="AN98" i="12" a="1"/>
  <c r="AN98" i="12" s="1"/>
  <c r="AO99" i="12" a="1"/>
  <c r="AO99" i="12" s="1"/>
  <c r="AN65" i="12" a="1"/>
  <c r="AN65" i="12" s="1"/>
  <c r="AN102" i="12" a="1"/>
  <c r="AN102" i="12" s="1"/>
  <c r="AN121" i="12" a="1"/>
  <c r="AN121" i="12" s="1"/>
  <c r="AN110" i="12" a="1"/>
  <c r="AN110" i="12" s="1"/>
  <c r="AO55" i="12" a="1"/>
  <c r="AO55" i="12" s="1"/>
  <c r="AN57" i="12" a="1"/>
  <c r="AN57" i="12" s="1"/>
  <c r="AO57" i="12" a="1"/>
  <c r="AO57" i="12" s="1"/>
  <c r="AN62" i="12" a="1"/>
  <c r="AN62" i="12" s="1"/>
  <c r="AO96" i="12" a="1"/>
  <c r="AO96" i="12" s="1"/>
  <c r="AO113" i="12" a="1"/>
  <c r="AO113" i="12" s="1"/>
  <c r="AN103" i="12" a="1"/>
  <c r="AN103" i="12" s="1"/>
  <c r="AO102" i="12" a="1"/>
  <c r="AO102" i="12" s="1"/>
  <c r="AO84" i="12" a="1"/>
  <c r="AO84" i="12" s="1"/>
  <c r="AN89" i="12" a="1"/>
  <c r="AN89" i="12" s="1"/>
  <c r="AO89" i="12" a="1"/>
  <c r="AO89" i="12" s="1"/>
  <c r="AN113" i="12" a="1"/>
  <c r="AN113" i="12" s="1"/>
  <c r="AO129" i="12" a="1"/>
  <c r="AO129" i="12" s="1"/>
  <c r="AN84" i="12" a="1"/>
  <c r="AN84" i="12" s="1"/>
  <c r="AN106" i="12" a="1"/>
  <c r="AN106" i="12" s="1"/>
  <c r="AO81" i="12" a="1"/>
  <c r="AO81" i="12" s="1"/>
  <c r="AN115" i="12" a="1"/>
  <c r="AN115" i="12" s="1"/>
  <c r="AN118" i="12" a="1"/>
  <c r="AN118" i="12" s="1"/>
  <c r="AO121" i="12" a="1"/>
  <c r="AO121" i="12" s="1"/>
  <c r="AN108" i="12" a="1"/>
  <c r="AN108" i="12" s="1"/>
  <c r="AO128" i="12" a="1"/>
  <c r="AO128" i="12" s="1"/>
  <c r="AO108" i="12" a="1"/>
  <c r="AO108" i="12" s="1"/>
  <c r="AN94" i="12" a="1"/>
  <c r="AN94" i="12" s="1"/>
  <c r="AN96" i="12" a="1"/>
  <c r="AN96" i="12" s="1"/>
  <c r="AO94" i="12" a="1"/>
  <c r="AO94" i="12" s="1"/>
  <c r="AN54" i="12" a="1"/>
  <c r="AN54" i="12" s="1"/>
  <c r="AN51" i="12" a="1"/>
  <c r="AN51" i="12" s="1"/>
  <c r="AO54" i="12" a="1"/>
  <c r="AO54" i="12" s="1"/>
  <c r="AO125" i="12" a="1"/>
  <c r="AO125" i="12" s="1"/>
  <c r="AN95" i="12" a="1"/>
  <c r="AN95" i="12" s="1"/>
  <c r="AO110" i="12" a="1"/>
  <c r="AO110" i="12" s="1"/>
  <c r="AN66" i="12" a="1"/>
  <c r="AN66" i="12" s="1"/>
  <c r="AO127" i="12" a="1"/>
  <c r="AO127" i="12" s="1"/>
  <c r="AO66" i="12" a="1"/>
  <c r="AO66" i="12" s="1"/>
  <c r="AO67" i="12" a="1"/>
  <c r="AO67" i="12" s="1"/>
  <c r="AO117" i="12" a="1"/>
  <c r="AO117" i="12" s="1"/>
  <c r="AO115" i="12" a="1"/>
  <c r="AO115" i="12" s="1"/>
  <c r="AO126" i="12" a="1"/>
  <c r="AO126" i="12" s="1"/>
  <c r="AO131" i="12" a="1"/>
  <c r="AO131" i="12" s="1"/>
  <c r="AO51" i="12" a="1"/>
  <c r="AO51" i="12" s="1"/>
  <c r="AO56" i="12" a="1"/>
  <c r="AO56" i="12" s="1"/>
  <c r="J52" i="30"/>
  <c r="J7" i="30"/>
  <c r="J12" i="30"/>
  <c r="J19" i="30"/>
  <c r="U25" i="1"/>
  <c r="M91" i="12" l="1"/>
  <c r="M108" i="12"/>
  <c r="M103" i="12"/>
  <c r="M107" i="12"/>
  <c r="M117" i="12"/>
  <c r="K739" i="10"/>
  <c r="L739" i="10" s="1" a="1"/>
  <c r="L739" i="10" s="1"/>
  <c r="H739" i="10"/>
  <c r="O739" i="10"/>
  <c r="P739" i="10" s="1"/>
  <c r="K741" i="10"/>
  <c r="L741" i="10" s="1" a="1"/>
  <c r="L741" i="10" s="1"/>
  <c r="H741" i="10"/>
  <c r="O741" i="10"/>
  <c r="P741" i="10" s="1"/>
  <c r="E67" i="12"/>
  <c r="K736" i="10"/>
  <c r="L736" i="10" s="1" a="1"/>
  <c r="L736" i="10" s="1"/>
  <c r="O736" i="10"/>
  <c r="P736" i="10" s="1"/>
  <c r="H736" i="10"/>
  <c r="K737" i="10"/>
  <c r="L737" i="10" s="1" a="1"/>
  <c r="L737" i="10" s="1"/>
  <c r="O737" i="10"/>
  <c r="P737" i="10" s="1"/>
  <c r="H737" i="10"/>
  <c r="K704" i="10"/>
  <c r="L704" i="10" s="1" a="1"/>
  <c r="L704" i="10" s="1"/>
  <c r="O704" i="10"/>
  <c r="P704" i="10" s="1"/>
  <c r="H704" i="10"/>
  <c r="K685" i="10"/>
  <c r="L685" i="10" s="1" a="1"/>
  <c r="L685" i="10" s="1"/>
  <c r="O685" i="10"/>
  <c r="P685" i="10" s="1"/>
  <c r="H685" i="10"/>
  <c r="K666" i="10"/>
  <c r="L666" i="10" s="1" a="1"/>
  <c r="L666" i="10" s="1"/>
  <c r="O666" i="10"/>
  <c r="P666" i="10" s="1"/>
  <c r="H666" i="10"/>
  <c r="K734" i="10"/>
  <c r="L734" i="10" s="1" a="1"/>
  <c r="L734" i="10" s="1"/>
  <c r="H734" i="10"/>
  <c r="O734" i="10"/>
  <c r="P734" i="10" s="1"/>
  <c r="K12" i="30" l="1"/>
  <c r="K52" i="30"/>
  <c r="K7" i="30"/>
  <c r="K19" i="30"/>
  <c r="K735" i="10"/>
  <c r="L735" i="10" s="1" a="1"/>
  <c r="L735" i="10" s="1"/>
  <c r="H735" i="10"/>
  <c r="O735" i="10"/>
  <c r="P735" i="10" s="1"/>
  <c r="B417" i="22"/>
  <c r="B416" i="22"/>
  <c r="B415" i="22"/>
  <c r="B414" i="22"/>
  <c r="B413" i="22"/>
  <c r="E84" i="12"/>
  <c r="B425" i="20"/>
  <c r="B426" i="20"/>
  <c r="B195" i="20"/>
  <c r="B196" i="20"/>
  <c r="D196" i="20"/>
  <c r="F196" i="20"/>
  <c r="J196" i="20"/>
  <c r="D195" i="20"/>
  <c r="F195" i="20"/>
  <c r="J195" i="20"/>
  <c r="D426" i="20"/>
  <c r="F426" i="20"/>
  <c r="J426" i="20"/>
  <c r="D425" i="20"/>
  <c r="F425" i="20"/>
  <c r="J425" i="20"/>
  <c r="K723" i="10"/>
  <c r="L723" i="10" s="1" a="1"/>
  <c r="L723" i="10" s="1"/>
  <c r="H723" i="10"/>
  <c r="O723" i="10"/>
  <c r="P723" i="10" s="1"/>
  <c r="K729" i="10"/>
  <c r="L729" i="10" s="1" a="1"/>
  <c r="L729" i="10" s="1"/>
  <c r="H729" i="10"/>
  <c r="O729" i="10"/>
  <c r="P729" i="10" s="1"/>
  <c r="K730" i="10"/>
  <c r="L730" i="10" s="1" a="1"/>
  <c r="L730" i="10" s="1"/>
  <c r="H730" i="10"/>
  <c r="O730" i="10"/>
  <c r="P730" i="10" s="1"/>
  <c r="K731" i="10"/>
  <c r="L731" i="10" s="1" a="1"/>
  <c r="L731" i="10" s="1"/>
  <c r="H731" i="10"/>
  <c r="O731" i="10"/>
  <c r="P731" i="10" s="1"/>
  <c r="K713" i="10"/>
  <c r="L713" i="10" s="1" a="1"/>
  <c r="L713" i="10" s="1"/>
  <c r="H713" i="10"/>
  <c r="O713" i="10"/>
  <c r="P713" i="10" s="1"/>
  <c r="K719" i="10"/>
  <c r="L719" i="10" s="1" a="1"/>
  <c r="L719" i="10" s="1"/>
  <c r="H719" i="10"/>
  <c r="O719" i="10"/>
  <c r="P719" i="10" s="1"/>
  <c r="K725" i="10"/>
  <c r="L725" i="10" s="1" a="1"/>
  <c r="L725" i="10" s="1"/>
  <c r="H725" i="10"/>
  <c r="O725" i="10"/>
  <c r="P725" i="10" s="1"/>
  <c r="K717" i="10"/>
  <c r="L717" i="10" s="1" a="1"/>
  <c r="L717" i="10" s="1"/>
  <c r="H717" i="10"/>
  <c r="O717" i="10"/>
  <c r="P717" i="10" s="1"/>
  <c r="K705" i="10"/>
  <c r="L705" i="10" s="1" a="1"/>
  <c r="L705" i="10" s="1"/>
  <c r="H705" i="10"/>
  <c r="O705" i="10"/>
  <c r="P705" i="10" s="1"/>
  <c r="K711" i="10"/>
  <c r="L711" i="10" s="1" a="1"/>
  <c r="L711" i="10" s="1"/>
  <c r="H711" i="10"/>
  <c r="O711" i="10"/>
  <c r="P711" i="10" s="1"/>
  <c r="K732" i="10"/>
  <c r="L732" i="10" s="1" a="1"/>
  <c r="L732" i="10" s="1"/>
  <c r="H732" i="10"/>
  <c r="O732" i="10"/>
  <c r="P732" i="10" s="1"/>
  <c r="K709" i="10"/>
  <c r="L709" i="10" s="1" a="1"/>
  <c r="L709" i="10" s="1"/>
  <c r="H709" i="10"/>
  <c r="O709" i="10"/>
  <c r="P709" i="10" s="1"/>
  <c r="K714" i="10"/>
  <c r="L714" i="10" s="1" a="1"/>
  <c r="L714" i="10" s="1"/>
  <c r="H714" i="10"/>
  <c r="O714" i="10"/>
  <c r="P714" i="10" s="1"/>
  <c r="K706" i="10"/>
  <c r="L706" i="10" s="1" a="1"/>
  <c r="L706" i="10" s="1"/>
  <c r="H706" i="10"/>
  <c r="O706" i="10"/>
  <c r="P706" i="10" s="1"/>
  <c r="K724" i="10"/>
  <c r="L724" i="10" s="1" a="1"/>
  <c r="L724" i="10" s="1"/>
  <c r="H724" i="10"/>
  <c r="O724" i="10"/>
  <c r="P724" i="10" s="1"/>
  <c r="K720" i="10"/>
  <c r="L720" i="10" s="1" a="1"/>
  <c r="L720" i="10" s="1"/>
  <c r="H720" i="10"/>
  <c r="O720" i="10"/>
  <c r="P720" i="10" s="1"/>
  <c r="K722" i="10"/>
  <c r="L722" i="10" s="1" a="1"/>
  <c r="L722" i="10" s="1"/>
  <c r="H722" i="10"/>
  <c r="O722" i="10"/>
  <c r="P722" i="10" s="1"/>
  <c r="K712" i="10"/>
  <c r="L712" i="10" s="1" a="1"/>
  <c r="L712" i="10" s="1"/>
  <c r="H712" i="10"/>
  <c r="O712" i="10"/>
  <c r="P712" i="10" s="1"/>
  <c r="K727" i="10"/>
  <c r="L727" i="10" s="1" a="1"/>
  <c r="L727" i="10" s="1"/>
  <c r="H727" i="10"/>
  <c r="O727" i="10"/>
  <c r="P727" i="10" s="1"/>
  <c r="K721" i="10"/>
  <c r="L721" i="10" s="1" a="1"/>
  <c r="L721" i="10" s="1"/>
  <c r="H721" i="10"/>
  <c r="O721" i="10"/>
  <c r="P721" i="10" s="1"/>
  <c r="K718" i="10"/>
  <c r="L718" i="10" s="1" a="1"/>
  <c r="L718" i="10" s="1"/>
  <c r="H718" i="10"/>
  <c r="O718" i="10"/>
  <c r="P718" i="10" s="1"/>
  <c r="K728" i="10"/>
  <c r="L728" i="10" s="1" a="1"/>
  <c r="L728" i="10" s="1"/>
  <c r="H728" i="10"/>
  <c r="O728" i="10"/>
  <c r="P728" i="10" s="1"/>
  <c r="K726" i="10"/>
  <c r="L726" i="10" s="1" a="1"/>
  <c r="L726" i="10" s="1"/>
  <c r="H726" i="10"/>
  <c r="O726" i="10"/>
  <c r="P726" i="10" s="1"/>
  <c r="K710" i="10"/>
  <c r="L710" i="10" s="1" a="1"/>
  <c r="L710" i="10" s="1"/>
  <c r="H710" i="10"/>
  <c r="O710" i="10"/>
  <c r="P710" i="10" s="1"/>
  <c r="K715" i="10"/>
  <c r="L715" i="10" s="1" a="1"/>
  <c r="L715" i="10" s="1"/>
  <c r="H715" i="10"/>
  <c r="O715" i="10"/>
  <c r="P715" i="10" s="1"/>
  <c r="K708" i="10"/>
  <c r="L708" i="10" s="1" a="1"/>
  <c r="L708" i="10" s="1"/>
  <c r="O708" i="10"/>
  <c r="P708" i="10" s="1"/>
  <c r="K716" i="10"/>
  <c r="L716" i="10" s="1" a="1"/>
  <c r="L716" i="10" s="1"/>
  <c r="O716" i="10"/>
  <c r="P716" i="10" s="1"/>
  <c r="E62" i="12"/>
  <c r="B412" i="22"/>
  <c r="F405" i="22"/>
  <c r="B405" i="22"/>
  <c r="B404" i="22"/>
  <c r="J8" i="30" l="1"/>
  <c r="B403" i="22"/>
  <c r="B402" i="22"/>
  <c r="B401" i="22"/>
  <c r="B400" i="22"/>
  <c r="B399" i="22"/>
  <c r="B398" i="22"/>
  <c r="B397" i="22"/>
  <c r="B396" i="22"/>
  <c r="B395" i="22"/>
  <c r="B394" i="22"/>
  <c r="B393" i="22"/>
  <c r="M84" i="12" l="1"/>
  <c r="B392" i="22"/>
  <c r="B391" i="22"/>
  <c r="B390" i="22"/>
  <c r="B389" i="22"/>
  <c r="B388" i="22"/>
  <c r="B387" i="22"/>
  <c r="B386" i="22"/>
  <c r="B385" i="22"/>
  <c r="B384" i="22"/>
  <c r="B383" i="22"/>
  <c r="B382" i="22"/>
  <c r="B381" i="22"/>
  <c r="B380" i="22"/>
  <c r="B379" i="22"/>
  <c r="B378" i="22"/>
  <c r="B377" i="22"/>
  <c r="B376" i="22"/>
  <c r="B375" i="22"/>
  <c r="B374" i="22"/>
  <c r="B373" i="22"/>
  <c r="B372" i="22"/>
  <c r="B371" i="22"/>
  <c r="B370" i="22"/>
  <c r="B369" i="22"/>
  <c r="B368" i="22"/>
  <c r="B367" i="22"/>
  <c r="B366" i="22"/>
  <c r="B365" i="22"/>
  <c r="B364" i="22"/>
  <c r="B363" i="22"/>
  <c r="B362" i="22"/>
  <c r="B361" i="22"/>
  <c r="B360" i="22"/>
  <c r="B359" i="22"/>
  <c r="B358" i="22"/>
  <c r="B357" i="22"/>
  <c r="B356" i="22"/>
  <c r="B355" i="22"/>
  <c r="B354" i="22"/>
  <c r="B353" i="22"/>
  <c r="B352" i="22"/>
  <c r="B351" i="22"/>
  <c r="B350" i="22"/>
  <c r="B349" i="22"/>
  <c r="B348" i="22"/>
  <c r="B347" i="22"/>
  <c r="B346" i="22"/>
  <c r="B345" i="22"/>
  <c r="B344" i="22"/>
  <c r="B343" i="22"/>
  <c r="B342" i="22"/>
  <c r="B341" i="22"/>
  <c r="B340" i="22"/>
  <c r="B339" i="22"/>
  <c r="B338" i="22"/>
  <c r="B337" i="22"/>
  <c r="B336" i="22"/>
  <c r="B335" i="22"/>
  <c r="B334" i="22"/>
  <c r="B333" i="22"/>
  <c r="B331" i="22"/>
  <c r="B330" i="22"/>
  <c r="B329" i="22"/>
  <c r="B328" i="22"/>
  <c r="B327" i="22"/>
  <c r="B326" i="22"/>
  <c r="B325" i="22"/>
  <c r="B324" i="22"/>
  <c r="B323" i="22"/>
  <c r="B322" i="22"/>
  <c r="B321" i="22"/>
  <c r="B320" i="22"/>
  <c r="B319" i="22"/>
  <c r="B318" i="22"/>
  <c r="B317" i="22"/>
  <c r="B316" i="22"/>
  <c r="B315" i="22"/>
  <c r="B314" i="22"/>
  <c r="B313" i="22"/>
  <c r="B312" i="22"/>
  <c r="B311" i="22"/>
  <c r="B310" i="22"/>
  <c r="B309" i="22"/>
  <c r="B308" i="22"/>
  <c r="B307" i="22"/>
  <c r="B306" i="22"/>
  <c r="B305" i="22"/>
  <c r="B304" i="22"/>
  <c r="B303" i="22"/>
  <c r="B302" i="22"/>
  <c r="B301" i="22"/>
  <c r="B300" i="22"/>
  <c r="B299" i="22"/>
  <c r="B298" i="22"/>
  <c r="B297" i="22"/>
  <c r="B296" i="22"/>
  <c r="B295" i="22"/>
  <c r="B294" i="22"/>
  <c r="B293" i="22"/>
  <c r="B292" i="22"/>
  <c r="B291" i="22"/>
  <c r="B290" i="22"/>
  <c r="B289" i="22"/>
  <c r="B288" i="22"/>
  <c r="B287" i="22"/>
  <c r="B286" i="22"/>
  <c r="B285" i="22"/>
  <c r="B284" i="22"/>
  <c r="B283" i="22"/>
  <c r="B282" i="22"/>
  <c r="B281" i="22"/>
  <c r="B280" i="22"/>
  <c r="B279" i="22"/>
  <c r="B278" i="22"/>
  <c r="B277" i="22"/>
  <c r="B276" i="22"/>
  <c r="B275" i="22"/>
  <c r="B274" i="22"/>
  <c r="B273" i="22"/>
  <c r="B272" i="22"/>
  <c r="B271" i="22"/>
  <c r="B265" i="22"/>
  <c r="B266" i="22"/>
  <c r="B267" i="22"/>
  <c r="B268" i="22"/>
  <c r="B269" i="22"/>
  <c r="B270" i="22"/>
  <c r="B264" i="22"/>
  <c r="B263" i="22"/>
  <c r="B262" i="22"/>
  <c r="B261" i="22"/>
  <c r="B260" i="22"/>
  <c r="B259" i="22"/>
  <c r="B258" i="22"/>
  <c r="B257" i="22"/>
  <c r="B256" i="22"/>
  <c r="B255" i="22"/>
  <c r="B254" i="22"/>
  <c r="B253" i="22"/>
  <c r="B252" i="22"/>
  <c r="B251" i="22"/>
  <c r="B250" i="22"/>
  <c r="B249" i="22"/>
  <c r="B248" i="22"/>
  <c r="B247" i="22"/>
  <c r="B246" i="22"/>
  <c r="B245" i="22"/>
  <c r="B244" i="22"/>
  <c r="B243" i="22"/>
  <c r="B242" i="22"/>
  <c r="B241" i="22"/>
  <c r="B240" i="22"/>
  <c r="B239" i="22"/>
  <c r="B238" i="22"/>
  <c r="B237" i="22"/>
  <c r="B236" i="22"/>
  <c r="B235" i="22"/>
  <c r="B234" i="22"/>
  <c r="B233" i="22"/>
  <c r="B232" i="22"/>
  <c r="B231" i="22"/>
  <c r="B230" i="22"/>
  <c r="B229" i="22"/>
  <c r="B228" i="22"/>
  <c r="B227" i="22"/>
  <c r="B226" i="22"/>
  <c r="B225" i="22"/>
  <c r="B224" i="22"/>
  <c r="B223" i="22"/>
  <c r="B222" i="22"/>
  <c r="B221" i="22"/>
  <c r="B220" i="22"/>
  <c r="B219" i="22"/>
  <c r="B218" i="22"/>
  <c r="B217" i="22"/>
  <c r="B216" i="22"/>
  <c r="B215" i="22"/>
  <c r="B214" i="22"/>
  <c r="B213" i="22"/>
  <c r="B212" i="22"/>
  <c r="B211" i="22"/>
  <c r="B210" i="22"/>
  <c r="B209" i="22"/>
  <c r="B208" i="22"/>
  <c r="B207" i="22"/>
  <c r="B206" i="22"/>
  <c r="B205" i="22"/>
  <c r="B204" i="22"/>
  <c r="B203" i="22"/>
  <c r="B202" i="22"/>
  <c r="B201" i="22"/>
  <c r="B200" i="22"/>
  <c r="B199" i="22"/>
  <c r="B198" i="22"/>
  <c r="B197" i="22"/>
  <c r="B196" i="22"/>
  <c r="B195" i="22"/>
  <c r="B194" i="22"/>
  <c r="B193" i="22"/>
  <c r="B192" i="22"/>
  <c r="B191" i="22"/>
  <c r="B190" i="22"/>
  <c r="B189" i="22"/>
  <c r="B188" i="22"/>
  <c r="B187" i="22"/>
  <c r="B186" i="22"/>
  <c r="B185" i="22"/>
  <c r="B184" i="22"/>
  <c r="B183" i="22"/>
  <c r="B182" i="22"/>
  <c r="B181" i="22"/>
  <c r="B180" i="22"/>
  <c r="B179" i="22"/>
  <c r="B178" i="22"/>
  <c r="B177" i="22"/>
  <c r="B176" i="22"/>
  <c r="B175" i="22"/>
  <c r="B174" i="22"/>
  <c r="B173" i="22"/>
  <c r="B172" i="22"/>
  <c r="B171" i="22"/>
  <c r="B170" i="22"/>
  <c r="B169" i="22"/>
  <c r="B168" i="22"/>
  <c r="B167" i="22"/>
  <c r="B166" i="22"/>
  <c r="B165" i="22"/>
  <c r="B164" i="22"/>
  <c r="B163" i="22"/>
  <c r="B161" i="22"/>
  <c r="B160" i="22"/>
  <c r="B159" i="22"/>
  <c r="B158" i="22"/>
  <c r="B157" i="22"/>
  <c r="B156" i="22"/>
  <c r="B155" i="22"/>
  <c r="B154" i="22"/>
  <c r="B153" i="22"/>
  <c r="B152" i="22"/>
  <c r="B151" i="22"/>
  <c r="B150" i="22"/>
  <c r="B144" i="22"/>
  <c r="B143" i="22"/>
  <c r="B142" i="22"/>
  <c r="B123" i="22"/>
  <c r="B122" i="22"/>
  <c r="B121" i="22"/>
  <c r="B120" i="22"/>
  <c r="B118" i="22"/>
  <c r="B117" i="22"/>
  <c r="B116" i="22"/>
  <c r="B115" i="22"/>
  <c r="B114" i="22"/>
  <c r="B113" i="22"/>
  <c r="B112" i="22"/>
  <c r="B111" i="22"/>
  <c r="B110" i="22"/>
  <c r="B109" i="22"/>
  <c r="B108" i="22"/>
  <c r="B107" i="22"/>
  <c r="B106" i="22"/>
  <c r="B105" i="22"/>
  <c r="B104" i="22"/>
  <c r="B103" i="22"/>
  <c r="B102" i="22"/>
  <c r="B101" i="22"/>
  <c r="B100" i="22"/>
  <c r="B99" i="22"/>
  <c r="B98" i="22"/>
  <c r="B97" i="22"/>
  <c r="B96" i="22"/>
  <c r="B95" i="22"/>
  <c r="B94" i="22"/>
  <c r="B93"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4" i="22"/>
  <c r="B65" i="22"/>
  <c r="B66" i="22"/>
  <c r="B67" i="22"/>
  <c r="B63" i="22"/>
  <c r="B62" i="22"/>
  <c r="B61" i="22"/>
  <c r="B60" i="22"/>
  <c r="B59" i="22"/>
  <c r="B58" i="22"/>
  <c r="B57" i="22"/>
  <c r="B56" i="22"/>
  <c r="B55" i="22"/>
  <c r="B54" i="22"/>
  <c r="B53" i="22"/>
  <c r="B52" i="22"/>
  <c r="B51" i="22"/>
  <c r="B50" i="22"/>
  <c r="B49" i="22"/>
  <c r="B48" i="22"/>
  <c r="B47" i="22"/>
  <c r="B46" i="22"/>
  <c r="B45" i="22"/>
  <c r="B44" i="22"/>
  <c r="B43" i="22"/>
  <c r="B42" i="22"/>
  <c r="B41" i="22"/>
  <c r="B40" i="22"/>
  <c r="B39" i="22"/>
  <c r="B38" i="22"/>
  <c r="B37" i="22"/>
  <c r="B36" i="22"/>
  <c r="B35" i="22"/>
  <c r="B34" i="22"/>
  <c r="B33" i="22"/>
  <c r="B32" i="22"/>
  <c r="K8" i="30" l="1"/>
  <c r="B31" i="22"/>
  <c r="B30" i="22"/>
  <c r="B29" i="22"/>
  <c r="B28" i="22"/>
  <c r="B27" i="22"/>
  <c r="B26" i="22"/>
  <c r="B25" i="22"/>
  <c r="B24" i="22"/>
  <c r="B23" i="22"/>
  <c r="B22" i="22"/>
  <c r="B21" i="22"/>
  <c r="B20" i="22"/>
  <c r="B19" i="22"/>
  <c r="B18" i="22"/>
  <c r="B17" i="22"/>
  <c r="B16" i="22"/>
  <c r="B15" i="22"/>
  <c r="B14" i="22"/>
  <c r="B13" i="22" l="1"/>
  <c r="B12" i="22"/>
  <c r="B11" i="22"/>
  <c r="B10" i="22"/>
  <c r="B9" i="22"/>
  <c r="B8" i="22"/>
  <c r="B7" i="22"/>
  <c r="B6" i="22"/>
  <c r="B5" i="22"/>
  <c r="B4" i="22"/>
  <c r="B3" i="22"/>
  <c r="B2" i="22"/>
  <c r="K703" i="10"/>
  <c r="O703" i="10"/>
  <c r="P703" i="10" s="1"/>
  <c r="K701" i="10"/>
  <c r="L701" i="10" s="1" a="1"/>
  <c r="L701" i="10" s="1"/>
  <c r="O701" i="10"/>
  <c r="P701" i="10" s="1"/>
  <c r="K702" i="10"/>
  <c r="L702" i="10" s="1" a="1"/>
  <c r="L702" i="10" s="1"/>
  <c r="O702" i="10"/>
  <c r="P702" i="10" s="1"/>
  <c r="K700" i="10"/>
  <c r="L700" i="10" s="1" a="1"/>
  <c r="L700" i="10" s="1"/>
  <c r="O700" i="10"/>
  <c r="P700" i="10" s="1"/>
  <c r="K684" i="10"/>
  <c r="L684" i="10" s="1" a="1"/>
  <c r="L684" i="10" s="1"/>
  <c r="O684" i="10"/>
  <c r="P684" i="10" s="1"/>
  <c r="K693" i="10"/>
  <c r="L693" i="10" s="1" a="1"/>
  <c r="L693" i="10" s="1"/>
  <c r="O693" i="10"/>
  <c r="P693" i="10" s="1"/>
  <c r="K107" i="10" l="1"/>
  <c r="L107" i="10" s="1" a="1"/>
  <c r="L107" i="10" s="1"/>
  <c r="K119" i="10"/>
  <c r="L119" i="10" s="1" a="1"/>
  <c r="L119" i="10" s="1"/>
  <c r="K130" i="10"/>
  <c r="L130" i="10" s="1" a="1"/>
  <c r="L130" i="10" s="1"/>
  <c r="K150" i="10"/>
  <c r="L150" i="10" s="1" a="1"/>
  <c r="L150" i="10" s="1"/>
  <c r="K162" i="10"/>
  <c r="L162" i="10" s="1" a="1"/>
  <c r="L162" i="10" s="1"/>
  <c r="K183" i="10"/>
  <c r="L183" i="10" s="1" a="1"/>
  <c r="L183" i="10" s="1"/>
  <c r="K198" i="10"/>
  <c r="L198" i="10" s="1" a="1"/>
  <c r="L198" i="10" s="1"/>
  <c r="K224" i="10"/>
  <c r="L224" i="10" s="1" a="1"/>
  <c r="L224" i="10" s="1"/>
  <c r="K172" i="10"/>
  <c r="K54" i="10"/>
  <c r="L54" i="10" s="1" a="1"/>
  <c r="L54" i="10" s="1"/>
  <c r="K80" i="10"/>
  <c r="L80" i="10" s="1" a="1"/>
  <c r="L80" i="10" s="1"/>
  <c r="K92" i="10"/>
  <c r="L92" i="10" s="1" a="1"/>
  <c r="L92" i="10" s="1"/>
  <c r="K95" i="10"/>
  <c r="L95" i="10" s="1" a="1"/>
  <c r="L95" i="10" s="1"/>
  <c r="K131" i="10"/>
  <c r="L131" i="10" s="1" a="1"/>
  <c r="L131" i="10" s="1"/>
  <c r="K161" i="10"/>
  <c r="L161" i="10" s="1" a="1"/>
  <c r="L161" i="10" s="1"/>
  <c r="K182" i="10"/>
  <c r="L182" i="10" s="1" a="1"/>
  <c r="L182" i="10" s="1"/>
  <c r="K216" i="10"/>
  <c r="K96" i="10"/>
  <c r="K132" i="10"/>
  <c r="L132" i="10" s="1" a="1"/>
  <c r="L132" i="10" s="1"/>
  <c r="K124" i="10"/>
  <c r="L124" i="10" s="1" a="1"/>
  <c r="L124" i="10" s="1"/>
  <c r="K158" i="10"/>
  <c r="L158" i="10" s="1" a="1"/>
  <c r="L158" i="10" s="1"/>
  <c r="K184" i="10"/>
  <c r="L184" i="10" s="1" a="1"/>
  <c r="L184" i="10" s="1"/>
  <c r="K199" i="10"/>
  <c r="L199" i="10" s="1" a="1"/>
  <c r="L199" i="10" s="1"/>
  <c r="K231" i="10"/>
  <c r="L231" i="10" s="1" a="1"/>
  <c r="L231" i="10" s="1"/>
  <c r="K19" i="10"/>
  <c r="L19" i="10" s="1" a="1"/>
  <c r="L19" i="10" s="1"/>
  <c r="K58" i="10"/>
  <c r="K24" i="10"/>
  <c r="L24" i="10" s="1" a="1"/>
  <c r="L24" i="10" s="1"/>
  <c r="K74" i="10"/>
  <c r="L74" i="10" s="1" a="1"/>
  <c r="L74" i="10" s="1"/>
  <c r="K105" i="10"/>
  <c r="L105" i="10" s="1" a="1"/>
  <c r="L105" i="10" s="1"/>
  <c r="K146" i="10"/>
  <c r="K149" i="10"/>
  <c r="K39" i="10"/>
  <c r="K90" i="10"/>
  <c r="L90" i="10" s="1" a="1"/>
  <c r="L90" i="10" s="1"/>
  <c r="K46" i="10"/>
  <c r="K114" i="10"/>
  <c r="L114" i="10" s="1" a="1"/>
  <c r="L114" i="10" s="1"/>
  <c r="K138" i="10"/>
  <c r="L138" i="10" s="1" a="1"/>
  <c r="L138" i="10" s="1"/>
  <c r="K213" i="10"/>
  <c r="L213" i="10" s="1" a="1"/>
  <c r="L213" i="10" s="1"/>
  <c r="K237" i="10"/>
  <c r="L237" i="10" s="1" a="1"/>
  <c r="L237" i="10" s="1"/>
  <c r="K20" i="10"/>
  <c r="L20" i="10" s="1" a="1"/>
  <c r="L20" i="10" s="1"/>
  <c r="K68" i="10"/>
  <c r="L68" i="10" s="1" a="1"/>
  <c r="L68" i="10" s="1"/>
  <c r="K108" i="10"/>
  <c r="L108" i="10" s="1" a="1"/>
  <c r="L108" i="10" s="1"/>
  <c r="K173" i="10"/>
  <c r="L173" i="10" s="1" a="1"/>
  <c r="L173" i="10" s="1"/>
  <c r="K21" i="10"/>
  <c r="K12" i="10"/>
  <c r="K38" i="10"/>
  <c r="K40" i="10"/>
  <c r="K64" i="10"/>
  <c r="L64" i="10" s="1" a="1"/>
  <c r="L64" i="10" s="1"/>
  <c r="K81" i="10"/>
  <c r="L81" i="10" s="1" a="1"/>
  <c r="L81" i="10" s="1"/>
  <c r="K113" i="10"/>
  <c r="L113" i="10" s="1" a="1"/>
  <c r="L113" i="10" s="1"/>
  <c r="K133" i="10"/>
  <c r="L133" i="10" s="1" a="1"/>
  <c r="L133" i="10" s="1"/>
  <c r="K145" i="10"/>
  <c r="L145" i="10" s="1" a="1"/>
  <c r="L145" i="10" s="1"/>
  <c r="K166" i="10"/>
  <c r="L166" i="10" s="1" a="1"/>
  <c r="L166" i="10" s="1"/>
  <c r="K217" i="10"/>
  <c r="L217" i="10" s="1" a="1"/>
  <c r="L217" i="10" s="1"/>
  <c r="K238" i="10"/>
  <c r="L238" i="10" s="1" a="1"/>
  <c r="L238" i="10" s="1"/>
  <c r="K22" i="10"/>
  <c r="L22" i="10" s="1" a="1"/>
  <c r="L22" i="10" s="1"/>
  <c r="K44" i="10"/>
  <c r="L44" i="10" s="1" a="1"/>
  <c r="L44" i="10" s="1"/>
  <c r="K79" i="10"/>
  <c r="L79" i="10" s="1" a="1"/>
  <c r="L79" i="10" s="1"/>
  <c r="K110" i="10"/>
  <c r="L110" i="10" s="1" a="1"/>
  <c r="L110" i="10" s="1"/>
  <c r="K140" i="10"/>
  <c r="L140" i="10" s="1" a="1"/>
  <c r="L140" i="10" s="1"/>
  <c r="K165" i="10"/>
  <c r="L165" i="10" s="1" a="1"/>
  <c r="L165" i="10" s="1"/>
  <c r="K185" i="10"/>
  <c r="L185" i="10" s="1" a="1"/>
  <c r="L185" i="10" s="1"/>
  <c r="K210" i="10"/>
  <c r="L210" i="10" s="1" a="1"/>
  <c r="L210" i="10" s="1"/>
  <c r="K125" i="10"/>
  <c r="L125" i="10" s="1" a="1"/>
  <c r="L125" i="10" s="1"/>
  <c r="K178" i="10"/>
  <c r="L178" i="10" s="1" a="1"/>
  <c r="L178" i="10" s="1"/>
  <c r="K188" i="10"/>
  <c r="L188" i="10" s="1" a="1"/>
  <c r="L188" i="10" s="1"/>
  <c r="K211" i="10"/>
  <c r="L211" i="10" s="1" a="1"/>
  <c r="L211" i="10" s="1"/>
  <c r="K239" i="10"/>
  <c r="L239" i="10" s="1" a="1"/>
  <c r="L239" i="10" s="1"/>
  <c r="K23" i="10"/>
  <c r="L23" i="10" s="1" a="1"/>
  <c r="L23" i="10" s="1"/>
  <c r="K59" i="10"/>
  <c r="L59" i="10" s="1" a="1"/>
  <c r="L59" i="10" s="1"/>
  <c r="K93" i="10"/>
  <c r="K41" i="10"/>
  <c r="K91" i="10"/>
  <c r="L91" i="10" s="1" a="1"/>
  <c r="L91" i="10" s="1"/>
  <c r="K127" i="10"/>
  <c r="L127" i="10" s="1" a="1"/>
  <c r="L127" i="10" s="1"/>
  <c r="K201" i="10"/>
  <c r="L201" i="10" s="1" a="1"/>
  <c r="L201" i="10" s="1"/>
  <c r="K16" i="10"/>
  <c r="L16" i="10" s="1" a="1"/>
  <c r="L16" i="10" s="1"/>
  <c r="K50" i="10"/>
  <c r="L50" i="10" s="1" a="1"/>
  <c r="L50" i="10" s="1"/>
  <c r="K63" i="10"/>
  <c r="L63" i="10" s="1" a="1"/>
  <c r="L63" i="10" s="1"/>
  <c r="K104" i="10"/>
  <c r="L104" i="10" s="1" a="1"/>
  <c r="L104" i="10" s="1"/>
  <c r="K126" i="10"/>
  <c r="L126" i="10" s="1" a="1"/>
  <c r="L126" i="10" s="1"/>
  <c r="K144" i="10"/>
  <c r="L144" i="10" s="1" a="1"/>
  <c r="L144" i="10" s="1"/>
  <c r="K164" i="10"/>
  <c r="L164" i="10" s="1" a="1"/>
  <c r="L164" i="10" s="1"/>
  <c r="K214" i="10"/>
  <c r="L214" i="10" s="1" a="1"/>
  <c r="L214" i="10" s="1"/>
  <c r="K240" i="10"/>
  <c r="L240" i="10" s="1" a="1"/>
  <c r="L240" i="10" s="1"/>
  <c r="K118" i="10"/>
  <c r="K142" i="10"/>
  <c r="L142" i="10" s="1" a="1"/>
  <c r="L142" i="10" s="1"/>
  <c r="K155" i="10"/>
  <c r="K25" i="10"/>
  <c r="L25" i="10" s="1" a="1"/>
  <c r="L25" i="10" s="1"/>
  <c r="K143" i="10"/>
  <c r="L143" i="10" s="1" a="1"/>
  <c r="L143" i="10" s="1"/>
  <c r="K196" i="10"/>
  <c r="L196" i="10" s="1" a="1"/>
  <c r="L196" i="10" s="1"/>
  <c r="K6" i="10"/>
  <c r="L6" i="10" s="1" a="1"/>
  <c r="L6" i="10" s="1"/>
  <c r="K43" i="10"/>
  <c r="L43" i="10" s="1" a="1"/>
  <c r="L43" i="10" s="1"/>
  <c r="K56" i="10"/>
  <c r="L56" i="10" s="1" a="1"/>
  <c r="L56" i="10" s="1"/>
  <c r="K77" i="10"/>
  <c r="L77" i="10" s="1" a="1"/>
  <c r="L77" i="10" s="1"/>
  <c r="K123" i="10"/>
  <c r="K26" i="10"/>
  <c r="L26" i="10" s="1" a="1"/>
  <c r="L26" i="10" s="1"/>
  <c r="K62" i="10"/>
  <c r="L62" i="10" s="1" a="1"/>
  <c r="L62" i="10" s="1"/>
  <c r="K97" i="10"/>
  <c r="L97" i="10" s="1" a="1"/>
  <c r="L97" i="10" s="1"/>
  <c r="K141" i="10"/>
  <c r="L141" i="10" s="1" a="1"/>
  <c r="L141" i="10" s="1"/>
  <c r="K157" i="10"/>
  <c r="L157" i="10" s="1" a="1"/>
  <c r="L157" i="10" s="1"/>
  <c r="K192" i="10"/>
  <c r="L192" i="10" s="1" a="1"/>
  <c r="L192" i="10" s="1"/>
  <c r="K235" i="10"/>
  <c r="L235" i="10" s="1" a="1"/>
  <c r="L235" i="10" s="1"/>
  <c r="K27" i="10"/>
  <c r="L27" i="10" s="1" a="1"/>
  <c r="L27" i="10" s="1"/>
  <c r="K61" i="10"/>
  <c r="L61" i="10" s="1" a="1"/>
  <c r="L61" i="10" s="1"/>
  <c r="K89" i="10"/>
  <c r="K28" i="10"/>
  <c r="L28" i="10" s="1" a="1"/>
  <c r="L28" i="10" s="1"/>
  <c r="K48" i="10"/>
  <c r="L48" i="10" s="1" a="1"/>
  <c r="L48" i="10" s="1"/>
  <c r="K65" i="10"/>
  <c r="L65" i="10" s="1" a="1"/>
  <c r="L65" i="10" s="1"/>
  <c r="K84" i="10"/>
  <c r="L84" i="10" s="1" a="1"/>
  <c r="L84" i="10" s="1"/>
  <c r="K98" i="10"/>
  <c r="L98" i="10" s="1" a="1"/>
  <c r="L98" i="10" s="1"/>
  <c r="K117" i="10"/>
  <c r="L117" i="10" s="1" a="1"/>
  <c r="L117" i="10" s="1"/>
  <c r="K134" i="10"/>
  <c r="L134" i="10" s="1" a="1"/>
  <c r="L134" i="10" s="1"/>
  <c r="K147" i="10"/>
  <c r="L147" i="10" s="1" a="1"/>
  <c r="L147" i="10" s="1"/>
  <c r="K176" i="10"/>
  <c r="L176" i="10" s="1" a="1"/>
  <c r="L176" i="10" s="1"/>
  <c r="K186" i="10"/>
  <c r="L186" i="10" s="1" a="1"/>
  <c r="L186" i="10" s="1"/>
  <c r="K193" i="10"/>
  <c r="L193" i="10" s="1" a="1"/>
  <c r="L193" i="10" s="1"/>
  <c r="K228" i="10"/>
  <c r="L228" i="10" s="1" a="1"/>
  <c r="L228" i="10" s="1"/>
  <c r="K29" i="10"/>
  <c r="L29" i="10" s="1" a="1"/>
  <c r="L29" i="10" s="1"/>
  <c r="K49" i="10"/>
  <c r="L49" i="10" s="1" a="1"/>
  <c r="L49" i="10" s="1"/>
  <c r="K66" i="10"/>
  <c r="L66" i="10" s="1" a="1"/>
  <c r="L66" i="10" s="1"/>
  <c r="K85" i="10"/>
  <c r="L85" i="10" s="1" a="1"/>
  <c r="L85" i="10" s="1"/>
  <c r="K99" i="10"/>
  <c r="L99" i="10" s="1" a="1"/>
  <c r="L99" i="10" s="1"/>
  <c r="K120" i="10"/>
  <c r="L120" i="10" s="1" a="1"/>
  <c r="L120" i="10" s="1"/>
  <c r="K135" i="10"/>
  <c r="L135" i="10" s="1" a="1"/>
  <c r="L135" i="10" s="1"/>
  <c r="K148" i="10"/>
  <c r="L148" i="10" s="1" a="1"/>
  <c r="L148" i="10" s="1"/>
  <c r="K167" i="10"/>
  <c r="L167" i="10" s="1" a="1"/>
  <c r="L167" i="10" s="1"/>
  <c r="K229" i="10"/>
  <c r="L229" i="10" s="1" a="1"/>
  <c r="L229" i="10" s="1"/>
  <c r="K30" i="10"/>
  <c r="L30" i="10" s="1" a="1"/>
  <c r="L30" i="10" s="1"/>
  <c r="K55" i="10"/>
  <c r="L55" i="10" s="1" a="1"/>
  <c r="L55" i="10" s="1"/>
  <c r="K72" i="10"/>
  <c r="L72" i="10" s="1" a="1"/>
  <c r="L72" i="10" s="1"/>
  <c r="K100" i="10"/>
  <c r="L100" i="10" s="1" a="1"/>
  <c r="L100" i="10" s="1"/>
  <c r="K115" i="10"/>
  <c r="L115" i="10" s="1" a="1"/>
  <c r="L115" i="10" s="1"/>
  <c r="K136" i="10"/>
  <c r="L136" i="10" s="1" a="1"/>
  <c r="L136" i="10" s="1"/>
  <c r="K151" i="10"/>
  <c r="L151" i="10" s="1" a="1"/>
  <c r="L151" i="10" s="1"/>
  <c r="K168" i="10"/>
  <c r="L168" i="10" s="1" a="1"/>
  <c r="L168" i="10" s="1"/>
  <c r="K205" i="10"/>
  <c r="L205" i="10" s="1" a="1"/>
  <c r="L205" i="10" s="1"/>
  <c r="K219" i="10"/>
  <c r="L219" i="10" s="1" a="1"/>
  <c r="L219" i="10" s="1"/>
  <c r="K2" i="10"/>
  <c r="L2" i="10" s="1" a="1"/>
  <c r="L2" i="10" s="1"/>
  <c r="K69" i="10"/>
  <c r="L69" i="10" s="1" a="1"/>
  <c r="L69" i="10" s="1"/>
  <c r="K194" i="10"/>
  <c r="K83" i="10"/>
  <c r="K121" i="10"/>
  <c r="L121" i="10" s="1" a="1"/>
  <c r="L121" i="10" s="1"/>
  <c r="K159" i="10"/>
  <c r="L159" i="10" s="1" a="1"/>
  <c r="L159" i="10" s="1"/>
  <c r="K208" i="10"/>
  <c r="L208" i="10" s="1" a="1"/>
  <c r="L208" i="10" s="1"/>
  <c r="K42" i="10"/>
  <c r="K156" i="10"/>
  <c r="L156" i="10" s="1" a="1"/>
  <c r="L156" i="10" s="1"/>
  <c r="K45" i="10"/>
  <c r="K31" i="10"/>
  <c r="L31" i="10" s="1" a="1"/>
  <c r="L31" i="10" s="1"/>
  <c r="K51" i="10"/>
  <c r="L51" i="10" s="1" a="1"/>
  <c r="L51" i="10" s="1"/>
  <c r="K67" i="10"/>
  <c r="L67" i="10" s="1" a="1"/>
  <c r="L67" i="10" s="1"/>
  <c r="K86" i="10"/>
  <c r="L86" i="10" s="1" a="1"/>
  <c r="L86" i="10" s="1"/>
  <c r="K101" i="10"/>
  <c r="L101" i="10" s="1" a="1"/>
  <c r="L101" i="10" s="1"/>
  <c r="K128" i="10"/>
  <c r="L128" i="10" s="1" a="1"/>
  <c r="L128" i="10" s="1"/>
  <c r="K174" i="10"/>
  <c r="L174" i="10" s="1" a="1"/>
  <c r="L174" i="10" s="1"/>
  <c r="K191" i="10"/>
  <c r="L191" i="10" s="1" a="1"/>
  <c r="L191" i="10" s="1"/>
  <c r="K215" i="10"/>
  <c r="L215" i="10" s="1" a="1"/>
  <c r="L215" i="10" s="1"/>
  <c r="K225" i="10"/>
  <c r="L225" i="10" s="1" a="1"/>
  <c r="L225" i="10" s="1"/>
  <c r="K32" i="10"/>
  <c r="L32" i="10" s="1" a="1"/>
  <c r="L32" i="10" s="1"/>
  <c r="K75" i="10"/>
  <c r="K33" i="10"/>
  <c r="L33" i="10" s="1" a="1"/>
  <c r="L33" i="10" s="1"/>
  <c r="K76" i="10"/>
  <c r="L76" i="10" s="1" a="1"/>
  <c r="L76" i="10" s="1"/>
  <c r="K82" i="10"/>
  <c r="L82" i="10" s="1" a="1"/>
  <c r="L82" i="10" s="1"/>
  <c r="K109" i="10"/>
  <c r="L109" i="10" s="1" a="1"/>
  <c r="L109" i="10" s="1"/>
  <c r="K129" i="10"/>
  <c r="L129" i="10" s="1" a="1"/>
  <c r="L129" i="10" s="1"/>
  <c r="K160" i="10"/>
  <c r="K34" i="10"/>
  <c r="L34" i="10" s="1" a="1"/>
  <c r="L34" i="10" s="1"/>
  <c r="K52" i="10"/>
  <c r="L52" i="10" s="1" a="1"/>
  <c r="L52" i="10" s="1"/>
  <c r="K73" i="10"/>
  <c r="L73" i="10" s="1" a="1"/>
  <c r="L73" i="10" s="1"/>
  <c r="K106" i="10"/>
  <c r="L106" i="10" s="1" a="1"/>
  <c r="L106" i="10" s="1"/>
  <c r="K111" i="10"/>
  <c r="K35" i="10"/>
  <c r="L35" i="10" s="1" a="1"/>
  <c r="L35" i="10" s="1"/>
  <c r="K179" i="10"/>
  <c r="L179" i="10" s="1" a="1"/>
  <c r="L179" i="10" s="1"/>
  <c r="K212" i="10"/>
  <c r="L212" i="10" s="1" a="1"/>
  <c r="L212" i="10" s="1"/>
  <c r="K202" i="10"/>
  <c r="L202" i="10" s="1" a="1"/>
  <c r="L202" i="10" s="1"/>
  <c r="K36" i="10"/>
  <c r="L36" i="10" s="1" a="1"/>
  <c r="L36" i="10" s="1"/>
  <c r="K70" i="10"/>
  <c r="L70" i="10" s="1" a="1"/>
  <c r="L70" i="10" s="1"/>
  <c r="K78" i="10"/>
  <c r="L78" i="10" s="1" a="1"/>
  <c r="L78" i="10" s="1"/>
  <c r="K102" i="10"/>
  <c r="L102" i="10" s="1" a="1"/>
  <c r="L102" i="10" s="1"/>
  <c r="K154" i="10"/>
  <c r="L154" i="10" s="1" a="1"/>
  <c r="L154" i="10" s="1"/>
  <c r="K181" i="10"/>
  <c r="L181" i="10" s="1" a="1"/>
  <c r="L181" i="10" s="1"/>
  <c r="K200" i="10"/>
  <c r="L200" i="10" s="1" a="1"/>
  <c r="L200" i="10" s="1"/>
  <c r="K222" i="10"/>
  <c r="L222" i="10" s="1" a="1"/>
  <c r="L222" i="10" s="1"/>
  <c r="K223" i="10"/>
  <c r="L223" i="10" s="1" a="1"/>
  <c r="L223" i="10" s="1"/>
  <c r="K37" i="10"/>
  <c r="L37" i="10" s="1" a="1"/>
  <c r="L37" i="10" s="1"/>
  <c r="K53" i="10"/>
  <c r="L53" i="10" s="1" a="1"/>
  <c r="L53" i="10" s="1"/>
  <c r="K71" i="10"/>
  <c r="L71" i="10" s="1" a="1"/>
  <c r="L71" i="10" s="1"/>
  <c r="K87" i="10"/>
  <c r="L87" i="10" s="1" a="1"/>
  <c r="L87" i="10" s="1"/>
  <c r="K103" i="10"/>
  <c r="L103" i="10" s="1" a="1"/>
  <c r="L103" i="10" s="1"/>
  <c r="K116" i="10"/>
  <c r="L116" i="10" s="1" a="1"/>
  <c r="L116" i="10" s="1"/>
  <c r="K137" i="10"/>
  <c r="L137" i="10" s="1" a="1"/>
  <c r="L137" i="10" s="1"/>
  <c r="K152" i="10"/>
  <c r="L152" i="10" s="1" a="1"/>
  <c r="L152" i="10" s="1"/>
  <c r="K170" i="10"/>
  <c r="L170" i="10" s="1" a="1"/>
  <c r="L170" i="10" s="1"/>
  <c r="K206" i="10"/>
  <c r="L206" i="10" s="1" a="1"/>
  <c r="L206" i="10" s="1"/>
  <c r="K220" i="10"/>
  <c r="L220" i="10" s="1" a="1"/>
  <c r="L220" i="10" s="1"/>
  <c r="K14" i="10"/>
  <c r="L14" i="10" s="1" a="1"/>
  <c r="L14" i="10" s="1"/>
  <c r="K112" i="10"/>
  <c r="K153" i="10"/>
  <c r="L153" i="10" s="1" a="1"/>
  <c r="L153" i="10" s="1"/>
  <c r="K171" i="10"/>
  <c r="L171" i="10" s="1" a="1"/>
  <c r="L171" i="10" s="1"/>
  <c r="K190" i="10"/>
  <c r="L190" i="10" s="1" a="1"/>
  <c r="L190" i="10" s="1"/>
  <c r="K207" i="10"/>
  <c r="L207" i="10" s="1" a="1"/>
  <c r="L207" i="10" s="1"/>
  <c r="K221" i="10"/>
  <c r="L221" i="10" s="1" a="1"/>
  <c r="L221" i="10" s="1"/>
  <c r="K139" i="10"/>
  <c r="L139" i="10" s="1" a="1"/>
  <c r="L139" i="10" s="1"/>
  <c r="K175" i="10"/>
  <c r="L175" i="10" s="1" a="1"/>
  <c r="L175" i="10" s="1"/>
  <c r="K218" i="10"/>
  <c r="L218" i="10" s="1" a="1"/>
  <c r="L218" i="10" s="1"/>
  <c r="K163" i="10"/>
  <c r="L163" i="10" s="1" a="1"/>
  <c r="L163" i="10" s="1"/>
  <c r="K187" i="10"/>
  <c r="L187" i="10" s="1" a="1"/>
  <c r="L187" i="10" s="1"/>
  <c r="K226" i="10"/>
  <c r="L226" i="10" s="1" a="1"/>
  <c r="L226" i="10" s="1"/>
  <c r="K177" i="10"/>
  <c r="L177" i="10" s="1" a="1"/>
  <c r="L177" i="10" s="1"/>
  <c r="K195" i="10"/>
  <c r="L195" i="10" s="1" a="1"/>
  <c r="L195" i="10" s="1"/>
  <c r="K203" i="10"/>
  <c r="L203" i="10" s="1" a="1"/>
  <c r="L203" i="10" s="1"/>
  <c r="K234" i="10"/>
  <c r="L234" i="10" s="1" a="1"/>
  <c r="L234" i="10" s="1"/>
  <c r="K189" i="10"/>
  <c r="L189" i="10" s="1" a="1"/>
  <c r="L189" i="10" s="1"/>
  <c r="K204" i="10"/>
  <c r="L204" i="10" s="1" a="1"/>
  <c r="L204" i="10" s="1"/>
  <c r="K236" i="10"/>
  <c r="L236" i="10" s="1" a="1"/>
  <c r="L236" i="10" s="1"/>
  <c r="K244" i="10"/>
  <c r="L244" i="10" s="1" a="1"/>
  <c r="L244" i="10" s="1"/>
  <c r="K255" i="10"/>
  <c r="L255" i="10" s="1" a="1"/>
  <c r="L255" i="10" s="1"/>
  <c r="K259" i="10"/>
  <c r="K256" i="10"/>
  <c r="L256" i="10" s="1" a="1"/>
  <c r="L256" i="10" s="1"/>
  <c r="K247" i="10"/>
  <c r="L247" i="10" s="1" a="1"/>
  <c r="L247" i="10" s="1"/>
  <c r="K254" i="10"/>
  <c r="L254" i="10" s="1" a="1"/>
  <c r="L254" i="10" s="1"/>
  <c r="K246" i="10"/>
  <c r="L246" i="10" s="1" a="1"/>
  <c r="L246" i="10" s="1"/>
  <c r="K241" i="10"/>
  <c r="L241" i="10" s="1" a="1"/>
  <c r="L241" i="10" s="1"/>
  <c r="K252" i="10"/>
  <c r="L252" i="10" s="1" a="1"/>
  <c r="L252" i="10" s="1"/>
  <c r="K253" i="10"/>
  <c r="L253" i="10" s="1" a="1"/>
  <c r="L253" i="10" s="1"/>
  <c r="K251" i="10"/>
  <c r="L251" i="10" s="1" a="1"/>
  <c r="L251" i="10" s="1"/>
  <c r="K248" i="10"/>
  <c r="L248" i="10" s="1" a="1"/>
  <c r="L248" i="10" s="1"/>
  <c r="K242" i="10"/>
  <c r="L242" i="10" s="1" a="1"/>
  <c r="L242" i="10" s="1"/>
  <c r="K209" i="10"/>
  <c r="L209" i="10" s="1" a="1"/>
  <c r="L209" i="10" s="1"/>
  <c r="K257" i="10"/>
  <c r="L257" i="10" s="1" a="1"/>
  <c r="L257" i="10" s="1"/>
  <c r="K262" i="10"/>
  <c r="L262" i="10" s="1" a="1"/>
  <c r="L262" i="10" s="1"/>
  <c r="K230" i="10"/>
  <c r="L230" i="10" s="1" a="1"/>
  <c r="L230" i="10" s="1"/>
  <c r="K261" i="10"/>
  <c r="L261" i="10" s="1" a="1"/>
  <c r="L261" i="10" s="1"/>
  <c r="K264" i="10"/>
  <c r="L264" i="10" s="1" a="1"/>
  <c r="L264" i="10" s="1"/>
  <c r="K227" i="10"/>
  <c r="L227" i="10" s="1" a="1"/>
  <c r="L227" i="10" s="1"/>
  <c r="K263" i="10"/>
  <c r="L263" i="10" s="1" a="1"/>
  <c r="L263" i="10" s="1"/>
  <c r="K233" i="10"/>
  <c r="K245" i="10"/>
  <c r="L245" i="10" s="1" a="1"/>
  <c r="L245" i="10" s="1"/>
  <c r="K268" i="10"/>
  <c r="L268" i="10" s="1" a="1"/>
  <c r="L268" i="10" s="1"/>
  <c r="K265" i="10"/>
  <c r="L265" i="10" s="1" a="1"/>
  <c r="L265" i="10" s="1"/>
  <c r="K267" i="10"/>
  <c r="L267" i="10" s="1" a="1"/>
  <c r="L267" i="10" s="1"/>
  <c r="K273" i="10"/>
  <c r="L273" i="10" s="1" a="1"/>
  <c r="L273" i="10" s="1"/>
  <c r="K269" i="10"/>
  <c r="L269" i="10" s="1" a="1"/>
  <c r="L269" i="10" s="1"/>
  <c r="K276" i="10"/>
  <c r="L276" i="10" s="1" a="1"/>
  <c r="L276" i="10" s="1"/>
  <c r="K271" i="10"/>
  <c r="L271" i="10" s="1" a="1"/>
  <c r="L271" i="10" s="1"/>
  <c r="K275" i="10"/>
  <c r="L275" i="10" s="1" a="1"/>
  <c r="L275" i="10" s="1"/>
  <c r="K272" i="10"/>
  <c r="L272" i="10" s="1" a="1"/>
  <c r="L272" i="10" s="1"/>
  <c r="K278" i="10"/>
  <c r="L278" i="10" s="1" a="1"/>
  <c r="L278" i="10" s="1"/>
  <c r="K279" i="10"/>
  <c r="L279" i="10" s="1" a="1"/>
  <c r="L279" i="10" s="1"/>
  <c r="K274" i="10"/>
  <c r="L274" i="10" s="1" a="1"/>
  <c r="L274" i="10" s="1"/>
  <c r="K281" i="10"/>
  <c r="L281" i="10" s="1" a="1"/>
  <c r="L281" i="10" s="1"/>
  <c r="K277" i="10"/>
  <c r="L277" i="10" s="1" a="1"/>
  <c r="L277" i="10" s="1"/>
  <c r="K282" i="10"/>
  <c r="L282" i="10" s="1" a="1"/>
  <c r="L282" i="10" s="1"/>
  <c r="K283" i="10"/>
  <c r="K286" i="10"/>
  <c r="K266" i="10"/>
  <c r="L266" i="10" s="1" a="1"/>
  <c r="L266" i="10" s="1"/>
  <c r="K270" i="10"/>
  <c r="L270" i="10" s="1" a="1"/>
  <c r="L270" i="10" s="1"/>
  <c r="K285" i="10"/>
  <c r="L285" i="10" s="1" a="1"/>
  <c r="L285" i="10" s="1"/>
  <c r="K258" i="10"/>
  <c r="L258" i="10" s="1" a="1"/>
  <c r="L258" i="10" s="1"/>
  <c r="K284" i="10"/>
  <c r="L284" i="10" s="1" a="1"/>
  <c r="L284" i="10" s="1"/>
  <c r="K280" i="10"/>
  <c r="L280" i="10" s="1" a="1"/>
  <c r="L280" i="10" s="1"/>
  <c r="K300" i="10"/>
  <c r="L300" i="10" s="1" a="1"/>
  <c r="L300" i="10" s="1"/>
  <c r="K302" i="10"/>
  <c r="L302" i="10" s="1" a="1"/>
  <c r="L302" i="10" s="1"/>
  <c r="K298" i="10"/>
  <c r="K299" i="10"/>
  <c r="L299" i="10" s="1" a="1"/>
  <c r="L299" i="10" s="1"/>
  <c r="K294" i="10"/>
  <c r="L294" i="10" s="1" a="1"/>
  <c r="L294" i="10" s="1"/>
  <c r="K287" i="10"/>
  <c r="L287" i="10" s="1" a="1"/>
  <c r="L287" i="10" s="1"/>
  <c r="K291" i="10"/>
  <c r="L291" i="10" s="1" a="1"/>
  <c r="L291" i="10" s="1"/>
  <c r="K297" i="10"/>
  <c r="L297" i="10" s="1" a="1"/>
  <c r="L297" i="10" s="1"/>
  <c r="K292" i="10"/>
  <c r="L292" i="10" s="1" a="1"/>
  <c r="L292" i="10" s="1"/>
  <c r="K290" i="10"/>
  <c r="L290" i="10" s="1" a="1"/>
  <c r="L290" i="10" s="1"/>
  <c r="K293" i="10"/>
  <c r="L293" i="10" s="1" a="1"/>
  <c r="L293" i="10" s="1"/>
  <c r="K288" i="10"/>
  <c r="L288" i="10" s="1" a="1"/>
  <c r="L288" i="10" s="1"/>
  <c r="K295" i="10"/>
  <c r="L295" i="10" s="1" a="1"/>
  <c r="L295" i="10" s="1"/>
  <c r="K296" i="10"/>
  <c r="L296" i="10" s="1" a="1"/>
  <c r="L296" i="10" s="1"/>
  <c r="K301" i="10"/>
  <c r="K303" i="10"/>
  <c r="K243" i="10"/>
  <c r="K311" i="10"/>
  <c r="L311" i="10" s="1" a="1"/>
  <c r="L311" i="10" s="1"/>
  <c r="K310" i="10"/>
  <c r="L310" i="10" s="1" a="1"/>
  <c r="L310" i="10" s="1"/>
  <c r="K309" i="10"/>
  <c r="L309" i="10" s="1" a="1"/>
  <c r="L309" i="10" s="1"/>
  <c r="K304" i="10"/>
  <c r="L304" i="10" s="1" a="1"/>
  <c r="L304" i="10" s="1"/>
  <c r="K289" i="10"/>
  <c r="L289" i="10" s="1" a="1"/>
  <c r="L289" i="10" s="1"/>
  <c r="K308" i="10"/>
  <c r="L308" i="10" s="1" a="1"/>
  <c r="L308" i="10" s="1"/>
  <c r="K305" i="10"/>
  <c r="L305" i="10" s="1" a="1"/>
  <c r="L305" i="10" s="1"/>
  <c r="K306" i="10"/>
  <c r="K312" i="10"/>
  <c r="L312" i="10" s="1" a="1"/>
  <c r="L312" i="10" s="1"/>
  <c r="K315" i="10"/>
  <c r="L315" i="10" s="1" a="1"/>
  <c r="L315" i="10" s="1"/>
  <c r="K313" i="10"/>
  <c r="L313" i="10" s="1" a="1"/>
  <c r="L313" i="10" s="1"/>
  <c r="K314" i="10"/>
  <c r="L314" i="10" s="1" a="1"/>
  <c r="L314" i="10" s="1"/>
  <c r="K316" i="10"/>
  <c r="L316" i="10" s="1" a="1"/>
  <c r="L316" i="10" s="1"/>
  <c r="K317" i="10"/>
  <c r="K318" i="10"/>
  <c r="L318" i="10" s="1" a="1"/>
  <c r="L318" i="10" s="1"/>
  <c r="K321" i="10"/>
  <c r="K323" i="10"/>
  <c r="K322" i="10"/>
  <c r="K339" i="10"/>
  <c r="L339" i="10" s="1" a="1"/>
  <c r="L339" i="10" s="1"/>
  <c r="K327" i="10"/>
  <c r="L327" i="10" s="1" a="1"/>
  <c r="L327" i="10" s="1"/>
  <c r="K325" i="10"/>
  <c r="L325" i="10" s="1" a="1"/>
  <c r="L325" i="10" s="1"/>
  <c r="K330" i="10"/>
  <c r="K329" i="10"/>
  <c r="L329" i="10" s="1" a="1"/>
  <c r="L329" i="10" s="1"/>
  <c r="K320" i="10"/>
  <c r="L320" i="10" s="1" a="1"/>
  <c r="L320" i="10" s="1"/>
  <c r="K328" i="10"/>
  <c r="L328" i="10" s="1" a="1"/>
  <c r="L328" i="10" s="1"/>
  <c r="K324" i="10"/>
  <c r="L324" i="10" s="1" a="1"/>
  <c r="L324" i="10" s="1"/>
  <c r="K326" i="10"/>
  <c r="L326" i="10" s="1" a="1"/>
  <c r="L326" i="10" s="1"/>
  <c r="K333" i="10"/>
  <c r="L333" i="10" s="1" a="1"/>
  <c r="L333" i="10" s="1"/>
  <c r="K332" i="10"/>
  <c r="L332" i="10" s="1" a="1"/>
  <c r="L332" i="10" s="1"/>
  <c r="K331" i="10"/>
  <c r="L331" i="10" s="1" a="1"/>
  <c r="L331" i="10" s="1"/>
  <c r="K319" i="10"/>
  <c r="L319" i="10" s="1" a="1"/>
  <c r="L319" i="10" s="1"/>
  <c r="K334" i="10"/>
  <c r="L334" i="10" s="1" a="1"/>
  <c r="L334" i="10" s="1"/>
  <c r="K335" i="10"/>
  <c r="L335" i="10" s="1" a="1"/>
  <c r="L335" i="10" s="1"/>
  <c r="K336" i="10"/>
  <c r="K337" i="10"/>
  <c r="K351" i="10"/>
  <c r="K345" i="10"/>
  <c r="L345" i="10" s="1" a="1"/>
  <c r="L345" i="10" s="1"/>
  <c r="K346" i="10"/>
  <c r="L346" i="10" s="1" a="1"/>
  <c r="L346" i="10" s="1"/>
  <c r="K344" i="10"/>
  <c r="L344" i="10" s="1" a="1"/>
  <c r="L344" i="10" s="1"/>
  <c r="K340" i="10"/>
  <c r="L340" i="10" s="1" a="1"/>
  <c r="L340" i="10" s="1"/>
  <c r="K348" i="10"/>
  <c r="L348" i="10" s="1" a="1"/>
  <c r="L348" i="10" s="1"/>
  <c r="K341" i="10"/>
  <c r="L341" i="10" s="1" a="1"/>
  <c r="L341" i="10" s="1"/>
  <c r="K342" i="10"/>
  <c r="L342" i="10" s="1" a="1"/>
  <c r="L342" i="10" s="1"/>
  <c r="K343" i="10"/>
  <c r="L343" i="10" s="1" a="1"/>
  <c r="L343" i="10" s="1"/>
  <c r="K338" i="10"/>
  <c r="L338" i="10" s="1" a="1"/>
  <c r="L338" i="10" s="1"/>
  <c r="K350" i="10"/>
  <c r="L350" i="10" s="1" a="1"/>
  <c r="L350" i="10" s="1"/>
  <c r="K353" i="10"/>
  <c r="L353" i="10" s="1" a="1"/>
  <c r="L353" i="10" s="1"/>
  <c r="K354" i="10"/>
  <c r="L354" i="10" s="1" a="1"/>
  <c r="L354" i="10" s="1"/>
  <c r="K349" i="10"/>
  <c r="L349" i="10" s="1" a="1"/>
  <c r="L349" i="10" s="1"/>
  <c r="K347" i="10"/>
  <c r="L347" i="10" s="1" a="1"/>
  <c r="L347" i="10" s="1"/>
  <c r="K356" i="10"/>
  <c r="L356" i="10" s="1" a="1"/>
  <c r="L356" i="10" s="1"/>
  <c r="K357" i="10"/>
  <c r="L357" i="10" s="1" a="1"/>
  <c r="L357" i="10" s="1"/>
  <c r="K359" i="10"/>
  <c r="L359" i="10" s="1" a="1"/>
  <c r="L359" i="10" s="1"/>
  <c r="K371" i="10"/>
  <c r="L371" i="10" s="1" a="1"/>
  <c r="L371" i="10" s="1"/>
  <c r="K373" i="10"/>
  <c r="L373" i="10" s="1" a="1"/>
  <c r="L373" i="10" s="1"/>
  <c r="K364" i="10"/>
  <c r="L364" i="10" s="1" a="1"/>
  <c r="L364" i="10" s="1"/>
  <c r="K360" i="10"/>
  <c r="L360" i="10" s="1" a="1"/>
  <c r="L360" i="10" s="1"/>
  <c r="K362" i="10"/>
  <c r="L362" i="10" s="1" a="1"/>
  <c r="L362" i="10" s="1"/>
  <c r="K361" i="10"/>
  <c r="L361" i="10" s="1" a="1"/>
  <c r="L361" i="10" s="1"/>
  <c r="K358" i="10"/>
  <c r="L358" i="10" s="1" a="1"/>
  <c r="L358" i="10" s="1"/>
  <c r="K374" i="10"/>
  <c r="K372" i="10"/>
  <c r="L372" i="10" s="1" a="1"/>
  <c r="L372" i="10" s="1"/>
  <c r="K366" i="10"/>
  <c r="L366" i="10" s="1" a="1"/>
  <c r="L366" i="10" s="1"/>
  <c r="K365" i="10"/>
  <c r="L365" i="10" s="1" a="1"/>
  <c r="L365" i="10" s="1"/>
  <c r="K369" i="10"/>
  <c r="K368" i="10"/>
  <c r="L368" i="10" s="1" a="1"/>
  <c r="L368" i="10" s="1"/>
  <c r="K363" i="10"/>
  <c r="L363" i="10" s="1" a="1"/>
  <c r="L363" i="10" s="1"/>
  <c r="K370" i="10"/>
  <c r="K376" i="10"/>
  <c r="L376" i="10" s="1" a="1"/>
  <c r="L376" i="10" s="1"/>
  <c r="K378" i="10"/>
  <c r="L378" i="10" s="1" a="1"/>
  <c r="L378" i="10" s="1"/>
  <c r="K379" i="10"/>
  <c r="K382" i="10"/>
  <c r="K389" i="10"/>
  <c r="L389" i="10" s="1" a="1"/>
  <c r="L389" i="10" s="1"/>
  <c r="K385" i="10"/>
  <c r="L385" i="10" s="1" a="1"/>
  <c r="L385" i="10" s="1"/>
  <c r="K391" i="10"/>
  <c r="L391" i="10" s="1" a="1"/>
  <c r="L391" i="10" s="1"/>
  <c r="K393" i="10"/>
  <c r="L393" i="10" s="1" a="1"/>
  <c r="L393" i="10" s="1"/>
  <c r="K387" i="10"/>
  <c r="L387" i="10" s="1" a="1"/>
  <c r="L387" i="10" s="1"/>
  <c r="K386" i="10"/>
  <c r="L386" i="10" s="1" a="1"/>
  <c r="L386" i="10" s="1"/>
  <c r="K383" i="10"/>
  <c r="L383" i="10" s="1" a="1"/>
  <c r="L383" i="10" s="1"/>
  <c r="K384" i="10"/>
  <c r="L384" i="10" s="1" a="1"/>
  <c r="L384" i="10" s="1"/>
  <c r="K390" i="10"/>
  <c r="L390" i="10" s="1" a="1"/>
  <c r="L390" i="10" s="1"/>
  <c r="K380" i="10"/>
  <c r="L380" i="10" s="1" a="1"/>
  <c r="L380" i="10" s="1"/>
  <c r="K381" i="10"/>
  <c r="L381" i="10" s="1" a="1"/>
  <c r="L381" i="10" s="1"/>
  <c r="K355" i="10"/>
  <c r="L355" i="10" s="1" a="1"/>
  <c r="L355" i="10" s="1"/>
  <c r="K377" i="10"/>
  <c r="L377" i="10" s="1" a="1"/>
  <c r="L377" i="10" s="1"/>
  <c r="K399" i="10"/>
  <c r="L399" i="10" s="1" a="1"/>
  <c r="L399" i="10" s="1"/>
  <c r="K395" i="10"/>
  <c r="K396" i="10"/>
  <c r="K397" i="10"/>
  <c r="K398" i="10"/>
  <c r="L398" i="10" s="1" a="1"/>
  <c r="L398" i="10" s="1"/>
  <c r="K404" i="10"/>
  <c r="K406" i="10"/>
  <c r="L406" i="10" s="1" a="1"/>
  <c r="L406" i="10" s="1"/>
  <c r="K367" i="10"/>
  <c r="L367" i="10" s="1" a="1"/>
  <c r="L367" i="10" s="1"/>
  <c r="K388" i="10"/>
  <c r="L388" i="10" s="1" a="1"/>
  <c r="L388" i="10" s="1"/>
  <c r="K411" i="10"/>
  <c r="L411" i="10" s="1" a="1"/>
  <c r="L411" i="10" s="1"/>
  <c r="K410" i="10"/>
  <c r="L410" i="10" s="1" a="1"/>
  <c r="L410" i="10" s="1"/>
  <c r="K418" i="10"/>
  <c r="L418" i="10" s="1" a="1"/>
  <c r="L418" i="10" s="1"/>
  <c r="K400" i="10"/>
  <c r="L400" i="10" s="1" a="1"/>
  <c r="L400" i="10" s="1"/>
  <c r="K413" i="10"/>
  <c r="L413" i="10" s="1" a="1"/>
  <c r="L413" i="10" s="1"/>
  <c r="K416" i="10"/>
  <c r="L416" i="10" s="1" a="1"/>
  <c r="L416" i="10" s="1"/>
  <c r="K408" i="10"/>
  <c r="L408" i="10" s="1" a="1"/>
  <c r="L408" i="10" s="1"/>
  <c r="K417" i="10"/>
  <c r="L417" i="10" s="1" a="1"/>
  <c r="L417" i="10" s="1"/>
  <c r="K412" i="10"/>
  <c r="L412" i="10" s="1" a="1"/>
  <c r="L412" i="10" s="1"/>
  <c r="K394" i="10"/>
  <c r="L394" i="10" s="1" a="1"/>
  <c r="L394" i="10" s="1"/>
  <c r="K405" i="10"/>
  <c r="L405" i="10" s="1" a="1"/>
  <c r="L405" i="10" s="1"/>
  <c r="K407" i="10"/>
  <c r="L407" i="10" s="1" a="1"/>
  <c r="L407" i="10" s="1"/>
  <c r="K420" i="10"/>
  <c r="K375" i="10"/>
  <c r="L375" i="10" s="1" a="1"/>
  <c r="L375" i="10" s="1"/>
  <c r="K424" i="10"/>
  <c r="L424" i="10" s="1" a="1"/>
  <c r="L424" i="10" s="1"/>
  <c r="K421" i="10"/>
  <c r="L421" i="10" s="1" a="1"/>
  <c r="L421" i="10" s="1"/>
  <c r="K423" i="10"/>
  <c r="L423" i="10" s="1" a="1"/>
  <c r="L423" i="10" s="1"/>
  <c r="K180" i="10"/>
  <c r="L180" i="10" s="1" a="1"/>
  <c r="L180" i="10" s="1"/>
  <c r="K403" i="10"/>
  <c r="L403" i="10" s="1" a="1"/>
  <c r="L403" i="10" s="1"/>
  <c r="K232" i="10"/>
  <c r="L232" i="10" s="1" a="1"/>
  <c r="L232" i="10" s="1"/>
  <c r="K260" i="10"/>
  <c r="L260" i="10" s="1" a="1"/>
  <c r="L260" i="10" s="1"/>
  <c r="K402" i="10"/>
  <c r="L402" i="10" s="1" a="1"/>
  <c r="L402" i="10" s="1"/>
  <c r="K401" i="10"/>
  <c r="L401" i="10" s="1" a="1"/>
  <c r="L401" i="10" s="1"/>
  <c r="K415" i="10"/>
  <c r="L415" i="10" s="1" a="1"/>
  <c r="L415" i="10" s="1"/>
  <c r="K435" i="10"/>
  <c r="L435" i="10" s="1" a="1"/>
  <c r="L435" i="10" s="1"/>
  <c r="K438" i="10"/>
  <c r="L438" i="10" s="1" a="1"/>
  <c r="L438" i="10" s="1"/>
  <c r="K437" i="10"/>
  <c r="L437" i="10" s="1" a="1"/>
  <c r="L437" i="10" s="1"/>
  <c r="K434" i="10"/>
  <c r="L434" i="10" s="1" a="1"/>
  <c r="L434" i="10" s="1"/>
  <c r="K431" i="10"/>
  <c r="L431" i="10" s="1" a="1"/>
  <c r="L431" i="10" s="1"/>
  <c r="K436" i="10"/>
  <c r="L436" i="10" s="1" a="1"/>
  <c r="L436" i="10" s="1"/>
  <c r="K429" i="10"/>
  <c r="L429" i="10" s="1" a="1"/>
  <c r="L429" i="10" s="1"/>
  <c r="K430" i="10"/>
  <c r="L430" i="10" s="1" a="1"/>
  <c r="L430" i="10" s="1"/>
  <c r="K433" i="10"/>
  <c r="L433" i="10" s="1" a="1"/>
  <c r="L433" i="10" s="1"/>
  <c r="K422" i="10"/>
  <c r="K432" i="10"/>
  <c r="L432" i="10" s="1" a="1"/>
  <c r="L432" i="10" s="1"/>
  <c r="K427" i="10"/>
  <c r="L427" i="10" s="1" a="1"/>
  <c r="L427" i="10" s="1"/>
  <c r="K428" i="10"/>
  <c r="L428" i="10" s="1" a="1"/>
  <c r="L428" i="10" s="1"/>
  <c r="K440" i="10"/>
  <c r="L440" i="10" s="1" a="1"/>
  <c r="L440" i="10" s="1"/>
  <c r="K439" i="10"/>
  <c r="L439" i="10" s="1" a="1"/>
  <c r="L439" i="10" s="1"/>
  <c r="K419" i="10"/>
  <c r="K425" i="10"/>
  <c r="L425" i="10" s="1" a="1"/>
  <c r="L425" i="10" s="1"/>
  <c r="K441" i="10"/>
  <c r="L441" i="10" s="1" a="1"/>
  <c r="L441" i="10" s="1"/>
  <c r="K443" i="10"/>
  <c r="K447" i="10"/>
  <c r="L447" i="10" s="1" a="1"/>
  <c r="L447" i="10" s="1"/>
  <c r="K446" i="10"/>
  <c r="L446" i="10" s="1" a="1"/>
  <c r="L446" i="10" s="1"/>
  <c r="K445" i="10"/>
  <c r="L445" i="10" s="1" a="1"/>
  <c r="L445" i="10" s="1"/>
  <c r="K392" i="10"/>
  <c r="K352" i="10"/>
  <c r="K448" i="10"/>
  <c r="K449" i="10"/>
  <c r="L449" i="10" s="1" a="1"/>
  <c r="L449" i="10" s="1"/>
  <c r="K451" i="10"/>
  <c r="L451" i="10" s="1" a="1"/>
  <c r="L451" i="10" s="1"/>
  <c r="K458" i="10"/>
  <c r="L458" i="10" s="1" a="1"/>
  <c r="L458" i="10" s="1"/>
  <c r="K450" i="10"/>
  <c r="L450" i="10" s="1" a="1"/>
  <c r="L450" i="10" s="1"/>
  <c r="K456" i="10"/>
  <c r="L456" i="10" s="1" a="1"/>
  <c r="L456" i="10" s="1"/>
  <c r="K459" i="10"/>
  <c r="L459" i="10" s="1" a="1"/>
  <c r="L459" i="10" s="1"/>
  <c r="K452" i="10"/>
  <c r="L452" i="10" s="1" a="1"/>
  <c r="L452" i="10" s="1"/>
  <c r="K457" i="10"/>
  <c r="L457" i="10" s="1" a="1"/>
  <c r="L457" i="10" s="1"/>
  <c r="K454" i="10"/>
  <c r="L454" i="10" s="1" a="1"/>
  <c r="L454" i="10" s="1"/>
  <c r="K460" i="10"/>
  <c r="L460" i="10" s="1" a="1"/>
  <c r="L460" i="10" s="1"/>
  <c r="K463" i="10"/>
  <c r="L463" i="10" s="1" a="1"/>
  <c r="L463" i="10" s="1"/>
  <c r="K462" i="10"/>
  <c r="L462" i="10" s="1" a="1"/>
  <c r="L462" i="10" s="1"/>
  <c r="K461" i="10"/>
  <c r="L461" i="10" s="1" a="1"/>
  <c r="L461" i="10" s="1"/>
  <c r="K442" i="10"/>
  <c r="K464" i="10"/>
  <c r="L464" i="10" s="1" a="1"/>
  <c r="L464" i="10" s="1"/>
  <c r="K453" i="10"/>
  <c r="L453" i="10" s="1" a="1"/>
  <c r="L453" i="10" s="1"/>
  <c r="K444" i="10"/>
  <c r="L444" i="10" s="1" a="1"/>
  <c r="L444" i="10" s="1"/>
  <c r="K466" i="10"/>
  <c r="L466" i="10" s="1" a="1"/>
  <c r="L466" i="10" s="1"/>
  <c r="K465" i="10"/>
  <c r="L465" i="10" s="1" a="1"/>
  <c r="L465" i="10" s="1"/>
  <c r="K471" i="10"/>
  <c r="L471" i="10" s="1" a="1"/>
  <c r="L471" i="10" s="1"/>
  <c r="K467" i="10"/>
  <c r="L467" i="10" s="1" a="1"/>
  <c r="L467" i="10" s="1"/>
  <c r="K469" i="10"/>
  <c r="K470" i="10"/>
  <c r="K468" i="10"/>
  <c r="L468" i="10" s="1" a="1"/>
  <c r="L468" i="10" s="1"/>
  <c r="K474" i="10"/>
  <c r="K473" i="10"/>
  <c r="L473" i="10" s="1" a="1"/>
  <c r="L473" i="10" s="1"/>
  <c r="K475" i="10"/>
  <c r="L475" i="10" s="1" a="1"/>
  <c r="L475" i="10" s="1"/>
  <c r="K476" i="10"/>
  <c r="L476" i="10" s="1" a="1"/>
  <c r="L476" i="10" s="1"/>
  <c r="K455" i="10"/>
  <c r="L455" i="10" s="1" a="1"/>
  <c r="L455" i="10" s="1"/>
  <c r="K472" i="10"/>
  <c r="K488" i="10"/>
  <c r="L488" i="10" s="1" a="1"/>
  <c r="L488" i="10" s="1"/>
  <c r="K485" i="10"/>
  <c r="K478" i="10"/>
  <c r="L478" i="10" s="1" a="1"/>
  <c r="L478" i="10" s="1"/>
  <c r="K479" i="10"/>
  <c r="L479" i="10" s="1" a="1"/>
  <c r="L479" i="10" s="1"/>
  <c r="K486" i="10"/>
  <c r="L486" i="10" s="1" a="1"/>
  <c r="L486" i="10" s="1"/>
  <c r="K482" i="10"/>
  <c r="K493" i="10"/>
  <c r="L493" i="10" s="1" a="1"/>
  <c r="L493" i="10" s="1"/>
  <c r="K494" i="10"/>
  <c r="L494" i="10" s="1" a="1"/>
  <c r="L494" i="10" s="1"/>
  <c r="K483" i="10"/>
  <c r="L483" i="10" s="1" a="1"/>
  <c r="L483" i="10" s="1"/>
  <c r="K487" i="10"/>
  <c r="L487" i="10" s="1" a="1"/>
  <c r="L487" i="10" s="1"/>
  <c r="K489" i="10"/>
  <c r="L489" i="10" s="1" a="1"/>
  <c r="L489" i="10" s="1"/>
  <c r="K480" i="10"/>
  <c r="L480" i="10" s="1" a="1"/>
  <c r="L480" i="10" s="1"/>
  <c r="K492" i="10"/>
  <c r="L492" i="10" s="1" a="1"/>
  <c r="L492" i="10" s="1"/>
  <c r="K477" i="10"/>
  <c r="L477" i="10" s="1" a="1"/>
  <c r="L477" i="10" s="1"/>
  <c r="K484" i="10"/>
  <c r="L484" i="10" s="1" a="1"/>
  <c r="L484" i="10" s="1"/>
  <c r="K490" i="10"/>
  <c r="L490" i="10" s="1" a="1"/>
  <c r="L490" i="10" s="1"/>
  <c r="K491" i="10"/>
  <c r="L491" i="10" s="1" a="1"/>
  <c r="L491" i="10" s="1"/>
  <c r="K497" i="10"/>
  <c r="L497" i="10" s="1" a="1"/>
  <c r="L497" i="10" s="1"/>
  <c r="K409" i="10"/>
  <c r="L409" i="10" s="1" a="1"/>
  <c r="L409" i="10" s="1"/>
  <c r="K426" i="10"/>
  <c r="L426" i="10" s="1" a="1"/>
  <c r="L426" i="10" s="1"/>
  <c r="K529" i="10"/>
  <c r="K495" i="10"/>
  <c r="K249" i="10"/>
  <c r="L249" i="10" s="1" a="1"/>
  <c r="L249" i="10" s="1"/>
  <c r="K250" i="10"/>
  <c r="L250" i="10" s="1" a="1"/>
  <c r="L250" i="10" s="1"/>
  <c r="K307" i="10"/>
  <c r="K533" i="10"/>
  <c r="L533" i="10" s="1" a="1"/>
  <c r="L533" i="10" s="1"/>
  <c r="K561" i="10"/>
  <c r="L561" i="10" s="1" a="1"/>
  <c r="L561" i="10" s="1"/>
  <c r="K539" i="10"/>
  <c r="L539" i="10" s="1" a="1"/>
  <c r="L539" i="10" s="1"/>
  <c r="K572" i="10"/>
  <c r="L572" i="10" s="1" a="1"/>
  <c r="L572" i="10" s="1"/>
  <c r="K535" i="10"/>
  <c r="L535" i="10" s="1" a="1"/>
  <c r="L535" i="10" s="1"/>
  <c r="K564" i="10"/>
  <c r="L564" i="10" s="1" a="1"/>
  <c r="L564" i="10" s="1"/>
  <c r="K537" i="10"/>
  <c r="L537" i="10" s="1" a="1"/>
  <c r="L537" i="10" s="1"/>
  <c r="K569" i="10"/>
  <c r="L569" i="10" s="1" a="1"/>
  <c r="L569" i="10" s="1"/>
  <c r="K530" i="10"/>
  <c r="K541" i="10"/>
  <c r="L541" i="10" s="1" a="1"/>
  <c r="L541" i="10" s="1"/>
  <c r="K560" i="10"/>
  <c r="L560" i="10" s="1" a="1"/>
  <c r="L560" i="10" s="1"/>
  <c r="K538" i="10"/>
  <c r="L538" i="10" s="1" a="1"/>
  <c r="L538" i="10" s="1"/>
  <c r="K570" i="10"/>
  <c r="L570" i="10" s="1" a="1"/>
  <c r="L570" i="10" s="1"/>
  <c r="K528" i="10"/>
  <c r="K534" i="10"/>
  <c r="L534" i="10" s="1" a="1"/>
  <c r="L534" i="10" s="1"/>
  <c r="K563" i="10"/>
  <c r="L563" i="10" s="1" a="1"/>
  <c r="L563" i="10" s="1"/>
  <c r="K555" i="10"/>
  <c r="L555" i="10" s="1" a="1"/>
  <c r="L555" i="10" s="1"/>
  <c r="K558" i="10"/>
  <c r="L558" i="10" s="1" a="1"/>
  <c r="L558" i="10" s="1"/>
  <c r="K536" i="10"/>
  <c r="L536" i="10" s="1" a="1"/>
  <c r="L536" i="10" s="1"/>
  <c r="K532" i="10"/>
  <c r="L532" i="10" s="1" a="1"/>
  <c r="L532" i="10" s="1"/>
  <c r="K545" i="10"/>
  <c r="L545" i="10" s="1" a="1"/>
  <c r="L545" i="10" s="1"/>
  <c r="K576" i="10"/>
  <c r="L576" i="10" s="1" a="1"/>
  <c r="L576" i="10" s="1"/>
  <c r="K556" i="10"/>
  <c r="L556" i="10" s="1" a="1"/>
  <c r="L556" i="10" s="1"/>
  <c r="K571" i="10"/>
  <c r="L571" i="10" s="1" a="1"/>
  <c r="L571" i="10" s="1"/>
  <c r="K548" i="10"/>
  <c r="K565" i="10"/>
  <c r="K550" i="10"/>
  <c r="L550" i="10" s="1" a="1"/>
  <c r="L550" i="10" s="1"/>
  <c r="K566" i="10"/>
  <c r="L566" i="10" s="1" a="1"/>
  <c r="L566" i="10" s="1"/>
  <c r="K542" i="10"/>
  <c r="L542" i="10" s="1" a="1"/>
  <c r="L542" i="10" s="1"/>
  <c r="K562" i="10"/>
  <c r="L562" i="10" s="1" a="1"/>
  <c r="L562" i="10" s="1"/>
  <c r="K552" i="10"/>
  <c r="L552" i="10" s="1" a="1"/>
  <c r="L552" i="10" s="1"/>
  <c r="K568" i="10"/>
  <c r="L568" i="10" s="1" a="1"/>
  <c r="L568" i="10" s="1"/>
  <c r="K557" i="10"/>
  <c r="L557" i="10" s="1" a="1"/>
  <c r="L557" i="10" s="1"/>
  <c r="K559" i="10"/>
  <c r="L559" i="10" s="1" a="1"/>
  <c r="L559" i="10" s="1"/>
  <c r="K551" i="10"/>
  <c r="L551" i="10" s="1" a="1"/>
  <c r="L551" i="10" s="1"/>
  <c r="K567" i="10"/>
  <c r="L567" i="10" s="1" a="1"/>
  <c r="L567" i="10" s="1"/>
  <c r="K554" i="10"/>
  <c r="L554" i="10" s="1" a="1"/>
  <c r="L554" i="10" s="1"/>
  <c r="K578" i="10"/>
  <c r="L578" i="10" s="1" a="1"/>
  <c r="L578" i="10" s="1"/>
  <c r="K540" i="10"/>
  <c r="L540" i="10" s="1" a="1"/>
  <c r="L540" i="10" s="1"/>
  <c r="K573" i="10"/>
  <c r="L573" i="10" s="1" a="1"/>
  <c r="L573" i="10" s="1"/>
  <c r="K531" i="10"/>
  <c r="L531" i="10" s="1" a="1"/>
  <c r="L531" i="10" s="1"/>
  <c r="K577" i="10"/>
  <c r="L577" i="10" s="1" a="1"/>
  <c r="L577" i="10" s="1"/>
  <c r="K575" i="10"/>
  <c r="L575" i="10" s="1" a="1"/>
  <c r="L575" i="10" s="1"/>
  <c r="K527" i="10"/>
  <c r="L527" i="10" s="1" a="1"/>
  <c r="L527" i="10" s="1"/>
  <c r="K574" i="10"/>
  <c r="L574" i="10" s="1" a="1"/>
  <c r="L574" i="10" s="1"/>
  <c r="K414" i="10"/>
  <c r="K549" i="10"/>
  <c r="L549" i="10" s="1" a="1"/>
  <c r="L549" i="10" s="1"/>
  <c r="K580" i="10"/>
  <c r="L580" i="10" s="1" a="1"/>
  <c r="L580" i="10" s="1"/>
  <c r="K507" i="10"/>
  <c r="K501" i="10"/>
  <c r="K517" i="10"/>
  <c r="K508" i="10"/>
  <c r="L508" i="10" s="1" a="1"/>
  <c r="L508" i="10" s="1"/>
  <c r="K499" i="10"/>
  <c r="L499" i="10" s="1" a="1"/>
  <c r="L499" i="10" s="1"/>
  <c r="K519" i="10"/>
  <c r="K520" i="10"/>
  <c r="L520" i="10" s="1" a="1"/>
  <c r="L520" i="10" s="1"/>
  <c r="K504" i="10"/>
  <c r="K514" i="10"/>
  <c r="K510" i="10"/>
  <c r="K518" i="10"/>
  <c r="K526" i="10"/>
  <c r="K505" i="10"/>
  <c r="K509" i="10"/>
  <c r="K506" i="10"/>
  <c r="K524" i="10"/>
  <c r="K498" i="10"/>
  <c r="K502" i="10"/>
  <c r="K521" i="10"/>
  <c r="K516" i="10"/>
  <c r="L516" i="10" s="1" a="1"/>
  <c r="L516" i="10" s="1"/>
  <c r="K512" i="10"/>
  <c r="L512" i="10" s="1" a="1"/>
  <c r="L512" i="10" s="1"/>
  <c r="K523" i="10"/>
  <c r="K525" i="10"/>
  <c r="K522" i="10"/>
  <c r="K511" i="10"/>
  <c r="K503" i="10"/>
  <c r="L503" i="10" s="1" a="1"/>
  <c r="L503" i="10" s="1"/>
  <c r="K515" i="10"/>
  <c r="K513" i="10"/>
  <c r="K500" i="10"/>
  <c r="L500" i="10" s="1" a="1"/>
  <c r="L500" i="10" s="1"/>
  <c r="K582" i="10"/>
  <c r="K544" i="10"/>
  <c r="L544" i="10" s="1" a="1"/>
  <c r="L544" i="10" s="1"/>
  <c r="K579" i="10"/>
  <c r="L579" i="10" s="1" a="1"/>
  <c r="L579" i="10" s="1"/>
  <c r="K553" i="10"/>
  <c r="L553" i="10" s="1" a="1"/>
  <c r="L553" i="10" s="1"/>
  <c r="K581" i="10"/>
  <c r="L581" i="10" s="1" a="1"/>
  <c r="L581" i="10" s="1"/>
  <c r="K546" i="10"/>
  <c r="L546" i="10" s="1" a="1"/>
  <c r="L546" i="10" s="1"/>
  <c r="K584" i="10"/>
  <c r="L584" i="10" s="1" a="1"/>
  <c r="L584" i="10" s="1"/>
  <c r="K543" i="10"/>
  <c r="L543" i="10" s="1" a="1"/>
  <c r="L543" i="10" s="1"/>
  <c r="K583" i="10"/>
  <c r="L583" i="10" s="1" a="1"/>
  <c r="L583" i="10" s="1"/>
  <c r="K547" i="10"/>
  <c r="L547" i="10" s="1" a="1"/>
  <c r="L547" i="10" s="1"/>
  <c r="K585" i="10"/>
  <c r="L585" i="10" s="1" a="1"/>
  <c r="L585" i="10" s="1"/>
  <c r="K590" i="10"/>
  <c r="L590" i="10" s="1" a="1"/>
  <c r="L590" i="10" s="1"/>
  <c r="K593" i="10"/>
  <c r="L593" i="10" s="1" a="1"/>
  <c r="L593" i="10" s="1"/>
  <c r="K592" i="10"/>
  <c r="L592" i="10" s="1" a="1"/>
  <c r="L592" i="10" s="1"/>
  <c r="K591" i="10"/>
  <c r="L591" i="10" s="1" a="1"/>
  <c r="L591" i="10" s="1"/>
  <c r="K589" i="10"/>
  <c r="L589" i="10" s="1" a="1"/>
  <c r="L589" i="10" s="1"/>
  <c r="K588" i="10"/>
  <c r="L588" i="10" s="1" a="1"/>
  <c r="L588" i="10" s="1"/>
  <c r="K587" i="10"/>
  <c r="L587" i="10" s="1" a="1"/>
  <c r="L587" i="10" s="1"/>
  <c r="K496" i="10"/>
  <c r="L496" i="10" s="1" a="1"/>
  <c r="L496" i="10" s="1"/>
  <c r="K601" i="10"/>
  <c r="L601" i="10" s="1" a="1"/>
  <c r="L601" i="10" s="1"/>
  <c r="K598" i="10"/>
  <c r="K596" i="10"/>
  <c r="K597" i="10"/>
  <c r="K599" i="10"/>
  <c r="K600" i="10"/>
  <c r="K602" i="10"/>
  <c r="L602" i="10" s="1" a="1"/>
  <c r="L602" i="10" s="1"/>
  <c r="K604" i="10"/>
  <c r="K603" i="10"/>
  <c r="K594" i="10"/>
  <c r="L594" i="10" s="1" a="1"/>
  <c r="L594" i="10" s="1"/>
  <c r="K481" i="10"/>
  <c r="L481" i="10" s="1" a="1"/>
  <c r="L481" i="10" s="1"/>
  <c r="K605" i="10"/>
  <c r="L605" i="10" s="1" a="1"/>
  <c r="L605" i="10" s="1"/>
  <c r="K624" i="10"/>
  <c r="K606" i="10"/>
  <c r="L606" i="10" s="1" a="1"/>
  <c r="L606" i="10" s="1"/>
  <c r="K616" i="10"/>
  <c r="L616" i="10" s="1" a="1"/>
  <c r="L616" i="10" s="1"/>
  <c r="K586" i="10"/>
  <c r="L586" i="10" s="1" a="1"/>
  <c r="L586" i="10" s="1"/>
  <c r="K612" i="10"/>
  <c r="L612" i="10" s="1" a="1"/>
  <c r="L612" i="10" s="1"/>
  <c r="K619" i="10"/>
  <c r="L619" i="10" s="1" a="1"/>
  <c r="L619" i="10" s="1"/>
  <c r="K622" i="10"/>
  <c r="L622" i="10" s="1" a="1"/>
  <c r="L622" i="10" s="1"/>
  <c r="K621" i="10"/>
  <c r="L621" i="10" s="1" a="1"/>
  <c r="L621" i="10" s="1"/>
  <c r="K620" i="10"/>
  <c r="L620" i="10" s="1" a="1"/>
  <c r="L620" i="10" s="1"/>
  <c r="K614" i="10"/>
  <c r="L614" i="10" s="1" a="1"/>
  <c r="L614" i="10" s="1"/>
  <c r="K608" i="10"/>
  <c r="L608" i="10" s="1" a="1"/>
  <c r="L608" i="10" s="1"/>
  <c r="K623" i="10"/>
  <c r="L623" i="10" s="1" a="1"/>
  <c r="L623" i="10" s="1"/>
  <c r="K609" i="10"/>
  <c r="L609" i="10" s="1" a="1"/>
  <c r="L609" i="10" s="1"/>
  <c r="K607" i="10"/>
  <c r="L607" i="10" s="1" a="1"/>
  <c r="L607" i="10" s="1"/>
  <c r="K617" i="10"/>
  <c r="L617" i="10" s="1" a="1"/>
  <c r="L617" i="10" s="1"/>
  <c r="K611" i="10"/>
  <c r="L611" i="10" s="1" a="1"/>
  <c r="L611" i="10" s="1"/>
  <c r="K613" i="10"/>
  <c r="L613" i="10" s="1" a="1"/>
  <c r="L613" i="10" s="1"/>
  <c r="K595" i="10"/>
  <c r="L595" i="10" s="1" a="1"/>
  <c r="L595" i="10" s="1"/>
  <c r="K618" i="10"/>
  <c r="L618" i="10" s="1" a="1"/>
  <c r="L618" i="10" s="1"/>
  <c r="K626" i="10"/>
  <c r="K625" i="10"/>
  <c r="L625" i="10" s="1" a="1"/>
  <c r="L625" i="10" s="1"/>
  <c r="K628" i="10"/>
  <c r="L628" i="10" s="1" a="1"/>
  <c r="L628" i="10" s="1"/>
  <c r="K610" i="10"/>
  <c r="L610" i="10" s="1" a="1"/>
  <c r="L610" i="10" s="1"/>
  <c r="K629" i="10"/>
  <c r="L629" i="10" s="1" a="1"/>
  <c r="L629" i="10" s="1"/>
  <c r="K630" i="10"/>
  <c r="L630" i="10" s="1" a="1"/>
  <c r="L630" i="10" s="1"/>
  <c r="K627" i="10"/>
  <c r="L627" i="10" s="1" a="1"/>
  <c r="L627" i="10" s="1"/>
  <c r="K632" i="10"/>
  <c r="K631" i="10"/>
  <c r="L631" i="10" s="1" a="1"/>
  <c r="L631" i="10" s="1"/>
  <c r="K615" i="10"/>
  <c r="L615" i="10" s="1" a="1"/>
  <c r="L615" i="10" s="1"/>
  <c r="K633" i="10"/>
  <c r="L633" i="10" s="1" a="1"/>
  <c r="L633" i="10" s="1"/>
  <c r="K639" i="10"/>
  <c r="L639" i="10" s="1" a="1"/>
  <c r="L639" i="10" s="1"/>
  <c r="K647" i="10"/>
  <c r="L647" i="10" s="1" a="1"/>
  <c r="L647" i="10" s="1"/>
  <c r="K660" i="10"/>
  <c r="L660" i="10" s="1" a="1"/>
  <c r="L660" i="10" s="1"/>
  <c r="K648" i="10"/>
  <c r="L648" i="10" s="1" a="1"/>
  <c r="L648" i="10" s="1"/>
  <c r="K651" i="10"/>
  <c r="K649" i="10"/>
  <c r="L649" i="10" s="1" a="1"/>
  <c r="L649" i="10" s="1"/>
  <c r="K635" i="10"/>
  <c r="L635" i="10" s="1" a="1"/>
  <c r="L635" i="10" s="1"/>
  <c r="K656" i="10"/>
  <c r="L656" i="10" s="1" a="1"/>
  <c r="L656" i="10" s="1"/>
  <c r="K658" i="10"/>
  <c r="L658" i="10" s="1" a="1"/>
  <c r="L658" i="10" s="1"/>
  <c r="K653" i="10"/>
  <c r="L653" i="10" s="1" a="1"/>
  <c r="L653" i="10" s="1"/>
  <c r="K663" i="10"/>
  <c r="L663" i="10" s="1" a="1"/>
  <c r="L663" i="10" s="1"/>
  <c r="K657" i="10"/>
  <c r="L657" i="10" s="1" a="1"/>
  <c r="L657" i="10" s="1"/>
  <c r="K637" i="10"/>
  <c r="L637" i="10" s="1" a="1"/>
  <c r="L637" i="10" s="1"/>
  <c r="K643" i="10"/>
  <c r="L643" i="10" s="1" a="1"/>
  <c r="L643" i="10" s="1"/>
  <c r="K640" i="10"/>
  <c r="L640" i="10" s="1" a="1"/>
  <c r="L640" i="10" s="1"/>
  <c r="K644" i="10"/>
  <c r="L644" i="10" s="1" a="1"/>
  <c r="L644" i="10" s="1"/>
  <c r="K642" i="10"/>
  <c r="L642" i="10" s="1" a="1"/>
  <c r="L642" i="10" s="1"/>
  <c r="K652" i="10"/>
  <c r="L652" i="10" s="1" a="1"/>
  <c r="L652" i="10" s="1"/>
  <c r="K634" i="10"/>
  <c r="L634" i="10" s="1" a="1"/>
  <c r="L634" i="10" s="1"/>
  <c r="K636" i="10"/>
  <c r="L636" i="10" s="1" a="1"/>
  <c r="L636" i="10" s="1"/>
  <c r="K641" i="10"/>
  <c r="L641" i="10" s="1" a="1"/>
  <c r="L641" i="10" s="1"/>
  <c r="K650" i="10"/>
  <c r="L650" i="10" s="1" a="1"/>
  <c r="L650" i="10" s="1"/>
  <c r="K645" i="10"/>
  <c r="L645" i="10" s="1" a="1"/>
  <c r="L645" i="10" s="1"/>
  <c r="K655" i="10"/>
  <c r="L655" i="10" s="1" a="1"/>
  <c r="L655" i="10" s="1"/>
  <c r="K654" i="10"/>
  <c r="L654" i="10" s="1" a="1"/>
  <c r="L654" i="10" s="1"/>
  <c r="K638" i="10"/>
  <c r="L638" i="10" s="1" a="1"/>
  <c r="L638" i="10" s="1"/>
  <c r="K661" i="10"/>
  <c r="K664" i="10"/>
  <c r="K667" i="10"/>
  <c r="L667" i="10" s="1" a="1"/>
  <c r="L667" i="10" s="1"/>
  <c r="K665" i="10"/>
  <c r="L665" i="10" s="1" a="1"/>
  <c r="L665" i="10" s="1"/>
  <c r="K669" i="10"/>
  <c r="L669" i="10" s="1" a="1"/>
  <c r="L669" i="10" s="1"/>
  <c r="K671" i="10"/>
  <c r="L671" i="10" s="1" a="1"/>
  <c r="L671" i="10" s="1"/>
  <c r="K670" i="10"/>
  <c r="L670" i="10" s="1" a="1"/>
  <c r="L670" i="10" s="1"/>
  <c r="K673" i="10"/>
  <c r="L673" i="10" s="1" a="1"/>
  <c r="L673" i="10" s="1"/>
  <c r="K672" i="10"/>
  <c r="L672" i="10" s="1" a="1"/>
  <c r="L672" i="10" s="1"/>
  <c r="K646" i="10"/>
  <c r="K662" i="10"/>
  <c r="L662" i="10" s="1" a="1"/>
  <c r="L662" i="10" s="1"/>
  <c r="K659" i="10"/>
  <c r="L659" i="10" s="1" a="1"/>
  <c r="L659" i="10" s="1"/>
  <c r="K677" i="10"/>
  <c r="L677" i="10" s="1" a="1"/>
  <c r="L677" i="10" s="1"/>
  <c r="K680" i="10"/>
  <c r="L680" i="10" s="1" a="1"/>
  <c r="L680" i="10" s="1"/>
  <c r="K698" i="10"/>
  <c r="L698" i="10" s="1" a="1"/>
  <c r="L698" i="10" s="1"/>
  <c r="K691" i="10"/>
  <c r="L691" i="10" s="1" a="1"/>
  <c r="L691" i="10" s="1"/>
  <c r="K687" i="10"/>
  <c r="L687" i="10" s="1" a="1"/>
  <c r="L687" i="10" s="1"/>
  <c r="K682" i="10"/>
  <c r="L682" i="10" s="1" a="1"/>
  <c r="L682" i="10" s="1"/>
  <c r="K689" i="10"/>
  <c r="L689" i="10" s="1" a="1"/>
  <c r="L689" i="10" s="1"/>
  <c r="K692" i="10"/>
  <c r="L692" i="10" s="1" a="1"/>
  <c r="L692" i="10" s="1"/>
  <c r="K690" i="10"/>
  <c r="L690" i="10" s="1" a="1"/>
  <c r="L690" i="10" s="1"/>
  <c r="K694" i="10"/>
  <c r="L694" i="10" s="1" a="1"/>
  <c r="L694" i="10" s="1"/>
  <c r="K679" i="10"/>
  <c r="L679" i="10" s="1" a="1"/>
  <c r="L679" i="10" s="1"/>
  <c r="K688" i="10"/>
  <c r="L688" i="10" s="1" a="1"/>
  <c r="L688" i="10" s="1"/>
  <c r="K681" i="10"/>
  <c r="L681" i="10" s="1" a="1"/>
  <c r="L681" i="10" s="1"/>
  <c r="K676" i="10"/>
  <c r="L676" i="10" s="1" a="1"/>
  <c r="L676" i="10" s="1"/>
  <c r="K683" i="10"/>
  <c r="L683" i="10" s="1" a="1"/>
  <c r="L683" i="10" s="1"/>
  <c r="K674" i="10"/>
  <c r="L674" i="10" s="1" a="1"/>
  <c r="L674" i="10" s="1"/>
  <c r="K678" i="10"/>
  <c r="K675" i="10"/>
  <c r="L675" i="10" s="1" a="1"/>
  <c r="L675" i="10" s="1"/>
  <c r="K686" i="10"/>
  <c r="L686" i="10" s="1" a="1"/>
  <c r="L686" i="10" s="1"/>
  <c r="K696" i="10"/>
  <c r="L696" i="10" s="1" a="1"/>
  <c r="L696" i="10" s="1"/>
  <c r="K699" i="10"/>
  <c r="L699" i="10" s="1" a="1"/>
  <c r="L699" i="10" s="1"/>
  <c r="K695" i="10"/>
  <c r="L695" i="10" s="1" a="1"/>
  <c r="L695" i="10" s="1"/>
  <c r="K697" i="10"/>
  <c r="L697" i="10" s="1" a="1"/>
  <c r="L697" i="10" s="1"/>
  <c r="K5" i="10"/>
  <c r="L5" i="10" s="1" a="1"/>
  <c r="L5" i="10" s="1"/>
  <c r="K7" i="10"/>
  <c r="L7" i="10" s="1" a="1"/>
  <c r="L7" i="10" s="1"/>
  <c r="K8" i="10"/>
  <c r="L8" i="10" s="1" a="1"/>
  <c r="L8" i="10" s="1"/>
  <c r="K9" i="10"/>
  <c r="L9" i="10" s="1" a="1"/>
  <c r="L9" i="10" s="1"/>
  <c r="K10" i="10"/>
  <c r="L10" i="10" s="1" a="1"/>
  <c r="L10" i="10" s="1"/>
  <c r="K11" i="10"/>
  <c r="L11" i="10" s="1" a="1"/>
  <c r="L11" i="10" s="1"/>
  <c r="K13" i="10"/>
  <c r="L13" i="10" s="1" a="1"/>
  <c r="L13" i="10" s="1"/>
  <c r="K15" i="10"/>
  <c r="L15" i="10" s="1" a="1"/>
  <c r="L15" i="10" s="1"/>
  <c r="K17" i="10"/>
  <c r="L17" i="10" s="1" a="1"/>
  <c r="L17" i="10" s="1"/>
  <c r="K57" i="10"/>
  <c r="K4" i="10"/>
  <c r="K94" i="10"/>
  <c r="L94" i="10" s="1" a="1"/>
  <c r="L94" i="10" s="1"/>
  <c r="K122" i="10"/>
  <c r="L122" i="10" s="1" a="1"/>
  <c r="L122" i="10" s="1"/>
  <c r="K169" i="10"/>
  <c r="L169" i="10" s="1" a="1"/>
  <c r="L169" i="10" s="1"/>
  <c r="K197" i="10"/>
  <c r="L197" i="10" s="1" a="1"/>
  <c r="L197" i="10" s="1"/>
  <c r="K18" i="10"/>
  <c r="L18" i="10" s="1" a="1"/>
  <c r="L18" i="10" s="1"/>
  <c r="K47" i="10"/>
  <c r="L47" i="10" s="1" a="1"/>
  <c r="L47" i="10" s="1"/>
  <c r="K60" i="10"/>
  <c r="L60" i="10" s="1" a="1"/>
  <c r="L60" i="10" s="1"/>
  <c r="K88" i="10"/>
  <c r="L88" i="10" s="1" a="1"/>
  <c r="L88" i="10" s="1"/>
  <c r="K3" i="10"/>
  <c r="L3" i="10" s="1" a="1"/>
  <c r="L3" i="10" s="1"/>
  <c r="O697" i="10"/>
  <c r="P697" i="10" s="1"/>
  <c r="O695" i="10"/>
  <c r="P695" i="10" s="1"/>
  <c r="O699" i="10"/>
  <c r="P699" i="10" s="1"/>
  <c r="O696" i="10"/>
  <c r="P696" i="10" s="1"/>
  <c r="O686" i="10"/>
  <c r="P686" i="10" s="1"/>
  <c r="O675" i="10"/>
  <c r="P675" i="10" s="1"/>
  <c r="O678" i="10"/>
  <c r="P678" i="10" s="1"/>
  <c r="O674" i="10"/>
  <c r="P674" i="10" s="1"/>
  <c r="O683" i="10"/>
  <c r="P683" i="10" s="1"/>
  <c r="O676" i="10"/>
  <c r="P676" i="10" s="1"/>
  <c r="O681" i="10"/>
  <c r="P681" i="10" s="1"/>
  <c r="O688" i="10"/>
  <c r="P688" i="10" s="1"/>
  <c r="O679" i="10"/>
  <c r="P679" i="10" s="1"/>
  <c r="O694" i="10"/>
  <c r="P694" i="10" s="1"/>
  <c r="O690" i="10"/>
  <c r="P690" i="10" s="1"/>
  <c r="O692" i="10"/>
  <c r="P692" i="10" s="1"/>
  <c r="O689" i="10"/>
  <c r="P689" i="10" s="1"/>
  <c r="O682" i="10"/>
  <c r="P682" i="10" s="1"/>
  <c r="O687" i="10"/>
  <c r="P687" i="10" s="1"/>
  <c r="O691" i="10"/>
  <c r="P691" i="10" s="1"/>
  <c r="O698" i="10"/>
  <c r="P698" i="10" s="1"/>
  <c r="O680" i="10"/>
  <c r="P680" i="10" s="1"/>
  <c r="O677" i="10"/>
  <c r="P677" i="10" s="1"/>
  <c r="O659" i="10"/>
  <c r="P659" i="10" s="1"/>
  <c r="O662" i="10"/>
  <c r="P662" i="10" s="1"/>
  <c r="O646" i="10"/>
  <c r="P646" i="10" s="1"/>
  <c r="O673" i="10" l="1"/>
  <c r="P673" i="10" s="1"/>
  <c r="O672" i="10"/>
  <c r="P672" i="10" s="1"/>
  <c r="O671" i="10"/>
  <c r="P671" i="10" s="1"/>
  <c r="O670" i="10"/>
  <c r="P670" i="10" s="1"/>
  <c r="O669" i="10"/>
  <c r="P669" i="10" s="1"/>
  <c r="O665" i="10"/>
  <c r="P665" i="10" s="1"/>
  <c r="O667" i="10"/>
  <c r="P667" i="10" s="1"/>
  <c r="E64" i="12"/>
  <c r="E81" i="12"/>
  <c r="O664" i="10"/>
  <c r="P664" i="10" s="1"/>
  <c r="O661" i="10" l="1"/>
  <c r="P661" i="10" s="1"/>
  <c r="O638" i="10"/>
  <c r="P638" i="10" s="1"/>
  <c r="O654" i="10"/>
  <c r="P654" i="10" s="1"/>
  <c r="O655" i="10"/>
  <c r="P655" i="10" s="1"/>
  <c r="O645" i="10"/>
  <c r="P645" i="10" s="1"/>
  <c r="O650" i="10"/>
  <c r="P650" i="10" s="1"/>
  <c r="O641" i="10"/>
  <c r="P641" i="10" s="1"/>
  <c r="O636" i="10"/>
  <c r="P636" i="10" s="1"/>
  <c r="O634" i="10"/>
  <c r="P634" i="10" s="1"/>
  <c r="O652" i="10"/>
  <c r="P652" i="10" s="1"/>
  <c r="O642" i="10"/>
  <c r="P642" i="10" s="1"/>
  <c r="O644" i="10"/>
  <c r="P644" i="10" s="1"/>
  <c r="O640" i="10"/>
  <c r="P640" i="10" s="1"/>
  <c r="O643" i="10"/>
  <c r="P643" i="10" s="1"/>
  <c r="O637" i="10"/>
  <c r="P637" i="10" s="1"/>
  <c r="O657" i="10"/>
  <c r="P657" i="10" s="1"/>
  <c r="O663" i="10"/>
  <c r="P663" i="10" s="1"/>
  <c r="O653" i="10"/>
  <c r="P653" i="10" s="1"/>
  <c r="O658" i="10"/>
  <c r="P658" i="10" s="1"/>
  <c r="O656" i="10"/>
  <c r="P656" i="10" s="1"/>
  <c r="O635" i="10"/>
  <c r="P635" i="10" s="1"/>
  <c r="O649" i="10"/>
  <c r="P649" i="10" s="1"/>
  <c r="O651" i="10"/>
  <c r="P651" i="10" s="1"/>
  <c r="O648" i="10"/>
  <c r="P648" i="10" s="1"/>
  <c r="O660" i="10"/>
  <c r="P660" i="10" s="1"/>
  <c r="O647" i="10"/>
  <c r="P647" i="10" s="1"/>
  <c r="O639" i="10"/>
  <c r="P639" i="10" s="1"/>
  <c r="O633" i="10" l="1"/>
  <c r="P633" i="10" s="1"/>
  <c r="E102" i="12"/>
  <c r="B176" i="20"/>
  <c r="B175" i="20"/>
  <c r="B424" i="20"/>
  <c r="B423" i="20"/>
  <c r="D176" i="20"/>
  <c r="F176" i="20"/>
  <c r="J176" i="20"/>
  <c r="D175" i="20"/>
  <c r="F175" i="20"/>
  <c r="J175" i="20"/>
  <c r="D424" i="20"/>
  <c r="F424" i="20"/>
  <c r="J424" i="20"/>
  <c r="D423" i="20"/>
  <c r="F423" i="20"/>
  <c r="J423" i="20"/>
  <c r="O615" i="10"/>
  <c r="P615" i="10" s="1"/>
  <c r="E66" i="12"/>
  <c r="B422" i="20"/>
  <c r="B167" i="20"/>
  <c r="B168" i="20"/>
  <c r="D168" i="20"/>
  <c r="F168" i="20"/>
  <c r="J168" i="20"/>
  <c r="D167" i="20"/>
  <c r="F167" i="20"/>
  <c r="J167" i="20"/>
  <c r="D422" i="20"/>
  <c r="F422" i="20"/>
  <c r="J422" i="20"/>
  <c r="O631" i="10"/>
  <c r="P631" i="10" s="1"/>
  <c r="E52" i="12"/>
  <c r="Y72" i="1"/>
  <c r="O632" i="10"/>
  <c r="P632" i="10" s="1"/>
  <c r="D358" i="20"/>
  <c r="D359" i="20"/>
  <c r="D360" i="20"/>
  <c r="F358" i="20"/>
  <c r="F359" i="20"/>
  <c r="F360" i="20"/>
  <c r="J358" i="20"/>
  <c r="J359" i="20"/>
  <c r="J360" i="20"/>
  <c r="B357" i="20"/>
  <c r="B358" i="20"/>
  <c r="B359" i="20"/>
  <c r="B360" i="20"/>
  <c r="D357" i="20"/>
  <c r="F357" i="20"/>
  <c r="J357" i="20"/>
  <c r="N72" i="1"/>
  <c r="K52" i="12" s="1"/>
  <c r="O72" i="1"/>
  <c r="L52" i="12" s="1"/>
  <c r="AF72" i="1"/>
  <c r="AJ72" i="1"/>
  <c r="AL72" i="1"/>
  <c r="E65" i="12"/>
  <c r="B421" i="20"/>
  <c r="B157" i="20"/>
  <c r="B158" i="20"/>
  <c r="D158" i="20"/>
  <c r="F158" i="20"/>
  <c r="J158" i="20"/>
  <c r="D157" i="20"/>
  <c r="F157" i="20"/>
  <c r="J157" i="20"/>
  <c r="D421" i="20"/>
  <c r="F421" i="20"/>
  <c r="J421" i="20"/>
  <c r="O627" i="10"/>
  <c r="P627" i="10" s="1"/>
  <c r="O630" i="10"/>
  <c r="P630" i="10" s="1"/>
  <c r="E116" i="12"/>
  <c r="B351" i="20"/>
  <c r="B352" i="20"/>
  <c r="B353" i="20"/>
  <c r="D353" i="20"/>
  <c r="F353" i="20"/>
  <c r="J353" i="20"/>
  <c r="D352" i="20"/>
  <c r="F352" i="20"/>
  <c r="J352" i="20"/>
  <c r="D351" i="20"/>
  <c r="F351" i="20"/>
  <c r="J351" i="20"/>
  <c r="N53" i="1"/>
  <c r="O53" i="1"/>
  <c r="AF53" i="1"/>
  <c r="AJ53" i="1"/>
  <c r="AL53" i="1"/>
  <c r="E121" i="12"/>
  <c r="B114" i="20"/>
  <c r="B115" i="20"/>
  <c r="B420" i="20"/>
  <c r="B129" i="20"/>
  <c r="B130" i="20"/>
  <c r="B113" i="20"/>
  <c r="B342" i="20"/>
  <c r="B343" i="20"/>
  <c r="B344" i="20"/>
  <c r="B419" i="20"/>
  <c r="D130" i="20"/>
  <c r="F130" i="20"/>
  <c r="J130" i="20"/>
  <c r="D129" i="20"/>
  <c r="F129" i="20"/>
  <c r="J129" i="20"/>
  <c r="D420" i="20"/>
  <c r="F420" i="20"/>
  <c r="J420" i="20"/>
  <c r="O629" i="10"/>
  <c r="P629" i="10" s="1"/>
  <c r="O610" i="10"/>
  <c r="P610" i="10" s="1"/>
  <c r="O628" i="10"/>
  <c r="P628" i="10" s="1"/>
  <c r="O625" i="10"/>
  <c r="P625" i="10" s="1"/>
  <c r="O626" i="10"/>
  <c r="P626" i="10" s="1"/>
  <c r="O618" i="10"/>
  <c r="P618" i="10" s="1"/>
  <c r="O595" i="10"/>
  <c r="P595" i="10" s="1"/>
  <c r="O613" i="10"/>
  <c r="P613" i="10" s="1"/>
  <c r="O611" i="10"/>
  <c r="P611" i="10" s="1"/>
  <c r="O617" i="10"/>
  <c r="P617" i="10" s="1"/>
  <c r="O607" i="10"/>
  <c r="P607" i="10" s="1"/>
  <c r="O609" i="10"/>
  <c r="P609" i="10" s="1"/>
  <c r="O623" i="10"/>
  <c r="P623" i="10" s="1"/>
  <c r="O608" i="10"/>
  <c r="P608" i="10" s="1"/>
  <c r="O614" i="10"/>
  <c r="P614" i="10" s="1"/>
  <c r="O620" i="10"/>
  <c r="P620" i="10" s="1"/>
  <c r="O621" i="10"/>
  <c r="P621" i="10" s="1"/>
  <c r="O622" i="10"/>
  <c r="P622" i="10" s="1"/>
  <c r="O619" i="10"/>
  <c r="P619" i="10" s="1"/>
  <c r="O612" i="10"/>
  <c r="P612" i="10" s="1"/>
  <c r="O586" i="10"/>
  <c r="P586" i="10" s="1"/>
  <c r="O616" i="10"/>
  <c r="P616" i="10" s="1"/>
  <c r="O606" i="10"/>
  <c r="P606" i="10" s="1"/>
  <c r="E113" i="12"/>
  <c r="D115" i="20"/>
  <c r="F115" i="20"/>
  <c r="J115" i="20"/>
  <c r="D114" i="20"/>
  <c r="F114" i="20"/>
  <c r="J114" i="20"/>
  <c r="D419" i="20"/>
  <c r="F419" i="20"/>
  <c r="J419" i="20"/>
  <c r="O624" i="10"/>
  <c r="P624" i="10" s="1"/>
  <c r="B7" i="21"/>
  <c r="C3" i="21"/>
  <c r="C6" i="21" s="1"/>
  <c r="E10" i="12"/>
  <c r="O605" i="10"/>
  <c r="P605" i="10" s="1"/>
  <c r="H605" i="10"/>
  <c r="O481" i="10"/>
  <c r="P481" i="10" s="1"/>
  <c r="J344" i="20"/>
  <c r="F344" i="20"/>
  <c r="D344" i="20"/>
  <c r="J343" i="20"/>
  <c r="F343" i="20"/>
  <c r="D343" i="20"/>
  <c r="J342" i="20"/>
  <c r="F342" i="20"/>
  <c r="D342" i="20"/>
  <c r="AL7" i="1"/>
  <c r="AJ7" i="1"/>
  <c r="AF7" i="1"/>
  <c r="O7" i="1"/>
  <c r="L10" i="12" s="1"/>
  <c r="N7" i="1"/>
  <c r="K10" i="12" s="1"/>
  <c r="O594" i="10"/>
  <c r="P594" i="10" s="1"/>
  <c r="H594" i="10"/>
  <c r="O603" i="10"/>
  <c r="P603" i="10" s="1"/>
  <c r="O604" i="10"/>
  <c r="P604" i="10" s="1"/>
  <c r="F62" i="17"/>
  <c r="F23" i="17"/>
  <c r="F22" i="17"/>
  <c r="F16" i="17"/>
  <c r="C62" i="17"/>
  <c r="C22" i="17"/>
  <c r="C23" i="17"/>
  <c r="C16" i="17"/>
  <c r="J2" i="20"/>
  <c r="J3" i="20"/>
  <c r="J4" i="20"/>
  <c r="J5" i="20"/>
  <c r="J6" i="20"/>
  <c r="J7" i="20"/>
  <c r="J8" i="20"/>
  <c r="J9" i="20"/>
  <c r="J10" i="20"/>
  <c r="J11" i="20"/>
  <c r="J12" i="20"/>
  <c r="J13" i="20"/>
  <c r="J14" i="20"/>
  <c r="J15" i="20"/>
  <c r="J16" i="20"/>
  <c r="J17" i="20"/>
  <c r="J18" i="20"/>
  <c r="J341" i="20"/>
  <c r="J345" i="20"/>
  <c r="J21" i="20"/>
  <c r="J346" i="20"/>
  <c r="J347" i="20"/>
  <c r="J348" i="20"/>
  <c r="J349" i="20"/>
  <c r="J350" i="20"/>
  <c r="J354" i="20"/>
  <c r="J355" i="20"/>
  <c r="J29" i="20"/>
  <c r="J30" i="20"/>
  <c r="J31" i="20"/>
  <c r="J32" i="20"/>
  <c r="J33" i="20"/>
  <c r="J34" i="20"/>
  <c r="J35" i="20"/>
  <c r="J356" i="20"/>
  <c r="J361" i="20"/>
  <c r="J38" i="20"/>
  <c r="J39" i="20"/>
  <c r="J40" i="20"/>
  <c r="J41" i="20"/>
  <c r="J42" i="20"/>
  <c r="J43" i="20"/>
  <c r="J44" i="20"/>
  <c r="J45" i="20"/>
  <c r="J46" i="20"/>
  <c r="J47" i="20"/>
  <c r="J48" i="20"/>
  <c r="J49" i="20"/>
  <c r="J50" i="20"/>
  <c r="J51" i="20"/>
  <c r="J52" i="20"/>
  <c r="J362" i="20"/>
  <c r="J54" i="20"/>
  <c r="J55" i="20"/>
  <c r="J56" i="20"/>
  <c r="J57" i="20"/>
  <c r="J363" i="20"/>
  <c r="J59" i="20"/>
  <c r="J60" i="20"/>
  <c r="J61" i="20"/>
  <c r="J62" i="20"/>
  <c r="J63" i="20"/>
  <c r="J364" i="20"/>
  <c r="J365" i="20"/>
  <c r="J366" i="20"/>
  <c r="J367" i="20"/>
  <c r="J368" i="20"/>
  <c r="J369" i="20"/>
  <c r="J370" i="20"/>
  <c r="J371" i="20"/>
  <c r="J72" i="20"/>
  <c r="J73" i="20"/>
  <c r="J372" i="20"/>
  <c r="J373" i="20"/>
  <c r="J76" i="20"/>
  <c r="J77" i="20"/>
  <c r="J78" i="20"/>
  <c r="J374" i="20"/>
  <c r="J375" i="20"/>
  <c r="J376" i="20"/>
  <c r="J82" i="20"/>
  <c r="J377" i="20"/>
  <c r="J378" i="20"/>
  <c r="J85" i="20"/>
  <c r="J86" i="20"/>
  <c r="J87" i="20"/>
  <c r="J379" i="20"/>
  <c r="J380" i="20"/>
  <c r="J381" i="20"/>
  <c r="J382" i="20"/>
  <c r="J390" i="20"/>
  <c r="J391" i="20"/>
  <c r="J392" i="20"/>
  <c r="J95" i="20"/>
  <c r="J393" i="20"/>
  <c r="J394" i="20"/>
  <c r="J395" i="20"/>
  <c r="J396" i="20"/>
  <c r="J397" i="20"/>
  <c r="J398" i="20"/>
  <c r="J399" i="20"/>
  <c r="J400" i="20"/>
  <c r="J401" i="20"/>
  <c r="J402" i="20"/>
  <c r="J106" i="20"/>
  <c r="J107" i="20"/>
  <c r="J403" i="20"/>
  <c r="J404" i="20"/>
  <c r="J405" i="20"/>
  <c r="J406" i="20"/>
  <c r="J407" i="20"/>
  <c r="J408" i="20"/>
  <c r="J409" i="20"/>
  <c r="J410" i="20"/>
  <c r="J116" i="20"/>
  <c r="J117" i="20"/>
  <c r="J118" i="20"/>
  <c r="J119" i="20"/>
  <c r="J120" i="20"/>
  <c r="J121" i="20"/>
  <c r="J122" i="20"/>
  <c r="J123" i="20"/>
  <c r="J124" i="20"/>
  <c r="J125" i="20"/>
  <c r="J126" i="20"/>
  <c r="J127" i="20"/>
  <c r="J128" i="20"/>
  <c r="J411" i="20"/>
  <c r="J412"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413" i="20"/>
  <c r="J414" i="20"/>
  <c r="J159" i="20"/>
  <c r="J160" i="20"/>
  <c r="J161" i="20"/>
  <c r="J162" i="20"/>
  <c r="J163" i="20"/>
  <c r="J164" i="20"/>
  <c r="J165" i="20"/>
  <c r="J166" i="20"/>
  <c r="J415" i="20"/>
  <c r="J416" i="20"/>
  <c r="J169" i="20"/>
  <c r="J170" i="20"/>
  <c r="J171" i="20"/>
  <c r="J172" i="20"/>
  <c r="J173" i="20"/>
  <c r="J174" i="20"/>
  <c r="J417" i="20"/>
  <c r="J418" i="20"/>
  <c r="J177" i="20"/>
  <c r="J178" i="20"/>
  <c r="J179" i="20"/>
  <c r="J180" i="20"/>
  <c r="J181" i="20"/>
  <c r="J182" i="20"/>
  <c r="J183" i="20"/>
  <c r="J184" i="20"/>
  <c r="J185" i="20"/>
  <c r="J186" i="20"/>
  <c r="J187" i="20"/>
  <c r="J188" i="20"/>
  <c r="J189" i="20"/>
  <c r="J190" i="20"/>
  <c r="J191" i="20"/>
  <c r="J192" i="20"/>
  <c r="J193" i="20"/>
  <c r="J194" i="20"/>
  <c r="J19" i="20"/>
  <c r="J20" i="20"/>
  <c r="J197" i="20"/>
  <c r="J198" i="20"/>
  <c r="J22" i="20"/>
  <c r="J23" i="20"/>
  <c r="J24" i="20"/>
  <c r="J202" i="20"/>
  <c r="J203" i="20"/>
  <c r="J25" i="20"/>
  <c r="J26" i="20"/>
  <c r="J27" i="20"/>
  <c r="J207" i="20"/>
  <c r="J208" i="20"/>
  <c r="J209" i="20"/>
  <c r="J210" i="20"/>
  <c r="J211" i="20"/>
  <c r="J212" i="20"/>
  <c r="J213" i="20"/>
  <c r="J214" i="20"/>
  <c r="J215" i="20"/>
  <c r="J216" i="20"/>
  <c r="J217" i="20"/>
  <c r="J218" i="20"/>
  <c r="J219" i="20"/>
  <c r="J220" i="20"/>
  <c r="J221" i="20"/>
  <c r="J222" i="20"/>
  <c r="J223" i="20"/>
  <c r="J224" i="20"/>
  <c r="J28" i="20"/>
  <c r="J36" i="20"/>
  <c r="J227" i="20"/>
  <c r="J228" i="20"/>
  <c r="J229" i="20"/>
  <c r="J230" i="20"/>
  <c r="J231" i="20"/>
  <c r="J37" i="20"/>
  <c r="J233" i="20"/>
  <c r="J234" i="20"/>
  <c r="J235" i="20"/>
  <c r="J236" i="20"/>
  <c r="J237" i="20"/>
  <c r="J238" i="20"/>
  <c r="J53" i="20"/>
  <c r="J58" i="20"/>
  <c r="J64" i="20"/>
  <c r="J242" i="20"/>
  <c r="J243" i="20"/>
  <c r="J65" i="20"/>
  <c r="J66" i="20"/>
  <c r="J246" i="20"/>
  <c r="J247" i="20"/>
  <c r="J67" i="20"/>
  <c r="J68" i="20"/>
  <c r="J250" i="20"/>
  <c r="J251" i="20"/>
  <c r="J69" i="20"/>
  <c r="J70" i="20"/>
  <c r="J254" i="20"/>
  <c r="J71" i="20"/>
  <c r="J74" i="20"/>
  <c r="J75" i="20"/>
  <c r="J79" i="20"/>
  <c r="J80" i="20"/>
  <c r="J81" i="20"/>
  <c r="J83" i="20"/>
  <c r="J262" i="20"/>
  <c r="J84" i="20"/>
  <c r="J88" i="20"/>
  <c r="J89" i="20"/>
  <c r="J90" i="20"/>
  <c r="J91" i="20"/>
  <c r="J92" i="20"/>
  <c r="J93" i="20"/>
  <c r="J94" i="20"/>
  <c r="J271" i="20"/>
  <c r="J272" i="20"/>
  <c r="J96" i="20"/>
  <c r="J97" i="20"/>
  <c r="J98" i="20"/>
  <c r="J99" i="20"/>
  <c r="J100" i="20"/>
  <c r="J101" i="20"/>
  <c r="J102" i="20"/>
  <c r="J280" i="20"/>
  <c r="J281" i="20"/>
  <c r="J282" i="20"/>
  <c r="J283" i="20"/>
  <c r="J284" i="20"/>
  <c r="J285" i="20"/>
  <c r="J286" i="20"/>
  <c r="J287" i="20"/>
  <c r="J288" i="20"/>
  <c r="J289" i="20"/>
  <c r="J290" i="20"/>
  <c r="J291" i="20"/>
  <c r="J292" i="20"/>
  <c r="J103" i="20"/>
  <c r="J10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105" i="20"/>
  <c r="J108" i="20"/>
  <c r="J323" i="20"/>
  <c r="J324" i="20"/>
  <c r="J325" i="20"/>
  <c r="J326" i="20"/>
  <c r="J327" i="20"/>
  <c r="J328" i="20"/>
  <c r="J329" i="20"/>
  <c r="J330" i="20"/>
  <c r="J109" i="20"/>
  <c r="J110" i="20"/>
  <c r="J333" i="20"/>
  <c r="J334" i="20"/>
  <c r="J335" i="20"/>
  <c r="J336" i="20"/>
  <c r="J337" i="20"/>
  <c r="J338" i="20"/>
  <c r="J111" i="20"/>
  <c r="J112" i="20"/>
  <c r="J113" i="20"/>
  <c r="F3" i="20"/>
  <c r="F4" i="20"/>
  <c r="F5" i="20"/>
  <c r="F6" i="20"/>
  <c r="F7" i="20"/>
  <c r="F8" i="20"/>
  <c r="F9" i="20"/>
  <c r="F10" i="20"/>
  <c r="F11" i="20"/>
  <c r="F12" i="20"/>
  <c r="F13" i="20"/>
  <c r="F14" i="20"/>
  <c r="F15" i="20"/>
  <c r="F16" i="20"/>
  <c r="F17" i="20"/>
  <c r="F18" i="20"/>
  <c r="F341" i="20"/>
  <c r="F345" i="20"/>
  <c r="F21" i="20"/>
  <c r="F346" i="20"/>
  <c r="F347" i="20"/>
  <c r="F348" i="20"/>
  <c r="F349" i="20"/>
  <c r="F350" i="20"/>
  <c r="F354" i="20"/>
  <c r="F355" i="20"/>
  <c r="F29" i="20"/>
  <c r="F30" i="20"/>
  <c r="F31" i="20"/>
  <c r="F32" i="20"/>
  <c r="F33" i="20"/>
  <c r="F34" i="20"/>
  <c r="F35" i="20"/>
  <c r="F356" i="20"/>
  <c r="F361" i="20"/>
  <c r="F38" i="20"/>
  <c r="F39" i="20"/>
  <c r="F40" i="20"/>
  <c r="F41" i="20"/>
  <c r="F42" i="20"/>
  <c r="F43" i="20"/>
  <c r="F44" i="20"/>
  <c r="F45" i="20"/>
  <c r="F46" i="20"/>
  <c r="F47" i="20"/>
  <c r="F48" i="20"/>
  <c r="F49" i="20"/>
  <c r="F50" i="20"/>
  <c r="F51" i="20"/>
  <c r="F52" i="20"/>
  <c r="F362" i="20"/>
  <c r="F54" i="20"/>
  <c r="F55" i="20"/>
  <c r="F56" i="20"/>
  <c r="F57" i="20"/>
  <c r="F363" i="20"/>
  <c r="F59" i="20"/>
  <c r="F60" i="20"/>
  <c r="F61" i="20"/>
  <c r="F62" i="20"/>
  <c r="F63" i="20"/>
  <c r="F364" i="20"/>
  <c r="F365" i="20"/>
  <c r="F366" i="20"/>
  <c r="F367" i="20"/>
  <c r="F368" i="20"/>
  <c r="F369" i="20"/>
  <c r="F370" i="20"/>
  <c r="F371" i="20"/>
  <c r="F72" i="20"/>
  <c r="F73" i="20"/>
  <c r="F372" i="20"/>
  <c r="F373" i="20"/>
  <c r="F76" i="20"/>
  <c r="F77" i="20"/>
  <c r="F78" i="20"/>
  <c r="F374" i="20"/>
  <c r="F375" i="20"/>
  <c r="F376" i="20"/>
  <c r="F82" i="20"/>
  <c r="F377" i="20"/>
  <c r="F378" i="20"/>
  <c r="F85" i="20"/>
  <c r="F86" i="20"/>
  <c r="F87" i="20"/>
  <c r="F379" i="20"/>
  <c r="F380" i="20"/>
  <c r="F381" i="20"/>
  <c r="F382" i="20"/>
  <c r="F390" i="20"/>
  <c r="F391" i="20"/>
  <c r="F392" i="20"/>
  <c r="F95" i="20"/>
  <c r="F393" i="20"/>
  <c r="F394" i="20"/>
  <c r="F395" i="20"/>
  <c r="F396" i="20"/>
  <c r="F397" i="20"/>
  <c r="F398" i="20"/>
  <c r="F399" i="20"/>
  <c r="F400" i="20"/>
  <c r="F401" i="20"/>
  <c r="F402" i="20"/>
  <c r="F106" i="20"/>
  <c r="F107" i="20"/>
  <c r="F403" i="20"/>
  <c r="F404" i="20"/>
  <c r="F405" i="20"/>
  <c r="F406" i="20"/>
  <c r="F407" i="20"/>
  <c r="F408" i="20"/>
  <c r="F409" i="20"/>
  <c r="F410" i="20"/>
  <c r="F116" i="20"/>
  <c r="F117" i="20"/>
  <c r="F118" i="20"/>
  <c r="F119" i="20"/>
  <c r="F120" i="20"/>
  <c r="F121" i="20"/>
  <c r="F122" i="20"/>
  <c r="F123" i="20"/>
  <c r="F124" i="20"/>
  <c r="F125" i="20"/>
  <c r="F126" i="20"/>
  <c r="F127" i="20"/>
  <c r="F128" i="20"/>
  <c r="F411" i="20"/>
  <c r="F412"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413" i="20"/>
  <c r="F414" i="20"/>
  <c r="F159" i="20"/>
  <c r="F160" i="20"/>
  <c r="F161" i="20"/>
  <c r="F162" i="20"/>
  <c r="F163" i="20"/>
  <c r="F164" i="20"/>
  <c r="F165" i="20"/>
  <c r="F166" i="20"/>
  <c r="F415" i="20"/>
  <c r="F416" i="20"/>
  <c r="F169" i="20"/>
  <c r="F170" i="20"/>
  <c r="F171" i="20"/>
  <c r="F172" i="20"/>
  <c r="F173" i="20"/>
  <c r="F174" i="20"/>
  <c r="F417" i="20"/>
  <c r="F418" i="20"/>
  <c r="F177" i="20"/>
  <c r="F178" i="20"/>
  <c r="F179" i="20"/>
  <c r="F180" i="20"/>
  <c r="F181" i="20"/>
  <c r="F182" i="20"/>
  <c r="F183" i="20"/>
  <c r="F184" i="20"/>
  <c r="F185" i="20"/>
  <c r="F186" i="20"/>
  <c r="F187" i="20"/>
  <c r="F188" i="20"/>
  <c r="F189" i="20"/>
  <c r="F190" i="20"/>
  <c r="F191" i="20"/>
  <c r="F192" i="20"/>
  <c r="F193" i="20"/>
  <c r="F194" i="20"/>
  <c r="F19" i="20"/>
  <c r="F20" i="20"/>
  <c r="F197" i="20"/>
  <c r="F198" i="20"/>
  <c r="F22" i="20"/>
  <c r="F23" i="20"/>
  <c r="F24" i="20"/>
  <c r="F202" i="20"/>
  <c r="F203" i="20"/>
  <c r="F25" i="20"/>
  <c r="F26" i="20"/>
  <c r="F27" i="20"/>
  <c r="F207" i="20"/>
  <c r="F208" i="20"/>
  <c r="F209" i="20"/>
  <c r="F210" i="20"/>
  <c r="F211" i="20"/>
  <c r="F212" i="20"/>
  <c r="F213" i="20"/>
  <c r="F214" i="20"/>
  <c r="F215" i="20"/>
  <c r="F216" i="20"/>
  <c r="F217" i="20"/>
  <c r="F218" i="20"/>
  <c r="F219" i="20"/>
  <c r="F220" i="20"/>
  <c r="F221" i="20"/>
  <c r="F222" i="20"/>
  <c r="F223" i="20"/>
  <c r="F224" i="20"/>
  <c r="F28" i="20"/>
  <c r="F36" i="20"/>
  <c r="F227" i="20"/>
  <c r="F228" i="20"/>
  <c r="F229" i="20"/>
  <c r="F230" i="20"/>
  <c r="F231" i="20"/>
  <c r="F37" i="20"/>
  <c r="F233" i="20"/>
  <c r="F234" i="20"/>
  <c r="F235" i="20"/>
  <c r="F236" i="20"/>
  <c r="F237" i="20"/>
  <c r="F238" i="20"/>
  <c r="F53" i="20"/>
  <c r="F58" i="20"/>
  <c r="F64" i="20"/>
  <c r="F242" i="20"/>
  <c r="F243" i="20"/>
  <c r="F65" i="20"/>
  <c r="F66" i="20"/>
  <c r="F246" i="20"/>
  <c r="F247" i="20"/>
  <c r="F67" i="20"/>
  <c r="F68" i="20"/>
  <c r="F250" i="20"/>
  <c r="F251" i="20"/>
  <c r="F69" i="20"/>
  <c r="F70" i="20"/>
  <c r="F254" i="20"/>
  <c r="F71" i="20"/>
  <c r="F74" i="20"/>
  <c r="F75" i="20"/>
  <c r="F79" i="20"/>
  <c r="F80" i="20"/>
  <c r="F81" i="20"/>
  <c r="F83" i="20"/>
  <c r="F262" i="20"/>
  <c r="F84" i="20"/>
  <c r="F88" i="20"/>
  <c r="F89" i="20"/>
  <c r="F90" i="20"/>
  <c r="F91" i="20"/>
  <c r="F92" i="20"/>
  <c r="F93" i="20"/>
  <c r="F94" i="20"/>
  <c r="F271" i="20"/>
  <c r="F272" i="20"/>
  <c r="F96" i="20"/>
  <c r="F97" i="20"/>
  <c r="F98" i="20"/>
  <c r="F99" i="20"/>
  <c r="F100" i="20"/>
  <c r="F101" i="20"/>
  <c r="F102" i="20"/>
  <c r="F280" i="20"/>
  <c r="F281" i="20"/>
  <c r="F282" i="20"/>
  <c r="F283" i="20"/>
  <c r="F284" i="20"/>
  <c r="F285" i="20"/>
  <c r="F286" i="20"/>
  <c r="F287" i="20"/>
  <c r="F288" i="20"/>
  <c r="F289" i="20"/>
  <c r="F290" i="20"/>
  <c r="F291" i="20"/>
  <c r="F292" i="20"/>
  <c r="F103" i="20"/>
  <c r="F10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105" i="20"/>
  <c r="F108" i="20"/>
  <c r="F323" i="20"/>
  <c r="F324" i="20"/>
  <c r="F325" i="20"/>
  <c r="F326" i="20"/>
  <c r="F327" i="20"/>
  <c r="F328" i="20"/>
  <c r="F329" i="20"/>
  <c r="F330" i="20"/>
  <c r="F109" i="20"/>
  <c r="F110" i="20"/>
  <c r="F333" i="20"/>
  <c r="F334" i="20"/>
  <c r="F335" i="20"/>
  <c r="F336" i="20"/>
  <c r="F337" i="20"/>
  <c r="F338" i="20"/>
  <c r="F111" i="20"/>
  <c r="F112" i="20"/>
  <c r="F113" i="20"/>
  <c r="D3" i="20"/>
  <c r="D4" i="20"/>
  <c r="D5" i="20"/>
  <c r="D6" i="20"/>
  <c r="D7" i="20"/>
  <c r="D8" i="20"/>
  <c r="D9" i="20"/>
  <c r="D10" i="20"/>
  <c r="D11" i="20"/>
  <c r="D12" i="20"/>
  <c r="D13" i="20"/>
  <c r="D14" i="20"/>
  <c r="D15" i="20"/>
  <c r="D16" i="20"/>
  <c r="D17" i="20"/>
  <c r="D18" i="20"/>
  <c r="D341" i="20"/>
  <c r="D345" i="20"/>
  <c r="D21" i="20"/>
  <c r="D346" i="20"/>
  <c r="D347" i="20"/>
  <c r="D348" i="20"/>
  <c r="D349" i="20"/>
  <c r="D350" i="20"/>
  <c r="D354" i="20"/>
  <c r="D355" i="20"/>
  <c r="D29" i="20"/>
  <c r="D30" i="20"/>
  <c r="D31" i="20"/>
  <c r="D32" i="20"/>
  <c r="D33" i="20"/>
  <c r="D34" i="20"/>
  <c r="D35" i="20"/>
  <c r="D356" i="20"/>
  <c r="D361" i="20"/>
  <c r="D38" i="20"/>
  <c r="D39" i="20"/>
  <c r="D40" i="20"/>
  <c r="D41" i="20"/>
  <c r="D42" i="20"/>
  <c r="D43" i="20"/>
  <c r="D44" i="20"/>
  <c r="D45" i="20"/>
  <c r="D46" i="20"/>
  <c r="D47" i="20"/>
  <c r="D48" i="20"/>
  <c r="D49" i="20"/>
  <c r="D50" i="20"/>
  <c r="D51" i="20"/>
  <c r="D52" i="20"/>
  <c r="D362" i="20"/>
  <c r="D54" i="20"/>
  <c r="D55" i="20"/>
  <c r="D56" i="20"/>
  <c r="D57" i="20"/>
  <c r="D363" i="20"/>
  <c r="D59" i="20"/>
  <c r="D60" i="20"/>
  <c r="D61" i="20"/>
  <c r="D62" i="20"/>
  <c r="D63" i="20"/>
  <c r="D364" i="20"/>
  <c r="D365" i="20"/>
  <c r="D366" i="20"/>
  <c r="D367" i="20"/>
  <c r="D368" i="20"/>
  <c r="D369" i="20"/>
  <c r="D370" i="20"/>
  <c r="D371" i="20"/>
  <c r="D72" i="20"/>
  <c r="D73" i="20"/>
  <c r="D372" i="20"/>
  <c r="D373" i="20"/>
  <c r="D76" i="20"/>
  <c r="D77" i="20"/>
  <c r="D78" i="20"/>
  <c r="D374" i="20"/>
  <c r="D375" i="20"/>
  <c r="D376" i="20"/>
  <c r="D82" i="20"/>
  <c r="D377" i="20"/>
  <c r="D378" i="20"/>
  <c r="D85" i="20"/>
  <c r="D86" i="20"/>
  <c r="D87" i="20"/>
  <c r="D379" i="20"/>
  <c r="D380" i="20"/>
  <c r="D381" i="20"/>
  <c r="D382" i="20"/>
  <c r="D390" i="20"/>
  <c r="D391" i="20"/>
  <c r="D392" i="20"/>
  <c r="D95" i="20"/>
  <c r="D393" i="20"/>
  <c r="D394" i="20"/>
  <c r="D395" i="20"/>
  <c r="D396" i="20"/>
  <c r="D397" i="20"/>
  <c r="D398" i="20"/>
  <c r="D399" i="20"/>
  <c r="D400" i="20"/>
  <c r="D401" i="20"/>
  <c r="D402" i="20"/>
  <c r="D106" i="20"/>
  <c r="D107" i="20"/>
  <c r="D403" i="20"/>
  <c r="D404" i="20"/>
  <c r="D405" i="20"/>
  <c r="D406" i="20"/>
  <c r="D407" i="20"/>
  <c r="D408" i="20"/>
  <c r="D409" i="20"/>
  <c r="D410" i="20"/>
  <c r="D116" i="20"/>
  <c r="D117" i="20"/>
  <c r="D118" i="20"/>
  <c r="D119" i="20"/>
  <c r="D120" i="20"/>
  <c r="D121" i="20"/>
  <c r="D122" i="20"/>
  <c r="D123" i="20"/>
  <c r="D124" i="20"/>
  <c r="D125" i="20"/>
  <c r="D126" i="20"/>
  <c r="D127" i="20"/>
  <c r="D128" i="20"/>
  <c r="D411" i="20"/>
  <c r="D412"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413" i="20"/>
  <c r="D414" i="20"/>
  <c r="D159" i="20"/>
  <c r="D160" i="20"/>
  <c r="D161" i="20"/>
  <c r="D162" i="20"/>
  <c r="D163" i="20"/>
  <c r="D164" i="20"/>
  <c r="D165" i="20"/>
  <c r="D166" i="20"/>
  <c r="D415" i="20"/>
  <c r="D416" i="20"/>
  <c r="D169" i="20"/>
  <c r="D170" i="20"/>
  <c r="D171" i="20"/>
  <c r="D172" i="20"/>
  <c r="D173" i="20"/>
  <c r="D174" i="20"/>
  <c r="D417" i="20"/>
  <c r="D418" i="20"/>
  <c r="D177" i="20"/>
  <c r="D178" i="20"/>
  <c r="D179" i="20"/>
  <c r="D180" i="20"/>
  <c r="D181" i="20"/>
  <c r="D182" i="20"/>
  <c r="D183" i="20"/>
  <c r="D184" i="20"/>
  <c r="D185" i="20"/>
  <c r="D186" i="20"/>
  <c r="D187" i="20"/>
  <c r="D188" i="20"/>
  <c r="D189" i="20"/>
  <c r="D190" i="20"/>
  <c r="D191" i="20"/>
  <c r="D192" i="20"/>
  <c r="D193" i="20"/>
  <c r="D194" i="20"/>
  <c r="D19" i="20"/>
  <c r="D20" i="20"/>
  <c r="D197" i="20"/>
  <c r="D198" i="20"/>
  <c r="D22" i="20"/>
  <c r="D23" i="20"/>
  <c r="D24" i="20"/>
  <c r="D202" i="20"/>
  <c r="D203" i="20"/>
  <c r="D25" i="20"/>
  <c r="D26" i="20"/>
  <c r="D27" i="20"/>
  <c r="D207" i="20"/>
  <c r="D208" i="20"/>
  <c r="D209" i="20"/>
  <c r="D210" i="20"/>
  <c r="D211" i="20"/>
  <c r="D212" i="20"/>
  <c r="D213" i="20"/>
  <c r="D214" i="20"/>
  <c r="D215" i="20"/>
  <c r="D216" i="20"/>
  <c r="D217" i="20"/>
  <c r="D218" i="20"/>
  <c r="D219" i="20"/>
  <c r="D220" i="20"/>
  <c r="D221" i="20"/>
  <c r="D222" i="20"/>
  <c r="D223" i="20"/>
  <c r="D224" i="20"/>
  <c r="D28" i="20"/>
  <c r="D36" i="20"/>
  <c r="D227" i="20"/>
  <c r="D228" i="20"/>
  <c r="D229" i="20"/>
  <c r="D230" i="20"/>
  <c r="D231" i="20"/>
  <c r="D37" i="20"/>
  <c r="D233" i="20"/>
  <c r="D234" i="20"/>
  <c r="D235" i="20"/>
  <c r="D236" i="20"/>
  <c r="D237" i="20"/>
  <c r="D238" i="20"/>
  <c r="D53" i="20"/>
  <c r="D58" i="20"/>
  <c r="D64" i="20"/>
  <c r="D242" i="20"/>
  <c r="D243" i="20"/>
  <c r="D65" i="20"/>
  <c r="D66" i="20"/>
  <c r="D246" i="20"/>
  <c r="D247" i="20"/>
  <c r="D67" i="20"/>
  <c r="D68" i="20"/>
  <c r="D250" i="20"/>
  <c r="D251" i="20"/>
  <c r="D69" i="20"/>
  <c r="D70" i="20"/>
  <c r="D254" i="20"/>
  <c r="D71" i="20"/>
  <c r="D74" i="20"/>
  <c r="D75" i="20"/>
  <c r="D79" i="20"/>
  <c r="D80" i="20"/>
  <c r="D81" i="20"/>
  <c r="D83" i="20"/>
  <c r="D262" i="20"/>
  <c r="D84" i="20"/>
  <c r="D88" i="20"/>
  <c r="D89" i="20"/>
  <c r="D90" i="20"/>
  <c r="D91" i="20"/>
  <c r="D92" i="20"/>
  <c r="D93" i="20"/>
  <c r="D94" i="20"/>
  <c r="D271" i="20"/>
  <c r="D272" i="20"/>
  <c r="D96" i="20"/>
  <c r="D97" i="20"/>
  <c r="D98" i="20"/>
  <c r="D99" i="20"/>
  <c r="D100" i="20"/>
  <c r="D101" i="20"/>
  <c r="D102" i="20"/>
  <c r="D280" i="20"/>
  <c r="D281" i="20"/>
  <c r="D282" i="20"/>
  <c r="D283" i="20"/>
  <c r="D284" i="20"/>
  <c r="D285" i="20"/>
  <c r="D286" i="20"/>
  <c r="D287" i="20"/>
  <c r="D288" i="20"/>
  <c r="D289" i="20"/>
  <c r="D290" i="20"/>
  <c r="D291" i="20"/>
  <c r="D292" i="20"/>
  <c r="D103" i="20"/>
  <c r="D10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105" i="20"/>
  <c r="D108" i="20"/>
  <c r="D323" i="20"/>
  <c r="D324" i="20"/>
  <c r="D325" i="20"/>
  <c r="D326" i="20"/>
  <c r="D327" i="20"/>
  <c r="D328" i="20"/>
  <c r="D329" i="20"/>
  <c r="D330" i="20"/>
  <c r="D109" i="20"/>
  <c r="D110" i="20"/>
  <c r="D333" i="20"/>
  <c r="D334" i="20"/>
  <c r="D335" i="20"/>
  <c r="D336" i="20"/>
  <c r="D337" i="20"/>
  <c r="D338" i="20"/>
  <c r="D111" i="20"/>
  <c r="D112" i="20"/>
  <c r="D113" i="20"/>
  <c r="F166" i="14"/>
  <c r="D166" i="14"/>
  <c r="F165" i="14"/>
  <c r="D165" i="14"/>
  <c r="F164" i="14"/>
  <c r="D164" i="14"/>
  <c r="F163" i="14"/>
  <c r="D163" i="14"/>
  <c r="F162" i="14"/>
  <c r="D162" i="14"/>
  <c r="F161" i="14"/>
  <c r="D161" i="14"/>
  <c r="F160" i="14"/>
  <c r="D160" i="14"/>
  <c r="F159" i="14"/>
  <c r="D159" i="14"/>
  <c r="F158" i="14"/>
  <c r="D158" i="14"/>
  <c r="F157" i="14"/>
  <c r="D157" i="14"/>
  <c r="F156" i="14"/>
  <c r="D156" i="14"/>
  <c r="F155" i="14"/>
  <c r="D155" i="14"/>
  <c r="F154" i="14"/>
  <c r="D154" i="14"/>
  <c r="F153" i="14"/>
  <c r="D153" i="14"/>
  <c r="F152" i="14"/>
  <c r="D152" i="14"/>
  <c r="F151" i="14"/>
  <c r="D151" i="14"/>
  <c r="F150" i="14"/>
  <c r="D150" i="14"/>
  <c r="F149" i="14"/>
  <c r="D149" i="14"/>
  <c r="F148" i="14"/>
  <c r="D148" i="14"/>
  <c r="F147" i="14"/>
  <c r="D147" i="14"/>
  <c r="F146" i="14"/>
  <c r="D146" i="14"/>
  <c r="F145" i="14"/>
  <c r="D145" i="14"/>
  <c r="F144" i="14"/>
  <c r="D144" i="14"/>
  <c r="F143" i="14"/>
  <c r="D143" i="14"/>
  <c r="F142" i="14"/>
  <c r="D142" i="14"/>
  <c r="F141" i="14"/>
  <c r="D141" i="14"/>
  <c r="F140" i="14"/>
  <c r="D140" i="14"/>
  <c r="F139" i="14"/>
  <c r="D139" i="14"/>
  <c r="F138" i="14"/>
  <c r="D138" i="14"/>
  <c r="F137" i="14"/>
  <c r="D137" i="14"/>
  <c r="F136" i="14"/>
  <c r="D136" i="14"/>
  <c r="F135" i="14"/>
  <c r="D135" i="14"/>
  <c r="F134" i="14"/>
  <c r="D134" i="14"/>
  <c r="F133" i="14"/>
  <c r="D133" i="14"/>
  <c r="F132" i="14"/>
  <c r="D132" i="14"/>
  <c r="F131" i="14"/>
  <c r="D131" i="14"/>
  <c r="F130" i="14"/>
  <c r="D130" i="14"/>
  <c r="F129" i="14"/>
  <c r="D129" i="14"/>
  <c r="F128" i="14"/>
  <c r="D128" i="14"/>
  <c r="F127" i="14"/>
  <c r="D127" i="14"/>
  <c r="F126" i="14"/>
  <c r="D126" i="14"/>
  <c r="F125" i="14"/>
  <c r="D125" i="14"/>
  <c r="F124" i="14"/>
  <c r="D124" i="14"/>
  <c r="F123" i="14"/>
  <c r="D123" i="14"/>
  <c r="F122" i="14"/>
  <c r="D122" i="14"/>
  <c r="F121" i="14"/>
  <c r="D121" i="14"/>
  <c r="F120" i="14"/>
  <c r="D120" i="14"/>
  <c r="F119" i="14"/>
  <c r="D119" i="14"/>
  <c r="F118" i="14"/>
  <c r="D118" i="14"/>
  <c r="F117" i="14"/>
  <c r="D117" i="14"/>
  <c r="F116" i="14"/>
  <c r="D116" i="14"/>
  <c r="F115" i="14"/>
  <c r="D115" i="14"/>
  <c r="F114" i="14"/>
  <c r="D114" i="14"/>
  <c r="F113" i="14"/>
  <c r="D113" i="14"/>
  <c r="F112" i="14"/>
  <c r="D112" i="14"/>
  <c r="F111" i="14"/>
  <c r="D111" i="14"/>
  <c r="F110" i="14"/>
  <c r="D110" i="14"/>
  <c r="F109" i="14"/>
  <c r="D109" i="14"/>
  <c r="F108" i="14"/>
  <c r="D108" i="14"/>
  <c r="F107" i="14"/>
  <c r="D107" i="14"/>
  <c r="F106" i="14"/>
  <c r="D106" i="14"/>
  <c r="F105" i="14"/>
  <c r="D105" i="14"/>
  <c r="F104" i="14"/>
  <c r="D104" i="14"/>
  <c r="F103" i="14"/>
  <c r="D103" i="14"/>
  <c r="F102" i="14"/>
  <c r="D102" i="14"/>
  <c r="F101" i="14"/>
  <c r="D101" i="14"/>
  <c r="F100" i="14"/>
  <c r="D100" i="14"/>
  <c r="F99" i="14"/>
  <c r="D99" i="14"/>
  <c r="F98" i="14"/>
  <c r="D98" i="14"/>
  <c r="F97" i="14"/>
  <c r="D97" i="14"/>
  <c r="F96" i="14"/>
  <c r="D96" i="14"/>
  <c r="F95" i="14"/>
  <c r="D95" i="14"/>
  <c r="F94" i="14"/>
  <c r="D94" i="14"/>
  <c r="F93" i="14"/>
  <c r="D93" i="14"/>
  <c r="F92" i="14"/>
  <c r="D92" i="14"/>
  <c r="F91" i="14"/>
  <c r="D91" i="14"/>
  <c r="F90" i="14"/>
  <c r="D90" i="14"/>
  <c r="F89" i="14"/>
  <c r="D89" i="14"/>
  <c r="F88" i="14"/>
  <c r="D88" i="14"/>
  <c r="F87" i="14"/>
  <c r="D87" i="14"/>
  <c r="F86" i="14"/>
  <c r="D86" i="14"/>
  <c r="F85" i="14"/>
  <c r="D85" i="14"/>
  <c r="F84" i="14"/>
  <c r="D84" i="14"/>
  <c r="F83" i="14"/>
  <c r="D83" i="14"/>
  <c r="F82" i="14"/>
  <c r="D82" i="14"/>
  <c r="F81" i="14"/>
  <c r="D81" i="14"/>
  <c r="F80" i="14"/>
  <c r="D80" i="14"/>
  <c r="F79" i="14"/>
  <c r="D79" i="14"/>
  <c r="F78" i="14"/>
  <c r="D78" i="14"/>
  <c r="F77" i="14"/>
  <c r="D77" i="14"/>
  <c r="F76" i="14"/>
  <c r="D76" i="14"/>
  <c r="F75" i="14"/>
  <c r="D75" i="14"/>
  <c r="F74" i="14"/>
  <c r="D74" i="14"/>
  <c r="F73" i="14"/>
  <c r="D73" i="14"/>
  <c r="F72" i="14"/>
  <c r="D72" i="14"/>
  <c r="F71" i="14"/>
  <c r="D71" i="14"/>
  <c r="F70" i="14"/>
  <c r="D70" i="14"/>
  <c r="F69" i="14"/>
  <c r="D69" i="14"/>
  <c r="F68" i="14"/>
  <c r="D68" i="14"/>
  <c r="F67" i="14"/>
  <c r="D67" i="14"/>
  <c r="F66" i="14"/>
  <c r="D66" i="14"/>
  <c r="F65" i="14"/>
  <c r="D65" i="14"/>
  <c r="F64" i="14"/>
  <c r="D64" i="14"/>
  <c r="F63" i="14"/>
  <c r="D63" i="14"/>
  <c r="F62" i="14"/>
  <c r="D62" i="14"/>
  <c r="F61" i="14"/>
  <c r="D61" i="14"/>
  <c r="F60" i="14"/>
  <c r="D60" i="14"/>
  <c r="F59" i="14"/>
  <c r="D59" i="14"/>
  <c r="F58" i="14"/>
  <c r="D58" i="14"/>
  <c r="F57" i="14"/>
  <c r="D57" i="14"/>
  <c r="F56" i="14"/>
  <c r="D56" i="14"/>
  <c r="F55" i="14"/>
  <c r="D55" i="14"/>
  <c r="F54" i="14"/>
  <c r="D54" i="14"/>
  <c r="F53" i="14"/>
  <c r="D53" i="14"/>
  <c r="F52" i="14"/>
  <c r="D52" i="14"/>
  <c r="F51" i="14"/>
  <c r="D51" i="14"/>
  <c r="F50" i="14"/>
  <c r="D50" i="14"/>
  <c r="F49" i="14"/>
  <c r="D49" i="14"/>
  <c r="F48" i="14"/>
  <c r="D48" i="14"/>
  <c r="F47" i="14"/>
  <c r="D47" i="14"/>
  <c r="F46" i="14"/>
  <c r="D46" i="14"/>
  <c r="F45" i="14"/>
  <c r="D45" i="14"/>
  <c r="F44" i="14"/>
  <c r="D44" i="14"/>
  <c r="F43" i="14"/>
  <c r="D43" i="14"/>
  <c r="F42" i="14"/>
  <c r="D42" i="14"/>
  <c r="F41" i="14"/>
  <c r="D41" i="14"/>
  <c r="F40" i="14"/>
  <c r="D40" i="14"/>
  <c r="F39" i="14"/>
  <c r="D39" i="14"/>
  <c r="F38" i="14"/>
  <c r="D38" i="14"/>
  <c r="F37" i="14"/>
  <c r="D37" i="14"/>
  <c r="F36" i="14"/>
  <c r="D36" i="14"/>
  <c r="F35" i="14"/>
  <c r="D35" i="14"/>
  <c r="F34" i="14"/>
  <c r="D34" i="14"/>
  <c r="F33" i="14"/>
  <c r="D33" i="14"/>
  <c r="F32" i="14"/>
  <c r="D32" i="14"/>
  <c r="F31" i="14"/>
  <c r="D31" i="14"/>
  <c r="F30" i="14"/>
  <c r="D30" i="14"/>
  <c r="F29" i="14"/>
  <c r="D29" i="14"/>
  <c r="F28" i="14"/>
  <c r="D28" i="14"/>
  <c r="F27" i="14"/>
  <c r="D27" i="14"/>
  <c r="F26" i="14"/>
  <c r="D26" i="14"/>
  <c r="F25" i="14"/>
  <c r="D25" i="14"/>
  <c r="F24" i="14"/>
  <c r="D24" i="14"/>
  <c r="F23" i="14"/>
  <c r="D23" i="14"/>
  <c r="F22" i="14"/>
  <c r="D22" i="14"/>
  <c r="F21" i="14"/>
  <c r="D21" i="14"/>
  <c r="F20" i="14"/>
  <c r="D20" i="14"/>
  <c r="F19" i="14"/>
  <c r="D19" i="14"/>
  <c r="F18" i="14"/>
  <c r="D18" i="14"/>
  <c r="F17" i="14"/>
  <c r="D17" i="14"/>
  <c r="F16" i="14"/>
  <c r="D16" i="14"/>
  <c r="F15" i="14"/>
  <c r="D15" i="14"/>
  <c r="F14" i="14"/>
  <c r="D14" i="14"/>
  <c r="F13" i="14"/>
  <c r="D13" i="14"/>
  <c r="F12" i="14"/>
  <c r="D12" i="14"/>
  <c r="F11" i="14"/>
  <c r="D11" i="14"/>
  <c r="F10" i="14"/>
  <c r="D10" i="14"/>
  <c r="F9" i="14"/>
  <c r="D9" i="14"/>
  <c r="F8" i="14"/>
  <c r="D8" i="14"/>
  <c r="F7" i="14"/>
  <c r="D7" i="14"/>
  <c r="F6" i="14"/>
  <c r="D6" i="14"/>
  <c r="F5" i="14"/>
  <c r="D5" i="14"/>
  <c r="F4" i="14"/>
  <c r="D4" i="14"/>
  <c r="F3" i="14"/>
  <c r="D3" i="14"/>
  <c r="F2" i="14"/>
  <c r="D2" i="14"/>
  <c r="D2" i="20"/>
  <c r="F2" i="20"/>
  <c r="O602" i="10"/>
  <c r="P602" i="10" s="1"/>
  <c r="O600" i="10"/>
  <c r="P600" i="10" s="1"/>
  <c r="O598" i="10"/>
  <c r="P598" i="10" s="1"/>
  <c r="O596" i="10"/>
  <c r="P596" i="10" s="1"/>
  <c r="O597" i="10"/>
  <c r="P597" i="10" s="1"/>
  <c r="O599" i="10"/>
  <c r="P599" i="10" s="1"/>
  <c r="J70" i="30" l="1"/>
  <c r="J69" i="30"/>
  <c r="J17" i="30"/>
  <c r="J23" i="30"/>
  <c r="U72" i="1"/>
  <c r="W72" i="1"/>
  <c r="P72" i="1"/>
  <c r="W7" i="1"/>
  <c r="P7" i="1"/>
  <c r="U53" i="1"/>
  <c r="W53" i="1"/>
  <c r="P53" i="1"/>
  <c r="M121" i="12"/>
  <c r="J6" i="21"/>
  <c r="G6" i="21"/>
  <c r="I6" i="21"/>
  <c r="H6" i="21"/>
  <c r="N6" i="21"/>
  <c r="F6" i="21"/>
  <c r="M6" i="21"/>
  <c r="E6" i="21"/>
  <c r="L6" i="21"/>
  <c r="D6" i="21"/>
  <c r="K6" i="21"/>
  <c r="E56" i="12"/>
  <c r="O587" i="10"/>
  <c r="P587" i="10" s="1"/>
  <c r="O496" i="10"/>
  <c r="P496" i="10" s="1"/>
  <c r="O601" i="10"/>
  <c r="P601" i="10" s="1"/>
  <c r="F176" i="15"/>
  <c r="H176" i="15"/>
  <c r="K56" i="30" l="1"/>
  <c r="M65" i="12"/>
  <c r="M113" i="12"/>
  <c r="M66" i="12"/>
  <c r="M102" i="12"/>
  <c r="U7" i="1"/>
  <c r="O590" i="10"/>
  <c r="P590" i="10" s="1"/>
  <c r="O593" i="10"/>
  <c r="P593" i="10" s="1"/>
  <c r="O592" i="10"/>
  <c r="P592" i="10" s="1"/>
  <c r="O591" i="10"/>
  <c r="P591" i="10" s="1"/>
  <c r="O589" i="10"/>
  <c r="P589" i="10" s="1"/>
  <c r="O588" i="10"/>
  <c r="P588" i="10" s="1"/>
  <c r="J62" i="30" l="1"/>
  <c r="K17" i="30"/>
  <c r="K69" i="30"/>
  <c r="K70" i="30"/>
  <c r="K23" i="30"/>
  <c r="E176" i="15"/>
  <c r="E120" i="12"/>
  <c r="E25" i="12"/>
  <c r="E119" i="12"/>
  <c r="E26" i="12"/>
  <c r="E4" i="12"/>
  <c r="E27" i="12"/>
  <c r="E28" i="12"/>
  <c r="E29" i="12"/>
  <c r="E8" i="12"/>
  <c r="E13" i="12"/>
  <c r="E9" i="12"/>
  <c r="E32" i="12"/>
  <c r="E33" i="12"/>
  <c r="E34" i="12"/>
  <c r="E35" i="12"/>
  <c r="E36" i="12"/>
  <c r="E37" i="12"/>
  <c r="E38" i="12"/>
  <c r="E114" i="12"/>
  <c r="E39" i="12"/>
  <c r="E19" i="12"/>
  <c r="E20" i="12"/>
  <c r="E21" i="12"/>
  <c r="E12" i="12"/>
  <c r="E23" i="12"/>
  <c r="E24" i="12"/>
  <c r="E111" i="12"/>
  <c r="E31" i="12"/>
  <c r="E40" i="12"/>
  <c r="E41" i="12"/>
  <c r="E60" i="12"/>
  <c r="E115" i="12"/>
  <c r="E68" i="12"/>
  <c r="E99" i="12"/>
  <c r="E96" i="12"/>
  <c r="E88" i="12"/>
  <c r="E69" i="12"/>
  <c r="E57" i="12"/>
  <c r="E16" i="12"/>
  <c r="E97" i="12"/>
  <c r="E123" i="12"/>
  <c r="E63" i="12"/>
  <c r="E71" i="12"/>
  <c r="E77" i="12"/>
  <c r="E101" i="12"/>
  <c r="E59" i="12"/>
  <c r="E105" i="12"/>
  <c r="E95" i="12"/>
  <c r="E75" i="12"/>
  <c r="E30" i="12"/>
  <c r="E112" i="12"/>
  <c r="E85" i="12"/>
  <c r="E54" i="12"/>
  <c r="E124" i="12"/>
  <c r="E76" i="12"/>
  <c r="E73" i="12"/>
  <c r="E74" i="12"/>
  <c r="E87" i="12"/>
  <c r="E86" i="12"/>
  <c r="E72" i="12"/>
  <c r="E42" i="12"/>
  <c r="E58" i="12"/>
  <c r="E80" i="12"/>
  <c r="E83" i="12"/>
  <c r="E78" i="12"/>
  <c r="E92" i="12"/>
  <c r="E70" i="12"/>
  <c r="E79" i="12"/>
  <c r="E110" i="12"/>
  <c r="E93" i="12"/>
  <c r="E55" i="12"/>
  <c r="E18" i="12"/>
  <c r="E61" i="12"/>
  <c r="E53" i="12"/>
  <c r="E98" i="12"/>
  <c r="E100" i="12"/>
  <c r="E89" i="12"/>
  <c r="E5" i="12"/>
  <c r="E7" i="12"/>
  <c r="E104" i="12"/>
  <c r="M109" i="12"/>
  <c r="N62" i="1"/>
  <c r="K61" i="12" s="1"/>
  <c r="N55" i="1"/>
  <c r="K68" i="12" s="1"/>
  <c r="N28" i="1"/>
  <c r="K119" i="12" s="1"/>
  <c r="N45" i="1"/>
  <c r="N71" i="1"/>
  <c r="N12" i="1"/>
  <c r="N9" i="1"/>
  <c r="N34" i="1"/>
  <c r="N16" i="1"/>
  <c r="N60" i="1"/>
  <c r="K63" i="12" s="1"/>
  <c r="N41" i="1"/>
  <c r="K77" i="12" s="1"/>
  <c r="N11" i="1"/>
  <c r="N64" i="1"/>
  <c r="K59" i="12" s="1"/>
  <c r="N52" i="1"/>
  <c r="N31" i="1"/>
  <c r="N43" i="1"/>
  <c r="K76" i="12" s="1"/>
  <c r="N48" i="1"/>
  <c r="K73" i="12" s="1"/>
  <c r="N29" i="1"/>
  <c r="N30" i="1"/>
  <c r="N49" i="1"/>
  <c r="N38" i="1"/>
  <c r="K80" i="12" s="1"/>
  <c r="N35" i="1"/>
  <c r="N51" i="1"/>
  <c r="K70" i="12" s="1"/>
  <c r="N23" i="1"/>
  <c r="N26" i="1"/>
  <c r="N22" i="1"/>
  <c r="N63" i="1"/>
  <c r="K60" i="12" s="1"/>
  <c r="N65" i="1"/>
  <c r="K58" i="12" s="1"/>
  <c r="N50" i="1"/>
  <c r="K71" i="12" s="1"/>
  <c r="N6" i="1"/>
  <c r="K91" i="12" s="1"/>
  <c r="N44" i="1"/>
  <c r="K75" i="12" s="1"/>
  <c r="N47" i="1"/>
  <c r="K74" i="12" s="1"/>
  <c r="N85" i="1"/>
  <c r="K41" i="12" s="1"/>
  <c r="N86" i="1"/>
  <c r="K40" i="12" s="1"/>
  <c r="N97" i="1"/>
  <c r="K31" i="12" s="1"/>
  <c r="N108" i="1"/>
  <c r="N109" i="1"/>
  <c r="K24" i="12" s="1"/>
  <c r="N110" i="1"/>
  <c r="K23" i="12" s="1"/>
  <c r="N112" i="1"/>
  <c r="K21" i="12" s="1"/>
  <c r="N113" i="1"/>
  <c r="N114" i="1"/>
  <c r="N87" i="1"/>
  <c r="N88" i="1"/>
  <c r="N89" i="1"/>
  <c r="K38" i="12" s="1"/>
  <c r="N90" i="1"/>
  <c r="K37" i="12" s="1"/>
  <c r="N91" i="1"/>
  <c r="K36" i="12" s="1"/>
  <c r="N92" i="1"/>
  <c r="K35" i="12" s="1"/>
  <c r="N93" i="1"/>
  <c r="N94" i="1"/>
  <c r="K33" i="12" s="1"/>
  <c r="N95" i="1"/>
  <c r="N96" i="1"/>
  <c r="K9" i="12" s="1"/>
  <c r="N99" i="1"/>
  <c r="N100" i="1"/>
  <c r="K29" i="12" s="1"/>
  <c r="N101" i="1"/>
  <c r="K28" i="12" s="1"/>
  <c r="N102" i="1"/>
  <c r="N104" i="1"/>
  <c r="N105" i="1"/>
  <c r="N106" i="1"/>
  <c r="K25" i="12" s="1"/>
  <c r="O71" i="1"/>
  <c r="O12" i="1"/>
  <c r="O9" i="1"/>
  <c r="O34" i="1"/>
  <c r="O16" i="1"/>
  <c r="O60" i="1"/>
  <c r="L63" i="12" s="1"/>
  <c r="O41" i="1"/>
  <c r="L77" i="12" s="1"/>
  <c r="O11" i="1"/>
  <c r="O64" i="1"/>
  <c r="L59" i="12" s="1"/>
  <c r="O52" i="1"/>
  <c r="O31" i="1"/>
  <c r="O43" i="1"/>
  <c r="L76" i="12" s="1"/>
  <c r="O48" i="1"/>
  <c r="L73" i="12" s="1"/>
  <c r="O29" i="1"/>
  <c r="O30" i="1"/>
  <c r="O49" i="1"/>
  <c r="O38" i="1"/>
  <c r="L80" i="12" s="1"/>
  <c r="O35" i="1"/>
  <c r="O51" i="1"/>
  <c r="L70" i="12" s="1"/>
  <c r="O23" i="1"/>
  <c r="O26" i="1"/>
  <c r="O22" i="1"/>
  <c r="O63" i="1"/>
  <c r="L60" i="12" s="1"/>
  <c r="O65" i="1"/>
  <c r="L58" i="12" s="1"/>
  <c r="O50" i="1"/>
  <c r="L71" i="12" s="1"/>
  <c r="O6" i="1"/>
  <c r="L91" i="12" s="1"/>
  <c r="O44" i="1"/>
  <c r="L75" i="12" s="1"/>
  <c r="O47" i="1"/>
  <c r="L74" i="12" s="1"/>
  <c r="O85" i="1"/>
  <c r="L41" i="12" s="1"/>
  <c r="O86" i="1"/>
  <c r="L40" i="12" s="1"/>
  <c r="O97" i="1"/>
  <c r="L31" i="12" s="1"/>
  <c r="O108" i="1"/>
  <c r="O109" i="1"/>
  <c r="L24" i="12" s="1"/>
  <c r="O110" i="1"/>
  <c r="L23" i="12" s="1"/>
  <c r="O112" i="1"/>
  <c r="L21" i="12" s="1"/>
  <c r="O113" i="1"/>
  <c r="O114" i="1"/>
  <c r="O87" i="1"/>
  <c r="O88" i="1"/>
  <c r="O89" i="1"/>
  <c r="L38" i="12" s="1"/>
  <c r="O90" i="1"/>
  <c r="L37" i="12" s="1"/>
  <c r="O91" i="1"/>
  <c r="L36" i="12" s="1"/>
  <c r="O92" i="1"/>
  <c r="L35" i="12" s="1"/>
  <c r="O93" i="1"/>
  <c r="O94" i="1"/>
  <c r="L33" i="12" s="1"/>
  <c r="O95" i="1"/>
  <c r="O96" i="1"/>
  <c r="L9" i="12" s="1"/>
  <c r="O99" i="1"/>
  <c r="O100" i="1"/>
  <c r="L29" i="12" s="1"/>
  <c r="O101" i="1"/>
  <c r="L28" i="12" s="1"/>
  <c r="O102" i="1"/>
  <c r="O104" i="1"/>
  <c r="O105" i="1"/>
  <c r="O106" i="1"/>
  <c r="L25" i="12" s="1"/>
  <c r="O45" i="1"/>
  <c r="O28" i="1"/>
  <c r="L119" i="12" s="1"/>
  <c r="O62" i="1"/>
  <c r="L61" i="12" s="1"/>
  <c r="O55" i="1"/>
  <c r="L68" i="12" s="1"/>
  <c r="O39" i="1"/>
  <c r="L79" i="12" s="1"/>
  <c r="N39" i="1"/>
  <c r="K79" i="12" s="1"/>
  <c r="F175" i="15"/>
  <c r="H175" i="15"/>
  <c r="K19" i="12" l="1"/>
  <c r="K112" i="12"/>
  <c r="K88" i="12"/>
  <c r="K53" i="12"/>
  <c r="L32" i="12"/>
  <c r="L83" i="12"/>
  <c r="L93" i="12"/>
  <c r="L39" i="12"/>
  <c r="K26" i="12"/>
  <c r="K87" i="12"/>
  <c r="K123" i="12"/>
  <c r="K8" i="12"/>
  <c r="K34" i="12"/>
  <c r="K92" i="12"/>
  <c r="K85" i="12"/>
  <c r="K20" i="12"/>
  <c r="K114" i="12"/>
  <c r="K72" i="12"/>
  <c r="K97" i="12"/>
  <c r="K7" i="12"/>
  <c r="L19" i="12"/>
  <c r="L112" i="12"/>
  <c r="L88" i="12"/>
  <c r="L53" i="12"/>
  <c r="K27" i="12"/>
  <c r="K86" i="12"/>
  <c r="L27" i="12"/>
  <c r="L86" i="12"/>
  <c r="L87" i="12"/>
  <c r="L26" i="12"/>
  <c r="L8" i="12"/>
  <c r="L123" i="12"/>
  <c r="L92" i="12"/>
  <c r="L34" i="12"/>
  <c r="L20" i="12"/>
  <c r="L85" i="12"/>
  <c r="L114" i="12"/>
  <c r="L72" i="12"/>
  <c r="L97" i="12"/>
  <c r="L7" i="12"/>
  <c r="K83" i="12"/>
  <c r="K32" i="12"/>
  <c r="K39" i="12"/>
  <c r="K93" i="12"/>
  <c r="J33" i="30"/>
  <c r="J27" i="30"/>
  <c r="J21" i="30"/>
  <c r="J46" i="30"/>
  <c r="J58" i="30"/>
  <c r="J60" i="30"/>
  <c r="J28" i="30"/>
  <c r="J75" i="30"/>
  <c r="J43" i="30"/>
  <c r="J39" i="30"/>
  <c r="J18" i="30"/>
  <c r="J72" i="30"/>
  <c r="J9" i="30"/>
  <c r="J3" i="30"/>
  <c r="J53" i="30"/>
  <c r="J57" i="30"/>
  <c r="J50" i="30"/>
  <c r="J74" i="30"/>
  <c r="J71" i="30"/>
  <c r="J13" i="30"/>
  <c r="J65" i="30"/>
  <c r="J55" i="30"/>
  <c r="J54" i="30"/>
  <c r="U65" i="1"/>
  <c r="W65" i="1"/>
  <c r="P65" i="1"/>
  <c r="W48" i="1"/>
  <c r="U48" i="1"/>
  <c r="P48" i="1"/>
  <c r="W99" i="1"/>
  <c r="P99" i="1"/>
  <c r="U99" i="1"/>
  <c r="U90" i="1"/>
  <c r="W90" i="1"/>
  <c r="P90" i="1"/>
  <c r="W110" i="1"/>
  <c r="U110" i="1"/>
  <c r="P110" i="1"/>
  <c r="W44" i="1"/>
  <c r="P44" i="1"/>
  <c r="W35" i="1"/>
  <c r="U35" i="1"/>
  <c r="P35" i="1"/>
  <c r="W31" i="1"/>
  <c r="P31" i="1"/>
  <c r="U31" i="1"/>
  <c r="U34" i="1"/>
  <c r="W34" i="1"/>
  <c r="P34" i="1"/>
  <c r="W39" i="1"/>
  <c r="P39" i="1"/>
  <c r="W106" i="1"/>
  <c r="P106" i="1"/>
  <c r="W89" i="1"/>
  <c r="U89" i="1"/>
  <c r="P89" i="1"/>
  <c r="W109" i="1"/>
  <c r="P109" i="1"/>
  <c r="U6" i="1"/>
  <c r="W6" i="1"/>
  <c r="P6" i="1"/>
  <c r="W26" i="1"/>
  <c r="U26" i="1"/>
  <c r="P26" i="1"/>
  <c r="U52" i="1"/>
  <c r="W52" i="1"/>
  <c r="P52" i="1"/>
  <c r="W9" i="1"/>
  <c r="P9" i="1"/>
  <c r="U9" i="1"/>
  <c r="W45" i="1"/>
  <c r="P45" i="1"/>
  <c r="W105" i="1"/>
  <c r="U105" i="1"/>
  <c r="P105" i="1"/>
  <c r="W101" i="1"/>
  <c r="U101" i="1"/>
  <c r="P101" i="1"/>
  <c r="W96" i="1"/>
  <c r="P96" i="1"/>
  <c r="U92" i="1"/>
  <c r="W92" i="1"/>
  <c r="P92" i="1"/>
  <c r="W88" i="1"/>
  <c r="P88" i="1"/>
  <c r="W112" i="1"/>
  <c r="U112" i="1"/>
  <c r="P112" i="1"/>
  <c r="W108" i="1"/>
  <c r="P108" i="1"/>
  <c r="W47" i="1"/>
  <c r="U47" i="1"/>
  <c r="P47" i="1"/>
  <c r="W50" i="1"/>
  <c r="P50" i="1"/>
  <c r="W23" i="1"/>
  <c r="P23" i="1"/>
  <c r="W49" i="1"/>
  <c r="U49" i="1"/>
  <c r="P49" i="1"/>
  <c r="W43" i="1"/>
  <c r="U43" i="1"/>
  <c r="P43" i="1"/>
  <c r="W60" i="1"/>
  <c r="U60" i="1"/>
  <c r="P60" i="1"/>
  <c r="U28" i="1"/>
  <c r="W28" i="1"/>
  <c r="P28" i="1"/>
  <c r="U94" i="1"/>
  <c r="W94" i="1"/>
  <c r="P94" i="1"/>
  <c r="W114" i="1"/>
  <c r="U114" i="1"/>
  <c r="P114" i="1"/>
  <c r="U86" i="1"/>
  <c r="W86" i="1"/>
  <c r="P86" i="1"/>
  <c r="U29" i="1"/>
  <c r="W29" i="1"/>
  <c r="P29" i="1"/>
  <c r="W11" i="1"/>
  <c r="U11" i="1"/>
  <c r="P11" i="1"/>
  <c r="W12" i="1"/>
  <c r="U12" i="1"/>
  <c r="P12" i="1"/>
  <c r="W102" i="1"/>
  <c r="U102" i="1"/>
  <c r="P102" i="1"/>
  <c r="W93" i="1"/>
  <c r="P93" i="1"/>
  <c r="U93" i="1"/>
  <c r="P113" i="1"/>
  <c r="W113" i="1"/>
  <c r="U113" i="1"/>
  <c r="W85" i="1"/>
  <c r="P85" i="1"/>
  <c r="W63" i="1"/>
  <c r="U63" i="1"/>
  <c r="P63" i="1"/>
  <c r="W38" i="1"/>
  <c r="P38" i="1"/>
  <c r="W41" i="1"/>
  <c r="U41" i="1"/>
  <c r="P41" i="1"/>
  <c r="W55" i="1"/>
  <c r="P55" i="1"/>
  <c r="W62" i="1"/>
  <c r="P62" i="1"/>
  <c r="W104" i="1"/>
  <c r="U104" i="1"/>
  <c r="P104" i="1"/>
  <c r="U100" i="1"/>
  <c r="W100" i="1"/>
  <c r="P100" i="1"/>
  <c r="U95" i="1"/>
  <c r="W95" i="1"/>
  <c r="P95" i="1"/>
  <c r="U91" i="1"/>
  <c r="W91" i="1"/>
  <c r="P91" i="1"/>
  <c r="U87" i="1"/>
  <c r="W87" i="1"/>
  <c r="P87" i="1"/>
  <c r="W97" i="1"/>
  <c r="U97" i="1"/>
  <c r="P97" i="1"/>
  <c r="W22" i="1"/>
  <c r="P22" i="1"/>
  <c r="W51" i="1"/>
  <c r="P51" i="1"/>
  <c r="U30" i="1"/>
  <c r="W30" i="1"/>
  <c r="P30" i="1"/>
  <c r="U64" i="1"/>
  <c r="W64" i="1"/>
  <c r="P64" i="1"/>
  <c r="W16" i="1"/>
  <c r="P16" i="1"/>
  <c r="U71" i="1"/>
  <c r="W71" i="1"/>
  <c r="P71" i="1"/>
  <c r="E120" i="15"/>
  <c r="E144" i="15"/>
  <c r="E160" i="15"/>
  <c r="E121" i="15"/>
  <c r="E130" i="15"/>
  <c r="E137" i="15"/>
  <c r="E145" i="15"/>
  <c r="E162" i="15"/>
  <c r="E136" i="15"/>
  <c r="E169" i="15"/>
  <c r="E123" i="15"/>
  <c r="E132" i="15"/>
  <c r="E139" i="15"/>
  <c r="E148" i="15"/>
  <c r="E165" i="15"/>
  <c r="E128" i="15"/>
  <c r="E154" i="15"/>
  <c r="E164" i="15"/>
  <c r="E171" i="15"/>
  <c r="E175" i="15"/>
  <c r="AL62" i="1"/>
  <c r="AL55" i="1"/>
  <c r="AL28" i="1"/>
  <c r="AL45" i="1"/>
  <c r="AL71" i="1"/>
  <c r="AL12" i="1"/>
  <c r="AL9" i="1"/>
  <c r="AL34" i="1"/>
  <c r="AL16" i="1"/>
  <c r="AL60" i="1"/>
  <c r="AL41" i="1"/>
  <c r="AL11" i="1"/>
  <c r="AL64" i="1"/>
  <c r="AL52" i="1"/>
  <c r="AL31" i="1"/>
  <c r="AL43" i="1"/>
  <c r="AL48" i="1"/>
  <c r="AL29" i="1"/>
  <c r="AL30" i="1"/>
  <c r="AL49" i="1"/>
  <c r="AL38" i="1"/>
  <c r="AL35" i="1"/>
  <c r="AL51" i="1"/>
  <c r="AL23" i="1"/>
  <c r="AL26" i="1"/>
  <c r="AL22" i="1"/>
  <c r="AL63" i="1"/>
  <c r="AL65" i="1"/>
  <c r="AL50" i="1"/>
  <c r="AL6" i="1"/>
  <c r="AL44" i="1"/>
  <c r="AL47" i="1"/>
  <c r="AL85" i="1"/>
  <c r="AL86" i="1"/>
  <c r="AL97" i="1"/>
  <c r="AL108" i="1"/>
  <c r="AL109" i="1"/>
  <c r="AL110" i="1"/>
  <c r="AL112" i="1"/>
  <c r="AL113" i="1"/>
  <c r="AL114" i="1"/>
  <c r="AL87" i="1"/>
  <c r="AL88" i="1"/>
  <c r="AL89" i="1"/>
  <c r="AL90" i="1"/>
  <c r="AL91" i="1"/>
  <c r="AL92" i="1"/>
  <c r="AL93" i="1"/>
  <c r="AL94" i="1"/>
  <c r="AL95" i="1"/>
  <c r="AL96" i="1"/>
  <c r="AL99" i="1"/>
  <c r="AL100" i="1"/>
  <c r="AL101" i="1"/>
  <c r="AL102" i="1"/>
  <c r="AL104" i="1"/>
  <c r="AL105" i="1"/>
  <c r="AL106" i="1"/>
  <c r="AL39" i="1"/>
  <c r="AJ62" i="1"/>
  <c r="AJ55" i="1"/>
  <c r="AJ28" i="1"/>
  <c r="AJ45" i="1"/>
  <c r="AJ71" i="1"/>
  <c r="AJ12" i="1"/>
  <c r="AJ9" i="1"/>
  <c r="AJ34" i="1"/>
  <c r="AJ16" i="1"/>
  <c r="AJ60" i="1"/>
  <c r="AJ41" i="1"/>
  <c r="AJ11" i="1"/>
  <c r="AJ64" i="1"/>
  <c r="AJ52" i="1"/>
  <c r="AJ31" i="1"/>
  <c r="AJ43" i="1"/>
  <c r="AJ48" i="1"/>
  <c r="AJ29" i="1"/>
  <c r="AJ30" i="1"/>
  <c r="AJ49" i="1"/>
  <c r="AJ38" i="1"/>
  <c r="AJ35" i="1"/>
  <c r="AJ51" i="1"/>
  <c r="AJ23" i="1"/>
  <c r="AJ26" i="1"/>
  <c r="AJ22" i="1"/>
  <c r="AJ63" i="1"/>
  <c r="AJ65" i="1"/>
  <c r="AJ50" i="1"/>
  <c r="AJ6" i="1"/>
  <c r="AJ44" i="1"/>
  <c r="AJ47" i="1"/>
  <c r="AJ85" i="1"/>
  <c r="AJ86" i="1"/>
  <c r="AJ97" i="1"/>
  <c r="AJ108" i="1"/>
  <c r="AJ109" i="1"/>
  <c r="AJ110" i="1"/>
  <c r="AJ112" i="1"/>
  <c r="AJ113" i="1"/>
  <c r="AJ114" i="1"/>
  <c r="AJ87" i="1"/>
  <c r="AJ88" i="1"/>
  <c r="AJ89" i="1"/>
  <c r="AJ90" i="1"/>
  <c r="AJ91" i="1"/>
  <c r="AJ92" i="1"/>
  <c r="AJ93" i="1"/>
  <c r="AJ94" i="1"/>
  <c r="AJ95" i="1"/>
  <c r="AJ96" i="1"/>
  <c r="AJ99" i="1"/>
  <c r="AJ100" i="1"/>
  <c r="AJ101" i="1"/>
  <c r="AJ102" i="1"/>
  <c r="AJ104" i="1"/>
  <c r="AJ105" i="1"/>
  <c r="AJ106" i="1"/>
  <c r="AJ39" i="1"/>
  <c r="F118" i="15"/>
  <c r="H118" i="15"/>
  <c r="F174" i="15"/>
  <c r="H174" i="15"/>
  <c r="F172" i="15"/>
  <c r="H172" i="15"/>
  <c r="F170" i="15"/>
  <c r="H170" i="15"/>
  <c r="F168" i="15"/>
  <c r="H168" i="15"/>
  <c r="F166" i="15"/>
  <c r="H166" i="15"/>
  <c r="F164" i="15"/>
  <c r="H164" i="15"/>
  <c r="F162" i="15"/>
  <c r="H162" i="15"/>
  <c r="F160" i="15"/>
  <c r="H160" i="15"/>
  <c r="F158" i="15"/>
  <c r="H158" i="15"/>
  <c r="F156" i="15"/>
  <c r="H156" i="15"/>
  <c r="F154" i="15"/>
  <c r="H154" i="15"/>
  <c r="F152" i="15"/>
  <c r="H152" i="15"/>
  <c r="F150" i="15"/>
  <c r="H150" i="15"/>
  <c r="F148" i="15"/>
  <c r="H148" i="15"/>
  <c r="F146" i="15"/>
  <c r="H146" i="15"/>
  <c r="F144" i="15"/>
  <c r="H144" i="15"/>
  <c r="F142" i="15"/>
  <c r="H142" i="15"/>
  <c r="F140" i="15"/>
  <c r="H140" i="15"/>
  <c r="F138" i="15"/>
  <c r="H138" i="15"/>
  <c r="F136" i="15"/>
  <c r="H136" i="15"/>
  <c r="F134" i="15"/>
  <c r="H134" i="15"/>
  <c r="F132" i="15"/>
  <c r="H132" i="15"/>
  <c r="F130" i="15"/>
  <c r="H130" i="15"/>
  <c r="F128" i="15"/>
  <c r="H128" i="15"/>
  <c r="F126" i="15"/>
  <c r="H126" i="15"/>
  <c r="F124" i="15"/>
  <c r="H124" i="15"/>
  <c r="F122" i="15"/>
  <c r="H122" i="15"/>
  <c r="F120" i="15"/>
  <c r="H120" i="15"/>
  <c r="F117" i="15"/>
  <c r="F119" i="15"/>
  <c r="F121" i="15"/>
  <c r="F123" i="15"/>
  <c r="F125" i="15"/>
  <c r="F127" i="15"/>
  <c r="F129" i="15"/>
  <c r="F131" i="15"/>
  <c r="F133" i="15"/>
  <c r="F135" i="15"/>
  <c r="F137" i="15"/>
  <c r="F139" i="15"/>
  <c r="F141" i="15"/>
  <c r="F143" i="15"/>
  <c r="F145" i="15"/>
  <c r="F147" i="15"/>
  <c r="F149" i="15"/>
  <c r="F151" i="15"/>
  <c r="F153" i="15"/>
  <c r="F155" i="15"/>
  <c r="F157" i="15"/>
  <c r="F159" i="15"/>
  <c r="F161" i="15"/>
  <c r="F163" i="15"/>
  <c r="F165" i="15"/>
  <c r="F167" i="15"/>
  <c r="F169" i="15"/>
  <c r="F171" i="15"/>
  <c r="F173" i="15"/>
  <c r="H117" i="15"/>
  <c r="H119" i="15"/>
  <c r="H121" i="15"/>
  <c r="H123" i="15"/>
  <c r="H125" i="15"/>
  <c r="H127" i="15"/>
  <c r="H129" i="15"/>
  <c r="H131" i="15"/>
  <c r="H133" i="15"/>
  <c r="H135" i="15"/>
  <c r="H137" i="15"/>
  <c r="H139" i="15"/>
  <c r="H141" i="15"/>
  <c r="H143" i="15"/>
  <c r="H145" i="15"/>
  <c r="H147" i="15"/>
  <c r="H149" i="15"/>
  <c r="H151" i="15"/>
  <c r="H153" i="15"/>
  <c r="H155" i="15"/>
  <c r="H157" i="15"/>
  <c r="H159" i="15"/>
  <c r="H161" i="15"/>
  <c r="H163" i="15"/>
  <c r="H165" i="15"/>
  <c r="H167" i="15"/>
  <c r="H169" i="15"/>
  <c r="H171" i="15"/>
  <c r="H173" i="15"/>
  <c r="K62" i="30" l="1"/>
  <c r="M120" i="12"/>
  <c r="E133" i="15"/>
  <c r="E168" i="15"/>
  <c r="E155" i="15"/>
  <c r="E152" i="15"/>
  <c r="E122" i="15"/>
  <c r="E161" i="15"/>
  <c r="E146" i="15"/>
  <c r="E131" i="15"/>
  <c r="E153" i="15"/>
  <c r="E129" i="15"/>
  <c r="E134" i="15"/>
  <c r="E140" i="15"/>
  <c r="E172" i="15"/>
  <c r="E138" i="15"/>
  <c r="E170" i="15"/>
  <c r="E163" i="15"/>
  <c r="E143" i="15"/>
  <c r="E166" i="15"/>
  <c r="E173" i="15"/>
  <c r="E174" i="15"/>
  <c r="E157" i="15"/>
  <c r="E158" i="15"/>
  <c r="E149" i="15"/>
  <c r="E150" i="15"/>
  <c r="E141" i="15"/>
  <c r="E142" i="15"/>
  <c r="E125" i="15"/>
  <c r="E126" i="15"/>
  <c r="E117" i="15"/>
  <c r="E118" i="15"/>
  <c r="E151" i="15"/>
  <c r="E119" i="15"/>
  <c r="E159" i="15"/>
  <c r="E147" i="15"/>
  <c r="E127" i="15"/>
  <c r="E124" i="15"/>
  <c r="E156" i="15"/>
  <c r="E167" i="15"/>
  <c r="E135" i="15"/>
  <c r="AF106" i="1"/>
  <c r="U106" i="1" s="1"/>
  <c r="AF105" i="1"/>
  <c r="AF104" i="1"/>
  <c r="AF102" i="1"/>
  <c r="AF101" i="1"/>
  <c r="AF100" i="1"/>
  <c r="AF99" i="1"/>
  <c r="M13" i="12"/>
  <c r="AF96" i="1"/>
  <c r="AF95" i="1"/>
  <c r="AF94" i="1"/>
  <c r="AF93" i="1"/>
  <c r="AF92" i="1"/>
  <c r="AF91" i="1"/>
  <c r="AF90" i="1"/>
  <c r="AF89" i="1"/>
  <c r="AF88" i="1"/>
  <c r="U88" i="1" s="1"/>
  <c r="AF87" i="1"/>
  <c r="AF114" i="1"/>
  <c r="AF113" i="1"/>
  <c r="AF112" i="1"/>
  <c r="M12" i="12"/>
  <c r="AF110" i="1"/>
  <c r="AF109" i="1"/>
  <c r="U109" i="1" s="1"/>
  <c r="AF108" i="1"/>
  <c r="U108" i="1" s="1"/>
  <c r="AF97" i="1"/>
  <c r="AF86" i="1"/>
  <c r="AF85" i="1"/>
  <c r="U85" i="1" s="1"/>
  <c r="F116" i="15"/>
  <c r="H116" i="15"/>
  <c r="Y63" i="1"/>
  <c r="Z63" i="1"/>
  <c r="E116" i="15"/>
  <c r="AF63" i="1"/>
  <c r="F115" i="15"/>
  <c r="H115" i="15"/>
  <c r="F114" i="15"/>
  <c r="H114" i="15"/>
  <c r="F113" i="15"/>
  <c r="H113" i="15"/>
  <c r="E114" i="15"/>
  <c r="M115" i="12"/>
  <c r="G64" i="17"/>
  <c r="E62" i="17"/>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2" i="15"/>
  <c r="O5" i="10"/>
  <c r="P5" i="10" s="1"/>
  <c r="O7" i="10"/>
  <c r="P7" i="10" s="1"/>
  <c r="O8" i="10"/>
  <c r="P8" i="10" s="1"/>
  <c r="O9" i="10"/>
  <c r="P9" i="10" s="1"/>
  <c r="O10" i="10"/>
  <c r="P10" i="10" s="1"/>
  <c r="O11" i="10"/>
  <c r="P11" i="10" s="1"/>
  <c r="O13" i="10"/>
  <c r="P13" i="10" s="1"/>
  <c r="O15" i="10"/>
  <c r="P15" i="10" s="1"/>
  <c r="O17" i="10"/>
  <c r="P17" i="10" s="1"/>
  <c r="O57" i="10"/>
  <c r="P57" i="10" s="1"/>
  <c r="O4" i="10"/>
  <c r="P4" i="10" s="1"/>
  <c r="O94" i="10"/>
  <c r="P94" i="10" s="1"/>
  <c r="O122" i="10"/>
  <c r="P122" i="10" s="1"/>
  <c r="O169" i="10"/>
  <c r="P169" i="10" s="1"/>
  <c r="O197" i="10"/>
  <c r="P197" i="10" s="1"/>
  <c r="O18" i="10"/>
  <c r="P18" i="10" s="1"/>
  <c r="O47" i="10"/>
  <c r="P47" i="10" s="1"/>
  <c r="O60" i="10"/>
  <c r="P60" i="10" s="1"/>
  <c r="O88" i="10"/>
  <c r="P88" i="10" s="1"/>
  <c r="O107" i="10"/>
  <c r="P107" i="10" s="1"/>
  <c r="O119" i="10"/>
  <c r="P119" i="10" s="1"/>
  <c r="O130" i="10"/>
  <c r="P130" i="10" s="1"/>
  <c r="O150" i="10"/>
  <c r="P150" i="10" s="1"/>
  <c r="O162" i="10"/>
  <c r="P162" i="10" s="1"/>
  <c r="O183" i="10"/>
  <c r="P183" i="10" s="1"/>
  <c r="O198" i="10"/>
  <c r="P198" i="10" s="1"/>
  <c r="O224" i="10"/>
  <c r="P224" i="10" s="1"/>
  <c r="O172" i="10"/>
  <c r="P172" i="10" s="1"/>
  <c r="O54" i="10"/>
  <c r="P54" i="10" s="1"/>
  <c r="O80" i="10"/>
  <c r="P80" i="10" s="1"/>
  <c r="O92" i="10"/>
  <c r="P92" i="10" s="1"/>
  <c r="O95" i="10"/>
  <c r="P95" i="10" s="1"/>
  <c r="O131" i="10"/>
  <c r="P131" i="10" s="1"/>
  <c r="O161" i="10"/>
  <c r="P161" i="10" s="1"/>
  <c r="O182" i="10"/>
  <c r="P182" i="10" s="1"/>
  <c r="O216" i="10"/>
  <c r="P216" i="10" s="1"/>
  <c r="O96" i="10"/>
  <c r="P96" i="10" s="1"/>
  <c r="O132" i="10"/>
  <c r="P132" i="10" s="1"/>
  <c r="O124" i="10"/>
  <c r="P124" i="10" s="1"/>
  <c r="O158" i="10"/>
  <c r="P158" i="10" s="1"/>
  <c r="O184" i="10"/>
  <c r="P184" i="10" s="1"/>
  <c r="O199" i="10"/>
  <c r="P199" i="10" s="1"/>
  <c r="O231" i="10"/>
  <c r="P231" i="10" s="1"/>
  <c r="O19" i="10"/>
  <c r="P19" i="10" s="1"/>
  <c r="O58" i="10"/>
  <c r="P58" i="10" s="1"/>
  <c r="O24" i="10"/>
  <c r="P24" i="10" s="1"/>
  <c r="O74" i="10"/>
  <c r="P74" i="10" s="1"/>
  <c r="O105" i="10"/>
  <c r="P105" i="10" s="1"/>
  <c r="O146" i="10"/>
  <c r="P146" i="10" s="1"/>
  <c r="O149" i="10"/>
  <c r="P149" i="10" s="1"/>
  <c r="O39" i="10"/>
  <c r="P39" i="10" s="1"/>
  <c r="O90" i="10"/>
  <c r="P90" i="10" s="1"/>
  <c r="O46" i="10"/>
  <c r="P46" i="10" s="1"/>
  <c r="O114" i="10"/>
  <c r="P114" i="10" s="1"/>
  <c r="O138" i="10"/>
  <c r="P138" i="10" s="1"/>
  <c r="O213" i="10"/>
  <c r="P213" i="10" s="1"/>
  <c r="O237" i="10"/>
  <c r="P237" i="10" s="1"/>
  <c r="O20" i="10"/>
  <c r="P20" i="10" s="1"/>
  <c r="O68" i="10"/>
  <c r="P68" i="10" s="1"/>
  <c r="O108" i="10"/>
  <c r="P108" i="10" s="1"/>
  <c r="O173" i="10"/>
  <c r="P173" i="10" s="1"/>
  <c r="O21" i="10"/>
  <c r="P21" i="10" s="1"/>
  <c r="O12" i="10"/>
  <c r="P12" i="10" s="1"/>
  <c r="O38" i="10"/>
  <c r="P38" i="10" s="1"/>
  <c r="O40" i="10"/>
  <c r="P40" i="10" s="1"/>
  <c r="O64" i="10"/>
  <c r="P64" i="10" s="1"/>
  <c r="O81" i="10"/>
  <c r="P81" i="10" s="1"/>
  <c r="O113" i="10"/>
  <c r="P113" i="10" s="1"/>
  <c r="O133" i="10"/>
  <c r="P133" i="10" s="1"/>
  <c r="O145" i="10"/>
  <c r="P145" i="10" s="1"/>
  <c r="O166" i="10"/>
  <c r="P166" i="10" s="1"/>
  <c r="O217" i="10"/>
  <c r="P217" i="10" s="1"/>
  <c r="O238" i="10"/>
  <c r="P238" i="10" s="1"/>
  <c r="O22" i="10"/>
  <c r="P22" i="10" s="1"/>
  <c r="O44" i="10"/>
  <c r="P44" i="10" s="1"/>
  <c r="O79" i="10"/>
  <c r="P79" i="10" s="1"/>
  <c r="O110" i="10"/>
  <c r="P110" i="10" s="1"/>
  <c r="O140" i="10"/>
  <c r="P140" i="10" s="1"/>
  <c r="O165" i="10"/>
  <c r="P165" i="10" s="1"/>
  <c r="O185" i="10"/>
  <c r="P185" i="10" s="1"/>
  <c r="O210" i="10"/>
  <c r="P210" i="10" s="1"/>
  <c r="O125" i="10"/>
  <c r="P125" i="10" s="1"/>
  <c r="O178" i="10"/>
  <c r="P178" i="10" s="1"/>
  <c r="O188" i="10"/>
  <c r="P188" i="10" s="1"/>
  <c r="O211" i="10"/>
  <c r="P211" i="10" s="1"/>
  <c r="O239" i="10"/>
  <c r="P239" i="10" s="1"/>
  <c r="O23" i="10"/>
  <c r="P23" i="10" s="1"/>
  <c r="O59" i="10"/>
  <c r="P59" i="10" s="1"/>
  <c r="O93" i="10"/>
  <c r="P93" i="10" s="1"/>
  <c r="O41" i="10"/>
  <c r="P41" i="10" s="1"/>
  <c r="O91" i="10"/>
  <c r="P91" i="10" s="1"/>
  <c r="O127" i="10"/>
  <c r="P127" i="10" s="1"/>
  <c r="O201" i="10"/>
  <c r="P201" i="10" s="1"/>
  <c r="O16" i="10"/>
  <c r="P16" i="10" s="1"/>
  <c r="O50" i="10"/>
  <c r="P50" i="10" s="1"/>
  <c r="O63" i="10"/>
  <c r="P63" i="10" s="1"/>
  <c r="O104" i="10"/>
  <c r="P104" i="10" s="1"/>
  <c r="O126" i="10"/>
  <c r="P126" i="10" s="1"/>
  <c r="O144" i="10"/>
  <c r="P144" i="10" s="1"/>
  <c r="O164" i="10"/>
  <c r="P164" i="10" s="1"/>
  <c r="O214" i="10"/>
  <c r="P214" i="10" s="1"/>
  <c r="O240" i="10"/>
  <c r="P240" i="10" s="1"/>
  <c r="O118" i="10"/>
  <c r="P118" i="10" s="1"/>
  <c r="O142" i="10"/>
  <c r="P142" i="10" s="1"/>
  <c r="O155" i="10"/>
  <c r="P155" i="10" s="1"/>
  <c r="O25" i="10"/>
  <c r="P25" i="10" s="1"/>
  <c r="O143" i="10"/>
  <c r="P143" i="10" s="1"/>
  <c r="O196" i="10"/>
  <c r="P196" i="10" s="1"/>
  <c r="O6" i="10"/>
  <c r="P6" i="10" s="1"/>
  <c r="O43" i="10"/>
  <c r="P43" i="10" s="1"/>
  <c r="O56" i="10"/>
  <c r="P56" i="10" s="1"/>
  <c r="O77" i="10"/>
  <c r="P77" i="10" s="1"/>
  <c r="O123" i="10"/>
  <c r="P123" i="10" s="1"/>
  <c r="O26" i="10"/>
  <c r="P26" i="10" s="1"/>
  <c r="O62" i="10"/>
  <c r="P62" i="10" s="1"/>
  <c r="O97" i="10"/>
  <c r="P97" i="10" s="1"/>
  <c r="O141" i="10"/>
  <c r="P141" i="10" s="1"/>
  <c r="O157" i="10"/>
  <c r="P157" i="10" s="1"/>
  <c r="O192" i="10"/>
  <c r="P192" i="10" s="1"/>
  <c r="O235" i="10"/>
  <c r="P235" i="10" s="1"/>
  <c r="O27" i="10"/>
  <c r="P27" i="10" s="1"/>
  <c r="O61" i="10"/>
  <c r="P61" i="10" s="1"/>
  <c r="O89" i="10"/>
  <c r="P89" i="10" s="1"/>
  <c r="O28" i="10"/>
  <c r="P28" i="10" s="1"/>
  <c r="O48" i="10"/>
  <c r="P48" i="10" s="1"/>
  <c r="O65" i="10"/>
  <c r="P65" i="10" s="1"/>
  <c r="O84" i="10"/>
  <c r="P84" i="10" s="1"/>
  <c r="O98" i="10"/>
  <c r="P98" i="10" s="1"/>
  <c r="O117" i="10"/>
  <c r="P117" i="10" s="1"/>
  <c r="O134" i="10"/>
  <c r="P134" i="10" s="1"/>
  <c r="O147" i="10"/>
  <c r="P147" i="10" s="1"/>
  <c r="O176" i="10"/>
  <c r="P176" i="10" s="1"/>
  <c r="O186" i="10"/>
  <c r="P186" i="10" s="1"/>
  <c r="O193" i="10"/>
  <c r="P193" i="10" s="1"/>
  <c r="O228" i="10"/>
  <c r="P228" i="10" s="1"/>
  <c r="O29" i="10"/>
  <c r="P29" i="10" s="1"/>
  <c r="O49" i="10"/>
  <c r="P49" i="10" s="1"/>
  <c r="O66" i="10"/>
  <c r="P66" i="10" s="1"/>
  <c r="O85" i="10"/>
  <c r="P85" i="10" s="1"/>
  <c r="O99" i="10"/>
  <c r="P99" i="10" s="1"/>
  <c r="O120" i="10"/>
  <c r="P120" i="10" s="1"/>
  <c r="O135" i="10"/>
  <c r="P135" i="10" s="1"/>
  <c r="O148" i="10"/>
  <c r="P148" i="10" s="1"/>
  <c r="O167" i="10"/>
  <c r="P167" i="10" s="1"/>
  <c r="O229" i="10"/>
  <c r="P229" i="10" s="1"/>
  <c r="O30" i="10"/>
  <c r="P30" i="10" s="1"/>
  <c r="O55" i="10"/>
  <c r="P55" i="10" s="1"/>
  <c r="O72" i="10"/>
  <c r="P72" i="10" s="1"/>
  <c r="O100" i="10"/>
  <c r="P100" i="10" s="1"/>
  <c r="O115" i="10"/>
  <c r="P115" i="10" s="1"/>
  <c r="O136" i="10"/>
  <c r="P136" i="10" s="1"/>
  <c r="O151" i="10"/>
  <c r="P151" i="10" s="1"/>
  <c r="O168" i="10"/>
  <c r="P168" i="10" s="1"/>
  <c r="O205" i="10"/>
  <c r="P205" i="10" s="1"/>
  <c r="O219" i="10"/>
  <c r="P219" i="10" s="1"/>
  <c r="O2" i="10"/>
  <c r="P2" i="10" s="1"/>
  <c r="O69" i="10"/>
  <c r="P69" i="10" s="1"/>
  <c r="O194" i="10"/>
  <c r="P194" i="10" s="1"/>
  <c r="O83" i="10"/>
  <c r="P83" i="10" s="1"/>
  <c r="O121" i="10"/>
  <c r="P121" i="10" s="1"/>
  <c r="O159" i="10"/>
  <c r="P159" i="10" s="1"/>
  <c r="O208" i="10"/>
  <c r="P208" i="10" s="1"/>
  <c r="O42" i="10"/>
  <c r="P42" i="10" s="1"/>
  <c r="O156" i="10"/>
  <c r="P156" i="10" s="1"/>
  <c r="O45" i="10"/>
  <c r="P45" i="10" s="1"/>
  <c r="O31" i="10"/>
  <c r="P31" i="10" s="1"/>
  <c r="O51" i="10"/>
  <c r="P51" i="10" s="1"/>
  <c r="O67" i="10"/>
  <c r="P67" i="10" s="1"/>
  <c r="O86" i="10"/>
  <c r="P86" i="10" s="1"/>
  <c r="O101" i="10"/>
  <c r="P101" i="10" s="1"/>
  <c r="O128" i="10"/>
  <c r="P128" i="10" s="1"/>
  <c r="O174" i="10"/>
  <c r="P174" i="10" s="1"/>
  <c r="O191" i="10"/>
  <c r="P191" i="10" s="1"/>
  <c r="O215" i="10"/>
  <c r="P215" i="10" s="1"/>
  <c r="O225" i="10"/>
  <c r="P225" i="10" s="1"/>
  <c r="O32" i="10"/>
  <c r="P32" i="10" s="1"/>
  <c r="O75" i="10"/>
  <c r="P75" i="10" s="1"/>
  <c r="O33" i="10"/>
  <c r="P33" i="10" s="1"/>
  <c r="O76" i="10"/>
  <c r="P76" i="10" s="1"/>
  <c r="O82" i="10"/>
  <c r="P82" i="10" s="1"/>
  <c r="O109" i="10"/>
  <c r="P109" i="10" s="1"/>
  <c r="O129" i="10"/>
  <c r="P129" i="10" s="1"/>
  <c r="O160" i="10"/>
  <c r="P160" i="10" s="1"/>
  <c r="O34" i="10"/>
  <c r="P34" i="10" s="1"/>
  <c r="O52" i="10"/>
  <c r="P52" i="10" s="1"/>
  <c r="O73" i="10"/>
  <c r="P73" i="10" s="1"/>
  <c r="O106" i="10"/>
  <c r="P106" i="10" s="1"/>
  <c r="O111" i="10"/>
  <c r="P111" i="10" s="1"/>
  <c r="O35" i="10"/>
  <c r="P35" i="10" s="1"/>
  <c r="O179" i="10"/>
  <c r="P179" i="10" s="1"/>
  <c r="O212" i="10"/>
  <c r="P212" i="10" s="1"/>
  <c r="O202" i="10"/>
  <c r="P202" i="10" s="1"/>
  <c r="O36" i="10"/>
  <c r="P36" i="10" s="1"/>
  <c r="O70" i="10"/>
  <c r="P70" i="10" s="1"/>
  <c r="O78" i="10"/>
  <c r="P78" i="10" s="1"/>
  <c r="O102" i="10"/>
  <c r="P102" i="10" s="1"/>
  <c r="O154" i="10"/>
  <c r="P154" i="10" s="1"/>
  <c r="O181" i="10"/>
  <c r="P181" i="10" s="1"/>
  <c r="O200" i="10"/>
  <c r="P200" i="10" s="1"/>
  <c r="O222" i="10"/>
  <c r="P222" i="10" s="1"/>
  <c r="O223" i="10"/>
  <c r="P223" i="10" s="1"/>
  <c r="O37" i="10"/>
  <c r="P37" i="10" s="1"/>
  <c r="O53" i="10"/>
  <c r="P53" i="10" s="1"/>
  <c r="O71" i="10"/>
  <c r="P71" i="10" s="1"/>
  <c r="O87" i="10"/>
  <c r="P87" i="10" s="1"/>
  <c r="O103" i="10"/>
  <c r="P103" i="10" s="1"/>
  <c r="O116" i="10"/>
  <c r="P116" i="10" s="1"/>
  <c r="O137" i="10"/>
  <c r="P137" i="10" s="1"/>
  <c r="O152" i="10"/>
  <c r="P152" i="10" s="1"/>
  <c r="O170" i="10"/>
  <c r="P170" i="10" s="1"/>
  <c r="O206" i="10"/>
  <c r="P206" i="10" s="1"/>
  <c r="O220" i="10"/>
  <c r="P220" i="10" s="1"/>
  <c r="O14" i="10"/>
  <c r="P14" i="10" s="1"/>
  <c r="O112" i="10"/>
  <c r="P112" i="10" s="1"/>
  <c r="O153" i="10"/>
  <c r="P153" i="10" s="1"/>
  <c r="O171" i="10"/>
  <c r="P171" i="10" s="1"/>
  <c r="O190" i="10"/>
  <c r="P190" i="10" s="1"/>
  <c r="O207" i="10"/>
  <c r="P207" i="10" s="1"/>
  <c r="O221" i="10"/>
  <c r="P221" i="10" s="1"/>
  <c r="O139" i="10"/>
  <c r="P139" i="10" s="1"/>
  <c r="O175" i="10"/>
  <c r="P175" i="10" s="1"/>
  <c r="O218" i="10"/>
  <c r="P218" i="10" s="1"/>
  <c r="O163" i="10"/>
  <c r="P163" i="10" s="1"/>
  <c r="O187" i="10"/>
  <c r="P187" i="10" s="1"/>
  <c r="O226" i="10"/>
  <c r="P226" i="10" s="1"/>
  <c r="O177" i="10"/>
  <c r="P177" i="10" s="1"/>
  <c r="O195" i="10"/>
  <c r="P195" i="10" s="1"/>
  <c r="O203" i="10"/>
  <c r="P203" i="10" s="1"/>
  <c r="O234" i="10"/>
  <c r="P234" i="10" s="1"/>
  <c r="O189" i="10"/>
  <c r="P189" i="10" s="1"/>
  <c r="O204" i="10"/>
  <c r="P204" i="10" s="1"/>
  <c r="O236" i="10"/>
  <c r="P236" i="10" s="1"/>
  <c r="O244" i="10"/>
  <c r="P244" i="10" s="1"/>
  <c r="O255" i="10"/>
  <c r="P255" i="10" s="1"/>
  <c r="O259" i="10"/>
  <c r="P259" i="10" s="1"/>
  <c r="O256" i="10"/>
  <c r="P256" i="10" s="1"/>
  <c r="O247" i="10"/>
  <c r="P247" i="10" s="1"/>
  <c r="O254" i="10"/>
  <c r="P254" i="10" s="1"/>
  <c r="O246" i="10"/>
  <c r="P246" i="10" s="1"/>
  <c r="O241" i="10"/>
  <c r="P241" i="10" s="1"/>
  <c r="O252" i="10"/>
  <c r="P252" i="10" s="1"/>
  <c r="O253" i="10"/>
  <c r="P253" i="10" s="1"/>
  <c r="O251" i="10"/>
  <c r="P251" i="10" s="1"/>
  <c r="O248" i="10"/>
  <c r="P248" i="10" s="1"/>
  <c r="O242" i="10"/>
  <c r="P242" i="10" s="1"/>
  <c r="O209" i="10"/>
  <c r="P209" i="10" s="1"/>
  <c r="O257" i="10"/>
  <c r="P257" i="10" s="1"/>
  <c r="O262" i="10"/>
  <c r="P262" i="10" s="1"/>
  <c r="O230" i="10"/>
  <c r="P230" i="10" s="1"/>
  <c r="O261" i="10"/>
  <c r="P261" i="10" s="1"/>
  <c r="O264" i="10"/>
  <c r="P264" i="10" s="1"/>
  <c r="O227" i="10"/>
  <c r="P227" i="10" s="1"/>
  <c r="O263" i="10"/>
  <c r="P263" i="10" s="1"/>
  <c r="O233" i="10"/>
  <c r="P233" i="10" s="1"/>
  <c r="O245" i="10"/>
  <c r="P245" i="10" s="1"/>
  <c r="O268" i="10"/>
  <c r="P268" i="10" s="1"/>
  <c r="O265" i="10"/>
  <c r="P265" i="10" s="1"/>
  <c r="O267" i="10"/>
  <c r="P267" i="10" s="1"/>
  <c r="O273" i="10"/>
  <c r="P273" i="10" s="1"/>
  <c r="O269" i="10"/>
  <c r="P269" i="10" s="1"/>
  <c r="O276" i="10"/>
  <c r="P276" i="10" s="1"/>
  <c r="O271" i="10"/>
  <c r="P271" i="10" s="1"/>
  <c r="O275" i="10"/>
  <c r="P275" i="10" s="1"/>
  <c r="O272" i="10"/>
  <c r="P272" i="10" s="1"/>
  <c r="O278" i="10"/>
  <c r="P278" i="10" s="1"/>
  <c r="O279" i="10"/>
  <c r="P279" i="10" s="1"/>
  <c r="O274" i="10"/>
  <c r="P274" i="10" s="1"/>
  <c r="O281" i="10"/>
  <c r="P281" i="10" s="1"/>
  <c r="O277" i="10"/>
  <c r="P277" i="10" s="1"/>
  <c r="O282" i="10"/>
  <c r="P282" i="10" s="1"/>
  <c r="O283" i="10"/>
  <c r="P283" i="10" s="1"/>
  <c r="O286" i="10"/>
  <c r="P286" i="10" s="1"/>
  <c r="O266" i="10"/>
  <c r="P266" i="10" s="1"/>
  <c r="O270" i="10"/>
  <c r="P270" i="10" s="1"/>
  <c r="O285" i="10"/>
  <c r="P285" i="10" s="1"/>
  <c r="O258" i="10"/>
  <c r="P258" i="10" s="1"/>
  <c r="O284" i="10"/>
  <c r="P284" i="10" s="1"/>
  <c r="O280" i="10"/>
  <c r="P280" i="10" s="1"/>
  <c r="O300" i="10"/>
  <c r="P300" i="10" s="1"/>
  <c r="O302" i="10"/>
  <c r="P302" i="10" s="1"/>
  <c r="O298" i="10"/>
  <c r="P298" i="10" s="1"/>
  <c r="O299" i="10"/>
  <c r="P299" i="10" s="1"/>
  <c r="O294" i="10"/>
  <c r="P294" i="10" s="1"/>
  <c r="O287" i="10"/>
  <c r="P287" i="10" s="1"/>
  <c r="O291" i="10"/>
  <c r="P291" i="10" s="1"/>
  <c r="O297" i="10"/>
  <c r="P297" i="10" s="1"/>
  <c r="O292" i="10"/>
  <c r="P292" i="10" s="1"/>
  <c r="O290" i="10"/>
  <c r="P290" i="10" s="1"/>
  <c r="O293" i="10"/>
  <c r="P293" i="10" s="1"/>
  <c r="O288" i="10"/>
  <c r="P288" i="10" s="1"/>
  <c r="O295" i="10"/>
  <c r="P295" i="10" s="1"/>
  <c r="O296" i="10"/>
  <c r="P296" i="10" s="1"/>
  <c r="O301" i="10"/>
  <c r="P301" i="10" s="1"/>
  <c r="O303" i="10"/>
  <c r="P303" i="10" s="1"/>
  <c r="O243" i="10"/>
  <c r="P243" i="10" s="1"/>
  <c r="O311" i="10"/>
  <c r="P311" i="10" s="1"/>
  <c r="O310" i="10"/>
  <c r="P310" i="10" s="1"/>
  <c r="O309" i="10"/>
  <c r="P309" i="10" s="1"/>
  <c r="O304" i="10"/>
  <c r="P304" i="10" s="1"/>
  <c r="O289" i="10"/>
  <c r="P289" i="10" s="1"/>
  <c r="O308" i="10"/>
  <c r="P308" i="10" s="1"/>
  <c r="O305" i="10"/>
  <c r="P305" i="10" s="1"/>
  <c r="O306" i="10"/>
  <c r="P306" i="10" s="1"/>
  <c r="O312" i="10"/>
  <c r="P312" i="10" s="1"/>
  <c r="O315" i="10"/>
  <c r="P315" i="10" s="1"/>
  <c r="O313" i="10"/>
  <c r="P313" i="10" s="1"/>
  <c r="O314" i="10"/>
  <c r="P314" i="10" s="1"/>
  <c r="O316" i="10"/>
  <c r="P316" i="10" s="1"/>
  <c r="O317" i="10"/>
  <c r="P317" i="10" s="1"/>
  <c r="O318" i="10"/>
  <c r="P318" i="10" s="1"/>
  <c r="O321" i="10"/>
  <c r="P321" i="10" s="1"/>
  <c r="O323" i="10"/>
  <c r="P323" i="10" s="1"/>
  <c r="O322" i="10"/>
  <c r="P322" i="10" s="1"/>
  <c r="O339" i="10"/>
  <c r="P339" i="10" s="1"/>
  <c r="O327" i="10"/>
  <c r="P327" i="10" s="1"/>
  <c r="O325" i="10"/>
  <c r="P325" i="10" s="1"/>
  <c r="O330" i="10"/>
  <c r="P330" i="10" s="1"/>
  <c r="O329" i="10"/>
  <c r="P329" i="10" s="1"/>
  <c r="O320" i="10"/>
  <c r="P320" i="10" s="1"/>
  <c r="O328" i="10"/>
  <c r="P328" i="10" s="1"/>
  <c r="O324" i="10"/>
  <c r="P324" i="10" s="1"/>
  <c r="O326" i="10"/>
  <c r="P326" i="10" s="1"/>
  <c r="O333" i="10"/>
  <c r="P333" i="10" s="1"/>
  <c r="O332" i="10"/>
  <c r="P332" i="10" s="1"/>
  <c r="O331" i="10"/>
  <c r="P331" i="10" s="1"/>
  <c r="O319" i="10"/>
  <c r="P319" i="10" s="1"/>
  <c r="O334" i="10"/>
  <c r="P334" i="10" s="1"/>
  <c r="O335" i="10"/>
  <c r="P335" i="10" s="1"/>
  <c r="O336" i="10"/>
  <c r="P336" i="10" s="1"/>
  <c r="O337" i="10"/>
  <c r="P337" i="10" s="1"/>
  <c r="O351" i="10"/>
  <c r="P351" i="10" s="1"/>
  <c r="O345" i="10"/>
  <c r="P345" i="10" s="1"/>
  <c r="O346" i="10"/>
  <c r="P346" i="10" s="1"/>
  <c r="O344" i="10"/>
  <c r="P344" i="10" s="1"/>
  <c r="O340" i="10"/>
  <c r="P340" i="10" s="1"/>
  <c r="O348" i="10"/>
  <c r="P348" i="10" s="1"/>
  <c r="O341" i="10"/>
  <c r="P341" i="10" s="1"/>
  <c r="O342" i="10"/>
  <c r="P342" i="10" s="1"/>
  <c r="O343" i="10"/>
  <c r="P343" i="10" s="1"/>
  <c r="O338" i="10"/>
  <c r="P338" i="10" s="1"/>
  <c r="O350" i="10"/>
  <c r="P350" i="10" s="1"/>
  <c r="O353" i="10"/>
  <c r="P353" i="10" s="1"/>
  <c r="O354" i="10"/>
  <c r="P354" i="10" s="1"/>
  <c r="O349" i="10"/>
  <c r="P349" i="10" s="1"/>
  <c r="O347" i="10"/>
  <c r="P347" i="10" s="1"/>
  <c r="O356" i="10"/>
  <c r="P356" i="10" s="1"/>
  <c r="O357" i="10"/>
  <c r="P357" i="10" s="1"/>
  <c r="O359" i="10"/>
  <c r="P359" i="10" s="1"/>
  <c r="O371" i="10"/>
  <c r="P371" i="10" s="1"/>
  <c r="O373" i="10"/>
  <c r="P373" i="10" s="1"/>
  <c r="O364" i="10"/>
  <c r="P364" i="10" s="1"/>
  <c r="O360" i="10"/>
  <c r="P360" i="10" s="1"/>
  <c r="O362" i="10"/>
  <c r="P362" i="10" s="1"/>
  <c r="O361" i="10"/>
  <c r="P361" i="10" s="1"/>
  <c r="O358" i="10"/>
  <c r="P358" i="10" s="1"/>
  <c r="O374" i="10"/>
  <c r="P374" i="10" s="1"/>
  <c r="O372" i="10"/>
  <c r="P372" i="10" s="1"/>
  <c r="O366" i="10"/>
  <c r="P366" i="10" s="1"/>
  <c r="O365" i="10"/>
  <c r="P365" i="10" s="1"/>
  <c r="O369" i="10"/>
  <c r="P369" i="10" s="1"/>
  <c r="O368" i="10"/>
  <c r="P368" i="10" s="1"/>
  <c r="O363" i="10"/>
  <c r="P363" i="10" s="1"/>
  <c r="O370" i="10"/>
  <c r="P370" i="10" s="1"/>
  <c r="O376" i="10"/>
  <c r="P376" i="10" s="1"/>
  <c r="O378" i="10"/>
  <c r="P378" i="10" s="1"/>
  <c r="O379" i="10"/>
  <c r="P379" i="10" s="1"/>
  <c r="O382" i="10"/>
  <c r="P382" i="10" s="1"/>
  <c r="O389" i="10"/>
  <c r="P389" i="10" s="1"/>
  <c r="O385" i="10"/>
  <c r="P385" i="10" s="1"/>
  <c r="O391" i="10"/>
  <c r="P391" i="10" s="1"/>
  <c r="O393" i="10"/>
  <c r="P393" i="10" s="1"/>
  <c r="O387" i="10"/>
  <c r="P387" i="10" s="1"/>
  <c r="O386" i="10"/>
  <c r="P386" i="10" s="1"/>
  <c r="O383" i="10"/>
  <c r="P383" i="10" s="1"/>
  <c r="O384" i="10"/>
  <c r="P384" i="10" s="1"/>
  <c r="O390" i="10"/>
  <c r="P390" i="10" s="1"/>
  <c r="O380" i="10"/>
  <c r="P380" i="10" s="1"/>
  <c r="O381" i="10"/>
  <c r="P381" i="10" s="1"/>
  <c r="O355" i="10"/>
  <c r="P355" i="10" s="1"/>
  <c r="O377" i="10"/>
  <c r="P377" i="10" s="1"/>
  <c r="O399" i="10"/>
  <c r="P399" i="10" s="1"/>
  <c r="O395" i="10"/>
  <c r="P395" i="10" s="1"/>
  <c r="O396" i="10"/>
  <c r="P396" i="10" s="1"/>
  <c r="O397" i="10"/>
  <c r="P397" i="10" s="1"/>
  <c r="O398" i="10"/>
  <c r="P398" i="10" s="1"/>
  <c r="O404" i="10"/>
  <c r="P404" i="10" s="1"/>
  <c r="O406" i="10"/>
  <c r="P406" i="10" s="1"/>
  <c r="O367" i="10"/>
  <c r="P367" i="10" s="1"/>
  <c r="O388" i="10"/>
  <c r="P388" i="10" s="1"/>
  <c r="O411" i="10"/>
  <c r="P411" i="10" s="1"/>
  <c r="O410" i="10"/>
  <c r="P410" i="10" s="1"/>
  <c r="O418" i="10"/>
  <c r="P418" i="10" s="1"/>
  <c r="O400" i="10"/>
  <c r="P400" i="10" s="1"/>
  <c r="O413" i="10"/>
  <c r="P413" i="10" s="1"/>
  <c r="O416" i="10"/>
  <c r="P416" i="10" s="1"/>
  <c r="O408" i="10"/>
  <c r="P408" i="10" s="1"/>
  <c r="O417" i="10"/>
  <c r="P417" i="10" s="1"/>
  <c r="O412" i="10"/>
  <c r="P412" i="10" s="1"/>
  <c r="O394" i="10"/>
  <c r="P394" i="10" s="1"/>
  <c r="O405" i="10"/>
  <c r="P405" i="10" s="1"/>
  <c r="O407" i="10"/>
  <c r="P407" i="10" s="1"/>
  <c r="O420" i="10"/>
  <c r="P420" i="10" s="1"/>
  <c r="O375" i="10"/>
  <c r="P375" i="10" s="1"/>
  <c r="O424" i="10"/>
  <c r="P424" i="10" s="1"/>
  <c r="O421" i="10"/>
  <c r="P421" i="10" s="1"/>
  <c r="O423" i="10"/>
  <c r="P423" i="10" s="1"/>
  <c r="O180" i="10"/>
  <c r="P180" i="10" s="1"/>
  <c r="O403" i="10"/>
  <c r="P403" i="10" s="1"/>
  <c r="O232" i="10"/>
  <c r="P232" i="10" s="1"/>
  <c r="O260" i="10"/>
  <c r="P260" i="10" s="1"/>
  <c r="O402" i="10"/>
  <c r="P402" i="10" s="1"/>
  <c r="O401" i="10"/>
  <c r="P401" i="10" s="1"/>
  <c r="O415" i="10"/>
  <c r="P415" i="10" s="1"/>
  <c r="O435" i="10"/>
  <c r="P435" i="10" s="1"/>
  <c r="O438" i="10"/>
  <c r="P438" i="10" s="1"/>
  <c r="O437" i="10"/>
  <c r="P437" i="10" s="1"/>
  <c r="O434" i="10"/>
  <c r="P434" i="10" s="1"/>
  <c r="O431" i="10"/>
  <c r="P431" i="10" s="1"/>
  <c r="O436" i="10"/>
  <c r="P436" i="10" s="1"/>
  <c r="O429" i="10"/>
  <c r="P429" i="10" s="1"/>
  <c r="O430" i="10"/>
  <c r="P430" i="10" s="1"/>
  <c r="O433" i="10"/>
  <c r="P433" i="10" s="1"/>
  <c r="O422" i="10"/>
  <c r="P422" i="10" s="1"/>
  <c r="O432" i="10"/>
  <c r="P432" i="10" s="1"/>
  <c r="O427" i="10"/>
  <c r="P427" i="10" s="1"/>
  <c r="O428" i="10"/>
  <c r="P428" i="10" s="1"/>
  <c r="O440" i="10"/>
  <c r="P440" i="10" s="1"/>
  <c r="O439" i="10"/>
  <c r="P439" i="10" s="1"/>
  <c r="O419" i="10"/>
  <c r="P419" i="10" s="1"/>
  <c r="O425" i="10"/>
  <c r="P425" i="10" s="1"/>
  <c r="O441" i="10"/>
  <c r="P441" i="10" s="1"/>
  <c r="O443" i="10"/>
  <c r="P443" i="10" s="1"/>
  <c r="O447" i="10"/>
  <c r="P447" i="10" s="1"/>
  <c r="O446" i="10"/>
  <c r="P446" i="10" s="1"/>
  <c r="O445" i="10"/>
  <c r="P445" i="10" s="1"/>
  <c r="O392" i="10"/>
  <c r="P392" i="10" s="1"/>
  <c r="O352" i="10"/>
  <c r="P352" i="10" s="1"/>
  <c r="O448" i="10"/>
  <c r="P448" i="10" s="1"/>
  <c r="O449" i="10"/>
  <c r="P449" i="10" s="1"/>
  <c r="O451" i="10"/>
  <c r="P451" i="10" s="1"/>
  <c r="O458" i="10"/>
  <c r="P458" i="10" s="1"/>
  <c r="O450" i="10"/>
  <c r="P450" i="10" s="1"/>
  <c r="O456" i="10"/>
  <c r="P456" i="10" s="1"/>
  <c r="O459" i="10"/>
  <c r="P459" i="10" s="1"/>
  <c r="O452" i="10"/>
  <c r="P452" i="10" s="1"/>
  <c r="O457" i="10"/>
  <c r="P457" i="10" s="1"/>
  <c r="O454" i="10"/>
  <c r="P454" i="10" s="1"/>
  <c r="O460" i="10"/>
  <c r="P460" i="10" s="1"/>
  <c r="O463" i="10"/>
  <c r="P463" i="10" s="1"/>
  <c r="O462" i="10"/>
  <c r="P462" i="10" s="1"/>
  <c r="O461" i="10"/>
  <c r="P461" i="10" s="1"/>
  <c r="O442" i="10"/>
  <c r="P442" i="10" s="1"/>
  <c r="O464" i="10"/>
  <c r="P464" i="10" s="1"/>
  <c r="O453" i="10"/>
  <c r="P453" i="10" s="1"/>
  <c r="O444" i="10"/>
  <c r="P444" i="10" s="1"/>
  <c r="O466" i="10"/>
  <c r="P466" i="10" s="1"/>
  <c r="O465" i="10"/>
  <c r="P465" i="10" s="1"/>
  <c r="O471" i="10"/>
  <c r="P471" i="10" s="1"/>
  <c r="O467" i="10"/>
  <c r="P467" i="10" s="1"/>
  <c r="O469" i="10"/>
  <c r="P469" i="10" s="1"/>
  <c r="O470" i="10"/>
  <c r="P470" i="10" s="1"/>
  <c r="O468" i="10"/>
  <c r="P468" i="10" s="1"/>
  <c r="O474" i="10"/>
  <c r="P474" i="10" s="1"/>
  <c r="O473" i="10"/>
  <c r="P473" i="10" s="1"/>
  <c r="O475" i="10"/>
  <c r="P475" i="10" s="1"/>
  <c r="O476" i="10"/>
  <c r="P476" i="10" s="1"/>
  <c r="O455" i="10"/>
  <c r="P455" i="10" s="1"/>
  <c r="O472" i="10"/>
  <c r="P472" i="10" s="1"/>
  <c r="O488" i="10"/>
  <c r="P488" i="10" s="1"/>
  <c r="O485" i="10"/>
  <c r="P485" i="10" s="1"/>
  <c r="O478" i="10"/>
  <c r="P478" i="10" s="1"/>
  <c r="O479" i="10"/>
  <c r="P479" i="10" s="1"/>
  <c r="O486" i="10"/>
  <c r="P486" i="10" s="1"/>
  <c r="O482" i="10"/>
  <c r="P482" i="10" s="1"/>
  <c r="O493" i="10"/>
  <c r="P493" i="10" s="1"/>
  <c r="O494" i="10"/>
  <c r="P494" i="10" s="1"/>
  <c r="O483" i="10"/>
  <c r="P483" i="10" s="1"/>
  <c r="O487" i="10"/>
  <c r="P487" i="10" s="1"/>
  <c r="O489" i="10"/>
  <c r="P489" i="10" s="1"/>
  <c r="O480" i="10"/>
  <c r="P480" i="10" s="1"/>
  <c r="O492" i="10"/>
  <c r="P492" i="10" s="1"/>
  <c r="O477" i="10"/>
  <c r="P477" i="10" s="1"/>
  <c r="O484" i="10"/>
  <c r="P484" i="10" s="1"/>
  <c r="O490" i="10"/>
  <c r="P490" i="10" s="1"/>
  <c r="O491" i="10"/>
  <c r="P491" i="10" s="1"/>
  <c r="O497" i="10"/>
  <c r="P497" i="10" s="1"/>
  <c r="O409" i="10"/>
  <c r="P409" i="10" s="1"/>
  <c r="O426" i="10"/>
  <c r="P426" i="10" s="1"/>
  <c r="O529" i="10"/>
  <c r="P529" i="10" s="1"/>
  <c r="O495" i="10"/>
  <c r="P495" i="10" s="1"/>
  <c r="O249" i="10"/>
  <c r="P249" i="10" s="1"/>
  <c r="O250" i="10"/>
  <c r="P250" i="10" s="1"/>
  <c r="O307" i="10"/>
  <c r="P307" i="10" s="1"/>
  <c r="O533" i="10"/>
  <c r="P533" i="10" s="1"/>
  <c r="O561" i="10"/>
  <c r="P561" i="10" s="1"/>
  <c r="O539" i="10"/>
  <c r="P539" i="10" s="1"/>
  <c r="O572" i="10"/>
  <c r="P572" i="10" s="1"/>
  <c r="O535" i="10"/>
  <c r="P535" i="10" s="1"/>
  <c r="O564" i="10"/>
  <c r="P564" i="10" s="1"/>
  <c r="O537" i="10"/>
  <c r="P537" i="10" s="1"/>
  <c r="O569" i="10"/>
  <c r="P569" i="10" s="1"/>
  <c r="O530" i="10"/>
  <c r="P530" i="10" s="1"/>
  <c r="O541" i="10"/>
  <c r="P541" i="10" s="1"/>
  <c r="O560" i="10"/>
  <c r="P560" i="10" s="1"/>
  <c r="O538" i="10"/>
  <c r="P538" i="10" s="1"/>
  <c r="O570" i="10"/>
  <c r="P570" i="10" s="1"/>
  <c r="O528" i="10"/>
  <c r="P528" i="10" s="1"/>
  <c r="O534" i="10"/>
  <c r="P534" i="10" s="1"/>
  <c r="O563" i="10"/>
  <c r="P563" i="10" s="1"/>
  <c r="O555" i="10"/>
  <c r="P555" i="10" s="1"/>
  <c r="O558" i="10"/>
  <c r="P558" i="10" s="1"/>
  <c r="O536" i="10"/>
  <c r="P536" i="10" s="1"/>
  <c r="O532" i="10"/>
  <c r="P532" i="10" s="1"/>
  <c r="O545" i="10"/>
  <c r="P545" i="10" s="1"/>
  <c r="O576" i="10"/>
  <c r="P576" i="10" s="1"/>
  <c r="O556" i="10"/>
  <c r="P556" i="10" s="1"/>
  <c r="O571" i="10"/>
  <c r="P571" i="10" s="1"/>
  <c r="O548" i="10"/>
  <c r="P548" i="10" s="1"/>
  <c r="O565" i="10"/>
  <c r="P565" i="10" s="1"/>
  <c r="O550" i="10"/>
  <c r="P550" i="10" s="1"/>
  <c r="O566" i="10"/>
  <c r="P566" i="10" s="1"/>
  <c r="O542" i="10"/>
  <c r="P542" i="10" s="1"/>
  <c r="O562" i="10"/>
  <c r="P562" i="10" s="1"/>
  <c r="O552" i="10"/>
  <c r="P552" i="10" s="1"/>
  <c r="O568" i="10"/>
  <c r="P568" i="10" s="1"/>
  <c r="O557" i="10"/>
  <c r="P557" i="10" s="1"/>
  <c r="O559" i="10"/>
  <c r="P559" i="10" s="1"/>
  <c r="O551" i="10"/>
  <c r="P551" i="10" s="1"/>
  <c r="O567" i="10"/>
  <c r="P567" i="10" s="1"/>
  <c r="O554" i="10"/>
  <c r="P554" i="10" s="1"/>
  <c r="O578" i="10"/>
  <c r="P578" i="10" s="1"/>
  <c r="O540" i="10"/>
  <c r="P540" i="10" s="1"/>
  <c r="O573" i="10"/>
  <c r="P573" i="10" s="1"/>
  <c r="O531" i="10"/>
  <c r="P531" i="10" s="1"/>
  <c r="O577" i="10"/>
  <c r="P577" i="10" s="1"/>
  <c r="O575" i="10"/>
  <c r="P575" i="10" s="1"/>
  <c r="O527" i="10"/>
  <c r="P527" i="10" s="1"/>
  <c r="O574" i="10"/>
  <c r="P574" i="10" s="1"/>
  <c r="O414" i="10"/>
  <c r="P414" i="10" s="1"/>
  <c r="O549" i="10"/>
  <c r="P549" i="10" s="1"/>
  <c r="O580" i="10"/>
  <c r="P580" i="10" s="1"/>
  <c r="O507" i="10"/>
  <c r="P507" i="10" s="1"/>
  <c r="O501" i="10"/>
  <c r="P501" i="10" s="1"/>
  <c r="O517" i="10"/>
  <c r="P517" i="10" s="1"/>
  <c r="O508" i="10"/>
  <c r="P508" i="10" s="1"/>
  <c r="O499" i="10"/>
  <c r="P499" i="10" s="1"/>
  <c r="O519" i="10"/>
  <c r="P519" i="10" s="1"/>
  <c r="O520" i="10"/>
  <c r="P520" i="10" s="1"/>
  <c r="O504" i="10"/>
  <c r="P504" i="10" s="1"/>
  <c r="O514" i="10"/>
  <c r="P514" i="10" s="1"/>
  <c r="O510" i="10"/>
  <c r="P510" i="10" s="1"/>
  <c r="O518" i="10"/>
  <c r="P518" i="10" s="1"/>
  <c r="O526" i="10"/>
  <c r="P526" i="10" s="1"/>
  <c r="O505" i="10"/>
  <c r="P505" i="10" s="1"/>
  <c r="O509" i="10"/>
  <c r="P509" i="10" s="1"/>
  <c r="O506" i="10"/>
  <c r="P506" i="10" s="1"/>
  <c r="O524" i="10"/>
  <c r="P524" i="10" s="1"/>
  <c r="O498" i="10"/>
  <c r="P498" i="10" s="1"/>
  <c r="O502" i="10"/>
  <c r="P502" i="10" s="1"/>
  <c r="O521" i="10"/>
  <c r="P521" i="10" s="1"/>
  <c r="O516" i="10"/>
  <c r="P516" i="10" s="1"/>
  <c r="O512" i="10"/>
  <c r="P512" i="10" s="1"/>
  <c r="O523" i="10"/>
  <c r="P523" i="10" s="1"/>
  <c r="O525" i="10"/>
  <c r="P525" i="10" s="1"/>
  <c r="O522" i="10"/>
  <c r="P522" i="10" s="1"/>
  <c r="O511" i="10"/>
  <c r="P511" i="10" s="1"/>
  <c r="O503" i="10"/>
  <c r="P503" i="10" s="1"/>
  <c r="O515" i="10"/>
  <c r="P515" i="10" s="1"/>
  <c r="O513" i="10"/>
  <c r="P513" i="10" s="1"/>
  <c r="O500" i="10"/>
  <c r="P500" i="10" s="1"/>
  <c r="O582" i="10"/>
  <c r="P582" i="10" s="1"/>
  <c r="O544" i="10"/>
  <c r="P544" i="10" s="1"/>
  <c r="O579" i="10"/>
  <c r="P579" i="10" s="1"/>
  <c r="O553" i="10"/>
  <c r="P553" i="10" s="1"/>
  <c r="O581" i="10"/>
  <c r="P581" i="10" s="1"/>
  <c r="O546" i="10"/>
  <c r="P546" i="10" s="1"/>
  <c r="O584" i="10"/>
  <c r="P584" i="10" s="1"/>
  <c r="O543" i="10"/>
  <c r="P543" i="10" s="1"/>
  <c r="O583" i="10"/>
  <c r="P583" i="10" s="1"/>
  <c r="O547" i="10"/>
  <c r="P547" i="10" s="1"/>
  <c r="O585" i="10"/>
  <c r="P585" i="10" s="1"/>
  <c r="O3" i="10"/>
  <c r="P3" i="10" s="1"/>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F2" i="15"/>
  <c r="G24" i="17"/>
  <c r="B1" i="17"/>
  <c r="E10" i="15"/>
  <c r="E14" i="15"/>
  <c r="E15" i="15"/>
  <c r="E40" i="15"/>
  <c r="E50" i="15"/>
  <c r="E51" i="15"/>
  <c r="E52" i="15"/>
  <c r="M64" i="12"/>
  <c r="H533" i="10"/>
  <c r="E103" i="15"/>
  <c r="H495" i="10"/>
  <c r="H249" i="10"/>
  <c r="H250" i="10"/>
  <c r="H307" i="10"/>
  <c r="H561" i="10"/>
  <c r="H539" i="10"/>
  <c r="H572" i="10"/>
  <c r="H535" i="10"/>
  <c r="H564" i="10"/>
  <c r="H537" i="10"/>
  <c r="H569" i="10"/>
  <c r="H530" i="10"/>
  <c r="H541" i="10"/>
  <c r="H560" i="10"/>
  <c r="H538" i="10"/>
  <c r="H570" i="10"/>
  <c r="H528" i="10"/>
  <c r="H534" i="10"/>
  <c r="H563" i="10"/>
  <c r="H555" i="10"/>
  <c r="H558" i="10"/>
  <c r="H536" i="10"/>
  <c r="H532" i="10"/>
  <c r="H545" i="10"/>
  <c r="H576" i="10"/>
  <c r="H556" i="10"/>
  <c r="H571" i="10"/>
  <c r="H548" i="10"/>
  <c r="H565" i="10"/>
  <c r="H550" i="10"/>
  <c r="H566" i="10"/>
  <c r="H542" i="10"/>
  <c r="H562" i="10"/>
  <c r="H552" i="10"/>
  <c r="H568" i="10"/>
  <c r="H557" i="10"/>
  <c r="H559" i="10"/>
  <c r="H551" i="10"/>
  <c r="H567" i="10"/>
  <c r="H554" i="10"/>
  <c r="H578" i="10"/>
  <c r="H540" i="10"/>
  <c r="H573" i="10"/>
  <c r="H531" i="10"/>
  <c r="H577" i="10"/>
  <c r="H575" i="10"/>
  <c r="H527" i="10"/>
  <c r="H574" i="10"/>
  <c r="H414" i="10"/>
  <c r="H549" i="10"/>
  <c r="H580" i="10"/>
  <c r="H507" i="10"/>
  <c r="H501" i="10"/>
  <c r="H517" i="10"/>
  <c r="H508" i="10"/>
  <c r="H499" i="10"/>
  <c r="H519" i="10"/>
  <c r="H520" i="10"/>
  <c r="H504" i="10"/>
  <c r="H514" i="10"/>
  <c r="H510" i="10"/>
  <c r="H518" i="10"/>
  <c r="H526" i="10"/>
  <c r="H505" i="10"/>
  <c r="H509" i="10"/>
  <c r="H506" i="10"/>
  <c r="H524" i="10"/>
  <c r="H498" i="10"/>
  <c r="H502" i="10"/>
  <c r="H521" i="10"/>
  <c r="H516" i="10"/>
  <c r="H512" i="10"/>
  <c r="H523" i="10"/>
  <c r="H525" i="10"/>
  <c r="H522" i="10"/>
  <c r="H511" i="10"/>
  <c r="H503" i="10"/>
  <c r="H515" i="10"/>
  <c r="H513" i="10"/>
  <c r="H500" i="10"/>
  <c r="H582" i="10"/>
  <c r="H544" i="10"/>
  <c r="H579" i="10"/>
  <c r="H553" i="10"/>
  <c r="H581" i="10"/>
  <c r="H546" i="10"/>
  <c r="H584" i="10"/>
  <c r="H543" i="10"/>
  <c r="H583" i="10"/>
  <c r="H547" i="10"/>
  <c r="H585" i="10"/>
  <c r="H590" i="10"/>
  <c r="H593" i="10"/>
  <c r="H592" i="10"/>
  <c r="H591" i="10"/>
  <c r="H589" i="10"/>
  <c r="H588" i="10"/>
  <c r="H587" i="10"/>
  <c r="H496" i="10"/>
  <c r="H601" i="10"/>
  <c r="H598" i="10"/>
  <c r="H596" i="10"/>
  <c r="H597" i="10"/>
  <c r="H599" i="10"/>
  <c r="H600" i="10"/>
  <c r="H602" i="10"/>
  <c r="H604" i="10"/>
  <c r="H603" i="10"/>
  <c r="H481" i="10"/>
  <c r="H624" i="10"/>
  <c r="H606" i="10"/>
  <c r="H616" i="10"/>
  <c r="H586" i="10"/>
  <c r="H612" i="10"/>
  <c r="H619" i="10"/>
  <c r="H622" i="10"/>
  <c r="H621" i="10"/>
  <c r="H620" i="10"/>
  <c r="H614" i="10"/>
  <c r="H608" i="10"/>
  <c r="H623" i="10"/>
  <c r="H609" i="10"/>
  <c r="H607" i="10"/>
  <c r="H617" i="10"/>
  <c r="H611" i="10"/>
  <c r="H613" i="10"/>
  <c r="H595" i="10"/>
  <c r="H618" i="10"/>
  <c r="H626" i="10"/>
  <c r="H625" i="10"/>
  <c r="H628" i="10"/>
  <c r="H610" i="10"/>
  <c r="H629" i="10"/>
  <c r="H630" i="10"/>
  <c r="H627" i="10"/>
  <c r="H632" i="10"/>
  <c r="H631" i="10"/>
  <c r="H615" i="10"/>
  <c r="H633" i="10"/>
  <c r="H639" i="10"/>
  <c r="H647" i="10"/>
  <c r="H660" i="10"/>
  <c r="H648" i="10"/>
  <c r="H651" i="10"/>
  <c r="H649" i="10"/>
  <c r="H635" i="10"/>
  <c r="H656" i="10"/>
  <c r="H658" i="10"/>
  <c r="H653" i="10"/>
  <c r="H663" i="10"/>
  <c r="H657" i="10"/>
  <c r="H637" i="10"/>
  <c r="H643" i="10"/>
  <c r="H640" i="10"/>
  <c r="H644" i="10"/>
  <c r="H642" i="10"/>
  <c r="H652" i="10"/>
  <c r="H634" i="10"/>
  <c r="H636" i="10"/>
  <c r="H641" i="10"/>
  <c r="H650" i="10"/>
  <c r="H645" i="10"/>
  <c r="H655" i="10"/>
  <c r="H654" i="10"/>
  <c r="H638" i="10"/>
  <c r="H661" i="10"/>
  <c r="H664" i="10"/>
  <c r="H667" i="10"/>
  <c r="H665" i="10"/>
  <c r="H669" i="10"/>
  <c r="H671" i="10"/>
  <c r="H670" i="10"/>
  <c r="H673" i="10"/>
  <c r="H672" i="10"/>
  <c r="H646" i="10"/>
  <c r="H662" i="10"/>
  <c r="H659" i="10"/>
  <c r="H677" i="10"/>
  <c r="H680" i="10"/>
  <c r="H698" i="10"/>
  <c r="H691" i="10"/>
  <c r="H687" i="10"/>
  <c r="H682" i="10"/>
  <c r="H689" i="10"/>
  <c r="H692" i="10"/>
  <c r="H690" i="10"/>
  <c r="H694" i="10"/>
  <c r="H679" i="10"/>
  <c r="H688" i="10"/>
  <c r="H681" i="10"/>
  <c r="H676" i="10"/>
  <c r="H683" i="10"/>
  <c r="H674" i="10"/>
  <c r="H678" i="10"/>
  <c r="H675" i="10"/>
  <c r="H686" i="10"/>
  <c r="H696" i="10"/>
  <c r="H699" i="10"/>
  <c r="H695" i="10"/>
  <c r="H697" i="10"/>
  <c r="H693" i="10"/>
  <c r="H684" i="10"/>
  <c r="H700" i="10"/>
  <c r="H702" i="10"/>
  <c r="H701" i="10"/>
  <c r="H703" i="10"/>
  <c r="H716" i="10"/>
  <c r="H409" i="10"/>
  <c r="H426" i="10"/>
  <c r="H529" i="10"/>
  <c r="H708" i="10"/>
  <c r="AF55" i="1"/>
  <c r="U55" i="1" s="1"/>
  <c r="H497" i="10"/>
  <c r="H491" i="10"/>
  <c r="H490" i="10"/>
  <c r="H484" i="10"/>
  <c r="H477" i="10"/>
  <c r="H492" i="10"/>
  <c r="H480" i="10"/>
  <c r="H489" i="10"/>
  <c r="H487" i="10"/>
  <c r="H483" i="10"/>
  <c r="M96" i="12"/>
  <c r="M69" i="12"/>
  <c r="E96" i="15"/>
  <c r="H392" i="10"/>
  <c r="E95" i="15"/>
  <c r="AF28" i="1"/>
  <c r="M57" i="12"/>
  <c r="E94" i="15"/>
  <c r="M5" i="12"/>
  <c r="M89" i="12"/>
  <c r="AF12" i="1"/>
  <c r="M98" i="12"/>
  <c r="E82" i="15"/>
  <c r="AF71" i="1"/>
  <c r="M81" i="12"/>
  <c r="AF41" i="1"/>
  <c r="AF62" i="1"/>
  <c r="U62" i="1" s="1"/>
  <c r="M18" i="12"/>
  <c r="C3" i="18"/>
  <c r="C8" i="18" s="1"/>
  <c r="AF22" i="1"/>
  <c r="U22" i="1" s="1"/>
  <c r="H373" i="10"/>
  <c r="H364" i="10"/>
  <c r="H360" i="10"/>
  <c r="H362" i="10"/>
  <c r="H361" i="10"/>
  <c r="H358" i="10"/>
  <c r="H374" i="10"/>
  <c r="H372" i="10"/>
  <c r="H366" i="10"/>
  <c r="H365" i="10"/>
  <c r="H369" i="10"/>
  <c r="H368" i="10"/>
  <c r="H363" i="10"/>
  <c r="H370" i="10"/>
  <c r="H376" i="10"/>
  <c r="H378" i="10"/>
  <c r="H379" i="10"/>
  <c r="H382" i="10"/>
  <c r="H389" i="10"/>
  <c r="H385" i="10"/>
  <c r="H391" i="10"/>
  <c r="H393" i="10"/>
  <c r="H387" i="10"/>
  <c r="H386" i="10"/>
  <c r="H383" i="10"/>
  <c r="H384" i="10"/>
  <c r="H390" i="10"/>
  <c r="H380" i="10"/>
  <c r="H381" i="10"/>
  <c r="H355" i="10"/>
  <c r="H377" i="10"/>
  <c r="H399" i="10"/>
  <c r="H395" i="10"/>
  <c r="H396" i="10"/>
  <c r="H397" i="10"/>
  <c r="H398" i="10"/>
  <c r="H404" i="10"/>
  <c r="H406" i="10"/>
  <c r="H367" i="10"/>
  <c r="H388" i="10"/>
  <c r="H411" i="10"/>
  <c r="H410" i="10"/>
  <c r="H418" i="10"/>
  <c r="H400" i="10"/>
  <c r="H413" i="10"/>
  <c r="H416" i="10"/>
  <c r="H408" i="10"/>
  <c r="H417" i="10"/>
  <c r="H412" i="10"/>
  <c r="H394" i="10"/>
  <c r="H405" i="10"/>
  <c r="H407" i="10"/>
  <c r="H420" i="10"/>
  <c r="H375" i="10"/>
  <c r="H424" i="10"/>
  <c r="H421" i="10"/>
  <c r="H423" i="10"/>
  <c r="H180" i="10"/>
  <c r="H403" i="10"/>
  <c r="H232" i="10"/>
  <c r="H260" i="10"/>
  <c r="H402" i="10"/>
  <c r="H401" i="10"/>
  <c r="H415" i="10"/>
  <c r="H435" i="10"/>
  <c r="H438" i="10"/>
  <c r="H437" i="10"/>
  <c r="H434" i="10"/>
  <c r="H431" i="10"/>
  <c r="H436" i="10"/>
  <c r="H429" i="10"/>
  <c r="H430" i="10"/>
  <c r="H433" i="10"/>
  <c r="H422" i="10"/>
  <c r="H432" i="10"/>
  <c r="H427" i="10"/>
  <c r="H428" i="10"/>
  <c r="H440" i="10"/>
  <c r="H439" i="10"/>
  <c r="H419" i="10"/>
  <c r="H425" i="10"/>
  <c r="H441" i="10"/>
  <c r="H443" i="10"/>
  <c r="H447" i="10"/>
  <c r="H446" i="10"/>
  <c r="H445" i="10"/>
  <c r="H352" i="10"/>
  <c r="H448" i="10"/>
  <c r="H449" i="10"/>
  <c r="H451" i="10"/>
  <c r="H458" i="10"/>
  <c r="H450" i="10"/>
  <c r="H456" i="10"/>
  <c r="H459" i="10"/>
  <c r="H452" i="10"/>
  <c r="H457" i="10"/>
  <c r="H454" i="10"/>
  <c r="H460" i="10"/>
  <c r="H463" i="10"/>
  <c r="H462" i="10"/>
  <c r="H461" i="10"/>
  <c r="H442" i="10"/>
  <c r="H464" i="10"/>
  <c r="H453" i="10"/>
  <c r="H444" i="10"/>
  <c r="H466" i="10"/>
  <c r="H465" i="10"/>
  <c r="H471" i="10"/>
  <c r="H467" i="10"/>
  <c r="H469" i="10"/>
  <c r="H470" i="10"/>
  <c r="H468" i="10"/>
  <c r="H474" i="10"/>
  <c r="H473" i="10"/>
  <c r="H475" i="10"/>
  <c r="H476" i="10"/>
  <c r="H455" i="10"/>
  <c r="H472" i="10"/>
  <c r="H488" i="10"/>
  <c r="H485" i="10"/>
  <c r="H478" i="10"/>
  <c r="H479" i="10"/>
  <c r="H486" i="10"/>
  <c r="H482" i="10"/>
  <c r="H493" i="10"/>
  <c r="H494" i="10"/>
  <c r="M62" i="12"/>
  <c r="M110" i="12"/>
  <c r="E63" i="15"/>
  <c r="AF39" i="1"/>
  <c r="U39" i="1" s="1"/>
  <c r="H277" i="10"/>
  <c r="H349" i="10"/>
  <c r="H5" i="10"/>
  <c r="H7" i="10"/>
  <c r="H8" i="10"/>
  <c r="H9" i="10"/>
  <c r="H10" i="10"/>
  <c r="H11" i="10"/>
  <c r="H13" i="10"/>
  <c r="H15" i="10"/>
  <c r="H17" i="10"/>
  <c r="H57" i="10"/>
  <c r="H4" i="10"/>
  <c r="H94" i="10"/>
  <c r="H122" i="10"/>
  <c r="H169" i="10"/>
  <c r="H197" i="10"/>
  <c r="H18" i="10"/>
  <c r="H47" i="10"/>
  <c r="H60" i="10"/>
  <c r="H88" i="10"/>
  <c r="H107" i="10"/>
  <c r="H119" i="10"/>
  <c r="H130" i="10"/>
  <c r="H150" i="10"/>
  <c r="H162" i="10"/>
  <c r="H183" i="10"/>
  <c r="H198" i="10"/>
  <c r="H224" i="10"/>
  <c r="H172" i="10"/>
  <c r="H54" i="10"/>
  <c r="H80" i="10"/>
  <c r="H92" i="10"/>
  <c r="H95" i="10"/>
  <c r="H131" i="10"/>
  <c r="H161" i="10"/>
  <c r="H182" i="10"/>
  <c r="H216" i="10"/>
  <c r="H96" i="10"/>
  <c r="H132" i="10"/>
  <c r="H124" i="10"/>
  <c r="H158" i="10"/>
  <c r="H184" i="10"/>
  <c r="H199" i="10"/>
  <c r="H231" i="10"/>
  <c r="H19" i="10"/>
  <c r="H58" i="10"/>
  <c r="H24" i="10"/>
  <c r="H74" i="10"/>
  <c r="H105" i="10"/>
  <c r="H146" i="10"/>
  <c r="H149" i="10"/>
  <c r="H39" i="10"/>
  <c r="H90" i="10"/>
  <c r="H46" i="10"/>
  <c r="H114" i="10"/>
  <c r="H138" i="10"/>
  <c r="H213" i="10"/>
  <c r="H237" i="10"/>
  <c r="H20" i="10"/>
  <c r="H68" i="10"/>
  <c r="H108" i="10"/>
  <c r="H173" i="10"/>
  <c r="H21" i="10"/>
  <c r="H12" i="10"/>
  <c r="H38" i="10"/>
  <c r="H40" i="10"/>
  <c r="H64" i="10"/>
  <c r="H81" i="10"/>
  <c r="H113" i="10"/>
  <c r="H133" i="10"/>
  <c r="H145" i="10"/>
  <c r="H166" i="10"/>
  <c r="H217" i="10"/>
  <c r="H238" i="10"/>
  <c r="H22" i="10"/>
  <c r="H44" i="10"/>
  <c r="H79" i="10"/>
  <c r="H110" i="10"/>
  <c r="H140" i="10"/>
  <c r="H165" i="10"/>
  <c r="H185" i="10"/>
  <c r="H210" i="10"/>
  <c r="H125" i="10"/>
  <c r="H178" i="10"/>
  <c r="H188" i="10"/>
  <c r="H211" i="10"/>
  <c r="H239" i="10"/>
  <c r="H23" i="10"/>
  <c r="H59" i="10"/>
  <c r="H93" i="10"/>
  <c r="H41" i="10"/>
  <c r="H91" i="10"/>
  <c r="H127" i="10"/>
  <c r="H201" i="10"/>
  <c r="H16" i="10"/>
  <c r="H50" i="10"/>
  <c r="H63" i="10"/>
  <c r="H104" i="10"/>
  <c r="H126" i="10"/>
  <c r="H144" i="10"/>
  <c r="H164" i="10"/>
  <c r="H214" i="10"/>
  <c r="H240" i="10"/>
  <c r="H118" i="10"/>
  <c r="H142" i="10"/>
  <c r="H155" i="10"/>
  <c r="H25" i="10"/>
  <c r="H143" i="10"/>
  <c r="H196" i="10"/>
  <c r="H6" i="10"/>
  <c r="H43" i="10"/>
  <c r="H56" i="10"/>
  <c r="H77" i="10"/>
  <c r="H123" i="10"/>
  <c r="H26" i="10"/>
  <c r="H62" i="10"/>
  <c r="H97" i="10"/>
  <c r="H141" i="10"/>
  <c r="H157" i="10"/>
  <c r="H192" i="10"/>
  <c r="H235" i="10"/>
  <c r="H27" i="10"/>
  <c r="H61" i="10"/>
  <c r="H89" i="10"/>
  <c r="H28" i="10"/>
  <c r="H48" i="10"/>
  <c r="H65" i="10"/>
  <c r="H84" i="10"/>
  <c r="H98" i="10"/>
  <c r="H117" i="10"/>
  <c r="H134" i="10"/>
  <c r="H147" i="10"/>
  <c r="H176" i="10"/>
  <c r="H186" i="10"/>
  <c r="H193" i="10"/>
  <c r="H228" i="10"/>
  <c r="H29" i="10"/>
  <c r="H49" i="10"/>
  <c r="H66" i="10"/>
  <c r="H85" i="10"/>
  <c r="H99" i="10"/>
  <c r="H120" i="10"/>
  <c r="H135" i="10"/>
  <c r="H148" i="10"/>
  <c r="H167" i="10"/>
  <c r="H229" i="10"/>
  <c r="H30" i="10"/>
  <c r="H55" i="10"/>
  <c r="H72" i="10"/>
  <c r="H100" i="10"/>
  <c r="H115" i="10"/>
  <c r="H136" i="10"/>
  <c r="H151" i="10"/>
  <c r="H168" i="10"/>
  <c r="H205" i="10"/>
  <c r="H219" i="10"/>
  <c r="H2" i="10"/>
  <c r="H69" i="10"/>
  <c r="H194" i="10"/>
  <c r="H83" i="10"/>
  <c r="H121" i="10"/>
  <c r="H159" i="10"/>
  <c r="H208" i="10"/>
  <c r="H42" i="10"/>
  <c r="H156" i="10"/>
  <c r="H45" i="10"/>
  <c r="H31" i="10"/>
  <c r="H51" i="10"/>
  <c r="H67" i="10"/>
  <c r="H86" i="10"/>
  <c r="H101" i="10"/>
  <c r="H128" i="10"/>
  <c r="H174" i="10"/>
  <c r="H191" i="10"/>
  <c r="H215" i="10"/>
  <c r="H225" i="10"/>
  <c r="H32" i="10"/>
  <c r="H75" i="10"/>
  <c r="H33" i="10"/>
  <c r="H76" i="10"/>
  <c r="H82" i="10"/>
  <c r="H109" i="10"/>
  <c r="H129" i="10"/>
  <c r="H160" i="10"/>
  <c r="H34" i="10"/>
  <c r="H52" i="10"/>
  <c r="H73" i="10"/>
  <c r="H106" i="10"/>
  <c r="H111" i="10"/>
  <c r="H35" i="10"/>
  <c r="H179" i="10"/>
  <c r="H212" i="10"/>
  <c r="H202" i="10"/>
  <c r="H36" i="10"/>
  <c r="H70" i="10"/>
  <c r="H78" i="10"/>
  <c r="H102" i="10"/>
  <c r="H154" i="10"/>
  <c r="H181" i="10"/>
  <c r="H200" i="10"/>
  <c r="H222" i="10"/>
  <c r="H223" i="10"/>
  <c r="H37" i="10"/>
  <c r="H53" i="10"/>
  <c r="H71" i="10"/>
  <c r="H87" i="10"/>
  <c r="H103" i="10"/>
  <c r="H116" i="10"/>
  <c r="H137" i="10"/>
  <c r="H152" i="10"/>
  <c r="H170" i="10"/>
  <c r="H206" i="10"/>
  <c r="H220" i="10"/>
  <c r="H14" i="10"/>
  <c r="H112" i="10"/>
  <c r="H153" i="10"/>
  <c r="H171" i="10"/>
  <c r="H190" i="10"/>
  <c r="H207" i="10"/>
  <c r="H221" i="10"/>
  <c r="H139" i="10"/>
  <c r="H175" i="10"/>
  <c r="H218" i="10"/>
  <c r="H163" i="10"/>
  <c r="H187" i="10"/>
  <c r="H226" i="10"/>
  <c r="H177" i="10"/>
  <c r="H195" i="10"/>
  <c r="H203" i="10"/>
  <c r="H234" i="10"/>
  <c r="H189" i="10"/>
  <c r="H204" i="10"/>
  <c r="H236" i="10"/>
  <c r="H244" i="10"/>
  <c r="H255" i="10"/>
  <c r="H259" i="10"/>
  <c r="H256" i="10"/>
  <c r="H247" i="10"/>
  <c r="H254" i="10"/>
  <c r="H246" i="10"/>
  <c r="H241" i="10"/>
  <c r="H252" i="10"/>
  <c r="H253" i="10"/>
  <c r="H251" i="10"/>
  <c r="H248" i="10"/>
  <c r="H242" i="10"/>
  <c r="H209" i="10"/>
  <c r="H257" i="10"/>
  <c r="H262" i="10"/>
  <c r="H230" i="10"/>
  <c r="H261" i="10"/>
  <c r="H264" i="10"/>
  <c r="H227" i="10"/>
  <c r="H263" i="10"/>
  <c r="H233" i="10"/>
  <c r="H245" i="10"/>
  <c r="H268" i="10"/>
  <c r="H265" i="10"/>
  <c r="H267" i="10"/>
  <c r="H273" i="10"/>
  <c r="H269" i="10"/>
  <c r="H276" i="10"/>
  <c r="H271" i="10"/>
  <c r="H275" i="10"/>
  <c r="H272" i="10"/>
  <c r="H278" i="10"/>
  <c r="H279" i="10"/>
  <c r="H274" i="10"/>
  <c r="H281" i="10"/>
  <c r="H282" i="10"/>
  <c r="H283" i="10"/>
  <c r="H286" i="10"/>
  <c r="H266" i="10"/>
  <c r="H270" i="10"/>
  <c r="H285" i="10"/>
  <c r="H258" i="10"/>
  <c r="H284" i="10"/>
  <c r="H280" i="10"/>
  <c r="H300" i="10"/>
  <c r="H302" i="10"/>
  <c r="H298" i="10"/>
  <c r="H299" i="10"/>
  <c r="H294" i="10"/>
  <c r="H287" i="10"/>
  <c r="H291" i="10"/>
  <c r="H297" i="10"/>
  <c r="H292" i="10"/>
  <c r="H290" i="10"/>
  <c r="H293" i="10"/>
  <c r="H288" i="10"/>
  <c r="H295" i="10"/>
  <c r="H296" i="10"/>
  <c r="H301" i="10"/>
  <c r="H303" i="10"/>
  <c r="H243" i="10"/>
  <c r="H311" i="10"/>
  <c r="H310" i="10"/>
  <c r="H309" i="10"/>
  <c r="H304" i="10"/>
  <c r="H289" i="10"/>
  <c r="H308" i="10"/>
  <c r="H305" i="10"/>
  <c r="H306" i="10"/>
  <c r="H312" i="10"/>
  <c r="H315" i="10"/>
  <c r="H313" i="10"/>
  <c r="H314" i="10"/>
  <c r="H316" i="10"/>
  <c r="H317" i="10"/>
  <c r="H318" i="10"/>
  <c r="H321" i="10"/>
  <c r="H323" i="10"/>
  <c r="H322" i="10"/>
  <c r="H339" i="10"/>
  <c r="H327" i="10"/>
  <c r="H325" i="10"/>
  <c r="H330" i="10"/>
  <c r="H329" i="10"/>
  <c r="H320" i="10"/>
  <c r="H328" i="10"/>
  <c r="H324" i="10"/>
  <c r="H326" i="10"/>
  <c r="H333" i="10"/>
  <c r="H332" i="10"/>
  <c r="H331" i="10"/>
  <c r="H319" i="10"/>
  <c r="H334" i="10"/>
  <c r="H335" i="10"/>
  <c r="H336" i="10"/>
  <c r="H337" i="10"/>
  <c r="H351" i="10"/>
  <c r="H345" i="10"/>
  <c r="H346" i="10"/>
  <c r="H344" i="10"/>
  <c r="H340" i="10"/>
  <c r="H348" i="10"/>
  <c r="H341" i="10"/>
  <c r="H342" i="10"/>
  <c r="H343" i="10"/>
  <c r="H338" i="10"/>
  <c r="H350" i="10"/>
  <c r="H353" i="10"/>
  <c r="H354" i="10"/>
  <c r="H3" i="10"/>
  <c r="AL58" i="12" l="1" a="1"/>
  <c r="AL58" i="12" s="1"/>
  <c r="AL120" i="12" a="1"/>
  <c r="AL120" i="12" s="1"/>
  <c r="AL68" i="12" a="1"/>
  <c r="AL68" i="12" s="1"/>
  <c r="AL43" i="12" a="1"/>
  <c r="AL43" i="12" s="1"/>
  <c r="AL125" i="12" a="1"/>
  <c r="AL125" i="12" s="1"/>
  <c r="AL24" i="12" a="1"/>
  <c r="AL24" i="12" s="1"/>
  <c r="AL63" i="12" a="1"/>
  <c r="AL63" i="12" s="1"/>
  <c r="AL40" i="12" a="1"/>
  <c r="AL40" i="12" s="1"/>
  <c r="AL73" i="12" a="1"/>
  <c r="AL73" i="12" s="1"/>
  <c r="AL121" i="12" a="1"/>
  <c r="AL121" i="12" s="1"/>
  <c r="AL28" i="12" a="1"/>
  <c r="AL28" i="12" s="1"/>
  <c r="AL17" i="12" a="1"/>
  <c r="AL17" i="12" s="1"/>
  <c r="AL45" i="12" a="1"/>
  <c r="AL45" i="12" s="1"/>
  <c r="AL59" i="12" a="1"/>
  <c r="AL59" i="12" s="1"/>
  <c r="AL99" i="12" a="1"/>
  <c r="AL99" i="12" s="1"/>
  <c r="AL22" i="12" a="1"/>
  <c r="AL22" i="12" s="1"/>
  <c r="AL20" i="12" a="1"/>
  <c r="AL20" i="12" s="1"/>
  <c r="AL107" i="12" a="1"/>
  <c r="AL107" i="12" s="1"/>
  <c r="AL12" i="12" a="1"/>
  <c r="AL12" i="12" s="1"/>
  <c r="AL111" i="12" a="1"/>
  <c r="AL111" i="12" s="1"/>
  <c r="AL116" i="12" a="1"/>
  <c r="AL116" i="12" s="1"/>
  <c r="AL44" i="12" a="1"/>
  <c r="AL44" i="12" s="1"/>
  <c r="AL51" i="12" a="1"/>
  <c r="AL51" i="12" s="1"/>
  <c r="AL109" i="12" a="1"/>
  <c r="AL109" i="12" s="1"/>
  <c r="AL81" i="12" a="1"/>
  <c r="AL81" i="12" s="1"/>
  <c r="AL129" i="12" a="1"/>
  <c r="AL129" i="12" s="1"/>
  <c r="AL25" i="12" a="1"/>
  <c r="AL25" i="12" s="1"/>
  <c r="AL74" i="12" a="1"/>
  <c r="AL74" i="12" s="1"/>
  <c r="AL117" i="12" a="1"/>
  <c r="AL117" i="12" s="1"/>
  <c r="AL82" i="12" a="1"/>
  <c r="AL82" i="12" s="1"/>
  <c r="AL102" i="12" a="1"/>
  <c r="AL102" i="12" s="1"/>
  <c r="AL21" i="12" a="1"/>
  <c r="AL21" i="12" s="1"/>
  <c r="AL65" i="12" a="1"/>
  <c r="AL65" i="12" s="1"/>
  <c r="AL118" i="12" a="1"/>
  <c r="AL118" i="12" s="1"/>
  <c r="AL16" i="12" a="1"/>
  <c r="AL16" i="12" s="1"/>
  <c r="AL32" i="12" a="1"/>
  <c r="AL32" i="12" s="1"/>
  <c r="AL96" i="12" a="1"/>
  <c r="AL96" i="12" s="1"/>
  <c r="AL101" i="12" a="1"/>
  <c r="AL101" i="12" s="1"/>
  <c r="AL23" i="12" a="1"/>
  <c r="AL23" i="12" s="1"/>
  <c r="AL66" i="12" a="1"/>
  <c r="AL66" i="12" s="1"/>
  <c r="AL13" i="12" a="1"/>
  <c r="AL13" i="12" s="1"/>
  <c r="G111" i="15"/>
  <c r="E286" i="20"/>
  <c r="AK85" i="1"/>
  <c r="I450" i="20"/>
  <c r="AN24" i="26"/>
  <c r="I167" i="20"/>
  <c r="I367" i="20"/>
  <c r="AN70" i="26"/>
  <c r="G157" i="14"/>
  <c r="G97" i="20"/>
  <c r="G361" i="20"/>
  <c r="E144" i="14"/>
  <c r="AP64" i="26"/>
  <c r="I332" i="20"/>
  <c r="I20" i="15"/>
  <c r="E109" i="14"/>
  <c r="I414" i="20"/>
  <c r="G344" i="20"/>
  <c r="E145" i="14"/>
  <c r="AN90" i="26"/>
  <c r="AK6" i="1"/>
  <c r="AK89" i="1"/>
  <c r="E10" i="20"/>
  <c r="G66" i="14"/>
  <c r="G78" i="20"/>
  <c r="E39" i="14"/>
  <c r="AN12" i="26"/>
  <c r="I392" i="20"/>
  <c r="E342" i="20"/>
  <c r="E405" i="20"/>
  <c r="I102" i="15"/>
  <c r="I394" i="20"/>
  <c r="E30" i="14"/>
  <c r="G178" i="20"/>
  <c r="G226" i="20"/>
  <c r="G24" i="20"/>
  <c r="G90" i="14"/>
  <c r="E395" i="20"/>
  <c r="G96" i="20"/>
  <c r="E347" i="20"/>
  <c r="G171" i="15"/>
  <c r="I55" i="15"/>
  <c r="AP7" i="26"/>
  <c r="AK42" i="1"/>
  <c r="AN40" i="26"/>
  <c r="G395" i="20"/>
  <c r="E181" i="20"/>
  <c r="E197" i="20"/>
  <c r="AK87" i="1"/>
  <c r="G9" i="15"/>
  <c r="I244" i="20"/>
  <c r="G443" i="20"/>
  <c r="E192" i="20"/>
  <c r="E149" i="20"/>
  <c r="G17" i="15"/>
  <c r="I70" i="15"/>
  <c r="I322" i="20"/>
  <c r="G272" i="20"/>
  <c r="I263" i="20"/>
  <c r="G63" i="15"/>
  <c r="G123" i="20"/>
  <c r="I474" i="20"/>
  <c r="G134" i="15"/>
  <c r="G356" i="20"/>
  <c r="G384" i="20"/>
  <c r="E220" i="20"/>
  <c r="I376" i="20"/>
  <c r="E325" i="20"/>
  <c r="I99" i="20"/>
  <c r="E116" i="14"/>
  <c r="I331" i="20"/>
  <c r="I277" i="20"/>
  <c r="I430" i="20"/>
  <c r="G337" i="20"/>
  <c r="G157" i="15"/>
  <c r="AK98" i="1"/>
  <c r="G237" i="20"/>
  <c r="G161" i="15"/>
  <c r="E247" i="20"/>
  <c r="G37" i="15"/>
  <c r="I176" i="20"/>
  <c r="G389" i="20"/>
  <c r="E377" i="20"/>
  <c r="AP16" i="26"/>
  <c r="G3" i="14"/>
  <c r="G69" i="15"/>
  <c r="E345" i="20"/>
  <c r="G342" i="20"/>
  <c r="I241" i="20"/>
  <c r="E356" i="20"/>
  <c r="G63" i="20"/>
  <c r="I407" i="20"/>
  <c r="E146" i="20"/>
  <c r="G346" i="20"/>
  <c r="I418" i="20"/>
  <c r="I103" i="15"/>
  <c r="I100" i="15"/>
  <c r="AN61" i="26"/>
  <c r="G59" i="15"/>
  <c r="E236" i="20"/>
  <c r="E68" i="14"/>
  <c r="AK112" i="1"/>
  <c r="I113" i="15"/>
  <c r="I377" i="20"/>
  <c r="I385" i="20"/>
  <c r="I459" i="20"/>
  <c r="G105" i="20"/>
  <c r="G81" i="14"/>
  <c r="AN62" i="26"/>
  <c r="E87" i="14"/>
  <c r="E212" i="20"/>
  <c r="E243" i="20"/>
  <c r="E31" i="14"/>
  <c r="E2" i="20"/>
  <c r="AK35" i="1"/>
  <c r="G56" i="15"/>
  <c r="E50" i="14"/>
  <c r="I200" i="20"/>
  <c r="G93" i="15"/>
  <c r="G22" i="15"/>
  <c r="I204" i="20"/>
  <c r="G14" i="15"/>
  <c r="G89" i="15"/>
  <c r="I384" i="20"/>
  <c r="I270" i="20"/>
  <c r="E230" i="20"/>
  <c r="I97" i="20"/>
  <c r="G8" i="20"/>
  <c r="AK50" i="1"/>
  <c r="I97" i="15"/>
  <c r="G362" i="20"/>
  <c r="I406" i="20"/>
  <c r="I98" i="15"/>
  <c r="G249" i="20"/>
  <c r="G235" i="20"/>
  <c r="G77" i="20"/>
  <c r="AK100" i="1"/>
  <c r="E139" i="20"/>
  <c r="E98" i="14"/>
  <c r="E344" i="20"/>
  <c r="E101" i="14"/>
  <c r="I365" i="20"/>
  <c r="G91" i="14"/>
  <c r="G118" i="15"/>
  <c r="E108" i="20"/>
  <c r="G110" i="15"/>
  <c r="E161" i="20"/>
  <c r="AP21" i="26"/>
  <c r="I17" i="15"/>
  <c r="G418" i="20"/>
  <c r="G25" i="20"/>
  <c r="E299" i="20"/>
  <c r="E80" i="14"/>
  <c r="I53" i="20"/>
  <c r="I460" i="20"/>
  <c r="G142" i="15"/>
  <c r="E402" i="20"/>
  <c r="AP42" i="26"/>
  <c r="I102" i="20"/>
  <c r="G10" i="15"/>
  <c r="I427" i="20"/>
  <c r="I467" i="20"/>
  <c r="I28" i="15"/>
  <c r="I382" i="20"/>
  <c r="G83" i="14"/>
  <c r="E62" i="14"/>
  <c r="G399" i="20"/>
  <c r="E6" i="20"/>
  <c r="E9" i="14"/>
  <c r="E79" i="20"/>
  <c r="G26" i="20"/>
  <c r="G34" i="15"/>
  <c r="I158" i="20"/>
  <c r="E213" i="20"/>
  <c r="I19" i="15"/>
  <c r="G64" i="20"/>
  <c r="G65" i="20"/>
  <c r="AP65" i="26"/>
  <c r="E371" i="20"/>
  <c r="AP54" i="26"/>
  <c r="I108" i="20"/>
  <c r="I79" i="20"/>
  <c r="AK43" i="1"/>
  <c r="E76" i="14"/>
  <c r="E303" i="20"/>
  <c r="G170" i="15"/>
  <c r="E128" i="20"/>
  <c r="E152" i="14"/>
  <c r="AK64" i="1"/>
  <c r="I157" i="15"/>
  <c r="I421" i="20"/>
  <c r="G103" i="14"/>
  <c r="E271" i="20"/>
  <c r="E362" i="20"/>
  <c r="I84" i="15"/>
  <c r="E49" i="20"/>
  <c r="E416" i="20"/>
  <c r="AN28" i="26"/>
  <c r="G87" i="15"/>
  <c r="E115" i="14"/>
  <c r="E35" i="20"/>
  <c r="AK104" i="1"/>
  <c r="E43" i="20"/>
  <c r="E52" i="14"/>
  <c r="I62" i="15"/>
  <c r="E90" i="14"/>
  <c r="AK95" i="1"/>
  <c r="G81" i="15"/>
  <c r="E369" i="20"/>
  <c r="G19" i="15"/>
  <c r="G70" i="15"/>
  <c r="G7" i="15"/>
  <c r="I471" i="20"/>
  <c r="G39" i="15"/>
  <c r="I90" i="15"/>
  <c r="E120" i="14"/>
  <c r="E23" i="14"/>
  <c r="I366" i="20"/>
  <c r="G358" i="20"/>
  <c r="E305" i="20"/>
  <c r="G31" i="14"/>
  <c r="I442" i="20"/>
  <c r="I380" i="20"/>
  <c r="E333" i="20"/>
  <c r="G144" i="14"/>
  <c r="G62" i="14"/>
  <c r="E90" i="20"/>
  <c r="AN60" i="26"/>
  <c r="E73" i="14"/>
  <c r="I476" i="20"/>
  <c r="E156" i="20"/>
  <c r="E114" i="14"/>
  <c r="E184" i="20"/>
  <c r="I267" i="20"/>
  <c r="AN78" i="26"/>
  <c r="G26" i="14"/>
  <c r="E17" i="20"/>
  <c r="G113" i="14"/>
  <c r="G141" i="15"/>
  <c r="G32" i="15"/>
  <c r="AN103" i="26"/>
  <c r="E320" i="20"/>
  <c r="G20" i="14"/>
  <c r="E54" i="14"/>
  <c r="AN27" i="26"/>
  <c r="G379" i="20"/>
  <c r="G113" i="20"/>
  <c r="G338" i="20"/>
  <c r="G404" i="20"/>
  <c r="AP70" i="26"/>
  <c r="G2" i="15"/>
  <c r="G100" i="14"/>
  <c r="I346" i="20"/>
  <c r="G174" i="20"/>
  <c r="G121" i="15"/>
  <c r="G137" i="15"/>
  <c r="G93" i="14"/>
  <c r="I91" i="15"/>
  <c r="G12" i="15"/>
  <c r="I410" i="20"/>
  <c r="E298" i="20"/>
  <c r="G67" i="14"/>
  <c r="AN97" i="26"/>
  <c r="G148" i="15"/>
  <c r="E160" i="14"/>
  <c r="G82" i="14"/>
  <c r="I109" i="15"/>
  <c r="G76" i="15"/>
  <c r="E12" i="14"/>
  <c r="I256" i="20"/>
  <c r="E142" i="14"/>
  <c r="AN11" i="26"/>
  <c r="AK34" i="1"/>
  <c r="G154" i="15"/>
  <c r="E74" i="14"/>
  <c r="E24" i="20"/>
  <c r="E96" i="14"/>
  <c r="E89" i="20"/>
  <c r="I470" i="20"/>
  <c r="I391" i="20"/>
  <c r="G422" i="20"/>
  <c r="I403" i="20"/>
  <c r="AK31" i="1"/>
  <c r="I23" i="20"/>
  <c r="E152" i="20"/>
  <c r="E60" i="20"/>
  <c r="I93" i="20"/>
  <c r="G438" i="20"/>
  <c r="G64" i="14"/>
  <c r="E127" i="20"/>
  <c r="AN35" i="26"/>
  <c r="E133" i="20"/>
  <c r="AK59" i="1"/>
  <c r="E123" i="14"/>
  <c r="E242" i="20"/>
  <c r="G144" i="15"/>
  <c r="AP96" i="26"/>
  <c r="E129" i="14"/>
  <c r="E315" i="20"/>
  <c r="AN4" i="26"/>
  <c r="E147" i="20"/>
  <c r="I475" i="20"/>
  <c r="I91" i="20"/>
  <c r="G90" i="20"/>
  <c r="G239" i="20"/>
  <c r="G128" i="15"/>
  <c r="I457" i="20"/>
  <c r="E70" i="20"/>
  <c r="G397" i="20"/>
  <c r="I105" i="20"/>
  <c r="I112" i="20"/>
  <c r="G248" i="20"/>
  <c r="G241" i="20"/>
  <c r="E177" i="20"/>
  <c r="G4" i="15"/>
  <c r="E254" i="20"/>
  <c r="AN13" i="26"/>
  <c r="I381" i="20"/>
  <c r="G72" i="15"/>
  <c r="E337" i="20"/>
  <c r="AK9" i="1"/>
  <c r="E408" i="20"/>
  <c r="I25" i="20"/>
  <c r="G127" i="15"/>
  <c r="AP33" i="26"/>
  <c r="E348" i="20"/>
  <c r="G441" i="20"/>
  <c r="G225" i="20"/>
  <c r="I405" i="20"/>
  <c r="AK74" i="1"/>
  <c r="I26" i="15"/>
  <c r="AK40" i="1"/>
  <c r="AP9" i="26"/>
  <c r="E79" i="14"/>
  <c r="G55" i="14"/>
  <c r="I88" i="20"/>
  <c r="I105" i="15"/>
  <c r="G86" i="15"/>
  <c r="AK60" i="1"/>
  <c r="E71" i="20"/>
  <c r="E235" i="20"/>
  <c r="G131" i="15"/>
  <c r="G75" i="15"/>
  <c r="AN5" i="26"/>
  <c r="E124" i="14"/>
  <c r="G47" i="15"/>
  <c r="I479" i="20"/>
  <c r="G411" i="20"/>
  <c r="G155" i="15"/>
  <c r="E409" i="20"/>
  <c r="E153" i="14"/>
  <c r="G50" i="14"/>
  <c r="G55" i="20"/>
  <c r="G70" i="14"/>
  <c r="E198" i="20"/>
  <c r="E302" i="20"/>
  <c r="I273" i="20"/>
  <c r="E103" i="20"/>
  <c r="G392" i="20"/>
  <c r="G380" i="20"/>
  <c r="G117" i="15"/>
  <c r="I58" i="15"/>
  <c r="E368" i="20"/>
  <c r="G70" i="20"/>
  <c r="AK26" i="1"/>
  <c r="G182" i="20"/>
  <c r="I61" i="15"/>
  <c r="G363" i="20"/>
  <c r="E75" i="14"/>
  <c r="E46" i="20"/>
  <c r="G393" i="20"/>
  <c r="E68" i="20"/>
  <c r="I80" i="15"/>
  <c r="I276" i="20"/>
  <c r="I413" i="20"/>
  <c r="I408" i="20"/>
  <c r="E349" i="20"/>
  <c r="G25" i="15"/>
  <c r="E319" i="20"/>
  <c r="AK55" i="1"/>
  <c r="E151" i="14"/>
  <c r="AN92" i="26"/>
  <c r="I361" i="20"/>
  <c r="E398" i="20"/>
  <c r="E21" i="14"/>
  <c r="E290" i="20"/>
  <c r="G413" i="20"/>
  <c r="E60" i="14"/>
  <c r="AN96" i="26"/>
  <c r="AP57" i="26"/>
  <c r="I129" i="20"/>
  <c r="AP49" i="26"/>
  <c r="E308" i="20"/>
  <c r="G436" i="20"/>
  <c r="AK113" i="1"/>
  <c r="E29" i="20"/>
  <c r="AP4" i="26"/>
  <c r="I36" i="20"/>
  <c r="G244" i="20"/>
  <c r="E41" i="20"/>
  <c r="E18" i="14"/>
  <c r="E161" i="14"/>
  <c r="G125" i="20"/>
  <c r="E380" i="20"/>
  <c r="AN66" i="26"/>
  <c r="G412" i="20"/>
  <c r="I22" i="15"/>
  <c r="E314" i="20"/>
  <c r="G437" i="20"/>
  <c r="I36" i="15"/>
  <c r="AP38" i="26"/>
  <c r="G30" i="14"/>
  <c r="AN89" i="26"/>
  <c r="I255" i="20"/>
  <c r="G78" i="14"/>
  <c r="G15" i="15"/>
  <c r="AK102" i="1"/>
  <c r="E214" i="20"/>
  <c r="E45" i="20"/>
  <c r="I469" i="20"/>
  <c r="E51" i="14"/>
  <c r="I257" i="20"/>
  <c r="I24" i="20"/>
  <c r="E291" i="20"/>
  <c r="E127" i="14"/>
  <c r="E118" i="14"/>
  <c r="AK73" i="1"/>
  <c r="E61" i="14"/>
  <c r="G195" i="20"/>
  <c r="E289" i="20"/>
  <c r="E47" i="14"/>
  <c r="E64" i="20"/>
  <c r="AN25" i="26"/>
  <c r="G89" i="20"/>
  <c r="G41" i="15"/>
  <c r="E183" i="20"/>
  <c r="AK66" i="1"/>
  <c r="I239" i="20"/>
  <c r="G426" i="20"/>
  <c r="I258" i="20"/>
  <c r="AP19" i="26"/>
  <c r="G68" i="20"/>
  <c r="I89" i="15"/>
  <c r="G146" i="15"/>
  <c r="I463" i="20"/>
  <c r="I94" i="15"/>
  <c r="I362" i="20"/>
  <c r="G3" i="15"/>
  <c r="I175" i="15"/>
  <c r="I125" i="15"/>
  <c r="I372" i="20"/>
  <c r="G99" i="20"/>
  <c r="AN81" i="26"/>
  <c r="G36" i="20"/>
  <c r="AN51" i="26"/>
  <c r="G21" i="15"/>
  <c r="G359" i="20"/>
  <c r="E401" i="20"/>
  <c r="E123" i="20"/>
  <c r="I24" i="15"/>
  <c r="G420" i="20"/>
  <c r="E117" i="14"/>
  <c r="E71" i="14"/>
  <c r="E355" i="20"/>
  <c r="E295" i="20"/>
  <c r="G18" i="15"/>
  <c r="I412" i="20"/>
  <c r="AP108" i="26"/>
  <c r="G204" i="20"/>
  <c r="G2" i="14"/>
  <c r="E95" i="14"/>
  <c r="AK36" i="1"/>
  <c r="G401" i="20"/>
  <c r="E57" i="20"/>
  <c r="G206" i="20"/>
  <c r="E97" i="20"/>
  <c r="AK105" i="1"/>
  <c r="E366" i="20"/>
  <c r="G255" i="20"/>
  <c r="G205" i="20"/>
  <c r="G98" i="20"/>
  <c r="G398" i="20"/>
  <c r="I409" i="20"/>
  <c r="I130" i="20"/>
  <c r="E311" i="20"/>
  <c r="G349" i="20"/>
  <c r="AP14" i="26"/>
  <c r="E316" i="20"/>
  <c r="E45" i="14"/>
  <c r="G28" i="15"/>
  <c r="AK29" i="1"/>
  <c r="E227" i="20"/>
  <c r="AN88" i="26"/>
  <c r="E287" i="20"/>
  <c r="E112" i="20"/>
  <c r="AN43" i="26"/>
  <c r="AP20" i="26"/>
  <c r="G245" i="20"/>
  <c r="E37" i="20"/>
  <c r="E133" i="14"/>
  <c r="E306" i="20"/>
  <c r="AN63" i="26"/>
  <c r="G92" i="15"/>
  <c r="E238" i="20"/>
  <c r="AP106" i="26"/>
  <c r="E19" i="20"/>
  <c r="G38" i="15"/>
  <c r="G140" i="15"/>
  <c r="G376" i="20"/>
  <c r="I452" i="20"/>
  <c r="AK45" i="1"/>
  <c r="E154" i="14"/>
  <c r="E131" i="14"/>
  <c r="G164" i="14"/>
  <c r="G417" i="20"/>
  <c r="E370" i="20"/>
  <c r="E81" i="20"/>
  <c r="AP29" i="26"/>
  <c r="G12" i="14"/>
  <c r="G119" i="14"/>
  <c r="E228" i="20"/>
  <c r="AK28" i="1"/>
  <c r="E53" i="14"/>
  <c r="I321" i="20"/>
  <c r="E99" i="20"/>
  <c r="AP71" i="26"/>
  <c r="AN75" i="26"/>
  <c r="E318" i="20"/>
  <c r="E185" i="20"/>
  <c r="I199" i="20"/>
  <c r="E102" i="14"/>
  <c r="G100" i="15"/>
  <c r="I92" i="20"/>
  <c r="G18" i="14"/>
  <c r="AN22" i="26"/>
  <c r="G197" i="20"/>
  <c r="AN7" i="26"/>
  <c r="E99" i="14"/>
  <c r="I81" i="15"/>
  <c r="G103" i="15"/>
  <c r="AK23" i="1"/>
  <c r="E65" i="14"/>
  <c r="E34" i="14"/>
  <c r="G101" i="14"/>
  <c r="E407" i="20"/>
  <c r="G74" i="20"/>
  <c r="E11" i="20"/>
  <c r="G173" i="15"/>
  <c r="E105" i="14"/>
  <c r="I64" i="20"/>
  <c r="G71" i="14"/>
  <c r="I96" i="15"/>
  <c r="E63" i="14"/>
  <c r="E404" i="20"/>
  <c r="G77" i="14"/>
  <c r="G92" i="14"/>
  <c r="G375" i="20"/>
  <c r="E87" i="20"/>
  <c r="G24" i="14"/>
  <c r="E85" i="14"/>
  <c r="I404" i="20"/>
  <c r="E65" i="20"/>
  <c r="AP13" i="26"/>
  <c r="E70" i="14"/>
  <c r="E4" i="14"/>
  <c r="G21" i="14"/>
  <c r="E126" i="14"/>
  <c r="E25" i="14"/>
  <c r="G149" i="15"/>
  <c r="I20" i="20"/>
  <c r="E166" i="20"/>
  <c r="E215" i="20"/>
  <c r="E312" i="20"/>
  <c r="AN6" i="26"/>
  <c r="G78" i="15"/>
  <c r="I279" i="20"/>
  <c r="AN64" i="26"/>
  <c r="E157" i="14"/>
  <c r="I21" i="15"/>
  <c r="G83" i="15"/>
  <c r="I371" i="20"/>
  <c r="I278" i="20"/>
  <c r="G243" i="20"/>
  <c r="I115" i="15"/>
  <c r="G256" i="20"/>
  <c r="E297" i="20"/>
  <c r="I156" i="15"/>
  <c r="E88" i="14"/>
  <c r="I451" i="20"/>
  <c r="AN77" i="26"/>
  <c r="E96" i="20"/>
  <c r="G168" i="20"/>
  <c r="I130" i="15"/>
  <c r="I345" i="20"/>
  <c r="G33" i="15"/>
  <c r="E142" i="20"/>
  <c r="AN94" i="26"/>
  <c r="AP51" i="26"/>
  <c r="AK94" i="1"/>
  <c r="AN53" i="26"/>
  <c r="G377" i="20"/>
  <c r="E135" i="14"/>
  <c r="E309" i="20"/>
  <c r="G72" i="20"/>
  <c r="AP109" i="26"/>
  <c r="I355" i="20"/>
  <c r="E191" i="20"/>
  <c r="I374" i="20"/>
  <c r="I248" i="20"/>
  <c r="G75" i="20"/>
  <c r="G89" i="14"/>
  <c r="E221" i="20"/>
  <c r="I205" i="20"/>
  <c r="I107" i="15"/>
  <c r="E97" i="14"/>
  <c r="E163" i="14"/>
  <c r="E169" i="20"/>
  <c r="E92" i="14"/>
  <c r="AN86" i="26"/>
  <c r="G429" i="20"/>
  <c r="E93" i="14"/>
  <c r="AP107" i="26"/>
  <c r="AK92" i="1"/>
  <c r="G67" i="15"/>
  <c r="E62" i="20"/>
  <c r="E94" i="20"/>
  <c r="E15" i="14"/>
  <c r="G60" i="14"/>
  <c r="AN99" i="26"/>
  <c r="I174" i="15"/>
  <c r="E25" i="20"/>
  <c r="AP74" i="26"/>
  <c r="E105" i="20"/>
  <c r="E372" i="20"/>
  <c r="G247" i="20"/>
  <c r="I399" i="20"/>
  <c r="E141" i="20"/>
  <c r="G442" i="20"/>
  <c r="I80" i="20"/>
  <c r="I70" i="20"/>
  <c r="G83" i="20"/>
  <c r="G130" i="20"/>
  <c r="E82" i="20"/>
  <c r="E300" i="20"/>
  <c r="I419" i="20"/>
  <c r="G107" i="15"/>
  <c r="I176" i="15"/>
  <c r="I468" i="20"/>
  <c r="E125" i="14"/>
  <c r="G407" i="20"/>
  <c r="E88" i="20"/>
  <c r="E135" i="20"/>
  <c r="AK91" i="1"/>
  <c r="G86" i="14"/>
  <c r="AK33" i="1"/>
  <c r="G176" i="20"/>
  <c r="G29" i="14"/>
  <c r="I63" i="15"/>
  <c r="E32" i="14"/>
  <c r="AN45" i="26"/>
  <c r="I83" i="15"/>
  <c r="I449" i="20"/>
  <c r="E139" i="14"/>
  <c r="I477" i="20"/>
  <c r="E136" i="14"/>
  <c r="G372" i="20"/>
  <c r="I349" i="20"/>
  <c r="G129" i="20"/>
  <c r="G96" i="14"/>
  <c r="E141" i="14"/>
  <c r="G28" i="20"/>
  <c r="I453" i="20"/>
  <c r="I75" i="20"/>
  <c r="I478" i="20"/>
  <c r="AK47" i="1"/>
  <c r="AK4" i="1"/>
  <c r="I354" i="20"/>
  <c r="E165" i="20"/>
  <c r="G99" i="15"/>
  <c r="G365" i="20"/>
  <c r="E69" i="20"/>
  <c r="E80" i="20"/>
  <c r="AK101" i="1"/>
  <c r="E153" i="20"/>
  <c r="E113" i="14"/>
  <c r="G114" i="15"/>
  <c r="I75" i="15"/>
  <c r="AN20" i="26"/>
  <c r="E156" i="14"/>
  <c r="G98" i="14"/>
  <c r="I424" i="20"/>
  <c r="G93" i="20"/>
  <c r="G369" i="20"/>
  <c r="AP86" i="26"/>
  <c r="G31" i="15"/>
  <c r="AN59" i="26"/>
  <c r="E218" i="20"/>
  <c r="E346" i="20"/>
  <c r="E209" i="20"/>
  <c r="E292" i="20"/>
  <c r="E30" i="20"/>
  <c r="I124" i="15"/>
  <c r="E374" i="20"/>
  <c r="E250" i="20"/>
  <c r="G198" i="20"/>
  <c r="E83" i="14"/>
  <c r="I109" i="20"/>
  <c r="E89" i="14"/>
  <c r="I37" i="15"/>
  <c r="AP18" i="26"/>
  <c r="G129" i="15"/>
  <c r="G423" i="20"/>
  <c r="E334" i="20"/>
  <c r="G172" i="15"/>
  <c r="I259" i="20"/>
  <c r="AP72" i="26"/>
  <c r="AN14" i="26"/>
  <c r="G88" i="15"/>
  <c r="G74" i="15"/>
  <c r="G104" i="14"/>
  <c r="E55" i="14"/>
  <c r="AN101" i="26"/>
  <c r="G108" i="15"/>
  <c r="G187" i="20"/>
  <c r="AK48" i="1"/>
  <c r="AP104" i="26"/>
  <c r="E327" i="20"/>
  <c r="E146" i="14"/>
  <c r="G414" i="20"/>
  <c r="G343" i="20"/>
  <c r="G158" i="20"/>
  <c r="E147" i="14"/>
  <c r="AK46" i="1"/>
  <c r="E27" i="20"/>
  <c r="E26" i="20"/>
  <c r="G242" i="20"/>
  <c r="G53" i="14"/>
  <c r="AN87" i="26"/>
  <c r="G174" i="15"/>
  <c r="E33" i="14"/>
  <c r="E284" i="20"/>
  <c r="G385" i="20"/>
  <c r="G360" i="20"/>
  <c r="E378" i="20"/>
  <c r="I76" i="15"/>
  <c r="I386" i="20"/>
  <c r="AP31" i="26"/>
  <c r="G126" i="20"/>
  <c r="E91" i="14"/>
  <c r="AK52" i="1"/>
  <c r="I396" i="20"/>
  <c r="G53" i="20"/>
  <c r="E188" i="20"/>
  <c r="I266" i="20"/>
  <c r="E11" i="14"/>
  <c r="I111" i="20"/>
  <c r="G424" i="20"/>
  <c r="G35" i="15"/>
  <c r="E109" i="20"/>
  <c r="G51" i="14"/>
  <c r="I168" i="15"/>
  <c r="E107" i="14"/>
  <c r="E84" i="20"/>
  <c r="I126" i="15"/>
  <c r="E14" i="20"/>
  <c r="E382" i="20"/>
  <c r="AN9" i="26"/>
  <c r="I260" i="20"/>
  <c r="G150" i="15"/>
  <c r="E120" i="20"/>
  <c r="E110" i="14"/>
  <c r="AN48" i="26"/>
  <c r="E5" i="20"/>
  <c r="I415" i="20"/>
  <c r="G97" i="15"/>
  <c r="G246" i="20"/>
  <c r="I232" i="20"/>
  <c r="G351" i="20"/>
  <c r="E56" i="14"/>
  <c r="E379" i="20"/>
  <c r="E182" i="20"/>
  <c r="G176" i="15"/>
  <c r="E111" i="14"/>
  <c r="G354" i="20"/>
  <c r="G90" i="15"/>
  <c r="AK97" i="1"/>
  <c r="E44" i="14"/>
  <c r="E113" i="20"/>
  <c r="AN85" i="26"/>
  <c r="E119" i="14"/>
  <c r="I96" i="20"/>
  <c r="I9" i="15"/>
  <c r="AP60" i="26"/>
  <c r="G26" i="15"/>
  <c r="I375" i="20"/>
  <c r="G199" i="20"/>
  <c r="E37" i="14"/>
  <c r="I195" i="20"/>
  <c r="E208" i="20"/>
  <c r="G57" i="20"/>
  <c r="I54" i="15"/>
  <c r="E313" i="20"/>
  <c r="G409" i="20"/>
  <c r="I37" i="20"/>
  <c r="E102" i="20"/>
  <c r="E67" i="20"/>
  <c r="AP35" i="26"/>
  <c r="I110" i="20"/>
  <c r="G345" i="20"/>
  <c r="AK5" i="1"/>
  <c r="G29" i="15"/>
  <c r="G17" i="14"/>
  <c r="G68" i="15"/>
  <c r="AP36" i="26"/>
  <c r="G92" i="20"/>
  <c r="AN39" i="26"/>
  <c r="AP17" i="26"/>
  <c r="E159" i="20"/>
  <c r="G69" i="14"/>
  <c r="E100" i="20"/>
  <c r="I435" i="20"/>
  <c r="E78" i="20"/>
  <c r="I480" i="20"/>
  <c r="E328" i="20"/>
  <c r="I23" i="15"/>
  <c r="E131" i="20"/>
  <c r="I83" i="20"/>
  <c r="AK62" i="1"/>
  <c r="E365" i="20"/>
  <c r="E73" i="20"/>
  <c r="E39" i="20"/>
  <c r="I464" i="20"/>
  <c r="E4" i="20"/>
  <c r="G146" i="14"/>
  <c r="AN55" i="26"/>
  <c r="E396" i="20"/>
  <c r="AP46" i="26"/>
  <c r="I69" i="20"/>
  <c r="E20" i="20"/>
  <c r="G238" i="20"/>
  <c r="G156" i="14"/>
  <c r="E246" i="20"/>
  <c r="E203" i="20"/>
  <c r="E69" i="14"/>
  <c r="G319" i="20"/>
  <c r="AN102" i="26"/>
  <c r="E281" i="20"/>
  <c r="AK93" i="1"/>
  <c r="AK12" i="1"/>
  <c r="G62" i="15"/>
  <c r="E193" i="20"/>
  <c r="I93" i="15"/>
  <c r="AK86" i="1"/>
  <c r="G102" i="15"/>
  <c r="AP3" i="26"/>
  <c r="G353" i="20"/>
  <c r="E137" i="20"/>
  <c r="G366" i="20"/>
  <c r="G390" i="20"/>
  <c r="I455" i="20"/>
  <c r="G104" i="20"/>
  <c r="G71" i="20"/>
  <c r="I438" i="20"/>
  <c r="I68" i="20"/>
  <c r="AK16" i="1"/>
  <c r="G381" i="20"/>
  <c r="G23" i="15"/>
  <c r="E38" i="14"/>
  <c r="G347" i="20"/>
  <c r="E163" i="20"/>
  <c r="G400" i="20"/>
  <c r="E8" i="20"/>
  <c r="E403" i="20"/>
  <c r="I447" i="20"/>
  <c r="I339" i="20"/>
  <c r="G427" i="20"/>
  <c r="E16" i="14"/>
  <c r="G164" i="15"/>
  <c r="E350" i="20"/>
  <c r="E189" i="20"/>
  <c r="I100" i="20"/>
  <c r="E162" i="20"/>
  <c r="E272" i="20"/>
  <c r="G49" i="15"/>
  <c r="G271" i="20"/>
  <c r="AN34" i="26"/>
  <c r="I390" i="20"/>
  <c r="E154" i="20"/>
  <c r="G58" i="20"/>
  <c r="G156" i="15"/>
  <c r="E166" i="14"/>
  <c r="E58" i="20"/>
  <c r="AN54" i="26"/>
  <c r="G85" i="14"/>
  <c r="G252" i="20"/>
  <c r="I101" i="15"/>
  <c r="E17" i="14"/>
  <c r="E160" i="20"/>
  <c r="G373" i="20"/>
  <c r="G370" i="20"/>
  <c r="I347" i="20"/>
  <c r="G434" i="20"/>
  <c r="E78" i="14"/>
  <c r="G167" i="20"/>
  <c r="E23" i="20"/>
  <c r="I422" i="20"/>
  <c r="G16" i="15"/>
  <c r="G382" i="20"/>
  <c r="AN98" i="26"/>
  <c r="E106" i="20"/>
  <c r="G109" i="20"/>
  <c r="G156" i="20"/>
  <c r="E110" i="20"/>
  <c r="I8" i="15"/>
  <c r="E234" i="20"/>
  <c r="I72" i="15"/>
  <c r="AP67" i="26"/>
  <c r="G73" i="14"/>
  <c r="I368" i="20"/>
  <c r="I373" i="20"/>
  <c r="E170" i="20"/>
  <c r="AP69" i="26"/>
  <c r="E104" i="14"/>
  <c r="E27" i="14"/>
  <c r="G100" i="20"/>
  <c r="E171" i="20"/>
  <c r="I393" i="20"/>
  <c r="E187" i="20"/>
  <c r="E34" i="20"/>
  <c r="G22" i="14"/>
  <c r="G20" i="20"/>
  <c r="G54" i="15"/>
  <c r="I77" i="15"/>
  <c r="I114" i="15"/>
  <c r="E84" i="14"/>
  <c r="E94" i="14"/>
  <c r="E28" i="14"/>
  <c r="E149" i="14"/>
  <c r="I440" i="20"/>
  <c r="E59" i="14"/>
  <c r="E7" i="14"/>
  <c r="AK38" i="1"/>
  <c r="I448" i="20"/>
  <c r="AN44" i="26"/>
  <c r="E124" i="20"/>
  <c r="G112" i="14"/>
  <c r="I2" i="15"/>
  <c r="G162" i="15"/>
  <c r="G62" i="20"/>
  <c r="G73" i="15"/>
  <c r="G108" i="20"/>
  <c r="E310" i="20"/>
  <c r="G153" i="15"/>
  <c r="G48" i="15"/>
  <c r="I27" i="20"/>
  <c r="AP40" i="26"/>
  <c r="I3" i="15"/>
  <c r="I225" i="20"/>
  <c r="E190" i="20"/>
  <c r="G136" i="15"/>
  <c r="E93" i="20"/>
  <c r="G91" i="15"/>
  <c r="G54" i="14"/>
  <c r="E390" i="20"/>
  <c r="G147" i="15"/>
  <c r="E145" i="20"/>
  <c r="AP58" i="26"/>
  <c r="E54" i="20"/>
  <c r="I108" i="15"/>
  <c r="G157" i="20"/>
  <c r="G147" i="14"/>
  <c r="I26" i="20"/>
  <c r="AK22" i="1"/>
  <c r="G403" i="20"/>
  <c r="G82" i="15"/>
  <c r="G118" i="14"/>
  <c r="G288" i="20"/>
  <c r="E231" i="20"/>
  <c r="I106" i="15"/>
  <c r="E81" i="14"/>
  <c r="E307" i="20"/>
  <c r="AN18" i="26"/>
  <c r="I444" i="20"/>
  <c r="I378" i="20"/>
  <c r="I446" i="20"/>
  <c r="G97" i="14"/>
  <c r="G169" i="15"/>
  <c r="E91" i="20"/>
  <c r="I13" i="15"/>
  <c r="AN42" i="26"/>
  <c r="E406" i="20"/>
  <c r="AK109" i="1"/>
  <c r="E132" i="20"/>
  <c r="I68" i="15"/>
  <c r="G193" i="20"/>
  <c r="AK75" i="1"/>
  <c r="G112" i="20"/>
  <c r="E411" i="20"/>
  <c r="E233" i="20"/>
  <c r="G98" i="15"/>
  <c r="G236" i="20"/>
  <c r="E44" i="20"/>
  <c r="G371" i="20"/>
  <c r="E59" i="20"/>
  <c r="E64" i="14"/>
  <c r="G43" i="15"/>
  <c r="AN93" i="26"/>
  <c r="AK99" i="1"/>
  <c r="E283" i="20"/>
  <c r="E373" i="20"/>
  <c r="AN82" i="26"/>
  <c r="I89" i="20"/>
  <c r="G95" i="14"/>
  <c r="E134" i="20"/>
  <c r="E86" i="20"/>
  <c r="G155" i="20"/>
  <c r="AP8" i="26"/>
  <c r="I226" i="20"/>
  <c r="G112" i="15"/>
  <c r="E5" i="14"/>
  <c r="G73" i="20"/>
  <c r="AN79" i="26"/>
  <c r="E103" i="14"/>
  <c r="E132" i="14"/>
  <c r="G114" i="20"/>
  <c r="I19" i="20"/>
  <c r="I401" i="20"/>
  <c r="AK67" i="1"/>
  <c r="G124" i="20"/>
  <c r="G60" i="15"/>
  <c r="G447" i="20"/>
  <c r="I245" i="20"/>
  <c r="E75" i="20"/>
  <c r="I340" i="20"/>
  <c r="E53" i="20"/>
  <c r="G166" i="15"/>
  <c r="E326" i="20"/>
  <c r="E194" i="20"/>
  <c r="E20" i="14"/>
  <c r="G84" i="14"/>
  <c r="G102" i="20"/>
  <c r="E262" i="20"/>
  <c r="G13" i="15"/>
  <c r="E130" i="14"/>
  <c r="I454" i="20"/>
  <c r="G232" i="20"/>
  <c r="I27" i="15"/>
  <c r="G138" i="15"/>
  <c r="E9" i="20"/>
  <c r="E95" i="20"/>
  <c r="I249" i="20"/>
  <c r="G145" i="14"/>
  <c r="G72" i="14"/>
  <c r="G120" i="15"/>
  <c r="E14" i="14"/>
  <c r="I425" i="20"/>
  <c r="G65" i="14"/>
  <c r="AK106" i="1"/>
  <c r="G431" i="20"/>
  <c r="E150" i="20"/>
  <c r="I252" i="20"/>
  <c r="I433" i="20"/>
  <c r="G416" i="20"/>
  <c r="E217" i="20"/>
  <c r="E282" i="20"/>
  <c r="I466" i="20"/>
  <c r="E36" i="20"/>
  <c r="G374" i="20"/>
  <c r="G387" i="20"/>
  <c r="G130" i="15"/>
  <c r="AP50" i="26"/>
  <c r="G115" i="15"/>
  <c r="E376" i="20"/>
  <c r="E126" i="20"/>
  <c r="E202" i="20"/>
  <c r="I364" i="20"/>
  <c r="I294" i="20"/>
  <c r="E164" i="20"/>
  <c r="G287" i="20"/>
  <c r="AK27" i="1"/>
  <c r="G67" i="20"/>
  <c r="G96" i="15"/>
  <c r="E150" i="14"/>
  <c r="G200" i="20"/>
  <c r="G113" i="15"/>
  <c r="E151" i="20"/>
  <c r="G432" i="20"/>
  <c r="E207" i="20"/>
  <c r="I431" i="20"/>
  <c r="AN71" i="26"/>
  <c r="G132" i="15"/>
  <c r="I28" i="20"/>
  <c r="E26" i="14"/>
  <c r="AP68" i="26"/>
  <c r="G160" i="15"/>
  <c r="AK21" i="1"/>
  <c r="I57" i="15"/>
  <c r="AN56" i="26"/>
  <c r="E140" i="20"/>
  <c r="I274" i="20"/>
  <c r="G386" i="20"/>
  <c r="AK18" i="1"/>
  <c r="G17" i="20"/>
  <c r="E174" i="20"/>
  <c r="E336" i="20"/>
  <c r="E6" i="14"/>
  <c r="E375" i="20"/>
  <c r="E118" i="20"/>
  <c r="I275" i="20"/>
  <c r="I356" i="20"/>
  <c r="E21" i="20"/>
  <c r="I111" i="15"/>
  <c r="G56" i="20"/>
  <c r="G122" i="15"/>
  <c r="E38" i="20"/>
  <c r="G177" i="20"/>
  <c r="G7" i="14"/>
  <c r="G408" i="20"/>
  <c r="AK114" i="1"/>
  <c r="G56" i="14"/>
  <c r="G126" i="15"/>
  <c r="G45" i="15"/>
  <c r="AN47" i="26"/>
  <c r="G231" i="20"/>
  <c r="G162" i="14"/>
  <c r="G124" i="15"/>
  <c r="I443" i="20"/>
  <c r="E117" i="20"/>
  <c r="I99" i="15"/>
  <c r="I71" i="20"/>
  <c r="E101" i="20"/>
  <c r="I88" i="15"/>
  <c r="I363" i="20"/>
  <c r="E418" i="20"/>
  <c r="I71" i="15"/>
  <c r="E415" i="20"/>
  <c r="G80" i="14"/>
  <c r="E381" i="20"/>
  <c r="AN19" i="26"/>
  <c r="E138" i="20"/>
  <c r="AP5" i="26"/>
  <c r="AK58" i="1"/>
  <c r="E394" i="20"/>
  <c r="I115" i="20"/>
  <c r="I167" i="15"/>
  <c r="E148" i="14"/>
  <c r="E58" i="14"/>
  <c r="AK39" i="1"/>
  <c r="E137" i="14"/>
  <c r="G391" i="20"/>
  <c r="G20" i="15"/>
  <c r="AP98" i="26"/>
  <c r="G24" i="15"/>
  <c r="G163" i="15"/>
  <c r="I58" i="20"/>
  <c r="G61" i="15"/>
  <c r="E76" i="20"/>
  <c r="AK7" i="1"/>
  <c r="G79" i="15"/>
  <c r="E67" i="14"/>
  <c r="G421" i="20"/>
  <c r="E74" i="20"/>
  <c r="C57" i="17" s="1"/>
  <c r="E341" i="20"/>
  <c r="I462" i="20"/>
  <c r="AP62" i="26"/>
  <c r="AK20" i="1"/>
  <c r="G61" i="14"/>
  <c r="G114" i="14"/>
  <c r="E288" i="20"/>
  <c r="AK63" i="1"/>
  <c r="G445" i="20"/>
  <c r="E143" i="20"/>
  <c r="G46" i="15"/>
  <c r="E414" i="20"/>
  <c r="G440" i="20"/>
  <c r="E47" i="20"/>
  <c r="I157" i="20"/>
  <c r="G84" i="15"/>
  <c r="G23" i="14"/>
  <c r="E304" i="20"/>
  <c r="G175" i="20"/>
  <c r="E323" i="20"/>
  <c r="I98" i="20"/>
  <c r="G80" i="20"/>
  <c r="G183" i="20"/>
  <c r="E138" i="14"/>
  <c r="I206" i="20"/>
  <c r="I94" i="20"/>
  <c r="G383" i="20"/>
  <c r="E354" i="20"/>
  <c r="G240" i="20"/>
  <c r="I348" i="20"/>
  <c r="E219" i="20"/>
  <c r="G394" i="20"/>
  <c r="AK41" i="1"/>
  <c r="I395" i="20"/>
  <c r="G68" i="14"/>
  <c r="I74" i="15"/>
  <c r="G173" i="20"/>
  <c r="G88" i="20"/>
  <c r="E22" i="20"/>
  <c r="G439" i="20"/>
  <c r="AK51" i="1"/>
  <c r="E296" i="20"/>
  <c r="E180" i="20"/>
  <c r="G27" i="15"/>
  <c r="E100" i="14"/>
  <c r="G123" i="15"/>
  <c r="G350" i="20"/>
  <c r="I155" i="15"/>
  <c r="E335" i="20"/>
  <c r="I423" i="20"/>
  <c r="E159" i="14"/>
  <c r="E29" i="14"/>
  <c r="G2" i="20"/>
  <c r="E12" i="20"/>
  <c r="AN29" i="26"/>
  <c r="G94" i="15"/>
  <c r="I369" i="20"/>
  <c r="AP52" i="26"/>
  <c r="G21" i="20"/>
  <c r="AP10" i="26"/>
  <c r="E85" i="20"/>
  <c r="I261" i="20"/>
  <c r="I22" i="20"/>
  <c r="AP53" i="26"/>
  <c r="AK77" i="1"/>
  <c r="E237" i="20"/>
  <c r="E285" i="20"/>
  <c r="G52" i="14"/>
  <c r="G60" i="20"/>
  <c r="I104" i="20"/>
  <c r="I456" i="20"/>
  <c r="E324" i="20"/>
  <c r="E125" i="20"/>
  <c r="I293" i="20"/>
  <c r="I473" i="20"/>
  <c r="AP100" i="26"/>
  <c r="G76" i="20"/>
  <c r="G290" i="20"/>
  <c r="E66" i="20"/>
  <c r="I461" i="20"/>
  <c r="G63" i="14"/>
  <c r="AP105" i="26"/>
  <c r="E28" i="20"/>
  <c r="G9" i="20"/>
  <c r="AN36" i="26"/>
  <c r="E72" i="20"/>
  <c r="E412" i="20"/>
  <c r="G152" i="15"/>
  <c r="G229" i="20"/>
  <c r="G58" i="15"/>
  <c r="G355" i="20"/>
  <c r="E229" i="20"/>
  <c r="AK71" i="1"/>
  <c r="E122" i="20"/>
  <c r="G396" i="20"/>
  <c r="AN46" i="26"/>
  <c r="I441" i="20"/>
  <c r="G106" i="15"/>
  <c r="G230" i="20"/>
  <c r="AK13" i="1"/>
  <c r="I56" i="15"/>
  <c r="AP88" i="26"/>
  <c r="I269" i="20"/>
  <c r="AN95" i="26"/>
  <c r="G165" i="15"/>
  <c r="G64" i="15"/>
  <c r="G165" i="14"/>
  <c r="AN37" i="26"/>
  <c r="E42" i="14"/>
  <c r="G8" i="15"/>
  <c r="E400" i="20"/>
  <c r="G19" i="20"/>
  <c r="I73" i="15"/>
  <c r="G103" i="20"/>
  <c r="E136" i="20"/>
  <c r="G341" i="20"/>
  <c r="I110" i="15"/>
  <c r="E3" i="20"/>
  <c r="E33" i="20"/>
  <c r="E41" i="14"/>
  <c r="G367" i="20"/>
  <c r="G101" i="15"/>
  <c r="G80" i="15"/>
  <c r="AN58" i="26"/>
  <c r="G106" i="20"/>
  <c r="G145" i="15"/>
  <c r="I66" i="15"/>
  <c r="E155" i="14"/>
  <c r="G95" i="15"/>
  <c r="G415" i="20"/>
  <c r="AN52" i="26"/>
  <c r="I472" i="20"/>
  <c r="E77" i="20"/>
  <c r="I370" i="20"/>
  <c r="AK108" i="1"/>
  <c r="G5" i="15"/>
  <c r="G107" i="20"/>
  <c r="AP93" i="26"/>
  <c r="G101" i="20"/>
  <c r="AP32" i="26"/>
  <c r="E8" i="14"/>
  <c r="AN23" i="26"/>
  <c r="AN76" i="26"/>
  <c r="I429" i="20"/>
  <c r="AP15" i="26"/>
  <c r="I173" i="15"/>
  <c r="G61" i="20"/>
  <c r="G11" i="15"/>
  <c r="E18" i="20"/>
  <c r="AK68" i="1"/>
  <c r="E55" i="20"/>
  <c r="E162" i="14"/>
  <c r="I79" i="15"/>
  <c r="E98" i="20"/>
  <c r="G116" i="15"/>
  <c r="E330" i="20"/>
  <c r="E173" i="20"/>
  <c r="I78" i="15"/>
  <c r="G105" i="15"/>
  <c r="AK49" i="1"/>
  <c r="G168" i="15"/>
  <c r="I350" i="20"/>
  <c r="E186" i="20"/>
  <c r="G13" i="20"/>
  <c r="G3" i="20"/>
  <c r="E72" i="14"/>
  <c r="E121" i="14"/>
  <c r="E338" i="20"/>
  <c r="I465" i="20"/>
  <c r="AP63" i="26"/>
  <c r="AP34" i="26"/>
  <c r="G77" i="15"/>
  <c r="G115" i="14"/>
  <c r="I398" i="20"/>
  <c r="G444" i="20"/>
  <c r="AN91" i="26"/>
  <c r="I411" i="20"/>
  <c r="I428" i="20"/>
  <c r="E343" i="20"/>
  <c r="G405" i="20"/>
  <c r="AK90" i="1"/>
  <c r="G53" i="15"/>
  <c r="G257" i="20"/>
  <c r="I432" i="20"/>
  <c r="G23" i="20"/>
  <c r="G320" i="20"/>
  <c r="E144" i="20"/>
  <c r="G253" i="20"/>
  <c r="E82" i="14"/>
  <c r="I66" i="20"/>
  <c r="E106" i="14"/>
  <c r="I240" i="20"/>
  <c r="E158" i="14"/>
  <c r="I434" i="20"/>
  <c r="E42" i="20"/>
  <c r="AN38" i="26"/>
  <c r="AN83" i="26"/>
  <c r="E63" i="20"/>
  <c r="I92" i="15"/>
  <c r="I114" i="20"/>
  <c r="G55" i="15"/>
  <c r="G8" i="14"/>
  <c r="I53" i="15"/>
  <c r="E86" i="14"/>
  <c r="AP55" i="26"/>
  <c r="I400" i="20"/>
  <c r="G446" i="20"/>
  <c r="I436" i="20"/>
  <c r="G66" i="20"/>
  <c r="E10" i="14"/>
  <c r="G192" i="20"/>
  <c r="AK110" i="1"/>
  <c r="E122" i="14"/>
  <c r="I445" i="20"/>
  <c r="E317" i="20"/>
  <c r="I458" i="20"/>
  <c r="G133" i="15"/>
  <c r="G406" i="20"/>
  <c r="E7" i="20"/>
  <c r="I168" i="20"/>
  <c r="I341" i="20"/>
  <c r="I25" i="15"/>
  <c r="G163" i="14"/>
  <c r="I397" i="20"/>
  <c r="G139" i="15"/>
  <c r="G36" i="15"/>
  <c r="I158" i="15"/>
  <c r="G425" i="20"/>
  <c r="G115" i="20"/>
  <c r="G69" i="20"/>
  <c r="G289" i="20"/>
  <c r="AN68" i="26"/>
  <c r="G419" i="20"/>
  <c r="E251" i="20"/>
  <c r="G260" i="20"/>
  <c r="AN30" i="26"/>
  <c r="G74" i="14"/>
  <c r="G91" i="20"/>
  <c r="AP97" i="26"/>
  <c r="G135" i="15"/>
  <c r="E397" i="20"/>
  <c r="E40" i="14"/>
  <c r="G102" i="14"/>
  <c r="G410" i="20"/>
  <c r="E361" i="20"/>
  <c r="E13" i="14"/>
  <c r="AK44" i="1"/>
  <c r="I417" i="20"/>
  <c r="G84" i="20"/>
  <c r="E48" i="20"/>
  <c r="E140" i="14"/>
  <c r="I439" i="20"/>
  <c r="E222" i="20"/>
  <c r="G435" i="20"/>
  <c r="G201" i="20"/>
  <c r="G22" i="20"/>
  <c r="AP73" i="26"/>
  <c r="G88" i="14"/>
  <c r="G110" i="20"/>
  <c r="I420" i="20"/>
  <c r="E2" i="14"/>
  <c r="E56" i="20"/>
  <c r="G30" i="15"/>
  <c r="AP28" i="26"/>
  <c r="G111" i="20"/>
  <c r="G57" i="15"/>
  <c r="AK11" i="1"/>
  <c r="E148" i="20"/>
  <c r="AN26" i="26"/>
  <c r="G94" i="20"/>
  <c r="E179" i="20"/>
  <c r="AK96" i="1"/>
  <c r="E280" i="20"/>
  <c r="E116" i="20"/>
  <c r="G430" i="20"/>
  <c r="AK56" i="1"/>
  <c r="AN17" i="26"/>
  <c r="E301" i="20"/>
  <c r="G66" i="15"/>
  <c r="G159" i="15"/>
  <c r="G109" i="15"/>
  <c r="E367" i="20"/>
  <c r="I67" i="20"/>
  <c r="I426" i="20"/>
  <c r="I196" i="20"/>
  <c r="E77" i="14"/>
  <c r="E216" i="20"/>
  <c r="G258" i="20"/>
  <c r="E3" i="14"/>
  <c r="G44" i="15"/>
  <c r="I129" i="15"/>
  <c r="I113" i="20"/>
  <c r="G388" i="20"/>
  <c r="E57" i="14"/>
  <c r="E119" i="20"/>
  <c r="E16" i="20"/>
  <c r="G37" i="20"/>
  <c r="AN32" i="26"/>
  <c r="I103" i="20"/>
  <c r="G85" i="15"/>
  <c r="E66" i="14"/>
  <c r="E143" i="14"/>
  <c r="I65" i="15"/>
  <c r="I264" i="20"/>
  <c r="AK32" i="1"/>
  <c r="G428" i="20"/>
  <c r="G25" i="14"/>
  <c r="I175" i="20"/>
  <c r="I60" i="15"/>
  <c r="E172" i="20"/>
  <c r="I81" i="20"/>
  <c r="AK111" i="1"/>
  <c r="G364" i="20"/>
  <c r="AK57" i="1"/>
  <c r="AN16" i="26"/>
  <c r="E399" i="20"/>
  <c r="AN84" i="26"/>
  <c r="I90" i="20"/>
  <c r="E22" i="14"/>
  <c r="E19" i="14"/>
  <c r="G143" i="15"/>
  <c r="G259" i="20"/>
  <c r="E121" i="20"/>
  <c r="E13" i="20"/>
  <c r="I84" i="20"/>
  <c r="AK30" i="1"/>
  <c r="I265" i="20"/>
  <c r="G228" i="20"/>
  <c r="G79" i="20"/>
  <c r="E83" i="20"/>
  <c r="G81" i="20"/>
  <c r="I402" i="20"/>
  <c r="E392" i="20"/>
  <c r="E391" i="20"/>
  <c r="G57" i="14"/>
  <c r="E128" i="14"/>
  <c r="E134" i="14"/>
  <c r="I437" i="20"/>
  <c r="E329" i="20"/>
  <c r="G378" i="20"/>
  <c r="G368" i="20"/>
  <c r="I101" i="20"/>
  <c r="E410" i="20"/>
  <c r="G104" i="15"/>
  <c r="G119" i="15"/>
  <c r="G261" i="20"/>
  <c r="G65" i="15"/>
  <c r="E108" i="14"/>
  <c r="AN100" i="26"/>
  <c r="I268" i="20"/>
  <c r="I74" i="20"/>
  <c r="I57" i="17" s="1"/>
  <c r="H57" i="17" s="1"/>
  <c r="G94" i="14"/>
  <c r="G357" i="20"/>
  <c r="E165" i="14"/>
  <c r="I64" i="15"/>
  <c r="AN69" i="26"/>
  <c r="E178" i="20"/>
  <c r="G125" i="15"/>
  <c r="E107" i="20"/>
  <c r="E364" i="20"/>
  <c r="E61" i="20"/>
  <c r="G433" i="20"/>
  <c r="G348" i="20"/>
  <c r="I253" i="20"/>
  <c r="G6" i="15"/>
  <c r="E155" i="20"/>
  <c r="G71" i="15"/>
  <c r="E92" i="20"/>
  <c r="AN80" i="26"/>
  <c r="G196" i="20"/>
  <c r="I112" i="15"/>
  <c r="AP23" i="26"/>
  <c r="AK65" i="1"/>
  <c r="I383" i="20"/>
  <c r="I416" i="20"/>
  <c r="I69" i="15"/>
  <c r="AK103" i="1"/>
  <c r="E46" i="14"/>
  <c r="I65" i="20"/>
  <c r="G352" i="20"/>
  <c r="G54" i="20"/>
  <c r="G42" i="15"/>
  <c r="I104" i="15"/>
  <c r="I379" i="20"/>
  <c r="G166" i="14"/>
  <c r="G158" i="15"/>
  <c r="AP61" i="26"/>
  <c r="E104" i="20"/>
  <c r="G402" i="20"/>
  <c r="AN41" i="26"/>
  <c r="E24" i="14"/>
  <c r="E15" i="20"/>
  <c r="E413" i="20"/>
  <c r="AN31" i="26"/>
  <c r="I67" i="15"/>
  <c r="E112" i="14"/>
  <c r="E363" i="20"/>
  <c r="E43" i="14"/>
  <c r="G227" i="20"/>
  <c r="G99" i="14"/>
  <c r="G167" i="15"/>
  <c r="AK88" i="1"/>
  <c r="I123" i="15"/>
  <c r="G27" i="20"/>
  <c r="G151" i="15"/>
  <c r="E32" i="20"/>
  <c r="E31" i="20"/>
  <c r="I201" i="20"/>
  <c r="E393" i="20"/>
  <c r="G147" i="20"/>
  <c r="E204" i="20"/>
  <c r="I136" i="15"/>
  <c r="E417" i="20"/>
  <c r="E252" i="20"/>
  <c r="I142" i="20"/>
  <c r="G465" i="20"/>
  <c r="G143" i="20"/>
  <c r="E430" i="20"/>
  <c r="AK82" i="1"/>
  <c r="E452" i="20"/>
  <c r="G301" i="20"/>
  <c r="G44" i="20"/>
  <c r="I197" i="20"/>
  <c r="AK54" i="1"/>
  <c r="I59" i="20"/>
  <c r="I159" i="20"/>
  <c r="G316" i="20"/>
  <c r="G6" i="14"/>
  <c r="I116" i="15"/>
  <c r="E270" i="20"/>
  <c r="I13" i="20"/>
  <c r="G203" i="20"/>
  <c r="E36" i="14"/>
  <c r="I56" i="20"/>
  <c r="G51" i="20"/>
  <c r="G138" i="14"/>
  <c r="I35" i="15"/>
  <c r="G218" i="20"/>
  <c r="G14" i="20"/>
  <c r="E433" i="20"/>
  <c r="I151" i="20"/>
  <c r="G105" i="14"/>
  <c r="E130" i="20"/>
  <c r="I190" i="20"/>
  <c r="AK69" i="1"/>
  <c r="G306" i="20"/>
  <c r="I287" i="20"/>
  <c r="G453" i="20"/>
  <c r="I45" i="20"/>
  <c r="G280" i="20"/>
  <c r="E464" i="20"/>
  <c r="G159" i="20"/>
  <c r="AK70" i="1"/>
  <c r="G153" i="14"/>
  <c r="G318" i="20"/>
  <c r="G135" i="14"/>
  <c r="I41" i="20"/>
  <c r="G10" i="20"/>
  <c r="I139" i="15"/>
  <c r="G13" i="14"/>
  <c r="G123" i="14"/>
  <c r="G117" i="20"/>
  <c r="G36" i="14"/>
  <c r="G142" i="14"/>
  <c r="AN74" i="26"/>
  <c r="G477" i="20"/>
  <c r="G85" i="20"/>
  <c r="I360" i="20"/>
  <c r="G170" i="20"/>
  <c r="I189" i="20"/>
  <c r="G279" i="20"/>
  <c r="I288" i="20"/>
  <c r="E459" i="20"/>
  <c r="E469" i="20"/>
  <c r="I223" i="20"/>
  <c r="E434" i="20"/>
  <c r="G139" i="14"/>
  <c r="E332" i="20"/>
  <c r="E351" i="20"/>
  <c r="AP41" i="26"/>
  <c r="E266" i="20"/>
  <c r="E196" i="20"/>
  <c r="E426" i="20"/>
  <c r="I213" i="20"/>
  <c r="G161" i="14"/>
  <c r="G39" i="14"/>
  <c r="E51" i="20"/>
  <c r="G175" i="15"/>
  <c r="E359" i="20"/>
  <c r="E321" i="20"/>
  <c r="E384" i="20"/>
  <c r="I32" i="15"/>
  <c r="AP48" i="26"/>
  <c r="G328" i="20"/>
  <c r="G172" i="20"/>
  <c r="E261" i="20"/>
  <c r="G9" i="14"/>
  <c r="G471" i="20"/>
  <c r="G75" i="14"/>
  <c r="G151" i="14"/>
  <c r="I29" i="20"/>
  <c r="G122" i="20"/>
  <c r="G5" i="14"/>
  <c r="G155" i="14"/>
  <c r="G464" i="20"/>
  <c r="E256" i="20"/>
  <c r="G216" i="20"/>
  <c r="AK3" i="1"/>
  <c r="AP89" i="26"/>
  <c r="G138" i="20"/>
  <c r="I10" i="15"/>
  <c r="I86" i="15"/>
  <c r="I318" i="20"/>
  <c r="I132" i="15"/>
  <c r="AP59" i="26"/>
  <c r="E475" i="20"/>
  <c r="G480" i="20"/>
  <c r="AK81" i="1"/>
  <c r="G42" i="14"/>
  <c r="E444" i="20"/>
  <c r="I137" i="20"/>
  <c r="I38" i="20"/>
  <c r="G142" i="20"/>
  <c r="I135" i="15"/>
  <c r="I48" i="20"/>
  <c r="E420" i="20"/>
  <c r="E478" i="20"/>
  <c r="I5" i="20"/>
  <c r="AN8" i="26"/>
  <c r="E245" i="20"/>
  <c r="E232" i="20"/>
  <c r="AP56" i="26"/>
  <c r="I46" i="15"/>
  <c r="I147" i="15"/>
  <c r="I333" i="20"/>
  <c r="AN104" i="26"/>
  <c r="G51" i="15"/>
  <c r="G212" i="20"/>
  <c r="G262" i="20"/>
  <c r="AP11" i="26"/>
  <c r="I48" i="15"/>
  <c r="G298" i="20"/>
  <c r="G191" i="20"/>
  <c r="G233" i="20"/>
  <c r="AK15" i="1"/>
  <c r="I141" i="20"/>
  <c r="I145" i="15"/>
  <c r="E468" i="20"/>
  <c r="I230" i="20"/>
  <c r="G166" i="20"/>
  <c r="I285" i="20"/>
  <c r="E195" i="20"/>
  <c r="AK118" i="1"/>
  <c r="G127" i="20"/>
  <c r="I39" i="20"/>
  <c r="I38" i="15"/>
  <c r="G52" i="15"/>
  <c r="E210" i="20"/>
  <c r="G49" i="20"/>
  <c r="I343" i="20"/>
  <c r="G79" i="14"/>
  <c r="I159" i="15"/>
  <c r="G38" i="20"/>
  <c r="G111" i="14"/>
  <c r="E158" i="20"/>
  <c r="AN107" i="26"/>
  <c r="E466" i="20"/>
  <c r="AK126" i="1"/>
  <c r="I215" i="20"/>
  <c r="G135" i="20"/>
  <c r="I143" i="15"/>
  <c r="E465" i="20"/>
  <c r="G285" i="20"/>
  <c r="E423" i="20"/>
  <c r="I163" i="20"/>
  <c r="I194" i="20"/>
  <c r="I238" i="20"/>
  <c r="AP44" i="26"/>
  <c r="I52" i="15"/>
  <c r="AK24" i="1"/>
  <c r="AP12" i="26"/>
  <c r="G455" i="20"/>
  <c r="AK127" i="1"/>
  <c r="G323" i="20"/>
  <c r="I120" i="20"/>
  <c r="G274" i="20"/>
  <c r="I155" i="20"/>
  <c r="G468" i="20"/>
  <c r="G311" i="20"/>
  <c r="E476" i="20"/>
  <c r="G458" i="20"/>
  <c r="E477" i="20"/>
  <c r="I116" i="20"/>
  <c r="I144" i="20"/>
  <c r="AP25" i="26"/>
  <c r="I357" i="20"/>
  <c r="G220" i="20"/>
  <c r="G29" i="20"/>
  <c r="G163" i="20"/>
  <c r="G128" i="14"/>
  <c r="I317" i="20"/>
  <c r="G151" i="20"/>
  <c r="G16" i="14"/>
  <c r="G41" i="14"/>
  <c r="I82" i="15"/>
  <c r="G7" i="20"/>
  <c r="I14" i="15"/>
  <c r="I139" i="20"/>
  <c r="G48" i="14"/>
  <c r="I202" i="20"/>
  <c r="I184" i="20"/>
  <c r="E421" i="20"/>
  <c r="G150" i="14"/>
  <c r="I302" i="20"/>
  <c r="I315" i="20"/>
  <c r="G303" i="20"/>
  <c r="E52" i="20"/>
  <c r="G121" i="14"/>
  <c r="I40" i="15"/>
  <c r="G153" i="20"/>
  <c r="I85" i="20"/>
  <c r="I138" i="20"/>
  <c r="G35" i="14"/>
  <c r="G273" i="20"/>
  <c r="G46" i="20"/>
  <c r="I30" i="15"/>
  <c r="G185" i="20"/>
  <c r="G219" i="20"/>
  <c r="G313" i="20"/>
  <c r="G128" i="20"/>
  <c r="AN15" i="26"/>
  <c r="G213" i="20"/>
  <c r="I185" i="20"/>
  <c r="I11" i="20"/>
  <c r="I12" i="20"/>
  <c r="E255" i="20"/>
  <c r="G152" i="20"/>
  <c r="I227" i="20"/>
  <c r="AN57" i="26"/>
  <c r="I186" i="20"/>
  <c r="E474" i="20"/>
  <c r="G140" i="14"/>
  <c r="I165" i="20"/>
  <c r="E437" i="20"/>
  <c r="I10" i="20"/>
  <c r="G141" i="20"/>
  <c r="AP94" i="26"/>
  <c r="G59" i="14"/>
  <c r="I148" i="20"/>
  <c r="I306" i="20"/>
  <c r="AK115" i="1"/>
  <c r="G45" i="20"/>
  <c r="E279" i="20"/>
  <c r="AN109" i="26"/>
  <c r="E388" i="20"/>
  <c r="E458" i="20"/>
  <c r="I61" i="20"/>
  <c r="E224" i="20"/>
  <c r="I153" i="15"/>
  <c r="E115" i="20"/>
  <c r="E50" i="20"/>
  <c r="I161" i="20"/>
  <c r="I328" i="20"/>
  <c r="I304" i="20"/>
  <c r="I292" i="20"/>
  <c r="E275" i="20"/>
  <c r="G275" i="20"/>
  <c r="G210" i="20"/>
  <c r="I211" i="20"/>
  <c r="G460" i="20"/>
  <c r="I336" i="20"/>
  <c r="AP45" i="26"/>
  <c r="I82" i="20"/>
  <c r="I87" i="15"/>
  <c r="E206" i="20"/>
  <c r="E450" i="20"/>
  <c r="I182" i="20"/>
  <c r="I301" i="20"/>
  <c r="I208" i="20"/>
  <c r="G40" i="20"/>
  <c r="I42" i="20"/>
  <c r="I313" i="20"/>
  <c r="E278" i="20"/>
  <c r="G300" i="20"/>
  <c r="I338" i="20"/>
  <c r="I284" i="20"/>
  <c r="G140" i="20"/>
  <c r="I224" i="20"/>
  <c r="I353" i="20"/>
  <c r="E448" i="20"/>
  <c r="G286" i="20"/>
  <c r="G119" i="20"/>
  <c r="G450" i="20"/>
  <c r="E456" i="20"/>
  <c r="E439" i="20"/>
  <c r="I121" i="20"/>
  <c r="I337" i="20"/>
  <c r="I60" i="20"/>
  <c r="E454" i="20"/>
  <c r="G461" i="20"/>
  <c r="I162" i="15"/>
  <c r="I174" i="20"/>
  <c r="I243" i="20"/>
  <c r="G327" i="20"/>
  <c r="E470" i="20"/>
  <c r="G459" i="20"/>
  <c r="G277" i="20"/>
  <c r="E428" i="20"/>
  <c r="AK8" i="1"/>
  <c r="G209" i="20"/>
  <c r="G295" i="20"/>
  <c r="I6" i="15"/>
  <c r="G107" i="14"/>
  <c r="I358" i="20"/>
  <c r="G250" i="20"/>
  <c r="I172" i="15"/>
  <c r="G449" i="20"/>
  <c r="E473" i="20"/>
  <c r="AK25" i="1"/>
  <c r="G332" i="20"/>
  <c r="I43" i="20"/>
  <c r="I166" i="20"/>
  <c r="I326" i="20"/>
  <c r="E168" i="20"/>
  <c r="I147" i="20"/>
  <c r="E201" i="20"/>
  <c r="G214" i="20"/>
  <c r="AK121" i="1"/>
  <c r="I335" i="20"/>
  <c r="G339" i="20"/>
  <c r="G146" i="20"/>
  <c r="I72" i="20"/>
  <c r="I134" i="15"/>
  <c r="E265" i="20"/>
  <c r="G190" i="20"/>
  <c r="I389" i="20"/>
  <c r="I146" i="15"/>
  <c r="E447" i="20"/>
  <c r="G121" i="20"/>
  <c r="G291" i="20"/>
  <c r="I150" i="15"/>
  <c r="G30" i="20"/>
  <c r="G281" i="20"/>
  <c r="I18" i="15"/>
  <c r="I42" i="15"/>
  <c r="I222" i="20"/>
  <c r="I162" i="20"/>
  <c r="G32" i="20"/>
  <c r="I169" i="15"/>
  <c r="E129" i="20"/>
  <c r="AN67" i="26"/>
  <c r="G87" i="14"/>
  <c r="G269" i="20"/>
  <c r="I231" i="20"/>
  <c r="G4" i="20"/>
  <c r="AP99" i="26"/>
  <c r="I55" i="20"/>
  <c r="I132" i="20"/>
  <c r="G33" i="14"/>
  <c r="G76" i="14"/>
  <c r="I32" i="20"/>
  <c r="G86" i="20"/>
  <c r="I63" i="20"/>
  <c r="AK37" i="1"/>
  <c r="I151" i="15"/>
  <c r="G330" i="20"/>
  <c r="E443" i="20"/>
  <c r="G152" i="14"/>
  <c r="E480" i="20"/>
  <c r="I254" i="20"/>
  <c r="E353" i="20"/>
  <c r="E259" i="20"/>
  <c r="I49" i="20"/>
  <c r="G50" i="20"/>
  <c r="G454" i="20"/>
  <c r="G165" i="20"/>
  <c r="G48" i="20"/>
  <c r="I300" i="20"/>
  <c r="E453" i="20"/>
  <c r="I324" i="20"/>
  <c r="E422" i="20"/>
  <c r="I262" i="20"/>
  <c r="G160" i="20"/>
  <c r="I310" i="20"/>
  <c r="E339" i="20"/>
  <c r="AK123" i="1"/>
  <c r="G82" i="20"/>
  <c r="I125" i="20"/>
  <c r="AP27" i="26"/>
  <c r="G309" i="20"/>
  <c r="I236" i="20"/>
  <c r="I210" i="20"/>
  <c r="AP76" i="26"/>
  <c r="G184" i="20"/>
  <c r="I123" i="20"/>
  <c r="I117" i="15"/>
  <c r="G31" i="20"/>
  <c r="G463" i="20"/>
  <c r="E451" i="20"/>
  <c r="I247" i="20"/>
  <c r="E424" i="20"/>
  <c r="I141" i="15"/>
  <c r="I119" i="20"/>
  <c r="I233" i="20"/>
  <c r="I152" i="20"/>
  <c r="G127" i="14"/>
  <c r="G305" i="20"/>
  <c r="E293" i="20"/>
  <c r="E269" i="20"/>
  <c r="I228" i="20"/>
  <c r="I172" i="20"/>
  <c r="I50" i="20"/>
  <c r="I76" i="20"/>
  <c r="G322" i="20"/>
  <c r="G158" i="14"/>
  <c r="I180" i="20"/>
  <c r="AN73" i="26"/>
  <c r="G28" i="14"/>
  <c r="AK61" i="1"/>
  <c r="I8" i="20"/>
  <c r="E49" i="14"/>
  <c r="G136" i="14"/>
  <c r="AN3" i="26"/>
  <c r="G5" i="20"/>
  <c r="E248" i="20"/>
  <c r="AK125" i="1"/>
  <c r="I307" i="20"/>
  <c r="G462" i="20"/>
  <c r="I15" i="15"/>
  <c r="G27" i="14"/>
  <c r="AP91" i="26"/>
  <c r="I323" i="20"/>
  <c r="AK78" i="1"/>
  <c r="G448" i="20"/>
  <c r="G336" i="20"/>
  <c r="E387" i="20"/>
  <c r="I33" i="20"/>
  <c r="AK17" i="1"/>
  <c r="AP24" i="26"/>
  <c r="AK129" i="1"/>
  <c r="G208" i="20"/>
  <c r="E277" i="20"/>
  <c r="I144" i="15"/>
  <c r="G148" i="14"/>
  <c r="I47" i="15"/>
  <c r="I140" i="15"/>
  <c r="G325" i="20"/>
  <c r="I296" i="20"/>
  <c r="G143" i="14"/>
  <c r="G282" i="20"/>
  <c r="G334" i="20"/>
  <c r="I272" i="20"/>
  <c r="G106" i="14"/>
  <c r="G451" i="20"/>
  <c r="E385" i="20"/>
  <c r="E273" i="20"/>
  <c r="I342" i="20"/>
  <c r="AP81" i="26"/>
  <c r="I15" i="20"/>
  <c r="I188" i="20"/>
  <c r="AP85" i="26"/>
  <c r="G129" i="14"/>
  <c r="G137" i="14"/>
  <c r="I250" i="20"/>
  <c r="I329" i="20"/>
  <c r="I166" i="15"/>
  <c r="AN105" i="26"/>
  <c r="AP101" i="26"/>
  <c r="I137" i="15"/>
  <c r="I85" i="15"/>
  <c r="G10" i="14"/>
  <c r="AP80" i="26"/>
  <c r="G474" i="20"/>
  <c r="I387" i="20"/>
  <c r="G122" i="14"/>
  <c r="E445" i="20"/>
  <c r="G189" i="20"/>
  <c r="I148" i="15"/>
  <c r="E157" i="20"/>
  <c r="AP90" i="26"/>
  <c r="I118" i="15"/>
  <c r="I49" i="15"/>
  <c r="AK119" i="1"/>
  <c r="I117" i="20"/>
  <c r="G33" i="20"/>
  <c r="G34" i="14"/>
  <c r="I295" i="20"/>
  <c r="G141" i="14"/>
  <c r="G132" i="14"/>
  <c r="I21" i="20"/>
  <c r="G266" i="20"/>
  <c r="E463" i="20"/>
  <c r="I16" i="20"/>
  <c r="G159" i="14"/>
  <c r="G315" i="20"/>
  <c r="I312" i="20"/>
  <c r="G59" i="20"/>
  <c r="G40" i="14"/>
  <c r="I153" i="20"/>
  <c r="I54" i="20"/>
  <c r="G44" i="14"/>
  <c r="I30" i="20"/>
  <c r="I118" i="20"/>
  <c r="I73" i="20"/>
  <c r="I40" i="20"/>
  <c r="G284" i="20"/>
  <c r="AK120" i="1"/>
  <c r="I7" i="20"/>
  <c r="I34" i="20"/>
  <c r="E294" i="20"/>
  <c r="AK19" i="1"/>
  <c r="I237" i="20"/>
  <c r="I325" i="20"/>
  <c r="E241" i="20"/>
  <c r="G50" i="15"/>
  <c r="AK79" i="1"/>
  <c r="I282" i="20"/>
  <c r="I33" i="15"/>
  <c r="AP6" i="26"/>
  <c r="I299" i="20"/>
  <c r="E211" i="20"/>
  <c r="I62" i="20"/>
  <c r="G180" i="20"/>
  <c r="AK84" i="1"/>
  <c r="I122" i="15"/>
  <c r="I140" i="20"/>
  <c r="E205" i="20"/>
  <c r="G95" i="20"/>
  <c r="G292" i="20"/>
  <c r="G296" i="20"/>
  <c r="I314" i="20"/>
  <c r="G120" i="14"/>
  <c r="AP39" i="26"/>
  <c r="E471" i="20"/>
  <c r="I160" i="20"/>
  <c r="I305" i="20"/>
  <c r="I145" i="20"/>
  <c r="G126" i="14"/>
  <c r="G15" i="14"/>
  <c r="I163" i="15"/>
  <c r="G134" i="20"/>
  <c r="I246" i="20"/>
  <c r="I46" i="20"/>
  <c r="G34" i="20"/>
  <c r="AP95" i="26"/>
  <c r="I388" i="20"/>
  <c r="E419" i="20"/>
  <c r="G133" i="20"/>
  <c r="I218" i="20"/>
  <c r="G144" i="20"/>
  <c r="E226" i="20"/>
  <c r="G452" i="20"/>
  <c r="I14" i="20"/>
  <c r="I149" i="15"/>
  <c r="G456" i="20"/>
  <c r="I121" i="15"/>
  <c r="I171" i="20"/>
  <c r="I133" i="20"/>
  <c r="I160" i="15"/>
  <c r="E164" i="14"/>
  <c r="G40" i="15"/>
  <c r="I303" i="20"/>
  <c r="AP103" i="26"/>
  <c r="I311" i="20"/>
  <c r="G169" i="20"/>
  <c r="I4" i="15"/>
  <c r="AN72" i="26"/>
  <c r="I351" i="20"/>
  <c r="G124" i="14"/>
  <c r="E435" i="20"/>
  <c r="C10" i="17" s="1"/>
  <c r="G145" i="20"/>
  <c r="AN21" i="26"/>
  <c r="G130" i="14"/>
  <c r="G148" i="20"/>
  <c r="G476" i="20"/>
  <c r="G171" i="20"/>
  <c r="I344" i="20"/>
  <c r="AK10" i="1"/>
  <c r="I142" i="15"/>
  <c r="I17" i="20"/>
  <c r="I161" i="15"/>
  <c r="AK53" i="1"/>
  <c r="E360" i="20"/>
  <c r="I122" i="20"/>
  <c r="E449" i="20"/>
  <c r="G268" i="20"/>
  <c r="G110" i="14"/>
  <c r="I43" i="15"/>
  <c r="G58" i="14"/>
  <c r="AP82" i="26"/>
  <c r="E268" i="20"/>
  <c r="G466" i="20"/>
  <c r="I164" i="15"/>
  <c r="I143" i="20"/>
  <c r="I6" i="20"/>
  <c r="I193" i="20"/>
  <c r="G117" i="14"/>
  <c r="G276" i="20"/>
  <c r="I18" i="20"/>
  <c r="G317" i="20"/>
  <c r="E40" i="20"/>
  <c r="G181" i="20"/>
  <c r="I16" i="15"/>
  <c r="E446" i="20"/>
  <c r="G137" i="20"/>
  <c r="G32" i="14"/>
  <c r="I47" i="20"/>
  <c r="I7" i="15"/>
  <c r="I359" i="20"/>
  <c r="E223" i="20"/>
  <c r="I51" i="15"/>
  <c r="G270" i="20"/>
  <c r="AP102" i="26"/>
  <c r="AP47" i="26"/>
  <c r="G49" i="14"/>
  <c r="G11" i="14"/>
  <c r="G108" i="14"/>
  <c r="G39" i="20"/>
  <c r="E331" i="20"/>
  <c r="E438" i="20"/>
  <c r="I352" i="20"/>
  <c r="AK80" i="1"/>
  <c r="G52" i="20"/>
  <c r="AK76" i="1"/>
  <c r="G293" i="20"/>
  <c r="I308" i="20"/>
  <c r="I316" i="20"/>
  <c r="G299" i="20"/>
  <c r="I177" i="20"/>
  <c r="G283" i="20"/>
  <c r="I29" i="15"/>
  <c r="AN106" i="26"/>
  <c r="G222" i="20"/>
  <c r="G251" i="20"/>
  <c r="AP78" i="26"/>
  <c r="G35" i="20"/>
  <c r="G308" i="20"/>
  <c r="G116" i="14"/>
  <c r="I11" i="15"/>
  <c r="I41" i="15"/>
  <c r="I171" i="15"/>
  <c r="G149" i="20"/>
  <c r="AK72" i="1"/>
  <c r="I124" i="20"/>
  <c r="I51" i="20"/>
  <c r="I187" i="20"/>
  <c r="I235" i="20"/>
  <c r="E274" i="20"/>
  <c r="G136" i="20"/>
  <c r="I5" i="15"/>
  <c r="I203" i="20"/>
  <c r="I128" i="20"/>
  <c r="I2" i="20"/>
  <c r="G14" i="14"/>
  <c r="G161" i="20"/>
  <c r="E427" i="20"/>
  <c r="G472" i="20"/>
  <c r="G125" i="14"/>
  <c r="I217" i="20"/>
  <c r="I134" i="20"/>
  <c r="G45" i="14"/>
  <c r="G131" i="14"/>
  <c r="E455" i="20"/>
  <c r="E263" i="20"/>
  <c r="I242" i="20"/>
  <c r="I289" i="20"/>
  <c r="I221" i="20"/>
  <c r="I44" i="15"/>
  <c r="I334" i="20"/>
  <c r="G43" i="14"/>
  <c r="I136" i="20"/>
  <c r="G457" i="20"/>
  <c r="E441" i="20"/>
  <c r="G340" i="20"/>
  <c r="I39" i="15"/>
  <c r="AP92" i="26"/>
  <c r="G478" i="20"/>
  <c r="I229" i="20"/>
  <c r="E257" i="20"/>
  <c r="G310" i="20"/>
  <c r="G109" i="14"/>
  <c r="G15" i="20"/>
  <c r="I291" i="20"/>
  <c r="G154" i="20"/>
  <c r="E48" i="14"/>
  <c r="G37" i="14"/>
  <c r="E425" i="20"/>
  <c r="E260" i="20"/>
  <c r="G116" i="20"/>
  <c r="E472" i="20"/>
  <c r="I3" i="20"/>
  <c r="I212" i="20"/>
  <c r="G321" i="20"/>
  <c r="I173" i="20"/>
  <c r="E167" i="20"/>
  <c r="I87" i="20"/>
  <c r="G4" i="14"/>
  <c r="I207" i="20"/>
  <c r="G223" i="20"/>
  <c r="I50" i="15"/>
  <c r="I106" i="20"/>
  <c r="G47" i="14"/>
  <c r="I216" i="20"/>
  <c r="E467" i="20"/>
  <c r="G207" i="20"/>
  <c r="AP75" i="26"/>
  <c r="E35" i="14"/>
  <c r="I128" i="15"/>
  <c r="AP43" i="26"/>
  <c r="AP22" i="26"/>
  <c r="G267" i="20"/>
  <c r="E429" i="20"/>
  <c r="G333" i="20"/>
  <c r="G164" i="20"/>
  <c r="I119" i="15"/>
  <c r="I280" i="20"/>
  <c r="AP79" i="26"/>
  <c r="I165" i="15"/>
  <c r="I214" i="20"/>
  <c r="E253" i="20"/>
  <c r="I169" i="20"/>
  <c r="G18" i="20"/>
  <c r="G224" i="20"/>
  <c r="G186" i="20"/>
  <c r="G297" i="20"/>
  <c r="I164" i="20"/>
  <c r="I154" i="15"/>
  <c r="I183" i="20"/>
  <c r="E340" i="20"/>
  <c r="AK122" i="1"/>
  <c r="I209" i="20"/>
  <c r="G133" i="14"/>
  <c r="G221" i="20"/>
  <c r="G118" i="20"/>
  <c r="I290" i="20"/>
  <c r="I120" i="15"/>
  <c r="G41" i="20"/>
  <c r="E462" i="20"/>
  <c r="AK83" i="1"/>
  <c r="G19" i="14"/>
  <c r="E357" i="20"/>
  <c r="I181" i="20"/>
  <c r="I283" i="20"/>
  <c r="G139" i="20"/>
  <c r="E461" i="20"/>
  <c r="G47" i="20"/>
  <c r="E200" i="20"/>
  <c r="I192" i="20"/>
  <c r="I154" i="20"/>
  <c r="G217" i="20"/>
  <c r="E479" i="20"/>
  <c r="I86" i="20"/>
  <c r="I34" i="15"/>
  <c r="AK107" i="1"/>
  <c r="E352" i="20"/>
  <c r="I150" i="20"/>
  <c r="E114" i="20"/>
  <c r="I327" i="20"/>
  <c r="I156" i="20"/>
  <c r="G132" i="20"/>
  <c r="E199" i="20"/>
  <c r="G294" i="20"/>
  <c r="G314" i="20"/>
  <c r="I178" i="20"/>
  <c r="E239" i="20"/>
  <c r="AN108" i="26"/>
  <c r="I149" i="20"/>
  <c r="G149" i="14"/>
  <c r="G188" i="20"/>
  <c r="E176" i="20"/>
  <c r="I9" i="20"/>
  <c r="I138" i="15"/>
  <c r="I219" i="20"/>
  <c r="E386" i="20"/>
  <c r="G12" i="20"/>
  <c r="G87" i="20"/>
  <c r="AK117" i="1"/>
  <c r="E322" i="20"/>
  <c r="I95" i="15"/>
  <c r="G162" i="20"/>
  <c r="I170" i="20"/>
  <c r="G215" i="20"/>
  <c r="G467" i="20"/>
  <c r="G254" i="20"/>
  <c r="G131" i="20"/>
  <c r="I191" i="20"/>
  <c r="AP37" i="26"/>
  <c r="I45" i="15"/>
  <c r="AN10" i="26"/>
  <c r="AN49" i="26"/>
  <c r="E431" i="20"/>
  <c r="I31" i="15"/>
  <c r="G312" i="20"/>
  <c r="I220" i="20"/>
  <c r="I309" i="20"/>
  <c r="G46" i="14"/>
  <c r="G11" i="20"/>
  <c r="I127" i="15"/>
  <c r="I320" i="20"/>
  <c r="I31" i="20"/>
  <c r="G324" i="20"/>
  <c r="I107" i="20"/>
  <c r="I330" i="20"/>
  <c r="G134" i="14"/>
  <c r="I198" i="20"/>
  <c r="E258" i="20"/>
  <c r="E225" i="20"/>
  <c r="G265" i="20"/>
  <c r="G202" i="20"/>
  <c r="G150" i="20"/>
  <c r="G154" i="14"/>
  <c r="G211" i="20"/>
  <c r="G160" i="14"/>
  <c r="G475" i="20"/>
  <c r="G43" i="20"/>
  <c r="E432" i="20"/>
  <c r="E358" i="20"/>
  <c r="AN50" i="26"/>
  <c r="E276" i="20"/>
  <c r="AP26" i="26"/>
  <c r="E249" i="20"/>
  <c r="E240" i="20"/>
  <c r="E175" i="20"/>
  <c r="I52" i="20"/>
  <c r="G264" i="20"/>
  <c r="AP83" i="26"/>
  <c r="G38" i="14"/>
  <c r="G179" i="20"/>
  <c r="G470" i="20"/>
  <c r="I35" i="20"/>
  <c r="AP30" i="26"/>
  <c r="E383" i="20"/>
  <c r="I298" i="20"/>
  <c r="I271" i="20"/>
  <c r="AP84" i="26"/>
  <c r="G194" i="20"/>
  <c r="AP77" i="26"/>
  <c r="G326" i="20"/>
  <c r="I57" i="20"/>
  <c r="G304" i="20"/>
  <c r="G329" i="20"/>
  <c r="I131" i="15"/>
  <c r="AP87" i="26"/>
  <c r="I297" i="20"/>
  <c r="G335" i="20"/>
  <c r="I95" i="20"/>
  <c r="G42" i="20"/>
  <c r="I170" i="15"/>
  <c r="I131" i="20"/>
  <c r="G263" i="20"/>
  <c r="I78" i="20"/>
  <c r="I251" i="20"/>
  <c r="I179" i="20"/>
  <c r="AK116" i="1"/>
  <c r="I44" i="20"/>
  <c r="AP66" i="26"/>
  <c r="G16" i="20"/>
  <c r="I281" i="20"/>
  <c r="I133" i="15"/>
  <c r="G278" i="20"/>
  <c r="AK128" i="1"/>
  <c r="E436" i="20"/>
  <c r="G120" i="20"/>
  <c r="E244" i="20"/>
  <c r="I286" i="20"/>
  <c r="G6" i="20"/>
  <c r="E442" i="20"/>
  <c r="I59" i="15"/>
  <c r="E267" i="20"/>
  <c r="I77" i="20"/>
  <c r="I146" i="20"/>
  <c r="G302" i="20"/>
  <c r="G331" i="20"/>
  <c r="I126" i="20"/>
  <c r="AK124" i="1"/>
  <c r="AN65" i="26"/>
  <c r="I127" i="20"/>
  <c r="G307" i="20"/>
  <c r="E440" i="20"/>
  <c r="G479" i="20"/>
  <c r="E457" i="20"/>
  <c r="I135" i="20"/>
  <c r="I4" i="20"/>
  <c r="I319" i="20"/>
  <c r="G469" i="20"/>
  <c r="E389" i="20"/>
  <c r="E264" i="20"/>
  <c r="I152" i="15"/>
  <c r="E111" i="20"/>
  <c r="G234" i="20"/>
  <c r="I12" i="15"/>
  <c r="I234" i="20"/>
  <c r="E460" i="20"/>
  <c r="G473" i="20"/>
  <c r="AN33" i="26"/>
  <c r="AK14" i="1"/>
  <c r="I10" i="17"/>
  <c r="H10" i="17" s="1"/>
  <c r="AM129" i="1"/>
  <c r="C50" i="12" s="1"/>
  <c r="AO129" i="1"/>
  <c r="D50" i="12" s="1"/>
  <c r="AO128" i="1"/>
  <c r="D49" i="12" s="1"/>
  <c r="AM128" i="1"/>
  <c r="C49" i="12" s="1"/>
  <c r="AO127" i="1"/>
  <c r="D48" i="12" s="1"/>
  <c r="AM127" i="1"/>
  <c r="C48" i="12" s="1"/>
  <c r="F10" i="17"/>
  <c r="AO126" i="1"/>
  <c r="D47" i="12" s="1"/>
  <c r="AM126" i="1"/>
  <c r="C47" i="12" s="1"/>
  <c r="AM111" i="1"/>
  <c r="C12" i="12" s="1"/>
  <c r="AO98" i="1"/>
  <c r="D13" i="12" s="1"/>
  <c r="AM78" i="1"/>
  <c r="C113" i="12" s="1"/>
  <c r="AM66" i="1"/>
  <c r="C5" i="12" s="1"/>
  <c r="AM42" i="1"/>
  <c r="C98" i="12" s="1"/>
  <c r="AM21" i="1"/>
  <c r="C62" i="12" s="1"/>
  <c r="AM5" i="1"/>
  <c r="C99" i="12" s="1"/>
  <c r="AO115" i="1"/>
  <c r="D90" i="12" s="1"/>
  <c r="AM98" i="1"/>
  <c r="C13" i="12" s="1"/>
  <c r="AO77" i="1"/>
  <c r="D56" i="12" s="1"/>
  <c r="AO67" i="1"/>
  <c r="D55" i="12" s="1"/>
  <c r="AO46" i="1"/>
  <c r="D51" i="12" s="1"/>
  <c r="AO24" i="1"/>
  <c r="D44" i="12" s="1"/>
  <c r="AO13" i="1"/>
  <c r="D30" i="12" s="1"/>
  <c r="AO118" i="1"/>
  <c r="D128" i="12" s="1"/>
  <c r="AO84" i="1"/>
  <c r="D84" i="12" s="1"/>
  <c r="AM75" i="1"/>
  <c r="C16" i="12" s="1"/>
  <c r="AM61" i="1"/>
  <c r="C102" i="12" s="1"/>
  <c r="AM40" i="1"/>
  <c r="C110" i="12" s="1"/>
  <c r="AM20" i="1"/>
  <c r="C64" i="12" s="1"/>
  <c r="AM8" i="1"/>
  <c r="C108" i="12" s="1"/>
  <c r="AM103" i="1"/>
  <c r="C4" i="12" s="1"/>
  <c r="AO76" i="1"/>
  <c r="D15" i="12" s="1"/>
  <c r="AO66" i="1"/>
  <c r="D5" i="12" s="1"/>
  <c r="AO42" i="1"/>
  <c r="D98" i="12" s="1"/>
  <c r="AO21" i="1"/>
  <c r="D62" i="12" s="1"/>
  <c r="AO10" i="1"/>
  <c r="D117" i="12" s="1"/>
  <c r="AO123" i="1"/>
  <c r="D125" i="12" s="1"/>
  <c r="AO83" i="1"/>
  <c r="D122" i="12" s="1"/>
  <c r="AM74" i="1"/>
  <c r="C96" i="12" s="1"/>
  <c r="AM59" i="1"/>
  <c r="C18" i="12" s="1"/>
  <c r="AM37" i="1"/>
  <c r="C66" i="12" s="1"/>
  <c r="AM17" i="1"/>
  <c r="C103" i="12" s="1"/>
  <c r="AM3" i="1"/>
  <c r="C121" i="12" s="1"/>
  <c r="AM83" i="1"/>
  <c r="C122" i="12" s="1"/>
  <c r="AO75" i="1"/>
  <c r="D16" i="12" s="1"/>
  <c r="AO61" i="1"/>
  <c r="D102" i="12" s="1"/>
  <c r="AO40" i="1"/>
  <c r="D110" i="12" s="1"/>
  <c r="AO20" i="1"/>
  <c r="D64" i="12" s="1"/>
  <c r="AO8" i="1"/>
  <c r="D108" i="12" s="1"/>
  <c r="AO124" i="1"/>
  <c r="D131" i="12" s="1"/>
  <c r="AO116" i="1"/>
  <c r="D11" i="12" s="1"/>
  <c r="AO82" i="1"/>
  <c r="D118" i="12" s="1"/>
  <c r="AM73" i="1"/>
  <c r="C81" i="12" s="1"/>
  <c r="AM58" i="1"/>
  <c r="C67" i="12" s="1"/>
  <c r="AM36" i="1"/>
  <c r="C78" i="12" s="1"/>
  <c r="AM18" i="1"/>
  <c r="C95" i="12" s="1"/>
  <c r="AM4" i="1"/>
  <c r="C42" i="12" s="1"/>
  <c r="AM84" i="1"/>
  <c r="C84" i="12" s="1"/>
  <c r="AO74" i="1"/>
  <c r="D96" i="12" s="1"/>
  <c r="AO59" i="1"/>
  <c r="D18" i="12" s="1"/>
  <c r="AO37" i="1"/>
  <c r="D66" i="12" s="1"/>
  <c r="AO19" i="1"/>
  <c r="D82" i="12" s="1"/>
  <c r="AO5" i="1"/>
  <c r="D99" i="12" s="1"/>
  <c r="AO117" i="1"/>
  <c r="D6" i="12" s="1"/>
  <c r="AO81" i="1"/>
  <c r="D14" i="12" s="1"/>
  <c r="AM70" i="1"/>
  <c r="C107" i="12" s="1"/>
  <c r="AM57" i="1"/>
  <c r="C115" i="12" s="1"/>
  <c r="AM33" i="1"/>
  <c r="C54" i="12" s="1"/>
  <c r="AM14" i="1"/>
  <c r="C43" i="12" s="1"/>
  <c r="AO121" i="1"/>
  <c r="D130" i="12" s="1"/>
  <c r="AM81" i="1"/>
  <c r="C14" i="12" s="1"/>
  <c r="AO73" i="1"/>
  <c r="D81" i="12" s="1"/>
  <c r="AO58" i="1"/>
  <c r="D67" i="12" s="1"/>
  <c r="AO36" i="1"/>
  <c r="D78" i="12" s="1"/>
  <c r="AO18" i="1"/>
  <c r="D95" i="12" s="1"/>
  <c r="AO4" i="1"/>
  <c r="D42" i="12" s="1"/>
  <c r="AO122" i="1"/>
  <c r="D126" i="12" s="1"/>
  <c r="AO111" i="1"/>
  <c r="D12" i="12" s="1"/>
  <c r="AO80" i="1"/>
  <c r="D106" i="12" s="1"/>
  <c r="AM69" i="1"/>
  <c r="C17" i="12" s="1"/>
  <c r="AM56" i="1"/>
  <c r="C57" i="12" s="1"/>
  <c r="AM32" i="1"/>
  <c r="C94" i="12" s="1"/>
  <c r="AM15" i="1"/>
  <c r="AM80" i="1"/>
  <c r="C106" i="12" s="1"/>
  <c r="AO70" i="1"/>
  <c r="D107" i="12" s="1"/>
  <c r="AO57" i="1"/>
  <c r="D115" i="12" s="1"/>
  <c r="AO33" i="1"/>
  <c r="D54" i="12" s="1"/>
  <c r="AO17" i="1"/>
  <c r="D103" i="12" s="1"/>
  <c r="AO3" i="1"/>
  <c r="AO107" i="1"/>
  <c r="D45" i="12" s="1"/>
  <c r="AO79" i="1"/>
  <c r="D120" i="12" s="1"/>
  <c r="AM68" i="1"/>
  <c r="C89" i="12" s="1"/>
  <c r="AM54" i="1"/>
  <c r="C65" i="12" s="1"/>
  <c r="AM27" i="1"/>
  <c r="C69" i="12" s="1"/>
  <c r="AM10" i="1"/>
  <c r="C117" i="12" s="1"/>
  <c r="AO119" i="1"/>
  <c r="D127" i="12" s="1"/>
  <c r="AM115" i="1"/>
  <c r="C90" i="12" s="1"/>
  <c r="AM79" i="1"/>
  <c r="C120" i="12" s="1"/>
  <c r="AO69" i="1"/>
  <c r="D17" i="12" s="1"/>
  <c r="AO56" i="1"/>
  <c r="D57" i="12" s="1"/>
  <c r="AO32" i="1"/>
  <c r="D94" i="12" s="1"/>
  <c r="AO15" i="1"/>
  <c r="D22" i="12" s="1"/>
  <c r="AO120" i="1"/>
  <c r="D129" i="12" s="1"/>
  <c r="AO103" i="1"/>
  <c r="D4" i="12" s="1"/>
  <c r="AM77" i="1"/>
  <c r="AM67" i="1"/>
  <c r="AM46" i="1"/>
  <c r="C51" i="12" s="1"/>
  <c r="AM24" i="1"/>
  <c r="C44" i="12" s="1"/>
  <c r="AM13" i="1"/>
  <c r="C30" i="12" s="1"/>
  <c r="AM116" i="1"/>
  <c r="C11" i="12" s="1"/>
  <c r="AO78" i="1"/>
  <c r="D113" i="12" s="1"/>
  <c r="AO68" i="1"/>
  <c r="D89" i="12" s="1"/>
  <c r="AO54" i="1"/>
  <c r="D65" i="12" s="1"/>
  <c r="AO27" i="1"/>
  <c r="D69" i="12" s="1"/>
  <c r="AO14" i="1"/>
  <c r="D43" i="12" s="1"/>
  <c r="AO125" i="1"/>
  <c r="D46" i="12" s="1"/>
  <c r="AM121" i="1"/>
  <c r="C130" i="12" s="1"/>
  <c r="AM117" i="1"/>
  <c r="C6" i="12" s="1"/>
  <c r="AM107" i="1"/>
  <c r="C45" i="12" s="1"/>
  <c r="AM119" i="1"/>
  <c r="C127" i="12" s="1"/>
  <c r="AM76" i="1"/>
  <c r="C15" i="12" s="1"/>
  <c r="AM19" i="1"/>
  <c r="C82" i="12" s="1"/>
  <c r="AM122" i="1"/>
  <c r="C126" i="12" s="1"/>
  <c r="AM118" i="1"/>
  <c r="C128" i="12" s="1"/>
  <c r="AM124" i="1"/>
  <c r="C131" i="12" s="1"/>
  <c r="AM120" i="1"/>
  <c r="C129" i="12" s="1"/>
  <c r="AM125" i="1"/>
  <c r="C46" i="12" s="1"/>
  <c r="AM82" i="1"/>
  <c r="C118" i="12" s="1"/>
  <c r="AM123" i="1"/>
  <c r="C125" i="12" s="1"/>
  <c r="K65" i="30"/>
  <c r="K9" i="30"/>
  <c r="K50" i="30"/>
  <c r="K28" i="30"/>
  <c r="K21" i="30"/>
  <c r="K55" i="30"/>
  <c r="K60" i="30"/>
  <c r="K75" i="30"/>
  <c r="K57" i="30"/>
  <c r="K18" i="30"/>
  <c r="K13" i="30"/>
  <c r="K74" i="30"/>
  <c r="K72" i="30"/>
  <c r="K3" i="30"/>
  <c r="AM43" i="1"/>
  <c r="C76" i="12" s="1"/>
  <c r="AM62" i="1"/>
  <c r="C61" i="12" s="1"/>
  <c r="AM65" i="1"/>
  <c r="C58" i="12" s="1"/>
  <c r="AM85" i="1"/>
  <c r="C41" i="12" s="1"/>
  <c r="AM35" i="1"/>
  <c r="C83" i="12" s="1"/>
  <c r="AM23" i="1"/>
  <c r="C92" i="12" s="1"/>
  <c r="AM50" i="1"/>
  <c r="C71" i="12" s="1"/>
  <c r="AM105" i="1"/>
  <c r="AM106" i="1"/>
  <c r="AO101" i="1"/>
  <c r="D28" i="12" s="1"/>
  <c r="AO35" i="1"/>
  <c r="D83" i="12" s="1"/>
  <c r="AO113" i="1"/>
  <c r="D20" i="12" s="1"/>
  <c r="AO28" i="1"/>
  <c r="D88" i="12" s="1"/>
  <c r="AO89" i="1"/>
  <c r="D38" i="12" s="1"/>
  <c r="AO47" i="1"/>
  <c r="D74" i="12" s="1"/>
  <c r="AO85" i="1"/>
  <c r="D41" i="12" s="1"/>
  <c r="AO55" i="1"/>
  <c r="D68" i="12" s="1"/>
  <c r="AO9" i="1"/>
  <c r="D104" i="12" s="1"/>
  <c r="AO71" i="1"/>
  <c r="D53" i="12" s="1"/>
  <c r="AO110" i="1"/>
  <c r="D23" i="12" s="1"/>
  <c r="AO44" i="1"/>
  <c r="D75" i="12" s="1"/>
  <c r="AO49" i="1"/>
  <c r="D72" i="12" s="1"/>
  <c r="AO34" i="1"/>
  <c r="D7" i="12" s="1"/>
  <c r="AO53" i="1"/>
  <c r="D116" i="12" s="1"/>
  <c r="AO102" i="1"/>
  <c r="D27" i="12" s="1"/>
  <c r="AO93" i="1"/>
  <c r="D34" i="12" s="1"/>
  <c r="AO64" i="1"/>
  <c r="D59" i="12" s="1"/>
  <c r="AO60" i="1"/>
  <c r="D63" i="12" s="1"/>
  <c r="AO52" i="1"/>
  <c r="D112" i="12" s="1"/>
  <c r="AO43" i="1"/>
  <c r="D76" i="12" s="1"/>
  <c r="AO65" i="1"/>
  <c r="D58" i="12" s="1"/>
  <c r="AO87" i="1"/>
  <c r="D39" i="12" s="1"/>
  <c r="AO105" i="1"/>
  <c r="D119" i="12" s="1"/>
  <c r="AO112" i="1"/>
  <c r="D21" i="12" s="1"/>
  <c r="AO26" i="1"/>
  <c r="D124" i="12" s="1"/>
  <c r="AO114" i="1"/>
  <c r="D19" i="12" s="1"/>
  <c r="AO109" i="1"/>
  <c r="D24" i="12" s="1"/>
  <c r="AO48" i="1"/>
  <c r="D73" i="12" s="1"/>
  <c r="AO99" i="1"/>
  <c r="D8" i="12" s="1"/>
  <c r="AO62" i="1"/>
  <c r="D61" i="12" s="1"/>
  <c r="AO50" i="1"/>
  <c r="D71" i="12" s="1"/>
  <c r="AO91" i="1"/>
  <c r="D36" i="12" s="1"/>
  <c r="AO92" i="1"/>
  <c r="D35" i="12" s="1"/>
  <c r="AO72" i="1"/>
  <c r="D52" i="12" s="1"/>
  <c r="AO90" i="1"/>
  <c r="D37" i="12" s="1"/>
  <c r="AO86" i="1"/>
  <c r="D40" i="12" s="1"/>
  <c r="AO6" i="1"/>
  <c r="D105" i="12" s="1"/>
  <c r="AO45" i="1"/>
  <c r="D123" i="12" s="1"/>
  <c r="AO30" i="1"/>
  <c r="D86" i="12" s="1"/>
  <c r="AO7" i="1"/>
  <c r="D10" i="12" s="1"/>
  <c r="AO12" i="1"/>
  <c r="D100" i="12" s="1"/>
  <c r="AO16" i="1"/>
  <c r="D97" i="12" s="1"/>
  <c r="AO100" i="1"/>
  <c r="D29" i="12" s="1"/>
  <c r="AO95" i="1"/>
  <c r="D32" i="12" s="1"/>
  <c r="AO97" i="1"/>
  <c r="D31" i="12" s="1"/>
  <c r="AO38" i="1"/>
  <c r="D80" i="12" s="1"/>
  <c r="AO94" i="1"/>
  <c r="D33" i="12" s="1"/>
  <c r="AO104" i="1"/>
  <c r="D26" i="12" s="1"/>
  <c r="AO41" i="1"/>
  <c r="D77" i="12" s="1"/>
  <c r="AO63" i="1"/>
  <c r="D60" i="12" s="1"/>
  <c r="AO39" i="1"/>
  <c r="D79" i="12" s="1"/>
  <c r="AO23" i="1"/>
  <c r="D92" i="12" s="1"/>
  <c r="AO51" i="1"/>
  <c r="D70" i="12" s="1"/>
  <c r="AO96" i="1"/>
  <c r="D9" i="12" s="1"/>
  <c r="AO108" i="1"/>
  <c r="D111" i="12" s="1"/>
  <c r="AO106" i="1"/>
  <c r="D25" i="12" s="1"/>
  <c r="AO88" i="1"/>
  <c r="D114" i="12" s="1"/>
  <c r="AO31" i="1"/>
  <c r="D85" i="12" s="1"/>
  <c r="AO25" i="1"/>
  <c r="D91" i="12" s="1"/>
  <c r="AO11" i="1"/>
  <c r="D101" i="12" s="1"/>
  <c r="AO29" i="1"/>
  <c r="D87" i="12" s="1"/>
  <c r="AO22" i="1"/>
  <c r="D93" i="12" s="1"/>
  <c r="AM25" i="1"/>
  <c r="C91" i="12" s="1"/>
  <c r="AM53" i="1"/>
  <c r="C116" i="12" s="1"/>
  <c r="AM72" i="1"/>
  <c r="C52" i="12" s="1"/>
  <c r="AM7" i="1"/>
  <c r="C10" i="12" s="1"/>
  <c r="AM52" i="1"/>
  <c r="C112" i="12" s="1"/>
  <c r="AM97" i="1"/>
  <c r="C31" i="12" s="1"/>
  <c r="AM88" i="1"/>
  <c r="C114" i="12" s="1"/>
  <c r="AM48" i="1"/>
  <c r="C73" i="12" s="1"/>
  <c r="AM90" i="1"/>
  <c r="C37" i="12" s="1"/>
  <c r="AM22" i="1"/>
  <c r="C93" i="12" s="1"/>
  <c r="AM45" i="1"/>
  <c r="C123" i="12" s="1"/>
  <c r="AM30" i="1"/>
  <c r="C86" i="12" s="1"/>
  <c r="AM92" i="1"/>
  <c r="C35" i="12" s="1"/>
  <c r="AM9" i="1"/>
  <c r="C104" i="12" s="1"/>
  <c r="AM38" i="1"/>
  <c r="C80" i="12" s="1"/>
  <c r="AM86" i="1"/>
  <c r="C40" i="12" s="1"/>
  <c r="AM94" i="1"/>
  <c r="C33" i="12" s="1"/>
  <c r="AM102" i="1"/>
  <c r="C27" i="12" s="1"/>
  <c r="AM55" i="1"/>
  <c r="C68" i="12" s="1"/>
  <c r="AM31" i="1"/>
  <c r="C85" i="12" s="1"/>
  <c r="AM87" i="1"/>
  <c r="C39" i="12" s="1"/>
  <c r="AM104" i="1"/>
  <c r="C26" i="12" s="1"/>
  <c r="AM113" i="1"/>
  <c r="AM71" i="1"/>
  <c r="C53" i="12" s="1"/>
  <c r="AM16" i="1"/>
  <c r="C97" i="12" s="1"/>
  <c r="AM51" i="1"/>
  <c r="AM108" i="1"/>
  <c r="C111" i="12" s="1"/>
  <c r="AM96" i="1"/>
  <c r="C9" i="12" s="1"/>
  <c r="AM28" i="1"/>
  <c r="C88" i="12" s="1"/>
  <c r="AM109" i="1"/>
  <c r="C24" i="12" s="1"/>
  <c r="AM114" i="1"/>
  <c r="AM34" i="1"/>
  <c r="C7" i="12" s="1"/>
  <c r="AM95" i="1"/>
  <c r="C32" i="12" s="1"/>
  <c r="AM44" i="1"/>
  <c r="C75" i="12" s="1"/>
  <c r="AM39" i="1"/>
  <c r="C79" i="12" s="1"/>
  <c r="AM89" i="1"/>
  <c r="C38" i="12" s="1"/>
  <c r="AM11" i="1"/>
  <c r="C101" i="12" s="1"/>
  <c r="AM100" i="1"/>
  <c r="C29" i="12" s="1"/>
  <c r="AM6" i="1"/>
  <c r="C105" i="12" s="1"/>
  <c r="AM47" i="1"/>
  <c r="C74" i="12" s="1"/>
  <c r="AM63" i="1"/>
  <c r="C60" i="12" s="1"/>
  <c r="AM41" i="1"/>
  <c r="AM26" i="1"/>
  <c r="C124" i="12" s="1"/>
  <c r="AM110" i="1"/>
  <c r="C23" i="12" s="1"/>
  <c r="AM99" i="1"/>
  <c r="C8" i="12" s="1"/>
  <c r="AM49" i="1"/>
  <c r="C72" i="12" s="1"/>
  <c r="AM12" i="1"/>
  <c r="C100" i="12" s="1"/>
  <c r="AM29" i="1"/>
  <c r="C87" i="12" s="1"/>
  <c r="AM91" i="1"/>
  <c r="C36" i="12" s="1"/>
  <c r="AM60" i="1"/>
  <c r="C63" i="12" s="1"/>
  <c r="AM64" i="1"/>
  <c r="AM112" i="1"/>
  <c r="C21" i="12" s="1"/>
  <c r="AM101" i="1"/>
  <c r="C28" i="12" s="1"/>
  <c r="AM93" i="1"/>
  <c r="C34" i="12" s="1"/>
  <c r="AG43" i="12" a="1"/>
  <c r="AG43" i="12" s="1"/>
  <c r="M55" i="12"/>
  <c r="M99" i="12"/>
  <c r="M67" i="12"/>
  <c r="U96" i="1"/>
  <c r="M52" i="12"/>
  <c r="J52" i="12" s="1"/>
  <c r="AA52" i="12" a="1"/>
  <c r="AA52" i="12" s="1"/>
  <c r="M10" i="12"/>
  <c r="M31" i="12"/>
  <c r="J31" i="12" s="1"/>
  <c r="M74" i="12"/>
  <c r="J74" i="12" s="1"/>
  <c r="M76" i="12"/>
  <c r="J76" i="12" s="1"/>
  <c r="M21" i="12"/>
  <c r="J21" i="12" s="1"/>
  <c r="M8" i="12"/>
  <c r="J8" i="12" s="1"/>
  <c r="M36" i="12"/>
  <c r="J36" i="12" s="1"/>
  <c r="M27" i="12"/>
  <c r="J27" i="12" s="1"/>
  <c r="M85" i="12"/>
  <c r="J85" i="12" s="1"/>
  <c r="M100" i="12"/>
  <c r="J100" i="12" s="1"/>
  <c r="M19" i="12"/>
  <c r="J19" i="12" s="1"/>
  <c r="M28" i="12"/>
  <c r="J28" i="12" s="1"/>
  <c r="M34" i="12"/>
  <c r="J34" i="12" s="1"/>
  <c r="M26" i="12"/>
  <c r="J26" i="12" s="1"/>
  <c r="M112" i="12"/>
  <c r="J112" i="12" s="1"/>
  <c r="M39" i="12"/>
  <c r="J39" i="12" s="1"/>
  <c r="M72" i="12"/>
  <c r="J72" i="12" s="1"/>
  <c r="M86" i="12"/>
  <c r="J86" i="12" s="1"/>
  <c r="M101" i="12"/>
  <c r="J101" i="12" s="1"/>
  <c r="M53" i="12"/>
  <c r="J53" i="12" s="1"/>
  <c r="M88" i="12"/>
  <c r="J88" i="12" s="1"/>
  <c r="M114" i="12"/>
  <c r="J114" i="12" s="1"/>
  <c r="M37" i="12"/>
  <c r="J37" i="12" s="1"/>
  <c r="M119" i="12"/>
  <c r="J119" i="12" s="1"/>
  <c r="M32" i="12"/>
  <c r="J32" i="12" s="1"/>
  <c r="M105" i="12"/>
  <c r="J105" i="12" s="1"/>
  <c r="M87" i="12"/>
  <c r="J87" i="12" s="1"/>
  <c r="M77" i="12"/>
  <c r="J77" i="12" s="1"/>
  <c r="M41" i="12"/>
  <c r="J41" i="12" s="1"/>
  <c r="M23" i="12"/>
  <c r="J23" i="12" s="1"/>
  <c r="M35" i="12"/>
  <c r="J35" i="12" s="1"/>
  <c r="M40" i="12"/>
  <c r="J40" i="12" s="1"/>
  <c r="M33" i="12"/>
  <c r="J33" i="12" s="1"/>
  <c r="M20" i="12"/>
  <c r="J20" i="12" s="1"/>
  <c r="M29" i="12"/>
  <c r="J29" i="12" s="1"/>
  <c r="M63" i="12"/>
  <c r="J63" i="12" s="1"/>
  <c r="M73" i="12"/>
  <c r="J73" i="12" s="1"/>
  <c r="M7" i="12"/>
  <c r="J7" i="12" s="1"/>
  <c r="M124" i="12"/>
  <c r="J124" i="12" s="1"/>
  <c r="M38" i="12"/>
  <c r="J38" i="12" s="1"/>
  <c r="E76" i="15"/>
  <c r="E115" i="15"/>
  <c r="E113" i="15"/>
  <c r="E78" i="15"/>
  <c r="E77" i="15"/>
  <c r="E64" i="15"/>
  <c r="E65" i="15"/>
  <c r="E66" i="15"/>
  <c r="E67" i="15"/>
  <c r="E68" i="15"/>
  <c r="E69" i="15"/>
  <c r="E70" i="15"/>
  <c r="E71" i="15"/>
  <c r="E72" i="15"/>
  <c r="E73" i="15"/>
  <c r="E108" i="15"/>
  <c r="E109" i="15"/>
  <c r="E74" i="15"/>
  <c r="E75" i="15"/>
  <c r="E79" i="15"/>
  <c r="E80" i="15"/>
  <c r="E81" i="15"/>
  <c r="E83" i="15"/>
  <c r="E84" i="15"/>
  <c r="E85" i="15"/>
  <c r="E86" i="15"/>
  <c r="E87" i="15"/>
  <c r="E88" i="15"/>
  <c r="E89" i="15"/>
  <c r="E90" i="15"/>
  <c r="E91" i="15"/>
  <c r="E92" i="15"/>
  <c r="E93" i="15"/>
  <c r="E97" i="15"/>
  <c r="E98" i="15"/>
  <c r="E99" i="15"/>
  <c r="E100" i="15"/>
  <c r="E101" i="15"/>
  <c r="E102" i="15"/>
  <c r="E106" i="15"/>
  <c r="E107" i="15"/>
  <c r="E104" i="15"/>
  <c r="E105" i="15"/>
  <c r="E110" i="15"/>
  <c r="E111" i="15"/>
  <c r="E112" i="15"/>
  <c r="C24" i="18"/>
  <c r="C4" i="18"/>
  <c r="C25" i="18"/>
  <c r="C26" i="18"/>
  <c r="C5" i="18"/>
  <c r="C18" i="18"/>
  <c r="C23" i="18"/>
  <c r="C22" i="18"/>
  <c r="C21" i="18"/>
  <c r="C14" i="18"/>
  <c r="C13" i="18"/>
  <c r="C12" i="18"/>
  <c r="C11" i="18"/>
  <c r="C10" i="18"/>
  <c r="C9" i="18"/>
  <c r="C7" i="18"/>
  <c r="C6" i="18"/>
  <c r="AF23" i="1"/>
  <c r="K54" i="30" l="1"/>
  <c r="K71" i="30"/>
  <c r="K27" i="30"/>
  <c r="D121" i="12"/>
  <c r="I17" i="17"/>
  <c r="H17" i="17" s="1"/>
  <c r="I20" i="17"/>
  <c r="H20" i="17" s="1"/>
  <c r="I56" i="17"/>
  <c r="H56" i="17" s="1"/>
  <c r="I6" i="17"/>
  <c r="H6" i="17" s="1"/>
  <c r="I55" i="17"/>
  <c r="H55" i="17" s="1"/>
  <c r="I7" i="17"/>
  <c r="H7" i="17" s="1"/>
  <c r="I9" i="17"/>
  <c r="H9" i="17" s="1"/>
  <c r="I53" i="17"/>
  <c r="H53" i="17" s="1"/>
  <c r="I11" i="17"/>
  <c r="H11" i="17" s="1"/>
  <c r="I18" i="17"/>
  <c r="H18" i="17" s="1"/>
  <c r="I12" i="17"/>
  <c r="H12" i="17" s="1"/>
  <c r="I61" i="17"/>
  <c r="H61" i="17" s="1"/>
  <c r="I13" i="17"/>
  <c r="H13" i="17" s="1"/>
  <c r="I59" i="17"/>
  <c r="H59" i="17" s="1"/>
  <c r="I52" i="17"/>
  <c r="H52" i="17" s="1"/>
  <c r="I15" i="17"/>
  <c r="H15" i="17" s="1"/>
  <c r="I60" i="17"/>
  <c r="H60" i="17" s="1"/>
  <c r="I58" i="17"/>
  <c r="H58" i="17" s="1"/>
  <c r="I63" i="17"/>
  <c r="H63" i="17" s="1"/>
  <c r="I54" i="17"/>
  <c r="H54" i="17" s="1"/>
  <c r="I14" i="17"/>
  <c r="H14" i="17" s="1"/>
  <c r="I19" i="17"/>
  <c r="H19" i="17" s="1"/>
  <c r="I8" i="17"/>
  <c r="H8" i="17" s="1"/>
  <c r="I21" i="17"/>
  <c r="H21" i="17" s="1"/>
  <c r="C22" i="12"/>
  <c r="F57" i="17"/>
  <c r="E57" i="17" s="1"/>
  <c r="C59" i="12"/>
  <c r="C70" i="12"/>
  <c r="C19" i="12"/>
  <c r="C55" i="12"/>
  <c r="C77" i="12"/>
  <c r="C25" i="12"/>
  <c r="C20" i="12"/>
  <c r="C119" i="12"/>
  <c r="C56" i="12"/>
  <c r="F7" i="17"/>
  <c r="E7" i="17" s="1"/>
  <c r="F19" i="17"/>
  <c r="F58" i="17"/>
  <c r="E58" i="17" s="1"/>
  <c r="F13" i="17"/>
  <c r="C58" i="17"/>
  <c r="C56" i="17"/>
  <c r="F52" i="17"/>
  <c r="C8" i="17"/>
  <c r="C11" i="17"/>
  <c r="C15" i="17"/>
  <c r="C53" i="17"/>
  <c r="F61" i="17"/>
  <c r="E61" i="17" s="1"/>
  <c r="C21" i="17"/>
  <c r="F54" i="17"/>
  <c r="E54" i="17" s="1"/>
  <c r="C63" i="17"/>
  <c r="C18" i="17"/>
  <c r="F9" i="17"/>
  <c r="E9" i="17" s="1"/>
  <c r="F56" i="17"/>
  <c r="E56" i="17" s="1"/>
  <c r="C52" i="17"/>
  <c r="F8" i="17"/>
  <c r="F6" i="17"/>
  <c r="F20" i="17"/>
  <c r="C17" i="17"/>
  <c r="C60" i="17"/>
  <c r="C61" i="17"/>
  <c r="F60" i="17"/>
  <c r="E60" i="17" s="1"/>
  <c r="F63" i="17"/>
  <c r="E63" i="17" s="1"/>
  <c r="F18" i="17"/>
  <c r="C54" i="17"/>
  <c r="F59" i="17"/>
  <c r="E59" i="17" s="1"/>
  <c r="C7" i="17"/>
  <c r="C6" i="17"/>
  <c r="F15" i="17"/>
  <c r="C20" i="17"/>
  <c r="F14" i="17"/>
  <c r="C55" i="17"/>
  <c r="F21" i="17"/>
  <c r="C19" i="17"/>
  <c r="C14" i="17"/>
  <c r="F53" i="17"/>
  <c r="E53" i="17" s="1"/>
  <c r="C13" i="17"/>
  <c r="F12" i="17"/>
  <c r="F17" i="17"/>
  <c r="F11" i="17"/>
  <c r="F55" i="17"/>
  <c r="E55" i="17" s="1"/>
  <c r="C12" i="17"/>
  <c r="C9" i="17"/>
  <c r="C59" i="17"/>
  <c r="M60" i="12"/>
  <c r="J60" i="12" s="1"/>
  <c r="M24" i="12"/>
  <c r="M68" i="12"/>
  <c r="E60" i="15"/>
  <c r="E61" i="15"/>
  <c r="E62" i="15"/>
  <c r="I64" i="17" l="1"/>
  <c r="H64" i="17"/>
  <c r="I24" i="17"/>
  <c r="H24" i="17"/>
  <c r="F64" i="17"/>
  <c r="E52" i="17"/>
  <c r="C24" i="17"/>
  <c r="E59" i="15"/>
  <c r="AF51" i="1"/>
  <c r="U51" i="1" s="1"/>
  <c r="M70" i="12" l="1"/>
  <c r="J70" i="12" s="1"/>
  <c r="M93" i="12"/>
  <c r="J93" i="12" s="1"/>
  <c r="E58" i="15" l="1"/>
  <c r="C15" i="18"/>
  <c r="E56" i="15"/>
  <c r="AF35" i="1"/>
  <c r="E57" i="15"/>
  <c r="AF38" i="1"/>
  <c r="K39" i="30" l="1"/>
  <c r="M83" i="12"/>
  <c r="J83" i="12" s="1"/>
  <c r="B52" i="17"/>
  <c r="E64" i="17"/>
  <c r="D64" i="17"/>
  <c r="D24" i="17"/>
  <c r="B53" i="17"/>
  <c r="B54" i="17"/>
  <c r="B55" i="17"/>
  <c r="B56" i="17"/>
  <c r="B57" i="17"/>
  <c r="B58" i="17"/>
  <c r="B59" i="17"/>
  <c r="B60" i="17"/>
  <c r="B61" i="17"/>
  <c r="B62" i="17"/>
  <c r="B63" i="17"/>
  <c r="M80" i="12" l="1"/>
  <c r="B64" i="17"/>
  <c r="C64" i="17"/>
  <c r="J43" i="12" l="1"/>
  <c r="J109" i="12"/>
  <c r="J10" i="12"/>
  <c r="J68" i="12"/>
  <c r="J24" i="12"/>
  <c r="J80" i="12"/>
  <c r="AF65" i="1"/>
  <c r="B7" i="16"/>
  <c r="C3" i="16"/>
  <c r="N6" i="16" s="1"/>
  <c r="C17" i="18" l="1"/>
  <c r="E54" i="15"/>
  <c r="E55" i="15"/>
  <c r="C20" i="18"/>
  <c r="C6" i="16"/>
  <c r="G6" i="16"/>
  <c r="K6" i="16"/>
  <c r="D6" i="16"/>
  <c r="H6" i="16"/>
  <c r="L6" i="16"/>
  <c r="E6" i="16"/>
  <c r="I6" i="16"/>
  <c r="M6" i="16"/>
  <c r="F6" i="16"/>
  <c r="J6" i="16"/>
  <c r="E53" i="15"/>
  <c r="K43" i="30" l="1"/>
  <c r="M79" i="12"/>
  <c r="J79" i="12" s="1"/>
  <c r="M61" i="12"/>
  <c r="J61" i="12" s="1"/>
  <c r="C16" i="18"/>
  <c r="M58" i="12" l="1"/>
  <c r="J58" i="12" s="1"/>
  <c r="B7" i="13"/>
  <c r="C3" i="13"/>
  <c r="C6" i="13" s="1"/>
  <c r="I1" i="12"/>
  <c r="AF49" i="1"/>
  <c r="E49" i="15"/>
  <c r="AF30" i="1"/>
  <c r="AF29" i="1"/>
  <c r="AF47" i="1"/>
  <c r="E44" i="15"/>
  <c r="AF48" i="1"/>
  <c r="AF43" i="1"/>
  <c r="M111" i="12" s="1"/>
  <c r="J111" i="12" s="1"/>
  <c r="E41" i="15"/>
  <c r="AF26" i="1"/>
  <c r="M54" i="12"/>
  <c r="AF31" i="1"/>
  <c r="AF52" i="1"/>
  <c r="E29" i="15"/>
  <c r="M94" i="12"/>
  <c r="E22" i="15"/>
  <c r="AF44" i="1"/>
  <c r="E21" i="15"/>
  <c r="M95" i="12"/>
  <c r="AF6" i="1"/>
  <c r="E18" i="15"/>
  <c r="AF64" i="1"/>
  <c r="E17" i="15"/>
  <c r="AF11" i="1"/>
  <c r="E16" i="15"/>
  <c r="AF50" i="1"/>
  <c r="E13" i="15"/>
  <c r="AF60" i="1"/>
  <c r="AF45" i="1"/>
  <c r="AF16" i="1"/>
  <c r="U16" i="1" s="1"/>
  <c r="AF34" i="1"/>
  <c r="AF9" i="1"/>
  <c r="AQ1" i="1"/>
  <c r="H371" i="10"/>
  <c r="H359" i="10"/>
  <c r="H357" i="10"/>
  <c r="H356" i="10"/>
  <c r="H347" i="10"/>
  <c r="R1" i="10"/>
  <c r="AL104" i="12" l="1" a="1"/>
  <c r="AL104" i="12" s="1"/>
  <c r="AL79" i="12" a="1"/>
  <c r="AL79" i="12" s="1"/>
  <c r="AL26" i="12" a="1"/>
  <c r="AL26" i="12" s="1"/>
  <c r="AL67" i="12" a="1"/>
  <c r="AL67" i="12" s="1"/>
  <c r="AL130" i="12" a="1"/>
  <c r="AL130" i="12" s="1"/>
  <c r="AL60" i="12" a="1"/>
  <c r="AL60" i="12" s="1"/>
  <c r="AL48" i="12" a="1"/>
  <c r="AL48" i="12" s="1"/>
  <c r="AL33" i="12" a="1"/>
  <c r="AL33" i="12" s="1"/>
  <c r="AL41" i="12" a="1"/>
  <c r="AL41" i="12" s="1"/>
  <c r="AL128" i="12" a="1"/>
  <c r="AL128" i="12" s="1"/>
  <c r="AL31" i="12" a="1"/>
  <c r="AL31" i="12" s="1"/>
  <c r="AL124" i="12" a="1"/>
  <c r="AL124" i="12" s="1"/>
  <c r="AL90" i="12" a="1"/>
  <c r="AL90" i="12" s="1"/>
  <c r="AL15" i="12" a="1"/>
  <c r="AL15" i="12" s="1"/>
  <c r="AL97" i="12" a="1"/>
  <c r="AL97" i="12" s="1"/>
  <c r="AL75" i="12" a="1"/>
  <c r="AL75" i="12" s="1"/>
  <c r="AL64" i="12" a="1"/>
  <c r="AL64" i="12" s="1"/>
  <c r="AL113" i="12" a="1"/>
  <c r="AL113" i="12" s="1"/>
  <c r="AL55" i="12" a="1"/>
  <c r="AL55" i="12" s="1"/>
  <c r="AL83" i="12" a="1"/>
  <c r="AL83" i="12" s="1"/>
  <c r="AL94" i="12" a="1"/>
  <c r="AL94" i="12" s="1"/>
  <c r="AL29" i="12" a="1"/>
  <c r="AL29" i="12" s="1"/>
  <c r="D10" i="21"/>
  <c r="H10" i="21"/>
  <c r="D9" i="16"/>
  <c r="J9" i="16"/>
  <c r="M9" i="16"/>
  <c r="K9" i="16"/>
  <c r="E9" i="16"/>
  <c r="K10" i="16"/>
  <c r="AL119" i="12" a="1"/>
  <c r="AL119" i="12" s="1"/>
  <c r="AL69" i="12" a="1"/>
  <c r="AL69" i="12" s="1"/>
  <c r="AL88" i="12" a="1"/>
  <c r="AL88" i="12" s="1"/>
  <c r="AL86" i="12" a="1"/>
  <c r="AL86" i="12" s="1"/>
  <c r="AL100" i="12" a="1"/>
  <c r="AL100" i="12" s="1"/>
  <c r="AL57" i="12" a="1"/>
  <c r="AL57" i="12" s="1"/>
  <c r="AL95" i="12" a="1"/>
  <c r="AL95" i="12" s="1"/>
  <c r="AL70" i="12" a="1"/>
  <c r="AL70" i="12" s="1"/>
  <c r="AL87" i="12" a="1"/>
  <c r="AL87" i="12" s="1"/>
  <c r="AL50" i="12" a="1"/>
  <c r="AL50" i="12" s="1"/>
  <c r="AL56" i="12" a="1"/>
  <c r="AL56" i="12" s="1"/>
  <c r="AL115" i="12" a="1"/>
  <c r="AL115" i="12" s="1"/>
  <c r="AL122" i="12" a="1"/>
  <c r="AL122" i="12" s="1"/>
  <c r="AL14" i="12" a="1"/>
  <c r="AL14" i="12" s="1"/>
  <c r="AL46" i="12" a="1"/>
  <c r="AL46" i="12" s="1"/>
  <c r="AL18" i="12" a="1"/>
  <c r="AL18" i="12" s="1"/>
  <c r="AL110" i="12" a="1"/>
  <c r="AL110" i="12" s="1"/>
  <c r="AL131" i="12" a="1"/>
  <c r="AL131" i="12" s="1"/>
  <c r="AL127" i="12" a="1"/>
  <c r="AL127" i="12" s="1"/>
  <c r="AL37" i="12" a="1"/>
  <c r="AL37" i="12" s="1"/>
  <c r="AL42" i="12" a="1"/>
  <c r="AL42" i="12" s="1"/>
  <c r="AL126" i="12" a="1"/>
  <c r="AL126" i="12" s="1"/>
  <c r="N10" i="16"/>
  <c r="I10" i="21"/>
  <c r="M10" i="21"/>
  <c r="L10" i="21"/>
  <c r="D9" i="21"/>
  <c r="F10" i="16"/>
  <c r="F9" i="21"/>
  <c r="G10" i="16"/>
  <c r="I10" i="16"/>
  <c r="N10" i="21"/>
  <c r="E10" i="21"/>
  <c r="E10" i="16"/>
  <c r="AL39" i="12" a="1"/>
  <c r="AL39" i="12" s="1"/>
  <c r="AL36" i="12" a="1"/>
  <c r="AL36" i="12" s="1"/>
  <c r="AL52" i="12" a="1"/>
  <c r="AL52" i="12" s="1"/>
  <c r="AL85" i="12" a="1"/>
  <c r="AL85" i="12" s="1"/>
  <c r="AL9" i="12" a="1"/>
  <c r="AL9" i="12" s="1"/>
  <c r="AL54" i="12" a="1"/>
  <c r="AL54" i="12" s="1"/>
  <c r="AL71" i="12" a="1"/>
  <c r="AL71" i="12" s="1"/>
  <c r="AL123" i="12" a="1"/>
  <c r="AL123" i="12" s="1"/>
  <c r="AL78" i="12" a="1"/>
  <c r="AL78" i="12" s="1"/>
  <c r="AL47" i="12" a="1"/>
  <c r="AL47" i="12" s="1"/>
  <c r="AL7" i="12" a="1"/>
  <c r="AL7" i="12" s="1"/>
  <c r="AL62" i="12" a="1"/>
  <c r="AL62" i="12" s="1"/>
  <c r="AL19" i="12" a="1"/>
  <c r="AL19" i="12" s="1"/>
  <c r="AL108" i="12" a="1"/>
  <c r="AL108" i="12" s="1"/>
  <c r="AL84" i="12" a="1"/>
  <c r="AL84" i="12" s="1"/>
  <c r="AL98" i="12" a="1"/>
  <c r="AL98" i="12" s="1"/>
  <c r="AL92" i="12" a="1"/>
  <c r="AL92" i="12" s="1"/>
  <c r="AL114" i="12" a="1"/>
  <c r="AL114" i="12" s="1"/>
  <c r="AL6" i="12" a="1"/>
  <c r="AL6" i="12" s="1"/>
  <c r="AL4" i="12" a="1"/>
  <c r="AL4" i="12" s="1"/>
  <c r="AL34" i="12" a="1"/>
  <c r="AL34" i="12" s="1"/>
  <c r="M10" i="16"/>
  <c r="G10" i="21"/>
  <c r="F9" i="16"/>
  <c r="D10" i="16"/>
  <c r="N9" i="21"/>
  <c r="H9" i="16"/>
  <c r="M9" i="21"/>
  <c r="I9" i="16"/>
  <c r="E9" i="21"/>
  <c r="L10" i="16"/>
  <c r="G9" i="16"/>
  <c r="C9" i="21"/>
  <c r="AL91" i="12" a="1"/>
  <c r="AL91" i="12" s="1"/>
  <c r="AL10" i="12" a="1"/>
  <c r="AL10" i="12" s="1"/>
  <c r="AL30" i="12" a="1"/>
  <c r="AL30" i="12" s="1"/>
  <c r="AL93" i="12" a="1"/>
  <c r="AL93" i="12" s="1"/>
  <c r="AL106" i="12" a="1"/>
  <c r="AL106" i="12" s="1"/>
  <c r="AL77" i="12" a="1"/>
  <c r="AL77" i="12" s="1"/>
  <c r="AL8" i="12" a="1"/>
  <c r="AL8" i="12" s="1"/>
  <c r="AL38" i="12" a="1"/>
  <c r="AL38" i="12" s="1"/>
  <c r="AL53" i="12" a="1"/>
  <c r="AL53" i="12" s="1"/>
  <c r="AL49" i="12" a="1"/>
  <c r="AL49" i="12" s="1"/>
  <c r="AL103" i="12" a="1"/>
  <c r="AL103" i="12" s="1"/>
  <c r="AL89" i="12" a="1"/>
  <c r="AL89" i="12" s="1"/>
  <c r="AL27" i="12" a="1"/>
  <c r="AL27" i="12" s="1"/>
  <c r="AL35" i="12" a="1"/>
  <c r="AL35" i="12" s="1"/>
  <c r="AL5" i="12" a="1"/>
  <c r="AL5" i="12" s="1"/>
  <c r="AL72" i="12" a="1"/>
  <c r="AL72" i="12" s="1"/>
  <c r="AL76" i="12" a="1"/>
  <c r="AL76" i="12" s="1"/>
  <c r="AL80" i="12" a="1"/>
  <c r="AL80" i="12" s="1"/>
  <c r="AL105" i="12" a="1"/>
  <c r="AL105" i="12" s="1"/>
  <c r="AL61" i="12" a="1"/>
  <c r="AL61" i="12" s="1"/>
  <c r="AL112" i="12" a="1"/>
  <c r="AL112" i="12" s="1"/>
  <c r="G9" i="21"/>
  <c r="N9" i="16"/>
  <c r="H10" i="16"/>
  <c r="H9" i="21"/>
  <c r="L9" i="21"/>
  <c r="F10" i="21"/>
  <c r="L9" i="16"/>
  <c r="C10" i="16"/>
  <c r="I9" i="21"/>
  <c r="K10" i="21"/>
  <c r="J10" i="16"/>
  <c r="J10" i="21"/>
  <c r="C10" i="21"/>
  <c r="J9" i="21"/>
  <c r="K9" i="21"/>
  <c r="C9" i="16"/>
  <c r="N50" i="12" a="1"/>
  <c r="N50" i="12" s="1"/>
  <c r="AX50" i="12" a="1"/>
  <c r="AX50" i="12" s="1"/>
  <c r="AP50" i="12" a="1"/>
  <c r="AP50" i="12" s="1"/>
  <c r="AS50" i="12" a="1"/>
  <c r="AS50" i="12" s="1"/>
  <c r="AV50" i="12" a="1"/>
  <c r="AV50" i="12" s="1"/>
  <c r="AT50" i="12" a="1"/>
  <c r="AT50" i="12" s="1"/>
  <c r="AR50" i="12" a="1"/>
  <c r="AR50" i="12" s="1"/>
  <c r="AO50" i="12" a="1"/>
  <c r="AO50" i="12" s="1"/>
  <c r="AW50" i="12" a="1"/>
  <c r="AW50" i="12" s="1"/>
  <c r="AM50" i="12" a="1"/>
  <c r="AM50" i="12" s="1"/>
  <c r="AN50" i="12" a="1"/>
  <c r="AN50" i="12" s="1"/>
  <c r="AU50" i="12" a="1"/>
  <c r="AU50" i="12" s="1"/>
  <c r="J49" i="12"/>
  <c r="J50" i="12"/>
  <c r="AO49" i="12" a="1"/>
  <c r="AO49" i="12" s="1"/>
  <c r="AT49" i="12" a="1"/>
  <c r="AT49" i="12" s="1"/>
  <c r="AW49" i="12" a="1"/>
  <c r="AW49" i="12" s="1"/>
  <c r="AV49" i="12" a="1"/>
  <c r="AV49" i="12" s="1"/>
  <c r="AX49" i="12" a="1"/>
  <c r="AX49" i="12" s="1"/>
  <c r="AR49" i="12" a="1"/>
  <c r="AR49" i="12" s="1"/>
  <c r="AU49" i="12" a="1"/>
  <c r="AU49" i="12" s="1"/>
  <c r="AQ49" i="12" a="1"/>
  <c r="AQ49" i="12" s="1"/>
  <c r="AM49" i="12" a="1"/>
  <c r="AM49" i="12" s="1"/>
  <c r="AN49" i="12" a="1"/>
  <c r="AN49" i="12" s="1"/>
  <c r="AS49" i="12" a="1"/>
  <c r="AS49" i="12" s="1"/>
  <c r="N49" i="12" a="1"/>
  <c r="N49" i="12" s="1"/>
  <c r="AV48" i="12" a="1"/>
  <c r="AV48" i="12" s="1"/>
  <c r="AS48" i="12" a="1"/>
  <c r="AS48" i="12" s="1"/>
  <c r="N48" i="12" a="1"/>
  <c r="N48" i="12" s="1"/>
  <c r="AX48" i="12" a="1"/>
  <c r="AX48" i="12" s="1"/>
  <c r="AU48" i="12" a="1"/>
  <c r="AU48" i="12" s="1"/>
  <c r="AW48" i="12" a="1"/>
  <c r="AW48" i="12" s="1"/>
  <c r="AT48" i="12" a="1"/>
  <c r="AT48" i="12" s="1"/>
  <c r="AO48" i="12" a="1"/>
  <c r="AO48" i="12" s="1"/>
  <c r="AN48" i="12" a="1"/>
  <c r="AN48" i="12" s="1"/>
  <c r="AM48" i="12" a="1"/>
  <c r="AM48" i="12" s="1"/>
  <c r="AR48" i="12" a="1"/>
  <c r="AR48" i="12" s="1"/>
  <c r="AQ48" i="12" a="1"/>
  <c r="AQ48" i="12" s="1"/>
  <c r="J47" i="12"/>
  <c r="J48" i="12"/>
  <c r="AN47" i="12" a="1"/>
  <c r="AN47" i="12" s="1"/>
  <c r="AM47" i="12" a="1"/>
  <c r="AM47" i="12" s="1"/>
  <c r="AR47" i="12" a="1"/>
  <c r="AR47" i="12" s="1"/>
  <c r="AT47" i="12" a="1"/>
  <c r="AT47" i="12" s="1"/>
  <c r="AV47" i="12" a="1"/>
  <c r="AV47" i="12" s="1"/>
  <c r="AW47" i="12" a="1"/>
  <c r="AW47" i="12" s="1"/>
  <c r="AO47" i="12" a="1"/>
  <c r="AO47" i="12" s="1"/>
  <c r="AU47" i="12" a="1"/>
  <c r="AU47" i="12" s="1"/>
  <c r="AQ47" i="12" a="1"/>
  <c r="AQ47" i="12" s="1"/>
  <c r="AX47" i="12" a="1"/>
  <c r="AX47" i="12" s="1"/>
  <c r="AS47" i="12" a="1"/>
  <c r="AS47" i="12" s="1"/>
  <c r="N47" i="12" a="1"/>
  <c r="N47" i="12" s="1"/>
  <c r="AM5" i="12" a="1"/>
  <c r="AM5" i="12" s="1"/>
  <c r="AM6" i="12" a="1"/>
  <c r="AM6" i="12" s="1"/>
  <c r="AM119" i="12" a="1"/>
  <c r="AM119" i="12" s="1"/>
  <c r="AM109" i="12" a="1"/>
  <c r="AM109" i="12" s="1"/>
  <c r="AM30" i="12" a="1"/>
  <c r="AM30" i="12" s="1"/>
  <c r="AM25" i="12" a="1"/>
  <c r="AM25" i="12" s="1"/>
  <c r="AM120" i="12" a="1"/>
  <c r="AM120" i="12" s="1"/>
  <c r="AM4" i="12" a="1"/>
  <c r="AM4" i="12" s="1"/>
  <c r="AM16" i="12" a="1"/>
  <c r="AM16" i="12" s="1"/>
  <c r="AM39" i="12" a="1"/>
  <c r="AM39" i="12" s="1"/>
  <c r="AM29" i="12" a="1"/>
  <c r="AM29" i="12" s="1"/>
  <c r="AM19" i="12" a="1"/>
  <c r="AM19" i="12" s="1"/>
  <c r="AM68" i="12" a="1"/>
  <c r="AM68" i="12" s="1"/>
  <c r="AM44" i="12" a="1"/>
  <c r="AM44" i="12" s="1"/>
  <c r="AM42" i="12" a="1"/>
  <c r="AM42" i="12" s="1"/>
  <c r="AM97" i="12" a="1"/>
  <c r="AM97" i="12" s="1"/>
  <c r="AM87" i="12" a="1"/>
  <c r="AM87" i="12" s="1"/>
  <c r="AM77" i="12" a="1"/>
  <c r="AM77" i="12" s="1"/>
  <c r="AM57" i="12" a="1"/>
  <c r="AM57" i="12" s="1"/>
  <c r="AM89" i="12" a="1"/>
  <c r="AM89" i="12" s="1"/>
  <c r="AM128" i="12" a="1"/>
  <c r="AM128" i="12" s="1"/>
  <c r="AM22" i="12" a="1"/>
  <c r="AM22" i="12" s="1"/>
  <c r="AM86" i="12" a="1"/>
  <c r="AM86" i="12" s="1"/>
  <c r="AM12" i="12" a="1"/>
  <c r="AM12" i="12" s="1"/>
  <c r="AM61" i="12" a="1"/>
  <c r="AM61" i="12" s="1"/>
  <c r="AM118" i="12" a="1"/>
  <c r="AM118" i="12" s="1"/>
  <c r="AM36" i="12" a="1"/>
  <c r="AM36" i="12" s="1"/>
  <c r="AM26" i="12" a="1"/>
  <c r="AM26" i="12" s="1"/>
  <c r="AM80" i="12" a="1"/>
  <c r="AM80" i="12" s="1"/>
  <c r="AM67" i="12" a="1"/>
  <c r="AM67" i="12" s="1"/>
  <c r="AM17" i="12" a="1"/>
  <c r="AM17" i="12" s="1"/>
  <c r="AM113" i="12" a="1"/>
  <c r="AM113" i="12" s="1"/>
  <c r="AM35" i="12" a="1"/>
  <c r="AM35" i="12" s="1"/>
  <c r="AM98" i="12" a="1"/>
  <c r="AM98" i="12" s="1"/>
  <c r="AM74" i="12" a="1"/>
  <c r="AM74" i="12" s="1"/>
  <c r="AM18" i="12" a="1"/>
  <c r="AM18" i="12" s="1"/>
  <c r="AM129" i="12" a="1"/>
  <c r="AM129" i="12" s="1"/>
  <c r="AM115" i="12" a="1"/>
  <c r="AM115" i="12" s="1"/>
  <c r="AM88" i="12" a="1"/>
  <c r="AM88" i="12" s="1"/>
  <c r="AM110" i="12" a="1"/>
  <c r="AM110" i="12" s="1"/>
  <c r="AM46" i="12" a="1"/>
  <c r="AM46" i="12" s="1"/>
  <c r="AM53" i="12" a="1"/>
  <c r="AM53" i="12" s="1"/>
  <c r="AM106" i="12" a="1"/>
  <c r="AM106" i="12" s="1"/>
  <c r="AM33" i="12" a="1"/>
  <c r="AM33" i="12" s="1"/>
  <c r="AM23" i="12" a="1"/>
  <c r="AM23" i="12" s="1"/>
  <c r="AM13" i="12" a="1"/>
  <c r="AM13" i="12" s="1"/>
  <c r="AM131" i="12" a="1"/>
  <c r="AM131" i="12" s="1"/>
  <c r="AM116" i="12" a="1"/>
  <c r="AM116" i="12" s="1"/>
  <c r="AM54" i="12" a="1"/>
  <c r="AM54" i="12" s="1"/>
  <c r="AM32" i="12" a="1"/>
  <c r="AM32" i="12" s="1"/>
  <c r="AM84" i="12" a="1"/>
  <c r="AM84" i="12" s="1"/>
  <c r="AM71" i="12" a="1"/>
  <c r="AM71" i="12" s="1"/>
  <c r="AM56" i="12" a="1"/>
  <c r="AM56" i="12" s="1"/>
  <c r="AM105" i="12" a="1"/>
  <c r="AM105" i="12" s="1"/>
  <c r="AM127" i="12" a="1"/>
  <c r="AM127" i="12" s="1"/>
  <c r="AM85" i="12" a="1"/>
  <c r="AM85" i="12" s="1"/>
  <c r="AM75" i="12" a="1"/>
  <c r="AM75" i="12" s="1"/>
  <c r="AM124" i="12" a="1"/>
  <c r="AM124" i="12" s="1"/>
  <c r="AM114" i="12" a="1"/>
  <c r="AM114" i="12" s="1"/>
  <c r="AM104" i="12" a="1"/>
  <c r="AM104" i="12" s="1"/>
  <c r="AM90" i="12" a="1"/>
  <c r="AM90" i="12" s="1"/>
  <c r="AM20" i="12" a="1"/>
  <c r="AM20" i="12" s="1"/>
  <c r="AM10" i="12" a="1"/>
  <c r="AM10" i="12" s="1"/>
  <c r="AM123" i="12" a="1"/>
  <c r="AM123" i="12" s="1"/>
  <c r="AM108" i="12" a="1"/>
  <c r="AM108" i="12" s="1"/>
  <c r="AM34" i="12" a="1"/>
  <c r="AM34" i="12" s="1"/>
  <c r="AM24" i="12" a="1"/>
  <c r="AM24" i="12" s="1"/>
  <c r="AM73" i="12" a="1"/>
  <c r="AM73" i="12" s="1"/>
  <c r="AM63" i="12" a="1"/>
  <c r="AM63" i="12" s="1"/>
  <c r="AM112" i="12" a="1"/>
  <c r="AM112" i="12" s="1"/>
  <c r="AM99" i="12" a="1"/>
  <c r="AM99" i="12" s="1"/>
  <c r="AM92" i="12" a="1"/>
  <c r="AM92" i="12" s="1"/>
  <c r="AM78" i="12" a="1"/>
  <c r="AM78" i="12" s="1"/>
  <c r="AM72" i="12" a="1"/>
  <c r="AM72" i="12" s="1"/>
  <c r="AM102" i="12" a="1"/>
  <c r="AM102" i="12" s="1"/>
  <c r="AM52" i="12" a="1"/>
  <c r="AM52" i="12" s="1"/>
  <c r="AM101" i="12" a="1"/>
  <c r="AM101" i="12" s="1"/>
  <c r="AM91" i="12" a="1"/>
  <c r="AM91" i="12" s="1"/>
  <c r="AM126" i="12" a="1"/>
  <c r="AM126" i="12" s="1"/>
  <c r="AM7" i="12" a="1"/>
  <c r="AM7" i="12" s="1"/>
  <c r="AM64" i="12" a="1"/>
  <c r="AM64" i="12" s="1"/>
  <c r="AM41" i="12" a="1"/>
  <c r="AM41" i="12" s="1"/>
  <c r="AM31" i="12" a="1"/>
  <c r="AM31" i="12" s="1"/>
  <c r="AM21" i="12" a="1"/>
  <c r="AM21" i="12" s="1"/>
  <c r="AM70" i="12" a="1"/>
  <c r="AM70" i="12" s="1"/>
  <c r="AM60" i="12" a="1"/>
  <c r="AM60" i="12" s="1"/>
  <c r="AM96" i="12" a="1"/>
  <c r="AM96" i="12" s="1"/>
  <c r="AM40" i="12" a="1"/>
  <c r="AM40" i="12" s="1"/>
  <c r="AM69" i="12" a="1"/>
  <c r="AM69" i="12" s="1"/>
  <c r="AM79" i="12" a="1"/>
  <c r="AM79" i="12" s="1"/>
  <c r="AM65" i="12" a="1"/>
  <c r="AM65" i="12" s="1"/>
  <c r="AM59" i="12" a="1"/>
  <c r="AM59" i="12" s="1"/>
  <c r="AM117" i="12" a="1"/>
  <c r="AM117" i="12" s="1"/>
  <c r="AM93" i="12" a="1"/>
  <c r="AM93" i="12" s="1"/>
  <c r="AM83" i="12" a="1"/>
  <c r="AM83" i="12" s="1"/>
  <c r="AM9" i="12" a="1"/>
  <c r="AM9" i="12" s="1"/>
  <c r="AM58" i="12" a="1"/>
  <c r="AM58" i="12" s="1"/>
  <c r="AM125" i="12" a="1"/>
  <c r="AM125" i="12" s="1"/>
  <c r="AM38" i="12" a="1"/>
  <c r="AM38" i="12" s="1"/>
  <c r="AM28" i="12" a="1"/>
  <c r="AM28" i="12" s="1"/>
  <c r="AM66" i="12" a="1"/>
  <c r="AM66" i="12" s="1"/>
  <c r="AM8" i="12" a="1"/>
  <c r="AM8" i="12" s="1"/>
  <c r="AM94" i="12" a="1"/>
  <c r="AM94" i="12" s="1"/>
  <c r="AM111" i="12" a="1"/>
  <c r="AM111" i="12" s="1"/>
  <c r="AM37" i="12" a="1"/>
  <c r="AM37" i="12" s="1"/>
  <c r="AM27" i="12" a="1"/>
  <c r="AM27" i="12" s="1"/>
  <c r="AM76" i="12" a="1"/>
  <c r="AM76" i="12" s="1"/>
  <c r="AM130" i="12" a="1"/>
  <c r="AM130" i="12" s="1"/>
  <c r="AM81" i="12" a="1"/>
  <c r="AM81" i="12" s="1"/>
  <c r="AM100" i="12" a="1"/>
  <c r="AM100" i="12" s="1"/>
  <c r="AM62" i="12" a="1"/>
  <c r="AM62" i="12" s="1"/>
  <c r="AN46" i="12" a="1"/>
  <c r="AN46" i="12" s="1"/>
  <c r="AT46" i="12" a="1"/>
  <c r="AT46" i="12" s="1"/>
  <c r="AO46" i="12" a="1"/>
  <c r="AO46" i="12" s="1"/>
  <c r="AV46" i="12" a="1"/>
  <c r="AV46" i="12" s="1"/>
  <c r="AS46" i="12" a="1"/>
  <c r="AS46" i="12" s="1"/>
  <c r="AU46" i="12" a="1"/>
  <c r="AU46" i="12" s="1"/>
  <c r="AQ46" i="12" a="1"/>
  <c r="AQ46" i="12" s="1"/>
  <c r="AX46" i="12" a="1"/>
  <c r="AX46" i="12" s="1"/>
  <c r="AW46" i="12" a="1"/>
  <c r="AW46" i="12" s="1"/>
  <c r="AR46" i="12" a="1"/>
  <c r="AR46" i="12" s="1"/>
  <c r="N46" i="12" a="1"/>
  <c r="N46" i="12" s="1"/>
  <c r="J11" i="12"/>
  <c r="J46" i="12"/>
  <c r="AV125" i="12" a="1"/>
  <c r="AV125" i="12" s="1"/>
  <c r="AT6" i="12" a="1"/>
  <c r="AT6" i="12" s="1"/>
  <c r="AS125" i="12" a="1"/>
  <c r="AS125" i="12" s="1"/>
  <c r="AW96" i="12" a="1"/>
  <c r="AW96" i="12" s="1"/>
  <c r="AV113" i="12" a="1"/>
  <c r="AV113" i="12" s="1"/>
  <c r="AS118" i="12" a="1"/>
  <c r="AS118" i="12" s="1"/>
  <c r="AT103" i="12" a="1"/>
  <c r="AT103" i="12" s="1"/>
  <c r="AQ107" i="12" a="1"/>
  <c r="AQ107" i="12" s="1"/>
  <c r="AP127" i="12" a="1"/>
  <c r="AP127" i="12" s="1"/>
  <c r="AW126" i="12" a="1"/>
  <c r="AW126" i="12" s="1"/>
  <c r="AR66" i="12" a="1"/>
  <c r="AR66" i="12" s="1"/>
  <c r="AT18" i="12" a="1"/>
  <c r="AT18" i="12" s="1"/>
  <c r="AQ117" i="12" a="1"/>
  <c r="AQ117" i="12" s="1"/>
  <c r="AU95" i="12" a="1"/>
  <c r="AU95" i="12" s="1"/>
  <c r="AU15" i="12" a="1"/>
  <c r="AU15" i="12" s="1"/>
  <c r="AT14" i="12" a="1"/>
  <c r="AT14" i="12" s="1"/>
  <c r="AX130" i="12" a="1"/>
  <c r="AX130" i="12" s="1"/>
  <c r="AW90" i="12" a="1"/>
  <c r="AW90" i="12" s="1"/>
  <c r="AV69" i="12" a="1"/>
  <c r="AV69" i="12" s="1"/>
  <c r="AV62" i="12" a="1"/>
  <c r="AV62" i="12" s="1"/>
  <c r="AU65" i="12" a="1"/>
  <c r="AU65" i="12" s="1"/>
  <c r="AV95" i="12" a="1"/>
  <c r="AV95" i="12" s="1"/>
  <c r="AS121" i="12" a="1"/>
  <c r="AS121" i="12" s="1"/>
  <c r="AV44" i="12" a="1"/>
  <c r="AV44" i="12" s="1"/>
  <c r="AV131" i="12" a="1"/>
  <c r="AV131" i="12" s="1"/>
  <c r="AX89" i="12" a="1"/>
  <c r="AX89" i="12" s="1"/>
  <c r="AQ126" i="12" a="1"/>
  <c r="AQ126" i="12" s="1"/>
  <c r="AS82" i="12" a="1"/>
  <c r="AS82" i="12" s="1"/>
  <c r="AT16" i="12" a="1"/>
  <c r="AT16" i="12" s="1"/>
  <c r="AV107" i="12" a="1"/>
  <c r="AV107" i="12" s="1"/>
  <c r="AV122" i="12" a="1"/>
  <c r="AV122" i="12" s="1"/>
  <c r="AV99" i="12" a="1"/>
  <c r="AV99" i="12" s="1"/>
  <c r="AO22" i="12" a="1"/>
  <c r="AO22" i="12" s="1"/>
  <c r="AN22" i="12" a="1"/>
  <c r="AN22" i="12" s="1"/>
  <c r="AX81" i="12" a="1"/>
  <c r="AX81" i="12" s="1"/>
  <c r="AW107" i="12" a="1"/>
  <c r="AW107" i="12" s="1"/>
  <c r="AQ115" i="12" a="1"/>
  <c r="AQ115" i="12" s="1"/>
  <c r="AW6" i="12" a="1"/>
  <c r="AW6" i="12" s="1"/>
  <c r="AO16" i="12" a="1"/>
  <c r="AO16" i="12" s="1"/>
  <c r="AX106" i="12" a="1"/>
  <c r="AX106" i="12" s="1"/>
  <c r="AV108" i="12" a="1"/>
  <c r="AV108" i="12" s="1"/>
  <c r="AT129" i="12" a="1"/>
  <c r="AT129" i="12" s="1"/>
  <c r="AX6" i="12" a="1"/>
  <c r="AX6" i="12" s="1"/>
  <c r="AP18" i="12" a="1"/>
  <c r="AP18" i="12" s="1"/>
  <c r="AO120" i="12" a="1"/>
  <c r="AO120" i="12" s="1"/>
  <c r="AP13" i="12" a="1"/>
  <c r="AP13" i="12" s="1"/>
  <c r="AS98" i="12" a="1"/>
  <c r="AS98" i="12" s="1"/>
  <c r="AW55" i="12" a="1"/>
  <c r="AW55" i="12" s="1"/>
  <c r="AP17" i="12" a="1"/>
  <c r="AP17" i="12" s="1"/>
  <c r="AX17" i="12" a="1"/>
  <c r="AX17" i="12" s="1"/>
  <c r="AW13" i="12" a="1"/>
  <c r="AW13" i="12" s="1"/>
  <c r="AX108" i="12" a="1"/>
  <c r="AX108" i="12" s="1"/>
  <c r="AR110" i="12" a="1"/>
  <c r="AR110" i="12" s="1"/>
  <c r="AN129" i="12" a="1"/>
  <c r="AN129" i="12" s="1"/>
  <c r="AX122" i="12" a="1"/>
  <c r="AX122" i="12" s="1"/>
  <c r="AV82" i="12" a="1"/>
  <c r="AV82" i="12" s="1"/>
  <c r="AP96" i="12" a="1"/>
  <c r="AP96" i="12" s="1"/>
  <c r="AP94" i="12" a="1"/>
  <c r="AP94" i="12" s="1"/>
  <c r="AT89" i="12" a="1"/>
  <c r="AT89" i="12" s="1"/>
  <c r="AV115" i="12" a="1"/>
  <c r="AV115" i="12" s="1"/>
  <c r="AV54" i="12" a="1"/>
  <c r="AV54" i="12" s="1"/>
  <c r="AX131" i="12" a="1"/>
  <c r="AX131" i="12" s="1"/>
  <c r="AR62" i="12" a="1"/>
  <c r="AR62" i="12" s="1"/>
  <c r="AV45" i="12" a="1"/>
  <c r="AV45" i="12" s="1"/>
  <c r="AV98" i="12" a="1"/>
  <c r="AV98" i="12" s="1"/>
  <c r="AW113" i="12" a="1"/>
  <c r="AW113" i="12" s="1"/>
  <c r="AV84" i="12" a="1"/>
  <c r="AV84" i="12" s="1"/>
  <c r="AS90" i="12" a="1"/>
  <c r="AS90" i="12" s="1"/>
  <c r="AQ64" i="12" a="1"/>
  <c r="AQ64" i="12" s="1"/>
  <c r="AQ122" i="12" a="1"/>
  <c r="AQ122" i="12" s="1"/>
  <c r="AQ18" i="12" a="1"/>
  <c r="AQ18" i="12" s="1"/>
  <c r="AT115" i="12" a="1"/>
  <c r="AT115" i="12" s="1"/>
  <c r="AN15" i="12" a="1"/>
  <c r="AN15" i="12" s="1"/>
  <c r="AX115" i="12" a="1"/>
  <c r="AX115" i="12" s="1"/>
  <c r="AR117" i="12" a="1"/>
  <c r="AR117" i="12" s="1"/>
  <c r="AQ22" i="12" a="1"/>
  <c r="AQ22" i="12" s="1"/>
  <c r="AQ113" i="12" a="1"/>
  <c r="AQ113" i="12" s="1"/>
  <c r="AS12" i="12" a="1"/>
  <c r="AS12" i="12" s="1"/>
  <c r="AP64" i="12" a="1"/>
  <c r="AP64" i="12" s="1"/>
  <c r="AO14" i="12" a="1"/>
  <c r="AO14" i="12" s="1"/>
  <c r="AW69" i="12" a="1"/>
  <c r="AW69" i="12" s="1"/>
  <c r="AS110" i="12" a="1"/>
  <c r="AS110" i="12" s="1"/>
  <c r="AR18" i="12" a="1"/>
  <c r="AR18" i="12" s="1"/>
  <c r="AN17" i="12" a="1"/>
  <c r="AN17" i="12" s="1"/>
  <c r="AP99" i="12" a="1"/>
  <c r="AP99" i="12" s="1"/>
  <c r="AV117" i="12" a="1"/>
  <c r="AV117" i="12" s="1"/>
  <c r="AS45" i="12" a="1"/>
  <c r="AS45" i="12" s="1"/>
  <c r="AX96" i="12" a="1"/>
  <c r="AX96" i="12" s="1"/>
  <c r="AN13" i="12" a="1"/>
  <c r="AN13" i="12" s="1"/>
  <c r="AP126" i="12" a="1"/>
  <c r="AP126" i="12" s="1"/>
  <c r="AP125" i="12" a="1"/>
  <c r="AP125" i="12" s="1"/>
  <c r="AQ90" i="12" a="1"/>
  <c r="AQ90" i="12" s="1"/>
  <c r="AV120" i="12" a="1"/>
  <c r="AV120" i="12" s="1"/>
  <c r="AV65" i="12" a="1"/>
  <c r="AV65" i="12" s="1"/>
  <c r="AS107" i="12" a="1"/>
  <c r="AS107" i="12" s="1"/>
  <c r="AU6" i="12" a="1"/>
  <c r="AU6" i="12" s="1"/>
  <c r="AQ118" i="12" a="1"/>
  <c r="AQ118" i="12" s="1"/>
  <c r="AW98" i="12" a="1"/>
  <c r="AW98" i="12" s="1"/>
  <c r="AT17" i="12" a="1"/>
  <c r="AT17" i="12" s="1"/>
  <c r="AQ13" i="12" a="1"/>
  <c r="AQ13" i="12" s="1"/>
  <c r="AR106" i="12" a="1"/>
  <c r="AR106" i="12" s="1"/>
  <c r="AQ15" i="12" a="1"/>
  <c r="AQ15" i="12" s="1"/>
  <c r="AQ6" i="12" a="1"/>
  <c r="AQ6" i="12" s="1"/>
  <c r="AW127" i="12" a="1"/>
  <c r="AW127" i="12" s="1"/>
  <c r="AV129" i="12" a="1"/>
  <c r="AV129" i="12" s="1"/>
  <c r="AV22" i="12" a="1"/>
  <c r="AV22" i="12" s="1"/>
  <c r="AQ54" i="12" a="1"/>
  <c r="AQ54" i="12" s="1"/>
  <c r="AS127" i="12" a="1"/>
  <c r="AS127" i="12" s="1"/>
  <c r="AT98" i="12" a="1"/>
  <c r="AT98" i="12" s="1"/>
  <c r="AX55" i="12" a="1"/>
  <c r="AX55" i="12" s="1"/>
  <c r="AW81" i="12" a="1"/>
  <c r="AW81" i="12" s="1"/>
  <c r="AT107" i="12" a="1"/>
  <c r="AT107" i="12" s="1"/>
  <c r="AR131" i="12" a="1"/>
  <c r="AR131" i="12" s="1"/>
  <c r="AP131" i="12" a="1"/>
  <c r="AP131" i="12" s="1"/>
  <c r="AN18" i="12" a="1"/>
  <c r="AN18" i="12" s="1"/>
  <c r="AU127" i="12" a="1"/>
  <c r="AU127" i="12" s="1"/>
  <c r="AX98" i="12" a="1"/>
  <c r="AX98" i="12" s="1"/>
  <c r="AQ129" i="12" a="1"/>
  <c r="AQ129" i="12" s="1"/>
  <c r="AQ96" i="12" a="1"/>
  <c r="AQ96" i="12" s="1"/>
  <c r="AP129" i="12" a="1"/>
  <c r="AP129" i="12" s="1"/>
  <c r="AU89" i="12" a="1"/>
  <c r="AU89" i="12" s="1"/>
  <c r="AR67" i="12" a="1"/>
  <c r="AR67" i="12" s="1"/>
  <c r="AN126" i="12" a="1"/>
  <c r="AN126" i="12" s="1"/>
  <c r="AW117" i="12" a="1"/>
  <c r="AW117" i="12" s="1"/>
  <c r="AX121" i="12" a="1"/>
  <c r="AX121" i="12" s="1"/>
  <c r="AU64" i="12" a="1"/>
  <c r="AU64" i="12" s="1"/>
  <c r="AS15" i="12" a="1"/>
  <c r="AS15" i="12" s="1"/>
  <c r="AW5" i="12" a="1"/>
  <c r="AW5" i="12" s="1"/>
  <c r="AS66" i="12" a="1"/>
  <c r="AS66" i="12" s="1"/>
  <c r="AW125" i="12" a="1"/>
  <c r="AW125" i="12" s="1"/>
  <c r="AQ99" i="12" a="1"/>
  <c r="AQ99" i="12" s="1"/>
  <c r="AU55" i="12" a="1"/>
  <c r="AU55" i="12" s="1"/>
  <c r="AR5" i="12" a="1"/>
  <c r="AR5" i="12" s="1"/>
  <c r="AT55" i="12" a="1"/>
  <c r="AT55" i="12" s="1"/>
  <c r="AX13" i="12" a="1"/>
  <c r="AX13" i="12" s="1"/>
  <c r="AQ55" i="12" a="1"/>
  <c r="AQ55" i="12" s="1"/>
  <c r="AU62" i="12" a="1"/>
  <c r="AU62" i="12" s="1"/>
  <c r="AP82" i="12" a="1"/>
  <c r="AP82" i="12" s="1"/>
  <c r="AP81" i="12" a="1"/>
  <c r="AP81" i="12" s="1"/>
  <c r="AN130" i="12" a="1"/>
  <c r="AN130" i="12" s="1"/>
  <c r="AX99" i="12" a="1"/>
  <c r="AX99" i="12" s="1"/>
  <c r="AU131" i="12" a="1"/>
  <c r="AU131" i="12" s="1"/>
  <c r="AR55" i="12" a="1"/>
  <c r="AR55" i="12" s="1"/>
  <c r="AS18" i="12" a="1"/>
  <c r="AS18" i="12" s="1"/>
  <c r="AR107" i="12" a="1"/>
  <c r="AR107" i="12" s="1"/>
  <c r="AV106" i="12" a="1"/>
  <c r="AV106" i="12" s="1"/>
  <c r="AP62" i="12" a="1"/>
  <c r="AP62" i="12" s="1"/>
  <c r="AX125" i="12" a="1"/>
  <c r="AX125" i="12" s="1"/>
  <c r="AS128" i="12" a="1"/>
  <c r="AS128" i="12" s="1"/>
  <c r="AR120" i="12" a="1"/>
  <c r="AR120" i="12" s="1"/>
  <c r="AV13" i="12" a="1"/>
  <c r="AV13" i="12" s="1"/>
  <c r="AP67" i="12" a="1"/>
  <c r="AP67" i="12" s="1"/>
  <c r="AP118" i="12" a="1"/>
  <c r="AP118" i="12" s="1"/>
  <c r="AT45" i="12" a="1"/>
  <c r="AT45" i="12" s="1"/>
  <c r="AV5" i="12" a="1"/>
  <c r="AV5" i="12" s="1"/>
  <c r="AV102" i="12" a="1"/>
  <c r="AV102" i="12" s="1"/>
  <c r="AT90" i="12" a="1"/>
  <c r="AT90" i="12" s="1"/>
  <c r="AQ98" i="12" a="1"/>
  <c r="AQ98" i="12" s="1"/>
  <c r="AT84" i="12" a="1"/>
  <c r="AT84" i="12" s="1"/>
  <c r="AW120" i="12" a="1"/>
  <c r="AW120" i="12" s="1"/>
  <c r="AW122" i="12" a="1"/>
  <c r="AW122" i="12" s="1"/>
  <c r="AT44" i="12" a="1"/>
  <c r="AT44" i="12" s="1"/>
  <c r="AU120" i="12" a="1"/>
  <c r="AU120" i="12" s="1"/>
  <c r="AT5" i="12" a="1"/>
  <c r="AT5" i="12" s="1"/>
  <c r="AW94" i="12" a="1"/>
  <c r="AW94" i="12" s="1"/>
  <c r="AW67" i="12" a="1"/>
  <c r="AW67" i="12" s="1"/>
  <c r="AS69" i="12" a="1"/>
  <c r="AS69" i="12" s="1"/>
  <c r="AV127" i="12" a="1"/>
  <c r="AV127" i="12" s="1"/>
  <c r="AR54" i="12" a="1"/>
  <c r="AR54" i="12" s="1"/>
  <c r="AR115" i="12" a="1"/>
  <c r="AR115" i="12" s="1"/>
  <c r="AW14" i="12" a="1"/>
  <c r="AW14" i="12" s="1"/>
  <c r="AP16" i="12" a="1"/>
  <c r="AP16" i="12" s="1"/>
  <c r="AV16" i="12" a="1"/>
  <c r="AV16" i="12" s="1"/>
  <c r="AS96" i="12" a="1"/>
  <c r="AS96" i="12" s="1"/>
  <c r="AQ103" i="12" a="1"/>
  <c r="AQ103" i="12" s="1"/>
  <c r="AU66" i="12" a="1"/>
  <c r="AU66" i="12" s="1"/>
  <c r="AR90" i="12" a="1"/>
  <c r="AR90" i="12" s="1"/>
  <c r="AN125" i="12" a="1"/>
  <c r="AN125" i="12" s="1"/>
  <c r="AV55" i="12" a="1"/>
  <c r="AV55" i="12" s="1"/>
  <c r="AX117" i="12" a="1"/>
  <c r="AX117" i="12" s="1"/>
  <c r="AR96" i="12" a="1"/>
  <c r="AR96" i="12" s="1"/>
  <c r="AX102" i="12" a="1"/>
  <c r="AX102" i="12" s="1"/>
  <c r="AX16" i="12" a="1"/>
  <c r="AX16" i="12" s="1"/>
  <c r="AR102" i="12" a="1"/>
  <c r="AR102" i="12" s="1"/>
  <c r="AS99" i="12" a="1"/>
  <c r="AS99" i="12" s="1"/>
  <c r="AQ95" i="12" a="1"/>
  <c r="AQ95" i="12" s="1"/>
  <c r="AV64" i="12" a="1"/>
  <c r="AV64" i="12" s="1"/>
  <c r="AS6" i="12" a="1"/>
  <c r="AS6" i="12" s="1"/>
  <c r="AW54" i="12" a="1"/>
  <c r="AW54" i="12" s="1"/>
  <c r="AT69" i="12" a="1"/>
  <c r="AT69" i="12" s="1"/>
  <c r="AS122" i="12" a="1"/>
  <c r="AS122" i="12" s="1"/>
  <c r="AR99" i="12" a="1"/>
  <c r="AR99" i="12" s="1"/>
  <c r="AQ81" i="12" a="1"/>
  <c r="AQ81" i="12" s="1"/>
  <c r="AU45" i="12" a="1"/>
  <c r="AU45" i="12" s="1"/>
  <c r="AN45" i="12" a="1"/>
  <c r="AN45" i="12" s="1"/>
  <c r="AS131" i="12" a="1"/>
  <c r="AS131" i="12" s="1"/>
  <c r="AT125" i="12" a="1"/>
  <c r="AT125" i="12" s="1"/>
  <c r="AX57" i="12" a="1"/>
  <c r="AX57" i="12" s="1"/>
  <c r="AQ82" i="12" a="1"/>
  <c r="AQ82" i="12" s="1"/>
  <c r="AT13" i="12" a="1"/>
  <c r="AT13" i="12" s="1"/>
  <c r="AR121" i="12" a="1"/>
  <c r="AR121" i="12" s="1"/>
  <c r="AX62" i="12" a="1"/>
  <c r="AX62" i="12" s="1"/>
  <c r="AX64" i="12" a="1"/>
  <c r="AX64" i="12" s="1"/>
  <c r="AX5" i="12" a="1"/>
  <c r="AX5" i="12" s="1"/>
  <c r="AX113" i="12" a="1"/>
  <c r="AX113" i="12" s="1"/>
  <c r="AO6" i="12" a="1"/>
  <c r="AO6" i="12" s="1"/>
  <c r="AR98" i="12" a="1"/>
  <c r="AR98" i="12" s="1"/>
  <c r="AW118" i="12" a="1"/>
  <c r="AW118" i="12" s="1"/>
  <c r="AU16" i="12" a="1"/>
  <c r="AU16" i="12" s="1"/>
  <c r="AU128" i="12" a="1"/>
  <c r="AU128" i="12" s="1"/>
  <c r="AN14" i="12" a="1"/>
  <c r="AN14" i="12" s="1"/>
  <c r="AQ131" i="12" a="1"/>
  <c r="AQ131" i="12" s="1"/>
  <c r="AV81" i="12" a="1"/>
  <c r="AV81" i="12" s="1"/>
  <c r="AS84" i="12" a="1"/>
  <c r="AS84" i="12" s="1"/>
  <c r="AT57" i="12" a="1"/>
  <c r="AT57" i="12" s="1"/>
  <c r="AQ94" i="12" a="1"/>
  <c r="AQ94" i="12" s="1"/>
  <c r="AP106" i="12" a="1"/>
  <c r="AP106" i="12" s="1"/>
  <c r="AP84" i="12" a="1"/>
  <c r="AP84" i="12" s="1"/>
  <c r="AX84" i="12" a="1"/>
  <c r="AX84" i="12" s="1"/>
  <c r="AQ14" i="12" a="1"/>
  <c r="AQ14" i="12" s="1"/>
  <c r="AR12" i="12" a="1"/>
  <c r="AR12" i="12" s="1"/>
  <c r="AT106" i="12" a="1"/>
  <c r="AT106" i="12" s="1"/>
  <c r="AW99" i="12" a="1"/>
  <c r="AW99" i="12" s="1"/>
  <c r="AR6" i="12" a="1"/>
  <c r="AR6" i="12" s="1"/>
  <c r="AW129" i="12" a="1"/>
  <c r="AW129" i="12" s="1"/>
  <c r="AT121" i="12" a="1"/>
  <c r="AT121" i="12" s="1"/>
  <c r="AW17" i="12" a="1"/>
  <c r="AW17" i="12" s="1"/>
  <c r="AT113" i="12" a="1"/>
  <c r="AT113" i="12" s="1"/>
  <c r="AP65" i="12" a="1"/>
  <c r="AP65" i="12" s="1"/>
  <c r="AU67" i="12" a="1"/>
  <c r="AU67" i="12" s="1"/>
  <c r="AU17" i="12" a="1"/>
  <c r="AU17" i="12" s="1"/>
  <c r="AT12" i="12" a="1"/>
  <c r="AT12" i="12" s="1"/>
  <c r="AS106" i="12" a="1"/>
  <c r="AS106" i="12" s="1"/>
  <c r="AW16" i="12" a="1"/>
  <c r="AW16" i="12" s="1"/>
  <c r="AT96" i="12" a="1"/>
  <c r="AT96" i="12" s="1"/>
  <c r="AR103" i="12" a="1"/>
  <c r="AR103" i="12" s="1"/>
  <c r="AS103" i="12" a="1"/>
  <c r="AS103" i="12" s="1"/>
  <c r="AT94" i="12" a="1"/>
  <c r="AT94" i="12" s="1"/>
  <c r="AU69" i="12" a="1"/>
  <c r="AU69" i="12" s="1"/>
  <c r="AP95" i="12" a="1"/>
  <c r="AP95" i="12" s="1"/>
  <c r="AW95" i="12" a="1"/>
  <c r="AW95" i="12" s="1"/>
  <c r="AQ125" i="12" a="1"/>
  <c r="AQ125" i="12" s="1"/>
  <c r="AU57" i="12" a="1"/>
  <c r="AU57" i="12" s="1"/>
  <c r="AP108" i="12" a="1"/>
  <c r="AP108" i="12" s="1"/>
  <c r="AU84" i="12" a="1"/>
  <c r="AU84" i="12" s="1"/>
  <c r="AR22" i="12" a="1"/>
  <c r="AR22" i="12" s="1"/>
  <c r="AT54" i="12" a="1"/>
  <c r="AT54" i="12" s="1"/>
  <c r="AQ69" i="12" a="1"/>
  <c r="AQ69" i="12" s="1"/>
  <c r="AT127" i="12" a="1"/>
  <c r="AT127" i="12" s="1"/>
  <c r="AS126" i="12" a="1"/>
  <c r="AS126" i="12" s="1"/>
  <c r="AP54" i="12" a="1"/>
  <c r="AP54" i="12" s="1"/>
  <c r="AR113" i="12" a="1"/>
  <c r="AR113" i="12" s="1"/>
  <c r="AX82" i="12" a="1"/>
  <c r="AX82" i="12" s="1"/>
  <c r="AW128" i="12" a="1"/>
  <c r="AW128" i="12" s="1"/>
  <c r="AQ44" i="12" a="1"/>
  <c r="AQ44" i="12" s="1"/>
  <c r="AV130" i="12" a="1"/>
  <c r="AV130" i="12" s="1"/>
  <c r="AT131" i="12" a="1"/>
  <c r="AT131" i="12" s="1"/>
  <c r="AQ108" i="12" a="1"/>
  <c r="AQ108" i="12" s="1"/>
  <c r="AU102" i="12" a="1"/>
  <c r="AU102" i="12" s="1"/>
  <c r="AT65" i="12" a="1"/>
  <c r="AT65" i="12" s="1"/>
  <c r="AV128" i="12" a="1"/>
  <c r="AV128" i="12" s="1"/>
  <c r="AU22" i="12" a="1"/>
  <c r="AU22" i="12" s="1"/>
  <c r="AQ120" i="12" a="1"/>
  <c r="AQ120" i="12" s="1"/>
  <c r="AU117" i="12" a="1"/>
  <c r="AU117" i="12" s="1"/>
  <c r="AP103" i="12" a="1"/>
  <c r="AP103" i="12" s="1"/>
  <c r="AV6" i="12" a="1"/>
  <c r="AV6" i="12" s="1"/>
  <c r="AP5" i="12" a="1"/>
  <c r="AP5" i="12" s="1"/>
  <c r="AQ84" i="12" a="1"/>
  <c r="AQ84" i="12" s="1"/>
  <c r="AX118" i="12" a="1"/>
  <c r="AX118" i="12" s="1"/>
  <c r="AT122" i="12" a="1"/>
  <c r="AT122" i="12" s="1"/>
  <c r="AT99" i="12" a="1"/>
  <c r="AT99" i="12" s="1"/>
  <c r="AS120" i="12" a="1"/>
  <c r="AS120" i="12" s="1"/>
  <c r="AX103" i="12" a="1"/>
  <c r="AX103" i="12" s="1"/>
  <c r="AS14" i="12" a="1"/>
  <c r="AS14" i="12" s="1"/>
  <c r="AV12" i="12" a="1"/>
  <c r="AV12" i="12" s="1"/>
  <c r="AW102" i="12" a="1"/>
  <c r="AW102" i="12" s="1"/>
  <c r="AW103" i="12" a="1"/>
  <c r="AW103" i="12" s="1"/>
  <c r="AQ106" i="12" a="1"/>
  <c r="AQ106" i="12" s="1"/>
  <c r="AO15" i="12" a="1"/>
  <c r="AO15" i="12" s="1"/>
  <c r="AW15" i="12" a="1"/>
  <c r="AW15" i="12" s="1"/>
  <c r="AW131" i="12" a="1"/>
  <c r="AW131" i="12" s="1"/>
  <c r="AP117" i="12" a="1"/>
  <c r="AP117" i="12" s="1"/>
  <c r="AT15" i="12" a="1"/>
  <c r="AT15" i="12" s="1"/>
  <c r="AT82" i="12" a="1"/>
  <c r="AT82" i="12" s="1"/>
  <c r="AX94" i="12" a="1"/>
  <c r="AX94" i="12" s="1"/>
  <c r="AW22" i="12" a="1"/>
  <c r="AW22" i="12" s="1"/>
  <c r="AT95" i="12" a="1"/>
  <c r="AT95" i="12" s="1"/>
  <c r="AU115" i="12" a="1"/>
  <c r="AU115" i="12" s="1"/>
  <c r="AO44" i="12" a="1"/>
  <c r="AO44" i="12" s="1"/>
  <c r="AW115" i="12" a="1"/>
  <c r="AW115" i="12" s="1"/>
  <c r="AX107" i="12" a="1"/>
  <c r="AX107" i="12" s="1"/>
  <c r="AR16" i="12" a="1"/>
  <c r="AR16" i="12" s="1"/>
  <c r="AU44" i="12" a="1"/>
  <c r="AU44" i="12" s="1"/>
  <c r="AP66" i="12" a="1"/>
  <c r="AP66" i="12" s="1"/>
  <c r="AR15" i="12" a="1"/>
  <c r="AR15" i="12" s="1"/>
  <c r="AW108" i="12" a="1"/>
  <c r="AW108" i="12" s="1"/>
  <c r="AU129" i="12" a="1"/>
  <c r="AU129" i="12" s="1"/>
  <c r="AS95" i="12" a="1"/>
  <c r="AS95" i="12" s="1"/>
  <c r="AU94" i="12" a="1"/>
  <c r="AU94" i="12" s="1"/>
  <c r="AT126" i="12" a="1"/>
  <c r="AT126" i="12" s="1"/>
  <c r="AS54" i="12" a="1"/>
  <c r="AS54" i="12" s="1"/>
  <c r="AX95" i="12" a="1"/>
  <c r="AX95" i="12" s="1"/>
  <c r="AR125" i="12" a="1"/>
  <c r="AR125" i="12" s="1"/>
  <c r="AV57" i="12" a="1"/>
  <c r="AV57" i="12" s="1"/>
  <c r="AX66" i="12" a="1"/>
  <c r="AX66" i="12" s="1"/>
  <c r="AU90" i="12" a="1"/>
  <c r="AU90" i="12" s="1"/>
  <c r="AS22" i="12" a="1"/>
  <c r="AS22" i="12" s="1"/>
  <c r="AQ57" i="12" a="1"/>
  <c r="AQ57" i="12" s="1"/>
  <c r="AQ12" i="12" a="1"/>
  <c r="AQ12" i="12" s="1"/>
  <c r="AS62" i="12" a="1"/>
  <c r="AS62" i="12" s="1"/>
  <c r="AR65" i="12" a="1"/>
  <c r="AR65" i="12" s="1"/>
  <c r="AP110" i="12" a="1"/>
  <c r="AP110" i="12" s="1"/>
  <c r="AS113" i="12" a="1"/>
  <c r="AS113" i="12" s="1"/>
  <c r="AN127" i="12" a="1"/>
  <c r="AN127" i="12" s="1"/>
  <c r="AO17" i="12" a="1"/>
  <c r="AO17" i="12" s="1"/>
  <c r="AP121" i="12" a="1"/>
  <c r="AP121" i="12" s="1"/>
  <c r="AW130" i="12" a="1"/>
  <c r="AW130" i="12" s="1"/>
  <c r="AW64" i="12" a="1"/>
  <c r="AW64" i="12" s="1"/>
  <c r="AQ66" i="12" a="1"/>
  <c r="AQ66" i="12" s="1"/>
  <c r="AU81" i="12" a="1"/>
  <c r="AU81" i="12" s="1"/>
  <c r="AW89" i="12" a="1"/>
  <c r="AW89" i="12" s="1"/>
  <c r="AO18" i="12" a="1"/>
  <c r="AO18" i="12" s="1"/>
  <c r="AR69" i="12" a="1"/>
  <c r="AR69" i="12" s="1"/>
  <c r="AP113" i="12" a="1"/>
  <c r="AP113" i="12" s="1"/>
  <c r="AU82" i="12" a="1"/>
  <c r="AU82" i="12" s="1"/>
  <c r="AO45" i="12" a="1"/>
  <c r="AO45" i="12" s="1"/>
  <c r="AS64" i="12" a="1"/>
  <c r="AS64" i="12" s="1"/>
  <c r="AP44" i="12" a="1"/>
  <c r="AP44" i="12" s="1"/>
  <c r="AR84" i="12" a="1"/>
  <c r="AR84" i="12" s="1"/>
  <c r="AP90" i="12" a="1"/>
  <c r="AP90" i="12" s="1"/>
  <c r="AU122" i="12" a="1"/>
  <c r="AU122" i="12" s="1"/>
  <c r="AU99" i="12" a="1"/>
  <c r="AU99" i="12" s="1"/>
  <c r="AQ45" i="12" a="1"/>
  <c r="AQ45" i="12" s="1"/>
  <c r="AW45" i="12" a="1"/>
  <c r="AW45" i="12" s="1"/>
  <c r="AO13" i="12" a="1"/>
  <c r="AO13" i="12" s="1"/>
  <c r="AQ130" i="12" a="1"/>
  <c r="AQ130" i="12" s="1"/>
  <c r="AS89" i="12" a="1"/>
  <c r="AS89" i="12" s="1"/>
  <c r="AS94" i="12" a="1"/>
  <c r="AS94" i="12" s="1"/>
  <c r="AT120" i="12" a="1"/>
  <c r="AT120" i="12" s="1"/>
  <c r="AV14" i="12" a="1"/>
  <c r="AV14" i="12" s="1"/>
  <c r="AX15" i="12" a="1"/>
  <c r="AX15" i="12" s="1"/>
  <c r="AW44" i="12" a="1"/>
  <c r="AW44" i="12" s="1"/>
  <c r="AU110" i="12" a="1"/>
  <c r="AU110" i="12" s="1"/>
  <c r="AQ5" i="12" a="1"/>
  <c r="AQ5" i="12" s="1"/>
  <c r="AT110" i="12" a="1"/>
  <c r="AT110" i="12" s="1"/>
  <c r="AX129" i="12" a="1"/>
  <c r="AX129" i="12" s="1"/>
  <c r="AU118" i="12" a="1"/>
  <c r="AU118" i="12" s="1"/>
  <c r="AX44" i="12" a="1"/>
  <c r="AX44" i="12" s="1"/>
  <c r="AU96" i="12" a="1"/>
  <c r="AU96" i="12" s="1"/>
  <c r="AS57" i="12" a="1"/>
  <c r="AS57" i="12" s="1"/>
  <c r="AV18" i="12" a="1"/>
  <c r="AV18" i="12" s="1"/>
  <c r="AU125" i="12" a="1"/>
  <c r="AU125" i="12" s="1"/>
  <c r="AR108" i="12" a="1"/>
  <c r="AR108" i="12" s="1"/>
  <c r="AR128" i="12" a="1"/>
  <c r="AR128" i="12" s="1"/>
  <c r="AP12" i="12" a="1"/>
  <c r="AP12" i="12" s="1"/>
  <c r="AO12" i="12" a="1"/>
  <c r="AO12" i="12" s="1"/>
  <c r="AW12" i="12" a="1"/>
  <c r="AW12" i="12" s="1"/>
  <c r="AX127" i="12" a="1"/>
  <c r="AX127" i="12" s="1"/>
  <c r="AQ17" i="12" a="1"/>
  <c r="AQ17" i="12" s="1"/>
  <c r="AX126" i="12" a="1"/>
  <c r="AX126" i="12" s="1"/>
  <c r="AU126" i="12" a="1"/>
  <c r="AU126" i="12" s="1"/>
  <c r="AV67" i="12" a="1"/>
  <c r="AV67" i="12" s="1"/>
  <c r="AP69" i="12" a="1"/>
  <c r="AP69" i="12" s="1"/>
  <c r="AU98" i="12" a="1"/>
  <c r="AU98" i="12" s="1"/>
  <c r="AQ16" i="12" a="1"/>
  <c r="AQ16" i="12" s="1"/>
  <c r="AX12" i="12" a="1"/>
  <c r="AX12" i="12" s="1"/>
  <c r="AX128" i="12" a="1"/>
  <c r="AX128" i="12" s="1"/>
  <c r="AV126" i="12" a="1"/>
  <c r="AV126" i="12" s="1"/>
  <c r="AQ89" i="12" a="1"/>
  <c r="AQ89" i="12" s="1"/>
  <c r="AP102" i="12" a="1"/>
  <c r="AP102" i="12" s="1"/>
  <c r="AT62" i="12" a="1"/>
  <c r="AT62" i="12" s="1"/>
  <c r="AS65" i="12" a="1"/>
  <c r="AS65" i="12" s="1"/>
  <c r="AS102" i="12" a="1"/>
  <c r="AS102" i="12" s="1"/>
  <c r="AV66" i="12" a="1"/>
  <c r="AV66" i="12" s="1"/>
  <c r="AQ110" i="12" a="1"/>
  <c r="AQ110" i="12" s="1"/>
  <c r="AR81" i="12" a="1"/>
  <c r="AR81" i="12" s="1"/>
  <c r="AQ121" i="12" a="1"/>
  <c r="AQ121" i="12" s="1"/>
  <c r="AR95" i="12" a="1"/>
  <c r="AR95" i="12" s="1"/>
  <c r="AW62" i="12" a="1"/>
  <c r="AW62" i="12" s="1"/>
  <c r="AP120" i="12" a="1"/>
  <c r="AP120" i="12" s="1"/>
  <c r="AX65" i="12" a="1"/>
  <c r="AX65" i="12" s="1"/>
  <c r="AT81" i="12" a="1"/>
  <c r="AT81" i="12" s="1"/>
  <c r="AR14" i="12" a="1"/>
  <c r="AR14" i="12" s="1"/>
  <c r="AR57" i="12" a="1"/>
  <c r="AR57" i="12" s="1"/>
  <c r="AW106" i="12" a="1"/>
  <c r="AW106" i="12" s="1"/>
  <c r="AP22" i="12" a="1"/>
  <c r="AP22" i="12" s="1"/>
  <c r="AP45" i="12" a="1"/>
  <c r="AP45" i="12" s="1"/>
  <c r="AN128" i="12" a="1"/>
  <c r="AN128" i="12" s="1"/>
  <c r="AP122" i="12" a="1"/>
  <c r="AP122" i="12" s="1"/>
  <c r="AU12" i="12" a="1"/>
  <c r="AU12" i="12" s="1"/>
  <c r="AS13" i="12" a="1"/>
  <c r="AS13" i="12" s="1"/>
  <c r="AX90" i="12" a="1"/>
  <c r="AX90" i="12" s="1"/>
  <c r="AX69" i="12" a="1"/>
  <c r="AX69" i="12" s="1"/>
  <c r="AT117" i="12" a="1"/>
  <c r="AT117" i="12" s="1"/>
  <c r="AX45" i="12" a="1"/>
  <c r="AX45" i="12" s="1"/>
  <c r="AX67" i="12" a="1"/>
  <c r="AX67" i="12" s="1"/>
  <c r="AN44" i="12" a="1"/>
  <c r="AN44" i="12" s="1"/>
  <c r="AR17" i="12" a="1"/>
  <c r="AR17" i="12" s="1"/>
  <c r="AR44" i="12" a="1"/>
  <c r="AR44" i="12" s="1"/>
  <c r="AP15" i="12" a="1"/>
  <c r="AP15" i="12" s="1"/>
  <c r="AS5" i="12" a="1"/>
  <c r="AS5" i="12" s="1"/>
  <c r="AP6" i="12" a="1"/>
  <c r="AP6" i="12" s="1"/>
  <c r="AS67" i="12" a="1"/>
  <c r="AS67" i="12" s="1"/>
  <c r="AQ65" i="12" a="1"/>
  <c r="AQ65" i="12" s="1"/>
  <c r="AV15" i="12" a="1"/>
  <c r="AV15" i="12" s="1"/>
  <c r="AR126" i="12" a="1"/>
  <c r="AR126" i="12" s="1"/>
  <c r="AQ67" i="12" a="1"/>
  <c r="AQ67" i="12" s="1"/>
  <c r="AV118" i="12" a="1"/>
  <c r="AV118" i="12" s="1"/>
  <c r="AT64" i="12" a="1"/>
  <c r="AT64" i="12" s="1"/>
  <c r="AU13" i="12" a="1"/>
  <c r="AU13" i="12" s="1"/>
  <c r="AU113" i="12" a="1"/>
  <c r="AU113" i="12" s="1"/>
  <c r="AW18" i="12" a="1"/>
  <c r="AW18" i="12" s="1"/>
  <c r="AU106" i="12" a="1"/>
  <c r="AU106" i="12" s="1"/>
  <c r="AO5" i="12" a="1"/>
  <c r="AO5" i="12" s="1"/>
  <c r="AR127" i="12" a="1"/>
  <c r="AR127" i="12" s="1"/>
  <c r="AV103" i="12" a="1"/>
  <c r="AV103" i="12" s="1"/>
  <c r="AU103" i="12" a="1"/>
  <c r="AU103" i="12" s="1"/>
  <c r="AR130" i="12" a="1"/>
  <c r="AR130" i="12" s="1"/>
  <c r="AU54" i="12" a="1"/>
  <c r="AU54" i="12" s="1"/>
  <c r="AW66" i="12" a="1"/>
  <c r="AW66" i="12" s="1"/>
  <c r="AW110" i="12" a="1"/>
  <c r="AW110" i="12" s="1"/>
  <c r="AX18" i="12" a="1"/>
  <c r="AX18" i="12" s="1"/>
  <c r="AS55" i="12" a="1"/>
  <c r="AS55" i="12" s="1"/>
  <c r="AS115" i="12" a="1"/>
  <c r="AS115" i="12" s="1"/>
  <c r="AX14" i="12" a="1"/>
  <c r="AX14" i="12" s="1"/>
  <c r="AT130" i="12" a="1"/>
  <c r="AT130" i="12" s="1"/>
  <c r="AS130" i="12" a="1"/>
  <c r="AS130" i="12" s="1"/>
  <c r="AX54" i="12" a="1"/>
  <c r="AX54" i="12" s="1"/>
  <c r="AV17" i="12" a="1"/>
  <c r="AV17" i="12" s="1"/>
  <c r="AT128" i="12" a="1"/>
  <c r="AT128" i="12" s="1"/>
  <c r="AP55" i="12" a="1"/>
  <c r="AP55" i="12" s="1"/>
  <c r="AW57" i="12" a="1"/>
  <c r="AW57" i="12" s="1"/>
  <c r="AV89" i="12" a="1"/>
  <c r="AV89" i="12" s="1"/>
  <c r="AV96" i="12" a="1"/>
  <c r="AV96" i="12" s="1"/>
  <c r="AN12" i="12" a="1"/>
  <c r="AN12" i="12" s="1"/>
  <c r="AT102" i="12" a="1"/>
  <c r="AT102" i="12" s="1"/>
  <c r="AU130" i="12" a="1"/>
  <c r="AU130" i="12" s="1"/>
  <c r="AT22" i="12" a="1"/>
  <c r="AT22" i="12" s="1"/>
  <c r="AR94" i="12" a="1"/>
  <c r="AR94" i="12" s="1"/>
  <c r="AW65" i="12" a="1"/>
  <c r="AW65" i="12" s="1"/>
  <c r="AR129" i="12" a="1"/>
  <c r="AR129" i="12" s="1"/>
  <c r="AV110" i="12" a="1"/>
  <c r="AV110" i="12" s="1"/>
  <c r="AT118" i="12" a="1"/>
  <c r="AT118" i="12" s="1"/>
  <c r="AX120" i="12" a="1"/>
  <c r="AX120" i="12" s="1"/>
  <c r="AR13" i="12" a="1"/>
  <c r="AR13" i="12" s="1"/>
  <c r="AV90" i="12" a="1"/>
  <c r="AV90" i="12" s="1"/>
  <c r="AW82" i="12" a="1"/>
  <c r="AW82" i="12" s="1"/>
  <c r="AS117" i="12" a="1"/>
  <c r="AS117" i="12" s="1"/>
  <c r="AR82" i="12" a="1"/>
  <c r="AR82" i="12" s="1"/>
  <c r="AV94" i="12" a="1"/>
  <c r="AV94" i="12" s="1"/>
  <c r="AP130" i="12" a="1"/>
  <c r="AP130" i="12" s="1"/>
  <c r="AN131" i="12" a="1"/>
  <c r="AN131" i="12" s="1"/>
  <c r="AP14" i="12" a="1"/>
  <c r="AP14" i="12" s="1"/>
  <c r="AP57" i="12" a="1"/>
  <c r="AP57" i="12" s="1"/>
  <c r="AQ127" i="12" a="1"/>
  <c r="AQ127" i="12" s="1"/>
  <c r="AP128" i="12" a="1"/>
  <c r="AP128" i="12" s="1"/>
  <c r="AX110" i="12" a="1"/>
  <c r="AX110" i="12" s="1"/>
  <c r="AU107" i="12" a="1"/>
  <c r="AU107" i="12" s="1"/>
  <c r="AS17" i="12" a="1"/>
  <c r="AS17" i="12" s="1"/>
  <c r="AS44" i="12" a="1"/>
  <c r="AS44" i="12" s="1"/>
  <c r="AR45" i="12" a="1"/>
  <c r="AR45" i="12" s="1"/>
  <c r="AQ128" i="12" a="1"/>
  <c r="AQ128" i="12" s="1"/>
  <c r="AR89" i="12" a="1"/>
  <c r="AR89" i="12" s="1"/>
  <c r="AT67" i="12" a="1"/>
  <c r="AT67" i="12" s="1"/>
  <c r="AP115" i="12" a="1"/>
  <c r="AP115" i="12" s="1"/>
  <c r="AU14" i="12" a="1"/>
  <c r="AU14" i="12" s="1"/>
  <c r="AN16" i="12" a="1"/>
  <c r="AN16" i="12" s="1"/>
  <c r="AR122" i="12" a="1"/>
  <c r="AR122" i="12" s="1"/>
  <c r="AU108" i="12" a="1"/>
  <c r="AU108" i="12" s="1"/>
  <c r="AS129" i="12" a="1"/>
  <c r="AS129" i="12" s="1"/>
  <c r="AT66" i="12" a="1"/>
  <c r="AT66" i="12" s="1"/>
  <c r="AQ62" i="12" a="1"/>
  <c r="AQ62" i="12" s="1"/>
  <c r="AR118" i="12" a="1"/>
  <c r="AR118" i="12" s="1"/>
  <c r="AS108" i="12" a="1"/>
  <c r="AS108" i="12" s="1"/>
  <c r="AT108" i="12" a="1"/>
  <c r="AT108" i="12" s="1"/>
  <c r="AW84" i="12" a="1"/>
  <c r="AW84" i="12" s="1"/>
  <c r="AX22" i="12" a="1"/>
  <c r="AX22" i="12" s="1"/>
  <c r="AU121" i="12" a="1"/>
  <c r="AU121" i="12" s="1"/>
  <c r="AR64" i="12" a="1"/>
  <c r="AR64" i="12" s="1"/>
  <c r="AQ102" i="12" a="1"/>
  <c r="AQ102" i="12" s="1"/>
  <c r="AW121" i="12" a="1"/>
  <c r="AW121" i="12" s="1"/>
  <c r="AP98" i="12" a="1"/>
  <c r="AP98" i="12" s="1"/>
  <c r="AP107" i="12" a="1"/>
  <c r="AP107" i="12" s="1"/>
  <c r="AS16" i="12" a="1"/>
  <c r="AS16" i="12" s="1"/>
  <c r="AP89" i="12" a="1"/>
  <c r="AP89" i="12" s="1"/>
  <c r="AU5" i="12" a="1"/>
  <c r="AU5" i="12" s="1"/>
  <c r="AU18" i="12" a="1"/>
  <c r="AU18" i="12" s="1"/>
  <c r="AV121" i="12" a="1"/>
  <c r="AV121" i="12" s="1"/>
  <c r="AS81" i="12" a="1"/>
  <c r="AS81" i="12" s="1"/>
  <c r="J103" i="12"/>
  <c r="J131" i="12"/>
  <c r="J130" i="12"/>
  <c r="J45" i="12"/>
  <c r="J44" i="12"/>
  <c r="J129" i="12"/>
  <c r="J121" i="12"/>
  <c r="J117" i="12"/>
  <c r="J128" i="12"/>
  <c r="J62" i="12"/>
  <c r="J127" i="12"/>
  <c r="J82" i="12"/>
  <c r="J22" i="12"/>
  <c r="J102" i="12"/>
  <c r="J126" i="12"/>
  <c r="J17" i="12"/>
  <c r="J107" i="12"/>
  <c r="J16" i="12"/>
  <c r="J125" i="12"/>
  <c r="J118" i="12"/>
  <c r="J122" i="12"/>
  <c r="J106" i="12"/>
  <c r="J108" i="12"/>
  <c r="J84" i="12"/>
  <c r="J90" i="12"/>
  <c r="J15" i="12"/>
  <c r="J14" i="12"/>
  <c r="J12" i="12"/>
  <c r="J13" i="12"/>
  <c r="J6" i="12"/>
  <c r="J5" i="12"/>
  <c r="N131" i="12" a="1"/>
  <c r="N131" i="12" s="1"/>
  <c r="AQ32" i="12" a="1"/>
  <c r="AQ32" i="12" s="1"/>
  <c r="AX63" i="12" a="1"/>
  <c r="AX63" i="12" s="1"/>
  <c r="AU79" i="12" a="1"/>
  <c r="AU79" i="12" s="1"/>
  <c r="AW20" i="12" a="1"/>
  <c r="AW20" i="12" s="1"/>
  <c r="AW92" i="12" a="1"/>
  <c r="AW92" i="12" s="1"/>
  <c r="AW68" i="12" a="1"/>
  <c r="AW68" i="12" s="1"/>
  <c r="AT60" i="12" a="1"/>
  <c r="AT60" i="12" s="1"/>
  <c r="AS123" i="12" a="1"/>
  <c r="AS123" i="12" s="1"/>
  <c r="AQ24" i="12" a="1"/>
  <c r="AQ24" i="12" s="1"/>
  <c r="AV100" i="12" a="1"/>
  <c r="AV100" i="12" s="1"/>
  <c r="AX42" i="12" a="1"/>
  <c r="AX42" i="12" s="1"/>
  <c r="AW123" i="12" a="1"/>
  <c r="AW123" i="12" s="1"/>
  <c r="AT53" i="12" a="1"/>
  <c r="AT53" i="12" s="1"/>
  <c r="AW114" i="12" a="1"/>
  <c r="AW114" i="12" s="1"/>
  <c r="AS39" i="12" a="1"/>
  <c r="AS39" i="12" s="1"/>
  <c r="AW52" i="12" a="1"/>
  <c r="AW52" i="12" s="1"/>
  <c r="AX71" i="12" a="1"/>
  <c r="AX71" i="12" s="1"/>
  <c r="AO109" i="12" a="1"/>
  <c r="AO109" i="12" s="1"/>
  <c r="AW111" i="12" a="1"/>
  <c r="AW111" i="12" s="1"/>
  <c r="AX60" i="12" a="1"/>
  <c r="AX60" i="12" s="1"/>
  <c r="AX8" i="12" a="1"/>
  <c r="AX8" i="12" s="1"/>
  <c r="AV42" i="12" a="1"/>
  <c r="AV42" i="12" s="1"/>
  <c r="AR40" i="12" a="1"/>
  <c r="AR40" i="12" s="1"/>
  <c r="AU76" i="12" a="1"/>
  <c r="AU76" i="12" s="1"/>
  <c r="AV7" i="12" a="1"/>
  <c r="AV7" i="12" s="1"/>
  <c r="AX40" i="12" a="1"/>
  <c r="AX40" i="12" s="1"/>
  <c r="AP72" i="12" a="1"/>
  <c r="AP72" i="12" s="1"/>
  <c r="AT70" i="12" a="1"/>
  <c r="AT70" i="12" s="1"/>
  <c r="AS24" i="12" a="1"/>
  <c r="AS24" i="12" s="1"/>
  <c r="AO114" i="12" a="1"/>
  <c r="AO114" i="12" s="1"/>
  <c r="AO10" i="12" a="1"/>
  <c r="AO10" i="12" s="1"/>
  <c r="AV29" i="12" a="1"/>
  <c r="AV29" i="12" s="1"/>
  <c r="AW74" i="12" a="1"/>
  <c r="AW74" i="12" s="1"/>
  <c r="AX7" i="12" a="1"/>
  <c r="AX7" i="12" s="1"/>
  <c r="AW59" i="12" a="1"/>
  <c r="AW59" i="12" s="1"/>
  <c r="AW63" i="12" a="1"/>
  <c r="AW63" i="12" s="1"/>
  <c r="AP37" i="12" a="1"/>
  <c r="AP37" i="12" s="1"/>
  <c r="AU86" i="12" a="1"/>
  <c r="AU86" i="12" s="1"/>
  <c r="AX100" i="12" a="1"/>
  <c r="AX100" i="12" s="1"/>
  <c r="AW10" i="12" a="1"/>
  <c r="AW10" i="12" s="1"/>
  <c r="AU26" i="12" a="1"/>
  <c r="AU26" i="12" s="1"/>
  <c r="AW58" i="12" a="1"/>
  <c r="AW58" i="12" s="1"/>
  <c r="AV116" i="12" a="1"/>
  <c r="AV116" i="12" s="1"/>
  <c r="AQ8" i="12" a="1"/>
  <c r="AQ8" i="12" s="1"/>
  <c r="AN91" i="12" a="1"/>
  <c r="AN91" i="12" s="1"/>
  <c r="AX43" i="12" a="1"/>
  <c r="AX43" i="12" s="1"/>
  <c r="AU42" i="12" a="1"/>
  <c r="AU42" i="12" s="1"/>
  <c r="AT93" i="12" a="1"/>
  <c r="AT93" i="12" s="1"/>
  <c r="AV36" i="12" a="1"/>
  <c r="AV36" i="12" s="1"/>
  <c r="AX83" i="12" a="1"/>
  <c r="AX83" i="12" s="1"/>
  <c r="AT87" i="12" a="1"/>
  <c r="AT87" i="12" s="1"/>
  <c r="AS30" i="12" a="1"/>
  <c r="AS30" i="12" s="1"/>
  <c r="AO87" i="12" a="1"/>
  <c r="AO87" i="12" s="1"/>
  <c r="AX111" i="12" a="1"/>
  <c r="AX111" i="12" s="1"/>
  <c r="AW78" i="12" a="1"/>
  <c r="AW78" i="12" s="1"/>
  <c r="AS109" i="12" a="1"/>
  <c r="AS109" i="12" s="1"/>
  <c r="AX24" i="12" a="1"/>
  <c r="AX24" i="12" s="1"/>
  <c r="AR4" i="12" a="1"/>
  <c r="AR4" i="12" s="1"/>
  <c r="AX105" i="12" a="1"/>
  <c r="AX105" i="12" s="1"/>
  <c r="AU29" i="12" a="1"/>
  <c r="AU29" i="12" s="1"/>
  <c r="AU77" i="12" a="1"/>
  <c r="AU77" i="12" s="1"/>
  <c r="AW87" i="12" a="1"/>
  <c r="AW87" i="12" s="1"/>
  <c r="AP28" i="12" a="1"/>
  <c r="AP28" i="12" s="1"/>
  <c r="AW109" i="12" a="1"/>
  <c r="AW109" i="12" s="1"/>
  <c r="AW101" i="12" a="1"/>
  <c r="AW101" i="12" s="1"/>
  <c r="AX74" i="12" a="1"/>
  <c r="AX74" i="12" s="1"/>
  <c r="AV71" i="12" a="1"/>
  <c r="AV71" i="12" s="1"/>
  <c r="AW37" i="12" a="1"/>
  <c r="AW37" i="12" s="1"/>
  <c r="AV124" i="12" a="1"/>
  <c r="AV124" i="12" s="1"/>
  <c r="AX124" i="12" a="1"/>
  <c r="AX124" i="12" s="1"/>
  <c r="AT104" i="12" a="1"/>
  <c r="AT104" i="12" s="1"/>
  <c r="AU4" i="12" a="1"/>
  <c r="AU4" i="12" s="1"/>
  <c r="AV119" i="12" a="1"/>
  <c r="AV119" i="12" s="1"/>
  <c r="AX79" i="12" a="1"/>
  <c r="AX79" i="12" s="1"/>
  <c r="AW104" i="12" a="1"/>
  <c r="AW104" i="12" s="1"/>
  <c r="AT25" i="12" a="1"/>
  <c r="AT25" i="12" s="1"/>
  <c r="AT73" i="12" a="1"/>
  <c r="AT73" i="12" s="1"/>
  <c r="AV76" i="12" a="1"/>
  <c r="AV76" i="12" s="1"/>
  <c r="AU9" i="12" a="1"/>
  <c r="AU9" i="12" s="1"/>
  <c r="AU83" i="12" a="1"/>
  <c r="AU83" i="12" s="1"/>
  <c r="AW60" i="12" a="1"/>
  <c r="AW60" i="12" s="1"/>
  <c r="AQ19" i="12" a="1"/>
  <c r="AQ19" i="12" s="1"/>
  <c r="AN40" i="12" a="1"/>
  <c r="AN40" i="12" s="1"/>
  <c r="AU35" i="12" a="1"/>
  <c r="AU35" i="12" s="1"/>
  <c r="AW73" i="12" a="1"/>
  <c r="AW73" i="12" s="1"/>
  <c r="AV72" i="12" a="1"/>
  <c r="AV72" i="12" s="1"/>
  <c r="AW56" i="12" a="1"/>
  <c r="AW56" i="12" s="1"/>
  <c r="AP36" i="12" a="1"/>
  <c r="AP36" i="12" s="1"/>
  <c r="AQ71" i="12" a="1"/>
  <c r="AQ71" i="12" s="1"/>
  <c r="AN104" i="12" a="1"/>
  <c r="AN104" i="12" s="1"/>
  <c r="AU53" i="12" a="1"/>
  <c r="AU53" i="12" s="1"/>
  <c r="AW9" i="12" a="1"/>
  <c r="AW9" i="12" s="1"/>
  <c r="AV8" i="12" a="1"/>
  <c r="AV8" i="12" s="1"/>
  <c r="AU39" i="12" a="1"/>
  <c r="AU39" i="12" s="1"/>
  <c r="AO37" i="12" a="1"/>
  <c r="AO37" i="12" s="1"/>
  <c r="AO19" i="12" a="1"/>
  <c r="AO19" i="12" s="1"/>
  <c r="AX68" i="12" a="1"/>
  <c r="AX68" i="12" s="1"/>
  <c r="AW93" i="12" a="1"/>
  <c r="AW93" i="12" s="1"/>
  <c r="AN60" i="12" a="1"/>
  <c r="AN60" i="12" s="1"/>
  <c r="AX88" i="12" a="1"/>
  <c r="AX88" i="12" s="1"/>
  <c r="AS72" i="12" a="1"/>
  <c r="AS72" i="12" s="1"/>
  <c r="AX20" i="12" a="1"/>
  <c r="AX20" i="12" s="1"/>
  <c r="AQ124" i="12" a="1"/>
  <c r="AQ124" i="12" s="1"/>
  <c r="AN9" i="12" a="1"/>
  <c r="AN9" i="12" s="1"/>
  <c r="AX86" i="12" a="1"/>
  <c r="AX86" i="12" s="1"/>
  <c r="AV35" i="12" a="1"/>
  <c r="AV35" i="12" s="1"/>
  <c r="AV83" i="12" a="1"/>
  <c r="AV83" i="12" s="1"/>
  <c r="AX101" i="12" a="1"/>
  <c r="AX101" i="12" s="1"/>
  <c r="AO59" i="12" a="1"/>
  <c r="AO59" i="12" s="1"/>
  <c r="AO101" i="12" a="1"/>
  <c r="AO101" i="12" s="1"/>
  <c r="AO31" i="12" a="1"/>
  <c r="AO31" i="12" s="1"/>
  <c r="AV38" i="12" a="1"/>
  <c r="AV38" i="12" s="1"/>
  <c r="AW72" i="12" a="1"/>
  <c r="AW72" i="12" s="1"/>
  <c r="AV105" i="12" a="1"/>
  <c r="AV105" i="12" s="1"/>
  <c r="AT114" i="12" a="1"/>
  <c r="AT114" i="12" s="1"/>
  <c r="AX25" i="12" a="1"/>
  <c r="AX25" i="12" s="1"/>
  <c r="AT11" i="12" a="1"/>
  <c r="AT11" i="12" s="1"/>
  <c r="AN31" i="12" a="1"/>
  <c r="AN31" i="12" s="1"/>
  <c r="AT38" i="12" a="1"/>
  <c r="AT38" i="12" s="1"/>
  <c r="AX35" i="12" a="1"/>
  <c r="AX35" i="12" s="1"/>
  <c r="AX80" i="12" a="1"/>
  <c r="AX80" i="12" s="1"/>
  <c r="AW86" i="12" a="1"/>
  <c r="AW86" i="12" s="1"/>
  <c r="AT72" i="12" a="1"/>
  <c r="AT72" i="12" s="1"/>
  <c r="AV93" i="12" a="1"/>
  <c r="AV93" i="12" s="1"/>
  <c r="AX23" i="12" a="1"/>
  <c r="AX23" i="12" s="1"/>
  <c r="AV33" i="12" a="1"/>
  <c r="AV33" i="12" s="1"/>
  <c r="AX76" i="12" a="1"/>
  <c r="AX76" i="12" s="1"/>
  <c r="AW116" i="12" a="1"/>
  <c r="AW116" i="12" s="1"/>
  <c r="AR11" i="12" a="1"/>
  <c r="AR11" i="12" s="1"/>
  <c r="AQ104" i="12" a="1"/>
  <c r="AQ104" i="12" s="1"/>
  <c r="AO111" i="12" a="1"/>
  <c r="AO111" i="12" s="1"/>
  <c r="AV111" i="12" a="1"/>
  <c r="AV111" i="12" s="1"/>
  <c r="AW11" i="12" a="1"/>
  <c r="AW11" i="12" s="1"/>
  <c r="AO116" i="12" a="1"/>
  <c r="AO116" i="12" s="1"/>
  <c r="AU101" i="12" a="1"/>
  <c r="AU101" i="12" s="1"/>
  <c r="AS74" i="12" a="1"/>
  <c r="AS74" i="12" s="1"/>
  <c r="AN27" i="12" a="1"/>
  <c r="AN27" i="12" s="1"/>
  <c r="AX29" i="12" a="1"/>
  <c r="AX29" i="12" s="1"/>
  <c r="AV30" i="12" a="1"/>
  <c r="AV30" i="12" s="1"/>
  <c r="AV63" i="12" a="1"/>
  <c r="AV63" i="12" s="1"/>
  <c r="AW32" i="12" a="1"/>
  <c r="AW32" i="12" s="1"/>
  <c r="AU38" i="12" a="1"/>
  <c r="AU38" i="12" s="1"/>
  <c r="AP79" i="12" a="1"/>
  <c r="AP79" i="12" s="1"/>
  <c r="AR34" i="12" a="1"/>
  <c r="AR34" i="12" s="1"/>
  <c r="AS10" i="12" a="1"/>
  <c r="AS10" i="12" s="1"/>
  <c r="AW70" i="12" a="1"/>
  <c r="AW70" i="12" s="1"/>
  <c r="AU58" i="12" a="1"/>
  <c r="AU58" i="12" s="1"/>
  <c r="AW36" i="12" a="1"/>
  <c r="AW36" i="12" s="1"/>
  <c r="AV34" i="12" a="1"/>
  <c r="AV34" i="12" s="1"/>
  <c r="AV78" i="12" a="1"/>
  <c r="AV78" i="12" s="1"/>
  <c r="AX72" i="12" a="1"/>
  <c r="AX72" i="12" s="1"/>
  <c r="AQ38" i="12" a="1"/>
  <c r="AQ38" i="12" s="1"/>
  <c r="AU85" i="12" a="1"/>
  <c r="AU85" i="12" s="1"/>
  <c r="AO4" i="12" a="1"/>
  <c r="AO4" i="12" s="1"/>
  <c r="AW41" i="12" a="1"/>
  <c r="AW41" i="12" s="1"/>
  <c r="AV53" i="12" a="1"/>
  <c r="AV53" i="12" s="1"/>
  <c r="AX53" i="12" a="1"/>
  <c r="AX53" i="12" s="1"/>
  <c r="AP100" i="12" a="1"/>
  <c r="AP100" i="12" s="1"/>
  <c r="AT80" i="12" a="1"/>
  <c r="AT80" i="12" s="1"/>
  <c r="AV32" i="12" a="1"/>
  <c r="AV32" i="12" s="1"/>
  <c r="AU27" i="12" a="1"/>
  <c r="AU27" i="12" s="1"/>
  <c r="AQ7" i="12" a="1"/>
  <c r="AQ7" i="12" s="1"/>
  <c r="AU75" i="12" a="1"/>
  <c r="AU75" i="12" s="1"/>
  <c r="AQ29" i="12" a="1"/>
  <c r="AQ29" i="12" s="1"/>
  <c r="AN39" i="12" a="1"/>
  <c r="AN39" i="12" s="1"/>
  <c r="AV37" i="12" a="1"/>
  <c r="AV37" i="12" s="1"/>
  <c r="AW53" i="12" a="1"/>
  <c r="AW53" i="12" s="1"/>
  <c r="AT56" i="12" a="1"/>
  <c r="AT56" i="12" s="1"/>
  <c r="AX70" i="12" a="1"/>
  <c r="AX70" i="12" s="1"/>
  <c r="AR9" i="12" a="1"/>
  <c r="AR9" i="12" s="1"/>
  <c r="AV77" i="12" a="1"/>
  <c r="AV77" i="12" s="1"/>
  <c r="AO72" i="12" a="1"/>
  <c r="AO72" i="12" s="1"/>
  <c r="AU59" i="12" a="1"/>
  <c r="AU59" i="12" s="1"/>
  <c r="AU25" i="12" a="1"/>
  <c r="AU25" i="12" s="1"/>
  <c r="AX119" i="12" a="1"/>
  <c r="AX119" i="12" s="1"/>
  <c r="AT71" i="12" a="1"/>
  <c r="AT71" i="12" s="1"/>
  <c r="AV74" i="12" a="1"/>
  <c r="AV74" i="12" s="1"/>
  <c r="AR58" i="12" a="1"/>
  <c r="AR58" i="12" s="1"/>
  <c r="AU24" i="12" a="1"/>
  <c r="AU24" i="12" s="1"/>
  <c r="AN19" i="12" a="1"/>
  <c r="AN19" i="12" s="1"/>
  <c r="AU31" i="12" a="1"/>
  <c r="AU31" i="12" s="1"/>
  <c r="AV60" i="12" a="1"/>
  <c r="AV60" i="12" s="1"/>
  <c r="AU30" i="12" a="1"/>
  <c r="AU30" i="12" s="1"/>
  <c r="AX61" i="12" a="1"/>
  <c r="AX61" i="12" s="1"/>
  <c r="AP114" i="12" a="1"/>
  <c r="AP114" i="12" s="1"/>
  <c r="AV43" i="12" a="1"/>
  <c r="AV43" i="12" s="1"/>
  <c r="AR112" i="12" a="1"/>
  <c r="AR112" i="12" s="1"/>
  <c r="AN21" i="12" a="1"/>
  <c r="AN21" i="12" s="1"/>
  <c r="AW61" i="12" a="1"/>
  <c r="AW61" i="12" s="1"/>
  <c r="AV88" i="12" a="1"/>
  <c r="AV88" i="12" s="1"/>
  <c r="AX59" i="12" a="1"/>
  <c r="AX59" i="12" s="1"/>
  <c r="AX114" i="12" a="1"/>
  <c r="AX114" i="12" s="1"/>
  <c r="AQ37" i="12" a="1"/>
  <c r="AQ37" i="12" s="1"/>
  <c r="AR111" i="12" a="1"/>
  <c r="AR111" i="12" s="1"/>
  <c r="AX52" i="12" a="1"/>
  <c r="AX52" i="12" s="1"/>
  <c r="AN85" i="12" a="1"/>
  <c r="AN85" i="12" s="1"/>
  <c r="AV24" i="12" a="1"/>
  <c r="AV24" i="12" s="1"/>
  <c r="AW42" i="12" a="1"/>
  <c r="AW42" i="12" s="1"/>
  <c r="AX36" i="12" a="1"/>
  <c r="AX36" i="12" s="1"/>
  <c r="AP119" i="12" a="1"/>
  <c r="AP119" i="12" s="1"/>
  <c r="AV92" i="12" a="1"/>
  <c r="AV92" i="12" s="1"/>
  <c r="AO26" i="12" a="1"/>
  <c r="AO26" i="12" s="1"/>
  <c r="AX58" i="12" a="1"/>
  <c r="AX58" i="12" s="1"/>
  <c r="AU93" i="12" a="1"/>
  <c r="AU93" i="12" s="1"/>
  <c r="AV20" i="12" a="1"/>
  <c r="AV20" i="12" s="1"/>
  <c r="AX37" i="12" a="1"/>
  <c r="AX37" i="12" s="1"/>
  <c r="AT37" i="12" a="1"/>
  <c r="AT37" i="12" s="1"/>
  <c r="AR26" i="12" a="1"/>
  <c r="AR26" i="12" s="1"/>
  <c r="AU33" i="12" a="1"/>
  <c r="AU33" i="12" s="1"/>
  <c r="AV87" i="12" a="1"/>
  <c r="AV87" i="12" s="1"/>
  <c r="AR25" i="12" a="1"/>
  <c r="AR25" i="12" s="1"/>
  <c r="AV25" i="12" a="1"/>
  <c r="AV25" i="12" s="1"/>
  <c r="AX34" i="12" a="1"/>
  <c r="AX34" i="12" s="1"/>
  <c r="AQ52" i="12" a="1"/>
  <c r="AQ52" i="12" s="1"/>
  <c r="AN68" i="12" a="1"/>
  <c r="AN68" i="12" s="1"/>
  <c r="AT39" i="12" a="1"/>
  <c r="AT39" i="12" s="1"/>
  <c r="AX41" i="12" a="1"/>
  <c r="AX41" i="12" s="1"/>
  <c r="AT88" i="12" a="1"/>
  <c r="AT88" i="12" s="1"/>
  <c r="AV123" i="12" a="1"/>
  <c r="AV123" i="12" s="1"/>
  <c r="AW24" i="12" a="1"/>
  <c r="AW24" i="12" s="1"/>
  <c r="AV59" i="12" a="1"/>
  <c r="AV59" i="12" s="1"/>
  <c r="AV9" i="12" a="1"/>
  <c r="AV9" i="12" s="1"/>
  <c r="AX104" i="12" a="1"/>
  <c r="AX104" i="12" s="1"/>
  <c r="AX39" i="12" a="1"/>
  <c r="AX39" i="12" s="1"/>
  <c r="AT85" i="12" a="1"/>
  <c r="AT85" i="12" s="1"/>
  <c r="AW21" i="12" a="1"/>
  <c r="AW21" i="12" s="1"/>
  <c r="AS88" i="12" a="1"/>
  <c r="AS88" i="12" s="1"/>
  <c r="AP39" i="12" a="1"/>
  <c r="AP39" i="12" s="1"/>
  <c r="AN77" i="12" a="1"/>
  <c r="AN77" i="12" s="1"/>
  <c r="AW119" i="12" a="1"/>
  <c r="AW119" i="12" s="1"/>
  <c r="AW75" i="12" a="1"/>
  <c r="AW75" i="12" s="1"/>
  <c r="AP86" i="12" a="1"/>
  <c r="AP86" i="12" s="1"/>
  <c r="AW38" i="12" a="1"/>
  <c r="AW38" i="12" s="1"/>
  <c r="AS51" i="12" a="1"/>
  <c r="AS51" i="12" s="1"/>
  <c r="AW85" i="12" a="1"/>
  <c r="AW85" i="12" s="1"/>
  <c r="AV75" i="12" a="1"/>
  <c r="AV75" i="12" s="1"/>
  <c r="AQ60" i="12" a="1"/>
  <c r="AQ60" i="12" s="1"/>
  <c r="AR80" i="12" a="1"/>
  <c r="AR80" i="12" s="1"/>
  <c r="AW124" i="12" a="1"/>
  <c r="AW124" i="12" s="1"/>
  <c r="AV11" i="12" a="1"/>
  <c r="AV11" i="12" s="1"/>
  <c r="AS104" i="12" a="1"/>
  <c r="AS104" i="12" s="1"/>
  <c r="AN33" i="12" a="1"/>
  <c r="AN33" i="12" s="1"/>
  <c r="AU114" i="12" a="1"/>
  <c r="AU114" i="12" s="1"/>
  <c r="AU51" i="12" a="1"/>
  <c r="AU51" i="12" s="1"/>
  <c r="AW31" i="12" a="1"/>
  <c r="AW31" i="12" s="1"/>
  <c r="AQ27" i="12" a="1"/>
  <c r="AQ27" i="12" s="1"/>
  <c r="AQ91" i="12" a="1"/>
  <c r="AQ91" i="12" s="1"/>
  <c r="AV80" i="12" a="1"/>
  <c r="AV80" i="12" s="1"/>
  <c r="AS119" i="12" a="1"/>
  <c r="AS119" i="12" s="1"/>
  <c r="AU109" i="12" a="1"/>
  <c r="AU109" i="12" s="1"/>
  <c r="AR52" i="12" a="1"/>
  <c r="AR52" i="12" s="1"/>
  <c r="AR85" i="12" a="1"/>
  <c r="AR85" i="12" s="1"/>
  <c r="AW4" i="12" a="1"/>
  <c r="AW4" i="12" s="1"/>
  <c r="AT101" i="12" a="1"/>
  <c r="AT101" i="12" s="1"/>
  <c r="AX93" i="12" a="1"/>
  <c r="AX93" i="12" s="1"/>
  <c r="AU56" i="12" a="1"/>
  <c r="AU56" i="12" s="1"/>
  <c r="AV19" i="12" a="1"/>
  <c r="AV19" i="12" s="1"/>
  <c r="AX28" i="12" a="1"/>
  <c r="AX28" i="12" s="1"/>
  <c r="AO29" i="12" a="1"/>
  <c r="AO29" i="12" s="1"/>
  <c r="AV109" i="12" a="1"/>
  <c r="AV109" i="12" s="1"/>
  <c r="AW34" i="12" a="1"/>
  <c r="AW34" i="12" s="1"/>
  <c r="AU73" i="12" a="1"/>
  <c r="AU73" i="12" s="1"/>
  <c r="AV26" i="12" a="1"/>
  <c r="AV26" i="12" s="1"/>
  <c r="AX9" i="12" a="1"/>
  <c r="AX9" i="12" s="1"/>
  <c r="AS42" i="12" a="1"/>
  <c r="AS42" i="12" s="1"/>
  <c r="AQ41" i="12" a="1"/>
  <c r="AQ41" i="12" s="1"/>
  <c r="AQ78" i="12" a="1"/>
  <c r="AQ78" i="12" s="1"/>
  <c r="AS4" i="12" a="1"/>
  <c r="AS4" i="12" s="1"/>
  <c r="AV58" i="12" a="1"/>
  <c r="AV58" i="12" s="1"/>
  <c r="AX10" i="12" a="1"/>
  <c r="AX10" i="12" s="1"/>
  <c r="AW28" i="12" a="1"/>
  <c r="AW28" i="12" s="1"/>
  <c r="AS83" i="12" a="1"/>
  <c r="AS83" i="12" s="1"/>
  <c r="AU119" i="12" a="1"/>
  <c r="AU119" i="12" s="1"/>
  <c r="AT9" i="12" a="1"/>
  <c r="AT9" i="12" s="1"/>
  <c r="AQ30" i="12" a="1"/>
  <c r="AQ30" i="12" s="1"/>
  <c r="AV61" i="12" a="1"/>
  <c r="AV61" i="12" s="1"/>
  <c r="AX91" i="12" a="1"/>
  <c r="AX91" i="12" s="1"/>
  <c r="AW105" i="12" a="1"/>
  <c r="AW105" i="12" s="1"/>
  <c r="AT105" i="12" a="1"/>
  <c r="AT105" i="12" s="1"/>
  <c r="AR100" i="12" a="1"/>
  <c r="AR100" i="12" s="1"/>
  <c r="AS31" i="12" a="1"/>
  <c r="AS31" i="12" s="1"/>
  <c r="AT28" i="12" a="1"/>
  <c r="AT28" i="12" s="1"/>
  <c r="AX92" i="12" a="1"/>
  <c r="AX92" i="12" s="1"/>
  <c r="AX32" i="12" a="1"/>
  <c r="AX32" i="12" s="1"/>
  <c r="AW91" i="12" a="1"/>
  <c r="AW91" i="12" s="1"/>
  <c r="AT109" i="12" a="1"/>
  <c r="AT109" i="12" s="1"/>
  <c r="AU91" i="12" a="1"/>
  <c r="AU91" i="12" s="1"/>
  <c r="AX11" i="12" a="1"/>
  <c r="AX11" i="12" s="1"/>
  <c r="AT8" i="12" a="1"/>
  <c r="AT8" i="12" s="1"/>
  <c r="AQ111" i="12" a="1"/>
  <c r="AQ111" i="12" s="1"/>
  <c r="AR7" i="12" a="1"/>
  <c r="AR7" i="12" s="1"/>
  <c r="AN58" i="12" a="1"/>
  <c r="AN58" i="12" s="1"/>
  <c r="AX38" i="12" a="1"/>
  <c r="AX38" i="12" s="1"/>
  <c r="AW19" i="12" a="1"/>
  <c r="AW19" i="12" s="1"/>
  <c r="AS9" i="12" a="1"/>
  <c r="AS9" i="12" s="1"/>
  <c r="AS52" i="12" a="1"/>
  <c r="AS52" i="12" s="1"/>
  <c r="AU123" i="12" a="1"/>
  <c r="AU123" i="12" s="1"/>
  <c r="AT86" i="12" a="1"/>
  <c r="AT86" i="12" s="1"/>
  <c r="AP73" i="12" a="1"/>
  <c r="AP73" i="12" s="1"/>
  <c r="AU11" i="12" a="1"/>
  <c r="AU11" i="12" s="1"/>
  <c r="AR116" i="12" a="1"/>
  <c r="AR116" i="12" s="1"/>
  <c r="AT78" i="12" a="1"/>
  <c r="AT78" i="12" s="1"/>
  <c r="AP93" i="12" a="1"/>
  <c r="AP93" i="12" s="1"/>
  <c r="AW33" i="12" a="1"/>
  <c r="AW33" i="12" s="1"/>
  <c r="AV97" i="12" a="1"/>
  <c r="AV97" i="12" s="1"/>
  <c r="AQ86" i="12" a="1"/>
  <c r="AQ86" i="12" s="1"/>
  <c r="AR75" i="12" a="1"/>
  <c r="AR75" i="12" s="1"/>
  <c r="AX56" i="12" a="1"/>
  <c r="AX56" i="12" s="1"/>
  <c r="AW30" i="12" a="1"/>
  <c r="AW30" i="12" s="1"/>
  <c r="AX19" i="12" a="1"/>
  <c r="AX19" i="12" s="1"/>
  <c r="AT19" i="12" a="1"/>
  <c r="AT19" i="12" s="1"/>
  <c r="AW23" i="12" a="1"/>
  <c r="AW23" i="12" s="1"/>
  <c r="AO33" i="12" a="1"/>
  <c r="AO33" i="12" s="1"/>
  <c r="AT123" i="12" a="1"/>
  <c r="AT123" i="12" s="1"/>
  <c r="AW26" i="12" a="1"/>
  <c r="AW26" i="12" s="1"/>
  <c r="AP11" i="12" a="1"/>
  <c r="AP11" i="12" s="1"/>
  <c r="AV51" i="12" a="1"/>
  <c r="AV51" i="12" s="1"/>
  <c r="AS60" i="12" a="1"/>
  <c r="AS60" i="12" s="1"/>
  <c r="AS70" i="12" a="1"/>
  <c r="AS70" i="12" s="1"/>
  <c r="AV86" i="12" a="1"/>
  <c r="AV86" i="12" s="1"/>
  <c r="AX33" i="12" a="1"/>
  <c r="AX33" i="12" s="1"/>
  <c r="AX87" i="12" a="1"/>
  <c r="AX87" i="12" s="1"/>
  <c r="AU74" i="12" a="1"/>
  <c r="AU74" i="12" s="1"/>
  <c r="AT21" i="12" a="1"/>
  <c r="AT21" i="12" s="1"/>
  <c r="AS87" i="12" a="1"/>
  <c r="AS87" i="12" s="1"/>
  <c r="AV70" i="12" a="1"/>
  <c r="AV70" i="12" s="1"/>
  <c r="AT77" i="12" a="1"/>
  <c r="AT77" i="12" s="1"/>
  <c r="AW77" i="12" a="1"/>
  <c r="AW77" i="12" s="1"/>
  <c r="AU97" i="12" a="1"/>
  <c r="AU97" i="12" s="1"/>
  <c r="AW35" i="12" a="1"/>
  <c r="AW35" i="12" s="1"/>
  <c r="AV41" i="12" a="1"/>
  <c r="AV41" i="12" s="1"/>
  <c r="AR88" i="12" a="1"/>
  <c r="AR88" i="12" s="1"/>
  <c r="AX30" i="12" a="1"/>
  <c r="AX30" i="12" s="1"/>
  <c r="AP56" i="12" a="1"/>
  <c r="AP56" i="12" s="1"/>
  <c r="AR124" i="12" a="1"/>
  <c r="AR124" i="12" s="1"/>
  <c r="AS29" i="12" a="1"/>
  <c r="AS29" i="12" s="1"/>
  <c r="AN124" i="12" a="1"/>
  <c r="AN124" i="12" s="1"/>
  <c r="AV101" i="12" a="1"/>
  <c r="AV101" i="12" s="1"/>
  <c r="AX21" i="12" a="1"/>
  <c r="AX21" i="12" s="1"/>
  <c r="AU63" i="12" a="1"/>
  <c r="AU63" i="12" s="1"/>
  <c r="AX85" i="12" a="1"/>
  <c r="AX85" i="12" s="1"/>
  <c r="AU111" i="12" a="1"/>
  <c r="AU111" i="12" s="1"/>
  <c r="AU20" i="12" a="1"/>
  <c r="AU20" i="12" s="1"/>
  <c r="AV73" i="12" a="1"/>
  <c r="AV73" i="12" s="1"/>
  <c r="AT92" i="12" a="1"/>
  <c r="AT92" i="12" s="1"/>
  <c r="AU34" i="12" a="1"/>
  <c r="AU34" i="12" s="1"/>
  <c r="AQ85" i="12" a="1"/>
  <c r="AQ85" i="12" s="1"/>
  <c r="AU78" i="12" a="1"/>
  <c r="AU78" i="12" s="1"/>
  <c r="AT58" i="12" a="1"/>
  <c r="AT58" i="12" s="1"/>
  <c r="AP32" i="12" a="1"/>
  <c r="AP32" i="12" s="1"/>
  <c r="AP112" i="12" a="1"/>
  <c r="AP112" i="12" s="1"/>
  <c r="AN32" i="12" a="1"/>
  <c r="AN32" i="12" s="1"/>
  <c r="AW8" i="12" a="1"/>
  <c r="AW8" i="12" s="1"/>
  <c r="AX75" i="12" a="1"/>
  <c r="AX75" i="12" s="1"/>
  <c r="AW76" i="12" a="1"/>
  <c r="AW76" i="12" s="1"/>
  <c r="AX116" i="12" a="1"/>
  <c r="AX116" i="12" s="1"/>
  <c r="AS59" i="12" a="1"/>
  <c r="AS59" i="12" s="1"/>
  <c r="AO70" i="12" a="1"/>
  <c r="AO70" i="12" s="1"/>
  <c r="AV10" i="12" a="1"/>
  <c r="AV10" i="12" s="1"/>
  <c r="AQ116" i="12" a="1"/>
  <c r="AQ116" i="12" s="1"/>
  <c r="AS37" i="12" a="1"/>
  <c r="AS37" i="12" s="1"/>
  <c r="AT26" i="12" a="1"/>
  <c r="AT26" i="12" s="1"/>
  <c r="AN83" i="12" a="1"/>
  <c r="AN83" i="12" s="1"/>
  <c r="AU105" i="12" a="1"/>
  <c r="AU105" i="12" s="1"/>
  <c r="AW25" i="12" a="1"/>
  <c r="AW25" i="12" s="1"/>
  <c r="AT61" i="12" a="1"/>
  <c r="AT61" i="12" s="1"/>
  <c r="AU19" i="12" a="1"/>
  <c r="AU19" i="12" s="1"/>
  <c r="AT116" i="12" a="1"/>
  <c r="AT116" i="12" s="1"/>
  <c r="AU52" i="12" a="1"/>
  <c r="AU52" i="12" s="1"/>
  <c r="AP83" i="12" a="1"/>
  <c r="AP83" i="12" s="1"/>
  <c r="AU41" i="12" a="1"/>
  <c r="AU41" i="12" s="1"/>
  <c r="AU87" i="12" a="1"/>
  <c r="AU87" i="12" s="1"/>
  <c r="AV85" i="12" a="1"/>
  <c r="AV85" i="12" s="1"/>
  <c r="AX77" i="12" a="1"/>
  <c r="AX77" i="12" s="1"/>
  <c r="AW51" i="12" a="1"/>
  <c r="AW51" i="12" s="1"/>
  <c r="AO80" i="12" a="1"/>
  <c r="AO80" i="12" s="1"/>
  <c r="AP24" i="12" a="1"/>
  <c r="AP24" i="12" s="1"/>
  <c r="AT112" i="12" a="1"/>
  <c r="AT112" i="12" s="1"/>
  <c r="AT31" i="12" a="1"/>
  <c r="AT31" i="12" s="1"/>
  <c r="AV114" i="12" a="1"/>
  <c r="AV114" i="12" s="1"/>
  <c r="AX109" i="12" a="1"/>
  <c r="AX109" i="12" s="1"/>
  <c r="AT74" i="12" a="1"/>
  <c r="AT74" i="12" s="1"/>
  <c r="AT124" i="12" a="1"/>
  <c r="AT124" i="12" s="1"/>
  <c r="AU23" i="12" a="1"/>
  <c r="AU23" i="12" s="1"/>
  <c r="AX112" i="12" a="1"/>
  <c r="AX112" i="12" s="1"/>
  <c r="AP31" i="12" a="1"/>
  <c r="AP31" i="12" s="1"/>
  <c r="AS101" i="12" a="1"/>
  <c r="AS101" i="12" s="1"/>
  <c r="AS53" i="12" a="1"/>
  <c r="AS53" i="12" s="1"/>
  <c r="AT52" i="12" a="1"/>
  <c r="AT52" i="12" s="1"/>
  <c r="AO11" i="12" a="1"/>
  <c r="AO11" i="12" s="1"/>
  <c r="AO43" i="12" a="1"/>
  <c r="AO43" i="12" s="1"/>
  <c r="AQ34" i="12" a="1"/>
  <c r="AQ34" i="12" s="1"/>
  <c r="AT27" i="12" a="1"/>
  <c r="AT27" i="12" s="1"/>
  <c r="AW100" i="12" a="1"/>
  <c r="AW100" i="12" s="1"/>
  <c r="AS76" i="12" a="1"/>
  <c r="AS76" i="12" s="1"/>
  <c r="AP97" i="12" a="1"/>
  <c r="AP97" i="12" s="1"/>
  <c r="AR87" i="12" a="1"/>
  <c r="AR87" i="12" s="1"/>
  <c r="AS20" i="12" a="1"/>
  <c r="AS20" i="12" s="1"/>
  <c r="AP29" i="12" a="1"/>
  <c r="AP29" i="12" s="1"/>
  <c r="AN79" i="12" a="1"/>
  <c r="AN79" i="12" s="1"/>
  <c r="AR63" i="12" a="1"/>
  <c r="AR63" i="12" s="1"/>
  <c r="AU112" i="12" a="1"/>
  <c r="AU112" i="12" s="1"/>
  <c r="AR20" i="12" a="1"/>
  <c r="AR20" i="12" s="1"/>
  <c r="AQ112" i="12" a="1"/>
  <c r="AQ112" i="12" s="1"/>
  <c r="AP26" i="12" a="1"/>
  <c r="AP26" i="12" s="1"/>
  <c r="AP21" i="12" a="1"/>
  <c r="AP21" i="12" s="1"/>
  <c r="AR29" i="12" a="1"/>
  <c r="AR29" i="12" s="1"/>
  <c r="AT24" i="12" a="1"/>
  <c r="AT24" i="12" s="1"/>
  <c r="AT83" i="12" a="1"/>
  <c r="AT83" i="12" s="1"/>
  <c r="AS97" i="12" a="1"/>
  <c r="AS97" i="12" s="1"/>
  <c r="AP109" i="12" a="1"/>
  <c r="AP109" i="12" s="1"/>
  <c r="AN63" i="12" a="1"/>
  <c r="AN63" i="12" s="1"/>
  <c r="AN20" i="12" a="1"/>
  <c r="AN20" i="12" s="1"/>
  <c r="AP124" i="12" a="1"/>
  <c r="AP124" i="12" s="1"/>
  <c r="AV28" i="12" a="1"/>
  <c r="AV28" i="12" s="1"/>
  <c r="AR68" i="12" a="1"/>
  <c r="AR68" i="12" s="1"/>
  <c r="AS68" i="12" a="1"/>
  <c r="AS68" i="12" s="1"/>
  <c r="AN37" i="12" a="1"/>
  <c r="AN37" i="12" s="1"/>
  <c r="AN61" i="12" a="1"/>
  <c r="AN61" i="12" s="1"/>
  <c r="AW112" i="12" a="1"/>
  <c r="AW112" i="12" s="1"/>
  <c r="AQ10" i="12" a="1"/>
  <c r="AQ10" i="12" s="1"/>
  <c r="AP85" i="12" a="1"/>
  <c r="AP85" i="12" s="1"/>
  <c r="AO36" i="12" a="1"/>
  <c r="AO36" i="12" s="1"/>
  <c r="AN36" i="12" a="1"/>
  <c r="AN36" i="12" s="1"/>
  <c r="AV4" i="12" a="1"/>
  <c r="AV4" i="12" s="1"/>
  <c r="AU80" i="12" a="1"/>
  <c r="AU80" i="12" s="1"/>
  <c r="AP8" i="12" a="1"/>
  <c r="AP8" i="12" s="1"/>
  <c r="AQ109" i="12" a="1"/>
  <c r="AQ109" i="12" s="1"/>
  <c r="AR97" i="12" a="1"/>
  <c r="AR97" i="12" s="1"/>
  <c r="AQ97" i="12" a="1"/>
  <c r="AQ97" i="12" s="1"/>
  <c r="AO39" i="12" a="1"/>
  <c r="AO39" i="12" s="1"/>
  <c r="AT4" i="12" a="1"/>
  <c r="AT4" i="12" s="1"/>
  <c r="AP42" i="12" a="1"/>
  <c r="AP42" i="12" s="1"/>
  <c r="AW97" i="12" a="1"/>
  <c r="AW97" i="12" s="1"/>
  <c r="AW29" i="12" a="1"/>
  <c r="AW29" i="12" s="1"/>
  <c r="AP52" i="12" a="1"/>
  <c r="AP52" i="12" s="1"/>
  <c r="AQ33" i="12" a="1"/>
  <c r="AQ33" i="12" s="1"/>
  <c r="AO42" i="12" a="1"/>
  <c r="AO42" i="12" s="1"/>
  <c r="AV27" i="12" a="1"/>
  <c r="AV27" i="12" s="1"/>
  <c r="AT35" i="12" a="1"/>
  <c r="AT35" i="12" s="1"/>
  <c r="AP9" i="12" a="1"/>
  <c r="AP9" i="12" s="1"/>
  <c r="AN88" i="12" a="1"/>
  <c r="AN88" i="12" s="1"/>
  <c r="AR36" i="12" a="1"/>
  <c r="AR36" i="12" s="1"/>
  <c r="AT30" i="12" a="1"/>
  <c r="AT30" i="12" s="1"/>
  <c r="AX31" i="12" a="1"/>
  <c r="AX31" i="12" s="1"/>
  <c r="AQ58" i="12" a="1"/>
  <c r="AQ58" i="12" s="1"/>
  <c r="AR56" i="12" a="1"/>
  <c r="AR56" i="12" s="1"/>
  <c r="AO85" i="12" a="1"/>
  <c r="AO85" i="12" s="1"/>
  <c r="AV52" i="12" a="1"/>
  <c r="AV52" i="12" s="1"/>
  <c r="AR91" i="12" a="1"/>
  <c r="AR91" i="12" s="1"/>
  <c r="AS85" i="12" a="1"/>
  <c r="AS85" i="12" s="1"/>
  <c r="AU104" i="12" a="1"/>
  <c r="AU104" i="12" s="1"/>
  <c r="AR76" i="12" a="1"/>
  <c r="AR76" i="12" s="1"/>
  <c r="AN59" i="12" a="1"/>
  <c r="AN59" i="12" s="1"/>
  <c r="AN38" i="12" a="1"/>
  <c r="AN38" i="12" s="1"/>
  <c r="AP76" i="12" a="1"/>
  <c r="AP76" i="12" s="1"/>
  <c r="AP25" i="12" a="1"/>
  <c r="AP25" i="12" s="1"/>
  <c r="AR19" i="12" a="1"/>
  <c r="AR19" i="12" s="1"/>
  <c r="AN41" i="12" a="1"/>
  <c r="AN41" i="12" s="1"/>
  <c r="AN23" i="12" a="1"/>
  <c r="AN23" i="12" s="1"/>
  <c r="AS63" i="12" a="1"/>
  <c r="AS63" i="12" s="1"/>
  <c r="AS33" i="12" a="1"/>
  <c r="AS33" i="12" s="1"/>
  <c r="AP4" i="12" a="1"/>
  <c r="AP4" i="12" s="1"/>
  <c r="AN87" i="12" a="1"/>
  <c r="AN87" i="12" s="1"/>
  <c r="AR30" i="12" a="1"/>
  <c r="AR30" i="12" s="1"/>
  <c r="AP80" i="12" a="1"/>
  <c r="AP80" i="12" s="1"/>
  <c r="AU37" i="12" a="1"/>
  <c r="AU37" i="12" s="1"/>
  <c r="AN4" i="12" a="1"/>
  <c r="AN4" i="12" s="1"/>
  <c r="AN86" i="12" a="1"/>
  <c r="AN86" i="12" s="1"/>
  <c r="AS91" i="12" a="1"/>
  <c r="AS91" i="12" s="1"/>
  <c r="AO41" i="12" a="1"/>
  <c r="AO41" i="12" s="1"/>
  <c r="AP78" i="12" a="1"/>
  <c r="AP78" i="12" s="1"/>
  <c r="AQ28" i="12" a="1"/>
  <c r="AQ28" i="12" s="1"/>
  <c r="AQ77" i="12" a="1"/>
  <c r="AQ77" i="12" s="1"/>
  <c r="AT51" i="12" a="1"/>
  <c r="AT51" i="12" s="1"/>
  <c r="AR61" i="12" a="1"/>
  <c r="AR61" i="12" s="1"/>
  <c r="AN24" i="12" a="1"/>
  <c r="AN24" i="12" s="1"/>
  <c r="AV21" i="12" a="1"/>
  <c r="AV21" i="12" s="1"/>
  <c r="AX51" i="12" a="1"/>
  <c r="AX51" i="12" s="1"/>
  <c r="AO79" i="12" a="1"/>
  <c r="AO79" i="12" s="1"/>
  <c r="AQ11" i="12" a="1"/>
  <c r="AQ11" i="12" s="1"/>
  <c r="AU72" i="12" a="1"/>
  <c r="AU72" i="12" s="1"/>
  <c r="AR35" i="12" a="1"/>
  <c r="AR35" i="12" s="1"/>
  <c r="AO105" i="12" a="1"/>
  <c r="AO105" i="12" s="1"/>
  <c r="AQ35" i="12" a="1"/>
  <c r="AQ35" i="12" s="1"/>
  <c r="AQ4" i="12" a="1"/>
  <c r="AQ4" i="12" s="1"/>
  <c r="AN11" i="12" a="1"/>
  <c r="AN11" i="12" s="1"/>
  <c r="AP33" i="12" a="1"/>
  <c r="AP33" i="12" s="1"/>
  <c r="AP27" i="12" a="1"/>
  <c r="AP27" i="12" s="1"/>
  <c r="AW79" i="12" a="1"/>
  <c r="AW79" i="12" s="1"/>
  <c r="AP38" i="12" a="1"/>
  <c r="AP38" i="12" s="1"/>
  <c r="AR60" i="12" a="1"/>
  <c r="AR60" i="12" s="1"/>
  <c r="AN70" i="12" a="1"/>
  <c r="AN70" i="12" s="1"/>
  <c r="AT10" i="12" a="1"/>
  <c r="AT10" i="12" s="1"/>
  <c r="AO104" i="12" a="1"/>
  <c r="AO104" i="12" s="1"/>
  <c r="AP40" i="12" a="1"/>
  <c r="AP40" i="12" s="1"/>
  <c r="AP68" i="12" a="1"/>
  <c r="AP68" i="12" s="1"/>
  <c r="AT97" i="12" a="1"/>
  <c r="AT97" i="12" s="1"/>
  <c r="AU70" i="12" a="1"/>
  <c r="AU70" i="12" s="1"/>
  <c r="AS92" i="12" a="1"/>
  <c r="AS92" i="12" s="1"/>
  <c r="AQ105" i="12" a="1"/>
  <c r="AQ105" i="12" s="1"/>
  <c r="AR86" i="12" a="1"/>
  <c r="AR86" i="12" s="1"/>
  <c r="AN29" i="12" a="1"/>
  <c r="AN29" i="12" s="1"/>
  <c r="AQ72" i="12" a="1"/>
  <c r="AQ72" i="12" s="1"/>
  <c r="AT68" i="12" a="1"/>
  <c r="AT68" i="12" s="1"/>
  <c r="AP92" i="12" a="1"/>
  <c r="AP92" i="12" s="1"/>
  <c r="AN112" i="12" a="1"/>
  <c r="AN112" i="12" s="1"/>
  <c r="AN92" i="12" a="1"/>
  <c r="AN92" i="12" s="1"/>
  <c r="AV68" i="12" a="1"/>
  <c r="AV68" i="12" s="1"/>
  <c r="AS105" i="12" a="1"/>
  <c r="AS105" i="12" s="1"/>
  <c r="AS8" i="12" a="1"/>
  <c r="AS8" i="12" s="1"/>
  <c r="AW71" i="12" a="1"/>
  <c r="AW71" i="12" s="1"/>
  <c r="AO27" i="12" a="1"/>
  <c r="AO27" i="12" s="1"/>
  <c r="AN116" i="12" a="1"/>
  <c r="AN116" i="12" s="1"/>
  <c r="AU92" i="12" a="1"/>
  <c r="AU92" i="12" s="1"/>
  <c r="AP35" i="12" a="1"/>
  <c r="AP35" i="12" s="1"/>
  <c r="AR74" i="12" a="1"/>
  <c r="AR74" i="12" s="1"/>
  <c r="AP123" i="12" a="1"/>
  <c r="AP123" i="12" s="1"/>
  <c r="AR38" i="12" a="1"/>
  <c r="AR38" i="12" s="1"/>
  <c r="AN56" i="12" a="1"/>
  <c r="AN56" i="12" s="1"/>
  <c r="AP59" i="12" a="1"/>
  <c r="AP59" i="12" s="1"/>
  <c r="AQ80" i="12" a="1"/>
  <c r="AQ80" i="12" s="1"/>
  <c r="AQ101" i="12" a="1"/>
  <c r="AQ101" i="12" s="1"/>
  <c r="AS75" i="12" a="1"/>
  <c r="AS75" i="12" s="1"/>
  <c r="AN25" i="12" a="1"/>
  <c r="AN25" i="12" s="1"/>
  <c r="AO68" i="12" a="1"/>
  <c r="AO68" i="12" s="1"/>
  <c r="AV104" i="12" a="1"/>
  <c r="AV104" i="12" s="1"/>
  <c r="AT43" i="12" a="1"/>
  <c r="AT43" i="12" s="1"/>
  <c r="AQ63" i="12" a="1"/>
  <c r="AQ63" i="12" s="1"/>
  <c r="AS77" i="12" a="1"/>
  <c r="AS77" i="12" s="1"/>
  <c r="AU68" i="12" a="1"/>
  <c r="AU68" i="12" s="1"/>
  <c r="AQ23" i="12" a="1"/>
  <c r="AQ23" i="12" s="1"/>
  <c r="AX73" i="12" a="1"/>
  <c r="AX73" i="12" s="1"/>
  <c r="AP116" i="12" a="1"/>
  <c r="AP116" i="12" s="1"/>
  <c r="AQ119" i="12" a="1"/>
  <c r="AQ119" i="12" s="1"/>
  <c r="AN109" i="12" a="1"/>
  <c r="AN109" i="12" s="1"/>
  <c r="AW27" i="12" a="1"/>
  <c r="AW27" i="12" s="1"/>
  <c r="AQ59" i="12" a="1"/>
  <c r="AQ59" i="12" s="1"/>
  <c r="AQ61" i="12" a="1"/>
  <c r="AQ61" i="12" s="1"/>
  <c r="AP60" i="12" a="1"/>
  <c r="AP60" i="12" s="1"/>
  <c r="AS100" i="12" a="1"/>
  <c r="AS100" i="12" s="1"/>
  <c r="AQ36" i="12" a="1"/>
  <c r="AQ36" i="12" s="1"/>
  <c r="AS32" i="12" a="1"/>
  <c r="AS32" i="12" s="1"/>
  <c r="AX78" i="12" a="1"/>
  <c r="AX78" i="12" s="1"/>
  <c r="AO20" i="12" a="1"/>
  <c r="AO20" i="12" s="1"/>
  <c r="AN8" i="12" a="1"/>
  <c r="AN8" i="12" s="1"/>
  <c r="AP23" i="12" a="1"/>
  <c r="AP23" i="12" s="1"/>
  <c r="AS7" i="12" a="1"/>
  <c r="AS7" i="12" s="1"/>
  <c r="AU124" i="12" a="1"/>
  <c r="AU124" i="12" s="1"/>
  <c r="AO40" i="12" a="1"/>
  <c r="AO40" i="12" s="1"/>
  <c r="AS43" i="12" a="1"/>
  <c r="AS43" i="12" s="1"/>
  <c r="AN119" i="12" a="1"/>
  <c r="AN119" i="12" s="1"/>
  <c r="AQ43" i="12" a="1"/>
  <c r="AQ43" i="12" s="1"/>
  <c r="AT41" i="12" a="1"/>
  <c r="AT41" i="12" s="1"/>
  <c r="AR104" i="12" a="1"/>
  <c r="AR104" i="12" s="1"/>
  <c r="AP51" i="12" a="1"/>
  <c r="AP51" i="12" s="1"/>
  <c r="AQ42" i="12" a="1"/>
  <c r="AQ42" i="12" s="1"/>
  <c r="AN35" i="12" a="1"/>
  <c r="AN35" i="12" s="1"/>
  <c r="AO58" i="12" a="1"/>
  <c r="AO58" i="12" s="1"/>
  <c r="AQ21" i="12" a="1"/>
  <c r="AQ21" i="12" s="1"/>
  <c r="AS73" i="12" a="1"/>
  <c r="AS73" i="12" s="1"/>
  <c r="AT20" i="12" a="1"/>
  <c r="AT20" i="12" s="1"/>
  <c r="AP7" i="12" a="1"/>
  <c r="AP7" i="12" s="1"/>
  <c r="AO83" i="12" a="1"/>
  <c r="AO83" i="12" s="1"/>
  <c r="AQ79" i="12" a="1"/>
  <c r="AQ79" i="12" s="1"/>
  <c r="AR27" i="12" a="1"/>
  <c r="AR27" i="12" s="1"/>
  <c r="AP70" i="12" a="1"/>
  <c r="AP70" i="12" s="1"/>
  <c r="AR41" i="12" a="1"/>
  <c r="AR41" i="12" s="1"/>
  <c r="AU21" i="12" a="1"/>
  <c r="AU21" i="12" s="1"/>
  <c r="AN101" i="12" a="1"/>
  <c r="AN101" i="12" s="1"/>
  <c r="AU32" i="12" a="1"/>
  <c r="AU32" i="12" s="1"/>
  <c r="AR10" i="12" a="1"/>
  <c r="AR10" i="12" s="1"/>
  <c r="AS28" i="12" a="1"/>
  <c r="AS28" i="12" s="1"/>
  <c r="AR101" i="12" a="1"/>
  <c r="AR101" i="12" s="1"/>
  <c r="AQ70" i="12" a="1"/>
  <c r="AQ70" i="12" s="1"/>
  <c r="AO24" i="12" a="1"/>
  <c r="AO24" i="12" s="1"/>
  <c r="AN71" i="12" a="1"/>
  <c r="AN71" i="12" s="1"/>
  <c r="AN52" i="12" a="1"/>
  <c r="AN52" i="12" s="1"/>
  <c r="AW83" i="12" a="1"/>
  <c r="AW83" i="12" s="1"/>
  <c r="AT63" i="12" a="1"/>
  <c r="AT63" i="12" s="1"/>
  <c r="AU100" i="12" a="1"/>
  <c r="AU100" i="12" s="1"/>
  <c r="AR32" i="12" a="1"/>
  <c r="AR32" i="12" s="1"/>
  <c r="AR73" i="12" a="1"/>
  <c r="AR73" i="12" s="1"/>
  <c r="AR105" i="12" a="1"/>
  <c r="AR105" i="12" s="1"/>
  <c r="AP43" i="12" a="1"/>
  <c r="AP43" i="12" s="1"/>
  <c r="AW40" i="12" a="1"/>
  <c r="AW40" i="12" s="1"/>
  <c r="AS11" i="12" a="1"/>
  <c r="AS11" i="12" s="1"/>
  <c r="AX4" i="12" a="1"/>
  <c r="AX4" i="12" s="1"/>
  <c r="AR21" i="12" a="1"/>
  <c r="AR21" i="12" s="1"/>
  <c r="AQ83" i="12" a="1"/>
  <c r="AQ83" i="12" s="1"/>
  <c r="AP19" i="12" a="1"/>
  <c r="AP19" i="12" s="1"/>
  <c r="AS25" i="12" a="1"/>
  <c r="AS25" i="12" s="1"/>
  <c r="AN111" i="12" a="1"/>
  <c r="AN111" i="12" s="1"/>
  <c r="AR70" i="12" a="1"/>
  <c r="AR70" i="12" s="1"/>
  <c r="AS71" i="12" a="1"/>
  <c r="AS71" i="12" s="1"/>
  <c r="AV56" i="12" a="1"/>
  <c r="AV56" i="12" s="1"/>
  <c r="AV112" i="12" a="1"/>
  <c r="AV112" i="12" s="1"/>
  <c r="AT119" i="12" a="1"/>
  <c r="AT119" i="12" s="1"/>
  <c r="AO71" i="12" a="1"/>
  <c r="AO71" i="12" s="1"/>
  <c r="AO8" i="12" a="1"/>
  <c r="AO8" i="12" s="1"/>
  <c r="AQ25" i="12" a="1"/>
  <c r="AQ25" i="12" s="1"/>
  <c r="AU40" i="12" a="1"/>
  <c r="AU40" i="12" s="1"/>
  <c r="AS78" i="12" a="1"/>
  <c r="AS78" i="12" s="1"/>
  <c r="AN78" i="12" a="1"/>
  <c r="AN78" i="12" s="1"/>
  <c r="AS21" i="12" a="1"/>
  <c r="AS21" i="12" s="1"/>
  <c r="AT40" i="12" a="1"/>
  <c r="AT40" i="12" s="1"/>
  <c r="AQ123" i="12" a="1"/>
  <c r="AQ123" i="12" s="1"/>
  <c r="AW80" i="12" a="1"/>
  <c r="AW80" i="12" s="1"/>
  <c r="AS27" i="12" a="1"/>
  <c r="AS27" i="12" s="1"/>
  <c r="AR23" i="12" a="1"/>
  <c r="AR23" i="12" s="1"/>
  <c r="AN93" i="12" a="1"/>
  <c r="AN93" i="12" s="1"/>
  <c r="AP10" i="12" a="1"/>
  <c r="AP10" i="12" s="1"/>
  <c r="AS40" i="12" a="1"/>
  <c r="AS40" i="12" s="1"/>
  <c r="AQ9" i="12" a="1"/>
  <c r="AQ9" i="12" s="1"/>
  <c r="AP111" i="12" a="1"/>
  <c r="AP111" i="12" s="1"/>
  <c r="AO124" i="12" a="1"/>
  <c r="AO124" i="12" s="1"/>
  <c r="AO63" i="12" a="1"/>
  <c r="AO63" i="12" s="1"/>
  <c r="AN97" i="12" a="1"/>
  <c r="AN97" i="12" s="1"/>
  <c r="AQ26" i="12" a="1"/>
  <c r="AQ26" i="12" s="1"/>
  <c r="AW88" i="12" a="1"/>
  <c r="AW88" i="12" s="1"/>
  <c r="AT34" i="12" a="1"/>
  <c r="AT34" i="12" s="1"/>
  <c r="AO25" i="12" a="1"/>
  <c r="AO25" i="12" s="1"/>
  <c r="AO21" i="12" a="1"/>
  <c r="AO21" i="12" s="1"/>
  <c r="AQ100" i="12" a="1"/>
  <c r="AQ100" i="12" s="1"/>
  <c r="AU7" i="12" a="1"/>
  <c r="AU7" i="12" s="1"/>
  <c r="AT79" i="12" a="1"/>
  <c r="AT79" i="12" s="1"/>
  <c r="AO100" i="12" a="1"/>
  <c r="AO100" i="12" s="1"/>
  <c r="AN26" i="12" a="1"/>
  <c r="AN26" i="12" s="1"/>
  <c r="AX26" i="12" a="1"/>
  <c r="AX26" i="12" s="1"/>
  <c r="AU10" i="12" a="1"/>
  <c r="AU10" i="12" s="1"/>
  <c r="AR71" i="12" a="1"/>
  <c r="AR71" i="12" s="1"/>
  <c r="AS23" i="12" a="1"/>
  <c r="AS23" i="12" s="1"/>
  <c r="AT32" i="12" a="1"/>
  <c r="AT32" i="12" s="1"/>
  <c r="AP91" i="12" a="1"/>
  <c r="AP91" i="12" s="1"/>
  <c r="AT76" i="12" a="1"/>
  <c r="AT76" i="12" s="1"/>
  <c r="AO38" i="12" a="1"/>
  <c r="AO38" i="12" s="1"/>
  <c r="AP87" i="12" a="1"/>
  <c r="AP87" i="12" s="1"/>
  <c r="AW43" i="12" a="1"/>
  <c r="AW43" i="12" s="1"/>
  <c r="AS35" i="12" a="1"/>
  <c r="AS35" i="12" s="1"/>
  <c r="AR119" i="12" a="1"/>
  <c r="AR119" i="12" s="1"/>
  <c r="AQ53" i="12" a="1"/>
  <c r="AQ53" i="12" s="1"/>
  <c r="AN74" i="12" a="1"/>
  <c r="AN74" i="12" s="1"/>
  <c r="AO35" i="12" a="1"/>
  <c r="AO35" i="12" s="1"/>
  <c r="AQ88" i="12" a="1"/>
  <c r="AQ88" i="12" s="1"/>
  <c r="AS36" i="12" a="1"/>
  <c r="AS36" i="12" s="1"/>
  <c r="AP105" i="12" a="1"/>
  <c r="AP105" i="12" s="1"/>
  <c r="AO61" i="12" a="1"/>
  <c r="AO61" i="12" s="1"/>
  <c r="AS26" i="12" a="1"/>
  <c r="AS26" i="12" s="1"/>
  <c r="AR59" i="12" a="1"/>
  <c r="AR59" i="12" s="1"/>
  <c r="AR92" i="12" a="1"/>
  <c r="AR92" i="12" s="1"/>
  <c r="AU60" i="12" a="1"/>
  <c r="AU60" i="12" s="1"/>
  <c r="AU36" i="12" a="1"/>
  <c r="AU36" i="12" s="1"/>
  <c r="AU116" i="12" a="1"/>
  <c r="AU116" i="12" s="1"/>
  <c r="AO32" i="12" a="1"/>
  <c r="AO32" i="12" s="1"/>
  <c r="AO52" i="12" a="1"/>
  <c r="AO52" i="12" s="1"/>
  <c r="AS112" i="12" a="1"/>
  <c r="AS112" i="12" s="1"/>
  <c r="AQ92" i="12" a="1"/>
  <c r="AQ92" i="12" s="1"/>
  <c r="AT59" i="12" a="1"/>
  <c r="AT59" i="12" s="1"/>
  <c r="AT42" i="12" a="1"/>
  <c r="AT42" i="12" s="1"/>
  <c r="AO78" i="12" a="1"/>
  <c r="AO78" i="12" s="1"/>
  <c r="AN123" i="12" a="1"/>
  <c r="AN123" i="12" s="1"/>
  <c r="AR77" i="12" a="1"/>
  <c r="AR77" i="12" s="1"/>
  <c r="AS79" i="12" a="1"/>
  <c r="AS79" i="12" s="1"/>
  <c r="AQ31" i="12" a="1"/>
  <c r="AQ31" i="12" s="1"/>
  <c r="AQ73" i="12" a="1"/>
  <c r="AQ73" i="12" s="1"/>
  <c r="AO75" i="12" a="1"/>
  <c r="AO75" i="12" s="1"/>
  <c r="AN30" i="12" a="1"/>
  <c r="AN30" i="12" s="1"/>
  <c r="AO92" i="12" a="1"/>
  <c r="AO92" i="12" s="1"/>
  <c r="AU61" i="12" a="1"/>
  <c r="AU61" i="12" s="1"/>
  <c r="AR28" i="12" a="1"/>
  <c r="AR28" i="12" s="1"/>
  <c r="AS38" i="12" a="1"/>
  <c r="AS38" i="12" s="1"/>
  <c r="AR33" i="12" a="1"/>
  <c r="AR33" i="12" s="1"/>
  <c r="AV91" i="12" a="1"/>
  <c r="AV91" i="12" s="1"/>
  <c r="AO88" i="12" a="1"/>
  <c r="AO88" i="12" s="1"/>
  <c r="AN114" i="12" a="1"/>
  <c r="AN114" i="12" s="1"/>
  <c r="AQ74" i="12" a="1"/>
  <c r="AQ74" i="12" s="1"/>
  <c r="AR79" i="12" a="1"/>
  <c r="AR79" i="12" s="1"/>
  <c r="AW7" i="12" a="1"/>
  <c r="AW7" i="12" s="1"/>
  <c r="AO112" i="12" a="1"/>
  <c r="AO112" i="12" s="1"/>
  <c r="AV23" i="12" a="1"/>
  <c r="AV23" i="12" s="1"/>
  <c r="AR93" i="12" a="1"/>
  <c r="AR93" i="12" s="1"/>
  <c r="AN100" i="12" a="1"/>
  <c r="AN100" i="12" s="1"/>
  <c r="AT100" i="12" a="1"/>
  <c r="AT100" i="12" s="1"/>
  <c r="AU43" i="12" a="1"/>
  <c r="AU43" i="12" s="1"/>
  <c r="AW39" i="12" a="1"/>
  <c r="AW39" i="12" s="1"/>
  <c r="AQ51" i="12" a="1"/>
  <c r="AQ51" i="12" s="1"/>
  <c r="AQ56" i="12" a="1"/>
  <c r="AQ56" i="12" s="1"/>
  <c r="AR39" i="12" a="1"/>
  <c r="AR39" i="12" s="1"/>
  <c r="AQ114" i="12" a="1"/>
  <c r="AQ114" i="12" s="1"/>
  <c r="AS80" i="12" a="1"/>
  <c r="AS80" i="12" s="1"/>
  <c r="AV31" i="12" a="1"/>
  <c r="AV31" i="12" s="1"/>
  <c r="AT75" i="12" a="1"/>
  <c r="AT75" i="12" s="1"/>
  <c r="AQ75" i="12" a="1"/>
  <c r="AQ75" i="12" s="1"/>
  <c r="AO9" i="12" a="1"/>
  <c r="AO9" i="12" s="1"/>
  <c r="AN75" i="12" a="1"/>
  <c r="AN75" i="12" s="1"/>
  <c r="AR123" i="12" a="1"/>
  <c r="AR123" i="12" s="1"/>
  <c r="AO91" i="12" a="1"/>
  <c r="AO91" i="12" s="1"/>
  <c r="AQ20" i="12" a="1"/>
  <c r="AQ20" i="12" s="1"/>
  <c r="AP30" i="12" a="1"/>
  <c r="AP30" i="12" s="1"/>
  <c r="AR51" i="12" a="1"/>
  <c r="AR51" i="12" s="1"/>
  <c r="AO60" i="12" a="1"/>
  <c r="AO60" i="12" s="1"/>
  <c r="AN72" i="12" a="1"/>
  <c r="AN72" i="12" s="1"/>
  <c r="AP20" i="12" a="1"/>
  <c r="AP20" i="12" s="1"/>
  <c r="AS111" i="12" a="1"/>
  <c r="AS111" i="12" s="1"/>
  <c r="AP63" i="12" a="1"/>
  <c r="AP63" i="12" s="1"/>
  <c r="AP34" i="12" a="1"/>
  <c r="AP34" i="12" s="1"/>
  <c r="AU8" i="12" a="1"/>
  <c r="AU8" i="12" s="1"/>
  <c r="AS114" i="12" a="1"/>
  <c r="AS114" i="12" s="1"/>
  <c r="AO23" i="12" a="1"/>
  <c r="AO23" i="12" s="1"/>
  <c r="AS34" i="12" a="1"/>
  <c r="AS34" i="12" s="1"/>
  <c r="AO73" i="12" a="1"/>
  <c r="AO73" i="12" s="1"/>
  <c r="AP41" i="12" a="1"/>
  <c r="AP41" i="12" s="1"/>
  <c r="AR72" i="12" a="1"/>
  <c r="AR72" i="12" s="1"/>
  <c r="AS19" i="12" a="1"/>
  <c r="AS19" i="12" s="1"/>
  <c r="AT23" i="12" a="1"/>
  <c r="AT23" i="12" s="1"/>
  <c r="AO76" i="12" a="1"/>
  <c r="AO76" i="12" s="1"/>
  <c r="AR83" i="12" a="1"/>
  <c r="AR83" i="12" s="1"/>
  <c r="AQ68" i="12" a="1"/>
  <c r="AQ68" i="12" s="1"/>
  <c r="AO28" i="12" a="1"/>
  <c r="AO28" i="12" s="1"/>
  <c r="AN80" i="12" a="1"/>
  <c r="AN80" i="12" s="1"/>
  <c r="AP58" i="12" a="1"/>
  <c r="AP58" i="12" s="1"/>
  <c r="AS58" i="12" a="1"/>
  <c r="AS58" i="12" s="1"/>
  <c r="AS93" i="12" a="1"/>
  <c r="AS93" i="12" s="1"/>
  <c r="AU28" i="12" a="1"/>
  <c r="AU28" i="12" s="1"/>
  <c r="AO86" i="12" a="1"/>
  <c r="AO86" i="12" s="1"/>
  <c r="AN7" i="12" a="1"/>
  <c r="AN7" i="12" s="1"/>
  <c r="AO74" i="12" a="1"/>
  <c r="AO74" i="12" s="1"/>
  <c r="AR37" i="12" a="1"/>
  <c r="AR37" i="12" s="1"/>
  <c r="AR114" i="12" a="1"/>
  <c r="AR114" i="12" s="1"/>
  <c r="AQ40" i="12" a="1"/>
  <c r="AQ40" i="12" s="1"/>
  <c r="AS124" i="12" a="1"/>
  <c r="AS124" i="12" s="1"/>
  <c r="AV39" i="12" a="1"/>
  <c r="AV39" i="12" s="1"/>
  <c r="AN10" i="12" a="1"/>
  <c r="AN10" i="12" s="1"/>
  <c r="AO123" i="12" a="1"/>
  <c r="AO123" i="12" s="1"/>
  <c r="AV40" i="12" a="1"/>
  <c r="AV40" i="12" s="1"/>
  <c r="AX27" i="12" a="1"/>
  <c r="AX27" i="12" s="1"/>
  <c r="AX123" i="12" a="1"/>
  <c r="AX123" i="12" s="1"/>
  <c r="AR53" i="12" a="1"/>
  <c r="AR53" i="12" s="1"/>
  <c r="AO93" i="12" a="1"/>
  <c r="AO93" i="12" s="1"/>
  <c r="AQ39" i="12" a="1"/>
  <c r="AQ39" i="12" s="1"/>
  <c r="AS61" i="12" a="1"/>
  <c r="AS61" i="12" s="1"/>
  <c r="AR31" i="12" a="1"/>
  <c r="AR31" i="12" s="1"/>
  <c r="AS116" i="12" a="1"/>
  <c r="AS116" i="12" s="1"/>
  <c r="AN76" i="12" a="1"/>
  <c r="AN76" i="12" s="1"/>
  <c r="AN105" i="12" a="1"/>
  <c r="AN105" i="12" s="1"/>
  <c r="AP77" i="12" a="1"/>
  <c r="AP77" i="12" s="1"/>
  <c r="AQ76" i="12" a="1"/>
  <c r="AQ76" i="12" s="1"/>
  <c r="AT7" i="12" a="1"/>
  <c r="AT7" i="12" s="1"/>
  <c r="AX97" i="12" a="1"/>
  <c r="AX97" i="12" s="1"/>
  <c r="AR43" i="12" a="1"/>
  <c r="AR43" i="12" s="1"/>
  <c r="AS86" i="12" a="1"/>
  <c r="AS86" i="12" s="1"/>
  <c r="AQ87" i="12" a="1"/>
  <c r="AQ87" i="12" s="1"/>
  <c r="AU71" i="12" a="1"/>
  <c r="AU71" i="12" s="1"/>
  <c r="AO119" i="12" a="1"/>
  <c r="AO119" i="12" s="1"/>
  <c r="AR109" i="12" a="1"/>
  <c r="AR109" i="12" s="1"/>
  <c r="AO7" i="12" a="1"/>
  <c r="AO7" i="12" s="1"/>
  <c r="AN53" i="12" a="1"/>
  <c r="AN53" i="12" s="1"/>
  <c r="AR24" i="12" a="1"/>
  <c r="AR24" i="12" s="1"/>
  <c r="AP101" i="12" a="1"/>
  <c r="AP101" i="12" s="1"/>
  <c r="AQ93" i="12" a="1"/>
  <c r="AQ93" i="12" s="1"/>
  <c r="AR78" i="12" a="1"/>
  <c r="AR78" i="12" s="1"/>
  <c r="AN28" i="12" a="1"/>
  <c r="AN28" i="12" s="1"/>
  <c r="AN43" i="12" a="1"/>
  <c r="AN43" i="12" s="1"/>
  <c r="AP75" i="12" a="1"/>
  <c r="AP75" i="12" s="1"/>
  <c r="AT29" i="12" a="1"/>
  <c r="AT29" i="12" s="1"/>
  <c r="AT91" i="12" a="1"/>
  <c r="AT91" i="12" s="1"/>
  <c r="AO97" i="12" a="1"/>
  <c r="AO97" i="12" s="1"/>
  <c r="AP88" i="12" a="1"/>
  <c r="AP88" i="12" s="1"/>
  <c r="AP53" i="12" a="1"/>
  <c r="AP53" i="12" s="1"/>
  <c r="AT111" i="12" a="1"/>
  <c r="AT111" i="12" s="1"/>
  <c r="AO30" i="12" a="1"/>
  <c r="AO30" i="12" s="1"/>
  <c r="AR8" i="12" a="1"/>
  <c r="AR8" i="12" s="1"/>
  <c r="AS41" i="12" a="1"/>
  <c r="AS41" i="12" s="1"/>
  <c r="AS56" i="12" a="1"/>
  <c r="AS56" i="12" s="1"/>
  <c r="AR42" i="12" a="1"/>
  <c r="AR42" i="12" s="1"/>
  <c r="AP74" i="12" a="1"/>
  <c r="AP74" i="12" s="1"/>
  <c r="AN34" i="12" a="1"/>
  <c r="AN34" i="12" s="1"/>
  <c r="AP104" i="12" a="1"/>
  <c r="AP104" i="12" s="1"/>
  <c r="AV79" i="12" a="1"/>
  <c r="AV79" i="12" s="1"/>
  <c r="AO53" i="12" a="1"/>
  <c r="AO53" i="12" s="1"/>
  <c r="AN73" i="12" a="1"/>
  <c r="AN73" i="12" s="1"/>
  <c r="AO34" i="12" a="1"/>
  <c r="AO34" i="12" s="1"/>
  <c r="AT36" i="12" a="1"/>
  <c r="AT36" i="12" s="1"/>
  <c r="AO77" i="12" a="1"/>
  <c r="AO77" i="12" s="1"/>
  <c r="AT33" i="12" a="1"/>
  <c r="AT33" i="12" s="1"/>
  <c r="AU88" i="12" a="1"/>
  <c r="AU88" i="12" s="1"/>
  <c r="AP71" i="12" a="1"/>
  <c r="AP71" i="12" s="1"/>
  <c r="AN42" i="12" a="1"/>
  <c r="AN42" i="12" s="1"/>
  <c r="AP61" i="12" a="1"/>
  <c r="AP61" i="12" s="1"/>
  <c r="AA65" i="12" a="1"/>
  <c r="AA65" i="12" s="1"/>
  <c r="AA121" i="12" a="1"/>
  <c r="AA121" i="12" s="1"/>
  <c r="AI44" i="12" a="1"/>
  <c r="AI44" i="12" s="1"/>
  <c r="AG22" i="12" a="1"/>
  <c r="AG22" i="12" s="1"/>
  <c r="AA102" i="12" a="1"/>
  <c r="AA102" i="12" s="1"/>
  <c r="AI90" i="12" a="1"/>
  <c r="AI90" i="12" s="1"/>
  <c r="AA116" i="12" a="1"/>
  <c r="AA116" i="12" s="1"/>
  <c r="AF91" i="12" a="1"/>
  <c r="AF91" i="12" s="1"/>
  <c r="Z56" i="12" a="1"/>
  <c r="Z56" i="12" s="1"/>
  <c r="AD84" i="12" a="1"/>
  <c r="AD84" i="12" s="1"/>
  <c r="AH106" i="12" a="1"/>
  <c r="AH106" i="12" s="1"/>
  <c r="AA113" i="12" a="1"/>
  <c r="AA113" i="12" s="1"/>
  <c r="AE108" i="12" a="1"/>
  <c r="AE108" i="12" s="1"/>
  <c r="AD103" i="12" a="1"/>
  <c r="AD103" i="12" s="1"/>
  <c r="AE117" i="12" a="1"/>
  <c r="AE117" i="12" s="1"/>
  <c r="AE107" i="12" a="1"/>
  <c r="AE107" i="12" s="1"/>
  <c r="AK126" i="12" a="1"/>
  <c r="AK126" i="12" s="1"/>
  <c r="N126" i="12" a="1"/>
  <c r="N126" i="12" s="1"/>
  <c r="N128" i="12" a="1"/>
  <c r="N128" i="12" s="1"/>
  <c r="AK128" i="12" a="1"/>
  <c r="AK128" i="12" s="1"/>
  <c r="AK129" i="12" a="1"/>
  <c r="AK129" i="12" s="1"/>
  <c r="AK130" i="12" a="1"/>
  <c r="AK130" i="12" s="1"/>
  <c r="N130" i="12" a="1"/>
  <c r="N130" i="12" s="1"/>
  <c r="N129" i="12" a="1"/>
  <c r="N129" i="12" s="1"/>
  <c r="AK125" i="12" a="1"/>
  <c r="AK125" i="12" s="1"/>
  <c r="N125" i="12" a="1"/>
  <c r="N125" i="12" s="1"/>
  <c r="AK127" i="12" a="1"/>
  <c r="AK127" i="12" s="1"/>
  <c r="N127" i="12" a="1"/>
  <c r="N127" i="12" s="1"/>
  <c r="K46" i="30"/>
  <c r="K53" i="30"/>
  <c r="K58" i="30"/>
  <c r="K33" i="30"/>
  <c r="AK6" i="12" a="1"/>
  <c r="AK6" i="12" s="1"/>
  <c r="N6" i="12" a="1"/>
  <c r="N6" i="12" s="1"/>
  <c r="N82" i="12" a="1"/>
  <c r="N82" i="12" s="1"/>
  <c r="AK82" i="12" a="1"/>
  <c r="AK82" i="12" s="1"/>
  <c r="AK45" i="12" a="1"/>
  <c r="AK45" i="12" s="1"/>
  <c r="N45" i="12" a="1"/>
  <c r="N45" i="12" s="1"/>
  <c r="N15" i="12" a="1"/>
  <c r="N15" i="12" s="1"/>
  <c r="AK15" i="12" a="1"/>
  <c r="AK15" i="12" s="1"/>
  <c r="AK118" i="12" a="1"/>
  <c r="AK118" i="12" s="1"/>
  <c r="N118" i="12" a="1"/>
  <c r="N118" i="12" s="1"/>
  <c r="N122" i="12" a="1"/>
  <c r="N122" i="12" s="1"/>
  <c r="AK122" i="12" a="1"/>
  <c r="AK122" i="12" s="1"/>
  <c r="AJ122" i="12" a="1"/>
  <c r="AJ122" i="12" s="1"/>
  <c r="AI122" i="12" a="1"/>
  <c r="AI122" i="12" s="1"/>
  <c r="AH122" i="12" a="1"/>
  <c r="AH122" i="12" s="1"/>
  <c r="AG122" i="12" a="1"/>
  <c r="AG122" i="12" s="1"/>
  <c r="AF122" i="12" a="1"/>
  <c r="AF122" i="12" s="1"/>
  <c r="AE122" i="12" a="1"/>
  <c r="AE122" i="12" s="1"/>
  <c r="AD122" i="12" a="1"/>
  <c r="AD122" i="12" s="1"/>
  <c r="AC122" i="12" a="1"/>
  <c r="AC122" i="12" s="1"/>
  <c r="AB122" i="12" a="1"/>
  <c r="AB122" i="12" s="1"/>
  <c r="AA122" i="12" a="1"/>
  <c r="AA122" i="12" s="1"/>
  <c r="Z122" i="12" a="1"/>
  <c r="Z122" i="12" s="1"/>
  <c r="AI11" i="12" a="1"/>
  <c r="AI11" i="12" s="1"/>
  <c r="AH11" i="12" a="1"/>
  <c r="AH11" i="12" s="1"/>
  <c r="N14" i="12" a="1"/>
  <c r="N14" i="12" s="1"/>
  <c r="AH14" i="12" a="1"/>
  <c r="AH14" i="12" s="1"/>
  <c r="AG11" i="12" a="1"/>
  <c r="AG11" i="12" s="1"/>
  <c r="N11" i="12" a="1"/>
  <c r="N11" i="12" s="1"/>
  <c r="AA11" i="12" a="1"/>
  <c r="AA11" i="12" s="1"/>
  <c r="AE14" i="12" a="1"/>
  <c r="AE14" i="12" s="1"/>
  <c r="AF11" i="12" a="1"/>
  <c r="AF11" i="12" s="1"/>
  <c r="AD14" i="12" a="1"/>
  <c r="AD14" i="12" s="1"/>
  <c r="AB11" i="12" a="1"/>
  <c r="AB11" i="12" s="1"/>
  <c r="AF14" i="12" a="1"/>
  <c r="AF14" i="12" s="1"/>
  <c r="AE11" i="12" a="1"/>
  <c r="AE11" i="12" s="1"/>
  <c r="AK14" i="12" a="1"/>
  <c r="AK14" i="12" s="1"/>
  <c r="Z11" i="12" a="1"/>
  <c r="Z11" i="12" s="1"/>
  <c r="AG14" i="12" a="1"/>
  <c r="AG14" i="12" s="1"/>
  <c r="AC14" i="12" a="1"/>
  <c r="AC14" i="12" s="1"/>
  <c r="AB14" i="12" a="1"/>
  <c r="AB14" i="12" s="1"/>
  <c r="AD11" i="12" a="1"/>
  <c r="AD11" i="12" s="1"/>
  <c r="AA14" i="12" a="1"/>
  <c r="AA14" i="12" s="1"/>
  <c r="AJ14" i="12" a="1"/>
  <c r="AJ14" i="12" s="1"/>
  <c r="Z14" i="12" a="1"/>
  <c r="Z14" i="12" s="1"/>
  <c r="AC11" i="12" a="1"/>
  <c r="AC11" i="12" s="1"/>
  <c r="AI14" i="12" a="1"/>
  <c r="AI14" i="12" s="1"/>
  <c r="AK11" i="12" a="1"/>
  <c r="AK11" i="12" s="1"/>
  <c r="AJ11" i="12" a="1"/>
  <c r="AJ11" i="12" s="1"/>
  <c r="AJ90" i="12" a="1"/>
  <c r="AJ90" i="12" s="1"/>
  <c r="N90" i="12" a="1"/>
  <c r="N90" i="12" s="1"/>
  <c r="AK90" i="12" a="1"/>
  <c r="AK90" i="12" s="1"/>
  <c r="AH44" i="12" a="1"/>
  <c r="AH44" i="12" s="1"/>
  <c r="N44" i="12" a="1"/>
  <c r="N44" i="12" s="1"/>
  <c r="AH90" i="12" a="1"/>
  <c r="AH90" i="12" s="1"/>
  <c r="AJ44" i="12" a="1"/>
  <c r="AJ44" i="12" s="1"/>
  <c r="AK44" i="12" a="1"/>
  <c r="AK44" i="12" s="1"/>
  <c r="AE106" i="12" a="1"/>
  <c r="AE106" i="12" s="1"/>
  <c r="AF106" i="12" a="1"/>
  <c r="AF106" i="12" s="1"/>
  <c r="N106" i="12" a="1"/>
  <c r="N106" i="12" s="1"/>
  <c r="AG106" i="12" a="1"/>
  <c r="AG106" i="12" s="1"/>
  <c r="AI106" i="12" a="1"/>
  <c r="AI106" i="12" s="1"/>
  <c r="AJ106" i="12" a="1"/>
  <c r="AJ106" i="12" s="1"/>
  <c r="AK106" i="12" a="1"/>
  <c r="AK106" i="12" s="1"/>
  <c r="AH22" i="12" a="1"/>
  <c r="AH22" i="12" s="1"/>
  <c r="AI22" i="12" a="1"/>
  <c r="AI22" i="12" s="1"/>
  <c r="AJ22" i="12" a="1"/>
  <c r="AJ22" i="12" s="1"/>
  <c r="AK22" i="12" a="1"/>
  <c r="AK22" i="12" s="1"/>
  <c r="AE22" i="12" a="1"/>
  <c r="AE22" i="12" s="1"/>
  <c r="N22" i="12" a="1"/>
  <c r="N22" i="12" s="1"/>
  <c r="AF22" i="12" a="1"/>
  <c r="AF22" i="12" s="1"/>
  <c r="N43" i="12" a="1"/>
  <c r="N43" i="12" s="1"/>
  <c r="AK43" i="12" a="1"/>
  <c r="AK43" i="12" s="1"/>
  <c r="AE43" i="12" a="1"/>
  <c r="AE43" i="12" s="1"/>
  <c r="AF43" i="12" a="1"/>
  <c r="AF43" i="12" s="1"/>
  <c r="AH43" i="12" a="1"/>
  <c r="AH43" i="12" s="1"/>
  <c r="AI43" i="12" a="1"/>
  <c r="AI43" i="12" s="1"/>
  <c r="AJ43" i="12" a="1"/>
  <c r="AJ43" i="12" s="1"/>
  <c r="AH17" i="12" a="1"/>
  <c r="AH17" i="12" s="1"/>
  <c r="AE17" i="12" a="1"/>
  <c r="AE17" i="12" s="1"/>
  <c r="N17" i="12" a="1"/>
  <c r="N17" i="12" s="1"/>
  <c r="AF17" i="12" a="1"/>
  <c r="AF17" i="12" s="1"/>
  <c r="AG17" i="12" a="1"/>
  <c r="AG17" i="12" s="1"/>
  <c r="AI17" i="12" a="1"/>
  <c r="AI17" i="12" s="1"/>
  <c r="AJ17" i="12" a="1"/>
  <c r="AJ17" i="12" s="1"/>
  <c r="AK17" i="12" a="1"/>
  <c r="AK17" i="12" s="1"/>
  <c r="AE91" i="12" a="1"/>
  <c r="AE91" i="12" s="1"/>
  <c r="U44" i="1"/>
  <c r="AJ91" i="12" a="1"/>
  <c r="AJ91" i="12" s="1"/>
  <c r="AI91" i="12" a="1"/>
  <c r="AI91" i="12" s="1"/>
  <c r="AH91" i="12" a="1"/>
  <c r="AH91" i="12" s="1"/>
  <c r="AG91" i="12" a="1"/>
  <c r="AG91" i="12" s="1"/>
  <c r="N91" i="12" a="1"/>
  <c r="N91" i="12" s="1"/>
  <c r="AK91" i="12" a="1"/>
  <c r="AK91" i="12" s="1"/>
  <c r="N117" i="12" a="1"/>
  <c r="N117" i="12" s="1"/>
  <c r="AH117" i="12" a="1"/>
  <c r="AH117" i="12" s="1"/>
  <c r="AK117" i="12" a="1"/>
  <c r="AK117" i="12" s="1"/>
  <c r="AD108" i="12" a="1"/>
  <c r="AD108" i="12" s="1"/>
  <c r="N108" i="12" a="1"/>
  <c r="N108" i="12" s="1"/>
  <c r="AH108" i="12" a="1"/>
  <c r="AH108" i="12" s="1"/>
  <c r="AG108" i="12" a="1"/>
  <c r="AG108" i="12" s="1"/>
  <c r="AJ108" i="12" a="1"/>
  <c r="AJ108" i="12" s="1"/>
  <c r="AF108" i="12" a="1"/>
  <c r="AF108" i="12" s="1"/>
  <c r="AI117" i="12" a="1"/>
  <c r="AI117" i="12" s="1"/>
  <c r="AG117" i="12" a="1"/>
  <c r="AG117" i="12" s="1"/>
  <c r="AD117" i="12" a="1"/>
  <c r="AD117" i="12" s="1"/>
  <c r="AI108" i="12" a="1"/>
  <c r="AI108" i="12" s="1"/>
  <c r="AC117" i="12" a="1"/>
  <c r="AC117" i="12" s="1"/>
  <c r="AJ117" i="12" a="1"/>
  <c r="AJ117" i="12" s="1"/>
  <c r="AC108" i="12" a="1"/>
  <c r="AC108" i="12" s="1"/>
  <c r="AK108" i="12" a="1"/>
  <c r="AK108" i="12" s="1"/>
  <c r="AF117" i="12" a="1"/>
  <c r="AF117" i="12" s="1"/>
  <c r="J65" i="12"/>
  <c r="AF107" i="12" a="1"/>
  <c r="AF107" i="12" s="1"/>
  <c r="AH107" i="12" a="1"/>
  <c r="AH107" i="12" s="1"/>
  <c r="AI107" i="12" a="1"/>
  <c r="AI107" i="12" s="1"/>
  <c r="AJ107" i="12" a="1"/>
  <c r="AJ107" i="12" s="1"/>
  <c r="N107" i="12" a="1"/>
  <c r="N107" i="12" s="1"/>
  <c r="AK107" i="12" a="1"/>
  <c r="AK107" i="12" s="1"/>
  <c r="AG107" i="12" a="1"/>
  <c r="AG107" i="12" s="1"/>
  <c r="AD107" i="12" a="1"/>
  <c r="AD107" i="12" s="1"/>
  <c r="AC107" i="12" a="1"/>
  <c r="AC107" i="12" s="1"/>
  <c r="J96" i="12"/>
  <c r="AF103" i="12" a="1"/>
  <c r="AF103" i="12" s="1"/>
  <c r="AH103" i="12" a="1"/>
  <c r="AH103" i="12" s="1"/>
  <c r="AC103" i="12" a="1"/>
  <c r="AC103" i="12" s="1"/>
  <c r="N103" i="12" a="1"/>
  <c r="N103" i="12" s="1"/>
  <c r="AE103" i="12" a="1"/>
  <c r="AE103" i="12" s="1"/>
  <c r="AJ103" i="12" a="1"/>
  <c r="AJ103" i="12" s="1"/>
  <c r="AI103" i="12" a="1"/>
  <c r="AI103" i="12" s="1"/>
  <c r="AK103" i="12" a="1"/>
  <c r="AK103" i="12" s="1"/>
  <c r="AG103" i="12" a="1"/>
  <c r="AG103" i="12" s="1"/>
  <c r="AH84" i="12" a="1"/>
  <c r="AH84" i="12" s="1"/>
  <c r="AI84" i="12" a="1"/>
  <c r="AI84" i="12" s="1"/>
  <c r="AG84" i="12" a="1"/>
  <c r="AG84" i="12" s="1"/>
  <c r="AC84" i="12" a="1"/>
  <c r="AC84" i="12" s="1"/>
  <c r="AF84" i="12" a="1"/>
  <c r="AF84" i="12" s="1"/>
  <c r="AE84" i="12" a="1"/>
  <c r="AE84" i="12" s="1"/>
  <c r="AK84" i="12" a="1"/>
  <c r="AK84" i="12" s="1"/>
  <c r="AJ84" i="12" a="1"/>
  <c r="AJ84" i="12" s="1"/>
  <c r="J64" i="12"/>
  <c r="M9" i="12"/>
  <c r="J9" i="12" s="1"/>
  <c r="J113" i="12"/>
  <c r="M25" i="12"/>
  <c r="J25" i="12" s="1"/>
  <c r="N84" i="12" a="1"/>
  <c r="N84" i="12" s="1"/>
  <c r="M116" i="12"/>
  <c r="J116" i="12" s="1"/>
  <c r="AH102" i="12" a="1"/>
  <c r="AH102" i="12" s="1"/>
  <c r="AD102" i="12" a="1"/>
  <c r="AD102" i="12" s="1"/>
  <c r="Z102" i="12" a="1"/>
  <c r="Z102" i="12" s="1"/>
  <c r="AK102" i="12" a="1"/>
  <c r="AK102" i="12" s="1"/>
  <c r="AG102" i="12" a="1"/>
  <c r="AG102" i="12" s="1"/>
  <c r="AC102" i="12" a="1"/>
  <c r="AC102" i="12" s="1"/>
  <c r="AF102" i="12" a="1"/>
  <c r="AF102" i="12" s="1"/>
  <c r="AJ102" i="12" a="1"/>
  <c r="AJ102" i="12" s="1"/>
  <c r="AE102" i="12" a="1"/>
  <c r="AE102" i="12" s="1"/>
  <c r="AB102" i="12" a="1"/>
  <c r="AB102" i="12" s="1"/>
  <c r="N102" i="12" a="1"/>
  <c r="N102" i="12" s="1"/>
  <c r="AI102" i="12" a="1"/>
  <c r="AI102" i="12" s="1"/>
  <c r="M56" i="12"/>
  <c r="J56" i="12" s="1"/>
  <c r="M4" i="12"/>
  <c r="J4" i="12" s="1"/>
  <c r="Z66" i="12" a="1"/>
  <c r="Z66" i="12" s="1"/>
  <c r="N66" i="12" a="1"/>
  <c r="N66" i="12" s="1"/>
  <c r="AD52" i="12" a="1"/>
  <c r="AD52" i="12" s="1"/>
  <c r="AB65" i="12" a="1"/>
  <c r="AB65" i="12" s="1"/>
  <c r="AD66" i="12" a="1"/>
  <c r="AD66" i="12" s="1"/>
  <c r="AH66" i="12" a="1"/>
  <c r="AH66" i="12" s="1"/>
  <c r="N52" i="12" a="1"/>
  <c r="N52" i="12" s="1"/>
  <c r="AK52" i="12" a="1"/>
  <c r="AK52" i="12" s="1"/>
  <c r="AI65" i="12" a="1"/>
  <c r="AI65" i="12" s="1"/>
  <c r="AD65" i="12" a="1"/>
  <c r="AD65" i="12" s="1"/>
  <c r="AK66" i="12" a="1"/>
  <c r="AK66" i="12" s="1"/>
  <c r="AG66" i="12" a="1"/>
  <c r="AG66" i="12" s="1"/>
  <c r="AH52" i="12" a="1"/>
  <c r="AH52" i="12" s="1"/>
  <c r="AC52" i="12" a="1"/>
  <c r="AC52" i="12" s="1"/>
  <c r="AK65" i="12" a="1"/>
  <c r="AK65" i="12" s="1"/>
  <c r="AC66" i="12" a="1"/>
  <c r="AC66" i="12" s="1"/>
  <c r="AF66" i="12" a="1"/>
  <c r="AF66" i="12" s="1"/>
  <c r="Z52" i="12" a="1"/>
  <c r="Z52" i="12" s="1"/>
  <c r="AJ52" i="12" a="1"/>
  <c r="AJ52" i="12" s="1"/>
  <c r="AH65" i="12" a="1"/>
  <c r="AH65" i="12" s="1"/>
  <c r="AC65" i="12" a="1"/>
  <c r="AC65" i="12" s="1"/>
  <c r="AJ66" i="12" a="1"/>
  <c r="AJ66" i="12" s="1"/>
  <c r="AE66" i="12" a="1"/>
  <c r="AE66" i="12" s="1"/>
  <c r="AG52" i="12" a="1"/>
  <c r="AG52" i="12" s="1"/>
  <c r="AB52" i="12" a="1"/>
  <c r="AB52" i="12" s="1"/>
  <c r="Z65" i="12" a="1"/>
  <c r="Z65" i="12" s="1"/>
  <c r="AB66" i="12" a="1"/>
  <c r="AB66" i="12" s="1"/>
  <c r="AF52" i="12" a="1"/>
  <c r="AF52" i="12" s="1"/>
  <c r="AI52" i="12" a="1"/>
  <c r="AI52" i="12" s="1"/>
  <c r="AG65" i="12" a="1"/>
  <c r="AG65" i="12" s="1"/>
  <c r="N65" i="12" a="1"/>
  <c r="N65" i="12" s="1"/>
  <c r="AE65" i="12" a="1"/>
  <c r="AE65" i="12" s="1"/>
  <c r="AI66" i="12" a="1"/>
  <c r="AI66" i="12" s="1"/>
  <c r="AE52" i="12" a="1"/>
  <c r="AE52" i="12" s="1"/>
  <c r="AF65" i="12" a="1"/>
  <c r="AF65" i="12" s="1"/>
  <c r="AA66" i="12" a="1"/>
  <c r="AA66" i="12" s="1"/>
  <c r="AJ65" i="12" a="1"/>
  <c r="AJ65" i="12" s="1"/>
  <c r="J67" i="12"/>
  <c r="J110" i="12"/>
  <c r="J99" i="12"/>
  <c r="M78" i="12"/>
  <c r="J78" i="12" s="1"/>
  <c r="J18" i="12"/>
  <c r="J98" i="12"/>
  <c r="J55" i="12"/>
  <c r="J57" i="12"/>
  <c r="J115" i="12"/>
  <c r="M92" i="12"/>
  <c r="J92" i="12" s="1"/>
  <c r="J120" i="12"/>
  <c r="J81" i="12"/>
  <c r="J69" i="12"/>
  <c r="Z116" i="12" a="1"/>
  <c r="Z116" i="12" s="1"/>
  <c r="AI116" i="12" a="1"/>
  <c r="AI116" i="12" s="1"/>
  <c r="AJ121" i="12" a="1"/>
  <c r="AJ121" i="12" s="1"/>
  <c r="AD116" i="12" a="1"/>
  <c r="AD116" i="12" s="1"/>
  <c r="AK121" i="12" a="1"/>
  <c r="AK121" i="12" s="1"/>
  <c r="AG121" i="12" a="1"/>
  <c r="AG121" i="12" s="1"/>
  <c r="AJ116" i="12" a="1"/>
  <c r="AJ116" i="12" s="1"/>
  <c r="AD121" i="12" a="1"/>
  <c r="AD121" i="12" s="1"/>
  <c r="AB121" i="12" a="1"/>
  <c r="AB121" i="12" s="1"/>
  <c r="AB116" i="12" a="1"/>
  <c r="AB116" i="12" s="1"/>
  <c r="AE116" i="12" a="1"/>
  <c r="AE116" i="12" s="1"/>
  <c r="AE121" i="12" a="1"/>
  <c r="AE121" i="12" s="1"/>
  <c r="AI121" i="12" a="1"/>
  <c r="AI121" i="12" s="1"/>
  <c r="AG116" i="12" a="1"/>
  <c r="AG116" i="12" s="1"/>
  <c r="AF116" i="12" a="1"/>
  <c r="AF116" i="12" s="1"/>
  <c r="AC121" i="12" a="1"/>
  <c r="AC121" i="12" s="1"/>
  <c r="AC116" i="12" a="1"/>
  <c r="AC116" i="12" s="1"/>
  <c r="N121" i="12" a="1"/>
  <c r="N121" i="12" s="1"/>
  <c r="AF121" i="12" a="1"/>
  <c r="AF121" i="12" s="1"/>
  <c r="AK116" i="12" a="1"/>
  <c r="AK116" i="12" s="1"/>
  <c r="AH116" i="12" a="1"/>
  <c r="AH116" i="12" s="1"/>
  <c r="N116" i="12" a="1"/>
  <c r="N116" i="12" s="1"/>
  <c r="Z121" i="12" a="1"/>
  <c r="Z121" i="12" s="1"/>
  <c r="AH121" i="12" a="1"/>
  <c r="AH121" i="12" s="1"/>
  <c r="AI113" i="12" a="1"/>
  <c r="AI113" i="12" s="1"/>
  <c r="AH113" i="12" a="1"/>
  <c r="AH113" i="12" s="1"/>
  <c r="AG113" i="12" a="1"/>
  <c r="AG113" i="12" s="1"/>
  <c r="AB113" i="12" a="1"/>
  <c r="AB113" i="12" s="1"/>
  <c r="AE113" i="12" a="1"/>
  <c r="AE113" i="12" s="1"/>
  <c r="AD113" i="12" a="1"/>
  <c r="AD113" i="12" s="1"/>
  <c r="AC113" i="12" a="1"/>
  <c r="AC113" i="12" s="1"/>
  <c r="N113" i="12" a="1"/>
  <c r="N113" i="12" s="1"/>
  <c r="Z113" i="12" a="1"/>
  <c r="Z113" i="12" s="1"/>
  <c r="AJ113" i="12" a="1"/>
  <c r="AJ113" i="12" s="1"/>
  <c r="AK113" i="12" a="1"/>
  <c r="AK113" i="12" s="1"/>
  <c r="AF113" i="12" a="1"/>
  <c r="AF113" i="12" s="1"/>
  <c r="AE10" i="12" a="1"/>
  <c r="AE10" i="12" s="1"/>
  <c r="AK10" i="12" a="1"/>
  <c r="AK10" i="12" s="1"/>
  <c r="AA10" i="12" a="1"/>
  <c r="AA10" i="12" s="1"/>
  <c r="AG10" i="12" a="1"/>
  <c r="AG10" i="12" s="1"/>
  <c r="AC10" i="12" a="1"/>
  <c r="AC10" i="12" s="1"/>
  <c r="AH10" i="12" a="1"/>
  <c r="AH10" i="12" s="1"/>
  <c r="AJ10" i="12" a="1"/>
  <c r="AJ10" i="12" s="1"/>
  <c r="AD10" i="12" a="1"/>
  <c r="AD10" i="12" s="1"/>
  <c r="AF10" i="12" a="1"/>
  <c r="AF10" i="12" s="1"/>
  <c r="Z10" i="12" a="1"/>
  <c r="Z10" i="12" s="1"/>
  <c r="AI10" i="12" a="1"/>
  <c r="AI10" i="12" s="1"/>
  <c r="AB10" i="12" a="1"/>
  <c r="AB10" i="12" s="1"/>
  <c r="N10" i="12" a="1"/>
  <c r="N10" i="12" s="1"/>
  <c r="J89" i="12"/>
  <c r="N56" i="12" a="1"/>
  <c r="N56" i="12" s="1"/>
  <c r="AG56" i="12" a="1"/>
  <c r="AG56" i="12" s="1"/>
  <c r="AD56" i="12" a="1"/>
  <c r="AD56" i="12" s="1"/>
  <c r="AK56" i="12" a="1"/>
  <c r="AK56" i="12" s="1"/>
  <c r="AF56" i="12" a="1"/>
  <c r="AF56" i="12" s="1"/>
  <c r="AJ56" i="12" a="1"/>
  <c r="AJ56" i="12" s="1"/>
  <c r="AC56" i="12" a="1"/>
  <c r="AC56" i="12" s="1"/>
  <c r="AH56" i="12" a="1"/>
  <c r="AH56" i="12" s="1"/>
  <c r="AB56" i="12" a="1"/>
  <c r="AB56" i="12" s="1"/>
  <c r="AE56" i="12" a="1"/>
  <c r="AE56" i="12" s="1"/>
  <c r="AI56" i="12" a="1"/>
  <c r="AI56" i="12" s="1"/>
  <c r="AA56" i="12" a="1"/>
  <c r="AA56" i="12" s="1"/>
  <c r="M42" i="12"/>
  <c r="J42" i="12" s="1"/>
  <c r="M123" i="12"/>
  <c r="J123" i="12" s="1"/>
  <c r="Z81" i="12" a="1"/>
  <c r="Z81" i="12" s="1"/>
  <c r="Z115" i="12" a="1"/>
  <c r="Z115" i="12" s="1"/>
  <c r="Z36" i="12" a="1"/>
  <c r="Z36" i="12" s="1"/>
  <c r="Z62" i="12" a="1"/>
  <c r="Z62" i="12" s="1"/>
  <c r="Z72" i="12" a="1"/>
  <c r="Z72" i="12" s="1"/>
  <c r="Z69" i="12" a="1"/>
  <c r="Z69" i="12" s="1"/>
  <c r="Z114" i="12" a="1"/>
  <c r="Z114" i="12" s="1"/>
  <c r="Z119" i="12" a="1"/>
  <c r="Z119" i="12" s="1"/>
  <c r="Z120" i="12" a="1"/>
  <c r="Z120" i="12" s="1"/>
  <c r="Z110" i="12" a="1"/>
  <c r="Z110" i="12" s="1"/>
  <c r="Z24" i="12" a="1"/>
  <c r="Z24" i="12" s="1"/>
  <c r="Z13" i="12" a="1"/>
  <c r="Z13" i="12" s="1"/>
  <c r="Z58" i="12" a="1"/>
  <c r="Z58" i="12" s="1"/>
  <c r="Z94" i="12" a="1"/>
  <c r="Z94" i="12" s="1"/>
  <c r="Z8" i="12" a="1"/>
  <c r="Z8" i="12" s="1"/>
  <c r="Z67" i="12" a="1"/>
  <c r="Z67" i="12" s="1"/>
  <c r="Z31" i="12" a="1"/>
  <c r="Z31" i="12" s="1"/>
  <c r="Z32" i="12" a="1"/>
  <c r="Z32" i="12" s="1"/>
  <c r="Z19" i="12" a="1"/>
  <c r="Z19" i="12" s="1"/>
  <c r="Z83" i="12" a="1"/>
  <c r="Z83" i="12" s="1"/>
  <c r="Z99" i="12" a="1"/>
  <c r="Z99" i="12" s="1"/>
  <c r="Z35" i="12" a="1"/>
  <c r="Z35" i="12" s="1"/>
  <c r="Z61" i="12" a="1"/>
  <c r="Z61" i="12" s="1"/>
  <c r="Z54" i="12" a="1"/>
  <c r="Z54" i="12" s="1"/>
  <c r="Z18" i="12" a="1"/>
  <c r="Z18" i="12" s="1"/>
  <c r="Z20" i="12" a="1"/>
  <c r="Z20" i="12" s="1"/>
  <c r="Z27" i="12" a="1"/>
  <c r="Z27" i="12" s="1"/>
  <c r="Z100" i="12" a="1"/>
  <c r="Z100" i="12" s="1"/>
  <c r="Z92" i="12" a="1"/>
  <c r="Z92" i="12" s="1"/>
  <c r="Z16" i="12" a="1"/>
  <c r="Z16" i="12" s="1"/>
  <c r="Z12" i="12" a="1"/>
  <c r="Z12" i="12" s="1"/>
  <c r="Z29" i="12" a="1"/>
  <c r="Z29" i="12" s="1"/>
  <c r="Z4" i="12" a="1"/>
  <c r="Z4" i="12" s="1"/>
  <c r="Z55" i="12" a="1"/>
  <c r="Z55" i="12" s="1"/>
  <c r="Z111" i="12" a="1"/>
  <c r="Z111" i="12" s="1"/>
  <c r="Z9" i="12" a="1"/>
  <c r="Z9" i="12" s="1"/>
  <c r="Z64" i="12" a="1"/>
  <c r="Z64" i="12" s="1"/>
  <c r="Z42" i="12" a="1"/>
  <c r="Z42" i="12" s="1"/>
  <c r="Z68" i="12" a="1"/>
  <c r="Z68" i="12" s="1"/>
  <c r="Z38" i="12" a="1"/>
  <c r="Z38" i="12" s="1"/>
  <c r="Z25" i="12" a="1"/>
  <c r="Z25" i="12" s="1"/>
  <c r="Z40" i="12" a="1"/>
  <c r="Z40" i="12" s="1"/>
  <c r="Z57" i="12" a="1"/>
  <c r="Z57" i="12" s="1"/>
  <c r="Z80" i="12" a="1"/>
  <c r="Z80" i="12" s="1"/>
  <c r="Z51" i="12" a="1"/>
  <c r="Z51" i="12" s="1"/>
  <c r="Z39" i="12" a="1"/>
  <c r="Z39" i="12" s="1"/>
  <c r="Z26" i="12" a="1"/>
  <c r="Z26" i="12" s="1"/>
  <c r="Z59" i="12" a="1"/>
  <c r="Z59" i="12" s="1"/>
  <c r="Z89" i="12" a="1"/>
  <c r="Z89" i="12" s="1"/>
  <c r="Z21" i="12" a="1"/>
  <c r="Z21" i="12" s="1"/>
  <c r="Z28" i="12" a="1"/>
  <c r="Z28" i="12" s="1"/>
  <c r="Z37" i="12" a="1"/>
  <c r="Z37" i="12" s="1"/>
  <c r="Z78" i="12" a="1"/>
  <c r="Z78" i="12" s="1"/>
  <c r="Z41" i="12" a="1"/>
  <c r="Z41" i="12" s="1"/>
  <c r="Z34" i="12" a="1"/>
  <c r="Z34" i="12" s="1"/>
  <c r="Z95" i="12" a="1"/>
  <c r="Z95" i="12" s="1"/>
  <c r="Z33" i="12" a="1"/>
  <c r="Z33" i="12" s="1"/>
  <c r="Z23" i="12" a="1"/>
  <c r="Z23" i="12" s="1"/>
  <c r="S70" i="12" a="1"/>
  <c r="S70" i="12" s="1"/>
  <c r="AA109" i="12" a="1"/>
  <c r="AA109" i="12" s="1"/>
  <c r="AE104" i="12" a="1"/>
  <c r="AE104" i="12" s="1"/>
  <c r="AI7" i="12" a="1"/>
  <c r="AI7" i="12" s="1"/>
  <c r="AA123" i="12" a="1"/>
  <c r="AA123" i="12" s="1"/>
  <c r="AE63" i="12" a="1"/>
  <c r="AE63" i="12" s="1"/>
  <c r="AI71" i="12" a="1"/>
  <c r="AI71" i="12" s="1"/>
  <c r="AA101" i="12" a="1"/>
  <c r="AA101" i="12" s="1"/>
  <c r="AE59" i="12" a="1"/>
  <c r="AE59" i="12" s="1"/>
  <c r="AI105" i="12" a="1"/>
  <c r="AI105" i="12" s="1"/>
  <c r="AA75" i="12" a="1"/>
  <c r="AA75" i="12" s="1"/>
  <c r="AE30" i="12" a="1"/>
  <c r="AE30" i="12" s="1"/>
  <c r="AI94" i="12" a="1"/>
  <c r="AI94" i="12" s="1"/>
  <c r="AA85" i="12" a="1"/>
  <c r="AA85" i="12" s="1"/>
  <c r="AE54" i="12" a="1"/>
  <c r="AE54" i="12" s="1"/>
  <c r="AI124" i="12" a="1"/>
  <c r="AI124" i="12" s="1"/>
  <c r="AA73" i="12" a="1"/>
  <c r="AA73" i="12" s="1"/>
  <c r="AE74" i="12" a="1"/>
  <c r="AE74" i="12" s="1"/>
  <c r="AI87" i="12" a="1"/>
  <c r="AI87" i="12" s="1"/>
  <c r="AA72" i="12" a="1"/>
  <c r="AA72" i="12" s="1"/>
  <c r="AE42" i="12" a="1"/>
  <c r="AE42" i="12" s="1"/>
  <c r="AI58" i="12" a="1"/>
  <c r="AI58" i="12" s="1"/>
  <c r="AA83" i="12" a="1"/>
  <c r="AA83" i="12" s="1"/>
  <c r="AB104" i="12" a="1"/>
  <c r="AB104" i="12" s="1"/>
  <c r="AF7" i="12" a="1"/>
  <c r="AF7" i="12" s="1"/>
  <c r="AJ97" i="12" a="1"/>
  <c r="AJ97" i="12" s="1"/>
  <c r="AB63" i="12" a="1"/>
  <c r="AB63" i="12" s="1"/>
  <c r="AF71" i="12" a="1"/>
  <c r="AF71" i="12" s="1"/>
  <c r="AJ77" i="12" a="1"/>
  <c r="AJ77" i="12" s="1"/>
  <c r="AB59" i="12" a="1"/>
  <c r="AB59" i="12" s="1"/>
  <c r="AF105" i="12" a="1"/>
  <c r="AF105" i="12" s="1"/>
  <c r="AJ95" i="12" a="1"/>
  <c r="AJ95" i="12" s="1"/>
  <c r="AB30" i="12" a="1"/>
  <c r="AB30" i="12" s="1"/>
  <c r="AF94" i="12" a="1"/>
  <c r="AF94" i="12" s="1"/>
  <c r="AJ112" i="12" a="1"/>
  <c r="AJ112" i="12" s="1"/>
  <c r="AB54" i="12" a="1"/>
  <c r="AB54" i="12" s="1"/>
  <c r="AF124" i="12" a="1"/>
  <c r="AF124" i="12" s="1"/>
  <c r="AJ76" i="12" a="1"/>
  <c r="AJ76" i="12" s="1"/>
  <c r="AB74" i="12" a="1"/>
  <c r="AB74" i="12" s="1"/>
  <c r="AF87" i="12" a="1"/>
  <c r="AF87" i="12" s="1"/>
  <c r="AJ86" i="12" a="1"/>
  <c r="AJ86" i="12" s="1"/>
  <c r="AB42" i="12" a="1"/>
  <c r="AB42" i="12" s="1"/>
  <c r="AF58" i="12" a="1"/>
  <c r="AF58" i="12" s="1"/>
  <c r="AJ80" i="12" a="1"/>
  <c r="AJ80" i="12" s="1"/>
  <c r="AC104" i="12" a="1"/>
  <c r="AC104" i="12" s="1"/>
  <c r="AG7" i="12" a="1"/>
  <c r="AG7" i="12" s="1"/>
  <c r="AK97" i="12" a="1"/>
  <c r="AK97" i="12" s="1"/>
  <c r="AC63" i="12" a="1"/>
  <c r="AC63" i="12" s="1"/>
  <c r="AG71" i="12" a="1"/>
  <c r="AG71" i="12" s="1"/>
  <c r="AK77" i="12" a="1"/>
  <c r="AK77" i="12" s="1"/>
  <c r="AC59" i="12" a="1"/>
  <c r="AC59" i="12" s="1"/>
  <c r="AG105" i="12" a="1"/>
  <c r="AG105" i="12" s="1"/>
  <c r="AK95" i="12" a="1"/>
  <c r="AK95" i="12" s="1"/>
  <c r="AC30" i="12" a="1"/>
  <c r="AC30" i="12" s="1"/>
  <c r="AG94" i="12" a="1"/>
  <c r="AG94" i="12" s="1"/>
  <c r="AK112" i="12" a="1"/>
  <c r="AK112" i="12" s="1"/>
  <c r="AC54" i="12" a="1"/>
  <c r="AC54" i="12" s="1"/>
  <c r="AG124" i="12" a="1"/>
  <c r="AG124" i="12" s="1"/>
  <c r="AK76" i="12" a="1"/>
  <c r="AK76" i="12" s="1"/>
  <c r="AC74" i="12" a="1"/>
  <c r="AC74" i="12" s="1"/>
  <c r="AG87" i="12" a="1"/>
  <c r="AG87" i="12" s="1"/>
  <c r="AK86" i="12" a="1"/>
  <c r="AK86" i="12" s="1"/>
  <c r="AD109" i="12" a="1"/>
  <c r="AD109" i="12" s="1"/>
  <c r="AH63" i="12" a="1"/>
  <c r="AH63" i="12" s="1"/>
  <c r="AD85" i="12" a="1"/>
  <c r="AD85" i="12" s="1"/>
  <c r="AH74" i="12" a="1"/>
  <c r="AH74" i="12" s="1"/>
  <c r="AE83" i="12" a="1"/>
  <c r="AE83" i="12" s="1"/>
  <c r="AI78" i="12" a="1"/>
  <c r="AI78" i="12" s="1"/>
  <c r="AA70" i="12" a="1"/>
  <c r="AA70" i="12" s="1"/>
  <c r="AE79" i="12" a="1"/>
  <c r="AE79" i="12" s="1"/>
  <c r="AI110" i="12" a="1"/>
  <c r="AI110" i="12" s="1"/>
  <c r="AA93" i="12" a="1"/>
  <c r="AA93" i="12" s="1"/>
  <c r="AE55" i="12" a="1"/>
  <c r="AE55" i="12" s="1"/>
  <c r="AI18" i="12" a="1"/>
  <c r="AI18" i="12" s="1"/>
  <c r="AA81" i="12" a="1"/>
  <c r="AA81" i="12" s="1"/>
  <c r="AE53" i="12" a="1"/>
  <c r="AE53" i="12" s="1"/>
  <c r="AI98" i="12" a="1"/>
  <c r="AI98" i="12" s="1"/>
  <c r="AA67" i="12" a="1"/>
  <c r="AA67" i="12" s="1"/>
  <c r="AE89" i="12" a="1"/>
  <c r="AE89" i="12" s="1"/>
  <c r="AI5" i="12" a="1"/>
  <c r="AI5" i="12" s="1"/>
  <c r="AA16" i="12" a="1"/>
  <c r="AA16" i="12" s="1"/>
  <c r="AE69" i="12" a="1"/>
  <c r="AE69" i="12" s="1"/>
  <c r="AD77" i="12" a="1"/>
  <c r="AD77" i="12" s="1"/>
  <c r="AH75" i="12" a="1"/>
  <c r="AH75" i="12" s="1"/>
  <c r="AE109" i="12" a="1"/>
  <c r="AE109" i="12" s="1"/>
  <c r="AI104" i="12" a="1"/>
  <c r="AI104" i="12" s="1"/>
  <c r="AA97" i="12" a="1"/>
  <c r="AA97" i="12" s="1"/>
  <c r="AE123" i="12" a="1"/>
  <c r="AE123" i="12" s="1"/>
  <c r="AI63" i="12" a="1"/>
  <c r="AI63" i="12" s="1"/>
  <c r="AA77" i="12" a="1"/>
  <c r="AA77" i="12" s="1"/>
  <c r="AE101" i="12" a="1"/>
  <c r="AE101" i="12" s="1"/>
  <c r="AI59" i="12" a="1"/>
  <c r="AI59" i="12" s="1"/>
  <c r="AA95" i="12" a="1"/>
  <c r="AA95" i="12" s="1"/>
  <c r="AE75" i="12" a="1"/>
  <c r="AE75" i="12" s="1"/>
  <c r="AI30" i="12" a="1"/>
  <c r="AI30" i="12" s="1"/>
  <c r="AA112" i="12" a="1"/>
  <c r="AA112" i="12" s="1"/>
  <c r="AE85" i="12" a="1"/>
  <c r="AE85" i="12" s="1"/>
  <c r="AI54" i="12" a="1"/>
  <c r="AI54" i="12" s="1"/>
  <c r="AA76" i="12" a="1"/>
  <c r="AA76" i="12" s="1"/>
  <c r="AE73" i="12" a="1"/>
  <c r="AE73" i="12" s="1"/>
  <c r="AI74" i="12" a="1"/>
  <c r="AI74" i="12" s="1"/>
  <c r="AA86" i="12" a="1"/>
  <c r="AA86" i="12" s="1"/>
  <c r="AE72" i="12" a="1"/>
  <c r="AE72" i="12" s="1"/>
  <c r="AI42" i="12" a="1"/>
  <c r="AI42" i="12" s="1"/>
  <c r="AA80" i="12" a="1"/>
  <c r="AA80" i="12" s="1"/>
  <c r="AB109" i="12" a="1"/>
  <c r="AB109" i="12" s="1"/>
  <c r="AF104" i="12" a="1"/>
  <c r="AF104" i="12" s="1"/>
  <c r="AJ7" i="12" a="1"/>
  <c r="AJ7" i="12" s="1"/>
  <c r="AB123" i="12" a="1"/>
  <c r="AB123" i="12" s="1"/>
  <c r="AF63" i="12" a="1"/>
  <c r="AF63" i="12" s="1"/>
  <c r="AJ71" i="12" a="1"/>
  <c r="AJ71" i="12" s="1"/>
  <c r="AB101" i="12" a="1"/>
  <c r="AB101" i="12" s="1"/>
  <c r="AF59" i="12" a="1"/>
  <c r="AF59" i="12" s="1"/>
  <c r="AJ105" i="12" a="1"/>
  <c r="AJ105" i="12" s="1"/>
  <c r="AB75" i="12" a="1"/>
  <c r="AB75" i="12" s="1"/>
  <c r="AF30" i="12" a="1"/>
  <c r="AF30" i="12" s="1"/>
  <c r="AJ94" i="12" a="1"/>
  <c r="AJ94" i="12" s="1"/>
  <c r="AB85" i="12" a="1"/>
  <c r="AB85" i="12" s="1"/>
  <c r="AF54" i="12" a="1"/>
  <c r="AF54" i="12" s="1"/>
  <c r="AJ124" i="12" a="1"/>
  <c r="AJ124" i="12" s="1"/>
  <c r="AB73" i="12" a="1"/>
  <c r="AB73" i="12" s="1"/>
  <c r="AF74" i="12" a="1"/>
  <c r="AF74" i="12" s="1"/>
  <c r="AJ87" i="12" a="1"/>
  <c r="AJ87" i="12" s="1"/>
  <c r="AB72" i="12" a="1"/>
  <c r="AB72" i="12" s="1"/>
  <c r="AF42" i="12" a="1"/>
  <c r="AF42" i="12" s="1"/>
  <c r="AJ58" i="12" a="1"/>
  <c r="AJ58" i="12" s="1"/>
  <c r="AC109" i="12" a="1"/>
  <c r="AC109" i="12" s="1"/>
  <c r="AG104" i="12" a="1"/>
  <c r="AG104" i="12" s="1"/>
  <c r="AK7" i="12" a="1"/>
  <c r="AK7" i="12" s="1"/>
  <c r="AC123" i="12" a="1"/>
  <c r="AC123" i="12" s="1"/>
  <c r="AG63" i="12" a="1"/>
  <c r="AG63" i="12" s="1"/>
  <c r="AK71" i="12" a="1"/>
  <c r="AK71" i="12" s="1"/>
  <c r="AC101" i="12" a="1"/>
  <c r="AC101" i="12" s="1"/>
  <c r="AG59" i="12" a="1"/>
  <c r="AG59" i="12" s="1"/>
  <c r="AK105" i="12" a="1"/>
  <c r="AK105" i="12" s="1"/>
  <c r="AC75" i="12" a="1"/>
  <c r="AC75" i="12" s="1"/>
  <c r="AG30" i="12" a="1"/>
  <c r="AG30" i="12" s="1"/>
  <c r="AK94" i="12" a="1"/>
  <c r="AK94" i="12" s="1"/>
  <c r="AC85" i="12" a="1"/>
  <c r="AC85" i="12" s="1"/>
  <c r="AG54" i="12" a="1"/>
  <c r="AG54" i="12" s="1"/>
  <c r="AK124" i="12" a="1"/>
  <c r="AK124" i="12" s="1"/>
  <c r="AC73" i="12" a="1"/>
  <c r="AC73" i="12" s="1"/>
  <c r="AG74" i="12" a="1"/>
  <c r="AG74" i="12" s="1"/>
  <c r="AK87" i="12" a="1"/>
  <c r="AK87" i="12" s="1"/>
  <c r="AC72" i="12" a="1"/>
  <c r="AC72" i="12" s="1"/>
  <c r="AH104" i="12" a="1"/>
  <c r="AH104" i="12" s="1"/>
  <c r="AD75" i="12" a="1"/>
  <c r="AD75" i="12" s="1"/>
  <c r="AH54" i="12" a="1"/>
  <c r="AH54" i="12" s="1"/>
  <c r="AH58" i="12" a="1"/>
  <c r="AH58" i="12" s="1"/>
  <c r="AI83" i="12" a="1"/>
  <c r="AI83" i="12" s="1"/>
  <c r="AA92" i="12" a="1"/>
  <c r="AA92" i="12" s="1"/>
  <c r="AE70" i="12" a="1"/>
  <c r="AE70" i="12" s="1"/>
  <c r="AI79" i="12" a="1"/>
  <c r="AI79" i="12" s="1"/>
  <c r="AA62" i="12" a="1"/>
  <c r="AA62" i="12" s="1"/>
  <c r="AE93" i="12" a="1"/>
  <c r="AE93" i="12" s="1"/>
  <c r="AI55" i="12" a="1"/>
  <c r="AI55" i="12" s="1"/>
  <c r="AA61" i="12" a="1"/>
  <c r="AA61" i="12" s="1"/>
  <c r="AE81" i="12" a="1"/>
  <c r="AE81" i="12" s="1"/>
  <c r="AI53" i="12" a="1"/>
  <c r="AI53" i="12" s="1"/>
  <c r="AA100" i="12" a="1"/>
  <c r="AA100" i="12" s="1"/>
  <c r="AE67" i="12" a="1"/>
  <c r="AE67" i="12" s="1"/>
  <c r="AI89" i="12" a="1"/>
  <c r="AI89" i="12" s="1"/>
  <c r="AA57" i="12" a="1"/>
  <c r="AA57" i="12" s="1"/>
  <c r="AE16" i="12" a="1"/>
  <c r="AE16" i="12" s="1"/>
  <c r="AI69" i="12" a="1"/>
  <c r="AI69" i="12" s="1"/>
  <c r="AD97" i="12" a="1"/>
  <c r="AD97" i="12" s="1"/>
  <c r="AH101" i="12" a="1"/>
  <c r="AH101" i="12" s="1"/>
  <c r="AI109" i="12" a="1"/>
  <c r="AI109" i="12" s="1"/>
  <c r="AA7" i="12" a="1"/>
  <c r="AA7" i="12" s="1"/>
  <c r="AE97" i="12" a="1"/>
  <c r="AE97" i="12" s="1"/>
  <c r="AI123" i="12" a="1"/>
  <c r="AI123" i="12" s="1"/>
  <c r="AA71" i="12" a="1"/>
  <c r="AA71" i="12" s="1"/>
  <c r="AE77" i="12" a="1"/>
  <c r="AE77" i="12" s="1"/>
  <c r="AI101" i="12" a="1"/>
  <c r="AI101" i="12" s="1"/>
  <c r="AA105" i="12" a="1"/>
  <c r="AA105" i="12" s="1"/>
  <c r="AE95" i="12" a="1"/>
  <c r="AE95" i="12" s="1"/>
  <c r="AI75" i="12" a="1"/>
  <c r="AI75" i="12" s="1"/>
  <c r="AA94" i="12" a="1"/>
  <c r="AA94" i="12" s="1"/>
  <c r="AE112" i="12" a="1"/>
  <c r="AE112" i="12" s="1"/>
  <c r="AI85" i="12" a="1"/>
  <c r="AI85" i="12" s="1"/>
  <c r="AA124" i="12" a="1"/>
  <c r="AA124" i="12" s="1"/>
  <c r="AE76" i="12" a="1"/>
  <c r="AE76" i="12" s="1"/>
  <c r="AI73" i="12" a="1"/>
  <c r="AI73" i="12" s="1"/>
  <c r="AA87" i="12" a="1"/>
  <c r="AA87" i="12" s="1"/>
  <c r="AE86" i="12" a="1"/>
  <c r="AE86" i="12" s="1"/>
  <c r="AI72" i="12" a="1"/>
  <c r="AI72" i="12" s="1"/>
  <c r="AA58" i="12" a="1"/>
  <c r="AA58" i="12" s="1"/>
  <c r="AE80" i="12" a="1"/>
  <c r="AE80" i="12" s="1"/>
  <c r="AF109" i="12" a="1"/>
  <c r="AF109" i="12" s="1"/>
  <c r="AJ104" i="12" a="1"/>
  <c r="AJ104" i="12" s="1"/>
  <c r="AB97" i="12" a="1"/>
  <c r="AB97" i="12" s="1"/>
  <c r="AF123" i="12" a="1"/>
  <c r="AF123" i="12" s="1"/>
  <c r="AJ63" i="12" a="1"/>
  <c r="AJ63" i="12" s="1"/>
  <c r="AB77" i="12" a="1"/>
  <c r="AB77" i="12" s="1"/>
  <c r="AF101" i="12" a="1"/>
  <c r="AF101" i="12" s="1"/>
  <c r="AJ59" i="12" a="1"/>
  <c r="AJ59" i="12" s="1"/>
  <c r="AB95" i="12" a="1"/>
  <c r="AB95" i="12" s="1"/>
  <c r="AF75" i="12" a="1"/>
  <c r="AF75" i="12" s="1"/>
  <c r="AJ30" i="12" a="1"/>
  <c r="AJ30" i="12" s="1"/>
  <c r="AB112" i="12" a="1"/>
  <c r="AB112" i="12" s="1"/>
  <c r="AF85" i="12" a="1"/>
  <c r="AF85" i="12" s="1"/>
  <c r="AJ54" i="12" a="1"/>
  <c r="AJ54" i="12" s="1"/>
  <c r="AB76" i="12" a="1"/>
  <c r="AB76" i="12" s="1"/>
  <c r="AF73" i="12" a="1"/>
  <c r="AF73" i="12" s="1"/>
  <c r="AJ74" i="12" a="1"/>
  <c r="AJ74" i="12" s="1"/>
  <c r="AB86" i="12" a="1"/>
  <c r="AB86" i="12" s="1"/>
  <c r="AF72" i="12" a="1"/>
  <c r="AF72" i="12" s="1"/>
  <c r="AJ42" i="12" a="1"/>
  <c r="AJ42" i="12" s="1"/>
  <c r="AB80" i="12" a="1"/>
  <c r="AB80" i="12" s="1"/>
  <c r="AG109" i="12" a="1"/>
  <c r="AG109" i="12" s="1"/>
  <c r="AK104" i="12" a="1"/>
  <c r="AK104" i="12" s="1"/>
  <c r="AC97" i="12" a="1"/>
  <c r="AC97" i="12" s="1"/>
  <c r="AG123" i="12" a="1"/>
  <c r="AG123" i="12" s="1"/>
  <c r="AK63" i="12" a="1"/>
  <c r="AK63" i="12" s="1"/>
  <c r="AC77" i="12" a="1"/>
  <c r="AC77" i="12" s="1"/>
  <c r="AG101" i="12" a="1"/>
  <c r="AG101" i="12" s="1"/>
  <c r="AK59" i="12" a="1"/>
  <c r="AK59" i="12" s="1"/>
  <c r="AC95" i="12" a="1"/>
  <c r="AC95" i="12" s="1"/>
  <c r="AG75" i="12" a="1"/>
  <c r="AG75" i="12" s="1"/>
  <c r="AK30" i="12" a="1"/>
  <c r="AK30" i="12" s="1"/>
  <c r="AC112" i="12" a="1"/>
  <c r="AC112" i="12" s="1"/>
  <c r="AG85" i="12" a="1"/>
  <c r="AG85" i="12" s="1"/>
  <c r="AK54" i="12" a="1"/>
  <c r="AK54" i="12" s="1"/>
  <c r="AC76" i="12" a="1"/>
  <c r="AC76" i="12" s="1"/>
  <c r="AG73" i="12" a="1"/>
  <c r="AG73" i="12" s="1"/>
  <c r="AK74" i="12" a="1"/>
  <c r="AK74" i="12" s="1"/>
  <c r="AC86" i="12" a="1"/>
  <c r="AC86" i="12" s="1"/>
  <c r="AG72" i="12" a="1"/>
  <c r="AG72" i="12" s="1"/>
  <c r="AD101" i="12" a="1"/>
  <c r="AD101" i="12" s="1"/>
  <c r="AH30" i="12" a="1"/>
  <c r="AH30" i="12" s="1"/>
  <c r="AD72" i="12" a="1"/>
  <c r="AD72" i="12" s="1"/>
  <c r="AD80" i="12" a="1"/>
  <c r="AD80" i="12" s="1"/>
  <c r="AA78" i="12" a="1"/>
  <c r="AA78" i="12" s="1"/>
  <c r="AE92" i="12" a="1"/>
  <c r="AE92" i="12" s="1"/>
  <c r="AI70" i="12" a="1"/>
  <c r="AI70" i="12" s="1"/>
  <c r="AA110" i="12" a="1"/>
  <c r="AA110" i="12" s="1"/>
  <c r="AE62" i="12" a="1"/>
  <c r="AE62" i="12" s="1"/>
  <c r="AI93" i="12" a="1"/>
  <c r="AI93" i="12" s="1"/>
  <c r="AA18" i="12" a="1"/>
  <c r="AA18" i="12" s="1"/>
  <c r="AE61" i="12" a="1"/>
  <c r="AE61" i="12" s="1"/>
  <c r="AI81" i="12" a="1"/>
  <c r="AI81" i="12" s="1"/>
  <c r="AA98" i="12" a="1"/>
  <c r="AA98" i="12" s="1"/>
  <c r="AE100" i="12" a="1"/>
  <c r="AE100" i="12" s="1"/>
  <c r="AI67" i="12" a="1"/>
  <c r="AI67" i="12" s="1"/>
  <c r="AA5" i="12" a="1"/>
  <c r="AA5" i="12" s="1"/>
  <c r="AE57" i="12" a="1"/>
  <c r="AE57" i="12" s="1"/>
  <c r="AI16" i="12" a="1"/>
  <c r="AI16" i="12" s="1"/>
  <c r="AA88" i="12" a="1"/>
  <c r="AA88" i="12" s="1"/>
  <c r="AH123" i="12" a="1"/>
  <c r="AH123" i="12" s="1"/>
  <c r="AD112" i="12" a="1"/>
  <c r="AD112" i="12" s="1"/>
  <c r="AH73" i="12" a="1"/>
  <c r="AH73" i="12" s="1"/>
  <c r="AA104" i="12" a="1"/>
  <c r="AA104" i="12" s="1"/>
  <c r="AE7" i="12" a="1"/>
  <c r="AE7" i="12" s="1"/>
  <c r="AI97" i="12" a="1"/>
  <c r="AI97" i="12" s="1"/>
  <c r="AA63" i="12" a="1"/>
  <c r="AA63" i="12" s="1"/>
  <c r="AE71" i="12" a="1"/>
  <c r="AE71" i="12" s="1"/>
  <c r="AI77" i="12" a="1"/>
  <c r="AI77" i="12" s="1"/>
  <c r="AA59" i="12" a="1"/>
  <c r="AA59" i="12" s="1"/>
  <c r="AE105" i="12" a="1"/>
  <c r="AE105" i="12" s="1"/>
  <c r="AI95" i="12" a="1"/>
  <c r="AI95" i="12" s="1"/>
  <c r="AA30" i="12" a="1"/>
  <c r="AA30" i="12" s="1"/>
  <c r="AE94" i="12" a="1"/>
  <c r="AE94" i="12" s="1"/>
  <c r="AI112" i="12" a="1"/>
  <c r="AI112" i="12" s="1"/>
  <c r="AA54" i="12" a="1"/>
  <c r="AA54" i="12" s="1"/>
  <c r="AE124" i="12" a="1"/>
  <c r="AE124" i="12" s="1"/>
  <c r="AI76" i="12" a="1"/>
  <c r="AI76" i="12" s="1"/>
  <c r="AA74" i="12" a="1"/>
  <c r="AA74" i="12" s="1"/>
  <c r="AE87" i="12" a="1"/>
  <c r="AE87" i="12" s="1"/>
  <c r="AI86" i="12" a="1"/>
  <c r="AI86" i="12" s="1"/>
  <c r="AA42" i="12" a="1"/>
  <c r="AA42" i="12" s="1"/>
  <c r="AE58" i="12" a="1"/>
  <c r="AE58" i="12" s="1"/>
  <c r="AI80" i="12" a="1"/>
  <c r="AI80" i="12" s="1"/>
  <c r="AJ109" i="12" a="1"/>
  <c r="AJ109" i="12" s="1"/>
  <c r="AB7" i="12" a="1"/>
  <c r="AB7" i="12" s="1"/>
  <c r="AF97" i="12" a="1"/>
  <c r="AF97" i="12" s="1"/>
  <c r="AJ123" i="12" a="1"/>
  <c r="AJ123" i="12" s="1"/>
  <c r="AB71" i="12" a="1"/>
  <c r="AB71" i="12" s="1"/>
  <c r="AF77" i="12" a="1"/>
  <c r="AF77" i="12" s="1"/>
  <c r="AJ101" i="12" a="1"/>
  <c r="AJ101" i="12" s="1"/>
  <c r="AB105" i="12" a="1"/>
  <c r="AB105" i="12" s="1"/>
  <c r="AF95" i="12" a="1"/>
  <c r="AF95" i="12" s="1"/>
  <c r="AJ75" i="12" a="1"/>
  <c r="AJ75" i="12" s="1"/>
  <c r="AB94" i="12" a="1"/>
  <c r="AB94" i="12" s="1"/>
  <c r="AF112" i="12" a="1"/>
  <c r="AF112" i="12" s="1"/>
  <c r="AJ85" i="12" a="1"/>
  <c r="AJ85" i="12" s="1"/>
  <c r="AB124" i="12" a="1"/>
  <c r="AB124" i="12" s="1"/>
  <c r="AF76" i="12" a="1"/>
  <c r="AF76" i="12" s="1"/>
  <c r="AJ73" i="12" a="1"/>
  <c r="AJ73" i="12" s="1"/>
  <c r="AB87" i="12" a="1"/>
  <c r="AB87" i="12" s="1"/>
  <c r="AF86" i="12" a="1"/>
  <c r="AF86" i="12" s="1"/>
  <c r="AJ72" i="12" a="1"/>
  <c r="AJ72" i="12" s="1"/>
  <c r="AB58" i="12" a="1"/>
  <c r="AB58" i="12" s="1"/>
  <c r="AF80" i="12" a="1"/>
  <c r="AF80" i="12" s="1"/>
  <c r="AK109" i="12" a="1"/>
  <c r="AK109" i="12" s="1"/>
  <c r="AC7" i="12" a="1"/>
  <c r="AC7" i="12" s="1"/>
  <c r="AG97" i="12" a="1"/>
  <c r="AG97" i="12" s="1"/>
  <c r="AK123" i="12" a="1"/>
  <c r="AK123" i="12" s="1"/>
  <c r="AC71" i="12" a="1"/>
  <c r="AC71" i="12" s="1"/>
  <c r="AG77" i="12" a="1"/>
  <c r="AG77" i="12" s="1"/>
  <c r="AK101" i="12" a="1"/>
  <c r="AK101" i="12" s="1"/>
  <c r="AC105" i="12" a="1"/>
  <c r="AC105" i="12" s="1"/>
  <c r="AG95" i="12" a="1"/>
  <c r="AG95" i="12" s="1"/>
  <c r="AK75" i="12" a="1"/>
  <c r="AK75" i="12" s="1"/>
  <c r="AC94" i="12" a="1"/>
  <c r="AC94" i="12" s="1"/>
  <c r="AG112" i="12" a="1"/>
  <c r="AG112" i="12" s="1"/>
  <c r="AK85" i="12" a="1"/>
  <c r="AK85" i="12" s="1"/>
  <c r="AC124" i="12" a="1"/>
  <c r="AC124" i="12" s="1"/>
  <c r="AG76" i="12" a="1"/>
  <c r="AG76" i="12" s="1"/>
  <c r="AK73" i="12" a="1"/>
  <c r="AK73" i="12" s="1"/>
  <c r="AC87" i="12" a="1"/>
  <c r="AC87" i="12" s="1"/>
  <c r="AG86" i="12" a="1"/>
  <c r="AG86" i="12" s="1"/>
  <c r="AK72" i="12" a="1"/>
  <c r="AK72" i="12" s="1"/>
  <c r="AD123" i="12" a="1"/>
  <c r="AD123" i="12" s="1"/>
  <c r="AH59" i="12" a="1"/>
  <c r="AH59" i="12" s="1"/>
  <c r="AD73" i="12" a="1"/>
  <c r="AD73" i="12" s="1"/>
  <c r="AD42" i="12" a="1"/>
  <c r="AD42" i="12" s="1"/>
  <c r="AE78" i="12" a="1"/>
  <c r="AE78" i="12" s="1"/>
  <c r="AI92" i="12" a="1"/>
  <c r="AI92" i="12" s="1"/>
  <c r="AA79" i="12" a="1"/>
  <c r="AA79" i="12" s="1"/>
  <c r="AE110" i="12" a="1"/>
  <c r="AE110" i="12" s="1"/>
  <c r="AI62" i="12" a="1"/>
  <c r="AI62" i="12" s="1"/>
  <c r="AA55" i="12" a="1"/>
  <c r="AA55" i="12" s="1"/>
  <c r="AE18" i="12" a="1"/>
  <c r="AE18" i="12" s="1"/>
  <c r="AI61" i="12" a="1"/>
  <c r="AI61" i="12" s="1"/>
  <c r="AA53" i="12" a="1"/>
  <c r="AA53" i="12" s="1"/>
  <c r="AE98" i="12" a="1"/>
  <c r="AE98" i="12" s="1"/>
  <c r="AI100" i="12" a="1"/>
  <c r="AI100" i="12" s="1"/>
  <c r="AA89" i="12" a="1"/>
  <c r="AA89" i="12" s="1"/>
  <c r="AE5" i="12" a="1"/>
  <c r="AE5" i="12" s="1"/>
  <c r="AI57" i="12" a="1"/>
  <c r="AI57" i="12" s="1"/>
  <c r="AA69" i="12" a="1"/>
  <c r="AA69" i="12" s="1"/>
  <c r="AH109" i="12" a="1"/>
  <c r="AH109" i="12" s="1"/>
  <c r="AD95" i="12" a="1"/>
  <c r="AD95" i="12" s="1"/>
  <c r="AD86" i="12" a="1"/>
  <c r="AD86" i="12" s="1"/>
  <c r="AK58" i="12" a="1"/>
  <c r="AK58" i="12" s="1"/>
  <c r="AJ83" i="12" a="1"/>
  <c r="AJ83" i="12" s="1"/>
  <c r="AB92" i="12" a="1"/>
  <c r="AB92" i="12" s="1"/>
  <c r="AF70" i="12" a="1"/>
  <c r="AF70" i="12" s="1"/>
  <c r="AJ79" i="12" a="1"/>
  <c r="AJ79" i="12" s="1"/>
  <c r="AB62" i="12" a="1"/>
  <c r="AB62" i="12" s="1"/>
  <c r="AF93" i="12" a="1"/>
  <c r="AF93" i="12" s="1"/>
  <c r="AJ55" i="12" a="1"/>
  <c r="AJ55" i="12" s="1"/>
  <c r="AB61" i="12" a="1"/>
  <c r="AB61" i="12" s="1"/>
  <c r="AF81" i="12" a="1"/>
  <c r="AF81" i="12" s="1"/>
  <c r="AJ53" i="12" a="1"/>
  <c r="AJ53" i="12" s="1"/>
  <c r="AB100" i="12" a="1"/>
  <c r="AB100" i="12" s="1"/>
  <c r="AF67" i="12" a="1"/>
  <c r="AF67" i="12" s="1"/>
  <c r="AJ89" i="12" a="1"/>
  <c r="AJ89" i="12" s="1"/>
  <c r="AB57" i="12" a="1"/>
  <c r="AB57" i="12" s="1"/>
  <c r="AF16" i="12" a="1"/>
  <c r="AF16" i="12" s="1"/>
  <c r="AD71" i="12" a="1"/>
  <c r="AD71" i="12" s="1"/>
  <c r="AH95" i="12" a="1"/>
  <c r="AH95" i="12" s="1"/>
  <c r="AD87" i="12" a="1"/>
  <c r="AD87" i="12" s="1"/>
  <c r="AD58" i="12" a="1"/>
  <c r="AD58" i="12" s="1"/>
  <c r="AG83" i="12" a="1"/>
  <c r="AG83" i="12" s="1"/>
  <c r="AK78" i="12" a="1"/>
  <c r="AK78" i="12" s="1"/>
  <c r="AC70" i="12" a="1"/>
  <c r="AC70" i="12" s="1"/>
  <c r="AG79" i="12" a="1"/>
  <c r="AG79" i="12" s="1"/>
  <c r="AK110" i="12" a="1"/>
  <c r="AK110" i="12" s="1"/>
  <c r="AC93" i="12" a="1"/>
  <c r="AC93" i="12" s="1"/>
  <c r="AG55" i="12" a="1"/>
  <c r="AG55" i="12" s="1"/>
  <c r="AK18" i="12" a="1"/>
  <c r="AK18" i="12" s="1"/>
  <c r="AC81" i="12" a="1"/>
  <c r="AC81" i="12" s="1"/>
  <c r="AD54" i="12" a="1"/>
  <c r="AD54" i="12" s="1"/>
  <c r="AD93" i="12" a="1"/>
  <c r="AD93" i="12" s="1"/>
  <c r="AH100" i="12" a="1"/>
  <c r="AH100" i="12" s="1"/>
  <c r="AD5" i="12" a="1"/>
  <c r="AD5" i="12" s="1"/>
  <c r="AJ88" i="12" a="1"/>
  <c r="AJ88" i="12" s="1"/>
  <c r="AB51" i="12" a="1"/>
  <c r="AB51" i="12" s="1"/>
  <c r="AF99" i="12" a="1"/>
  <c r="AF99" i="12" s="1"/>
  <c r="AJ68" i="12" a="1"/>
  <c r="AJ68" i="12" s="1"/>
  <c r="AB115" i="12" a="1"/>
  <c r="AB115" i="12" s="1"/>
  <c r="AF60" i="12" a="1"/>
  <c r="AF60" i="12" s="1"/>
  <c r="AJ41" i="12" a="1"/>
  <c r="AJ41" i="12" s="1"/>
  <c r="AB31" i="12" a="1"/>
  <c r="AB31" i="12" s="1"/>
  <c r="AF111" i="12" a="1"/>
  <c r="AF111" i="12" s="1"/>
  <c r="AJ24" i="12" a="1"/>
  <c r="AJ24" i="12" s="1"/>
  <c r="AB12" i="12" a="1"/>
  <c r="AB12" i="12" s="1"/>
  <c r="AF21" i="12" a="1"/>
  <c r="AF21" i="12" s="1"/>
  <c r="AJ20" i="12" a="1"/>
  <c r="AJ20" i="12" s="1"/>
  <c r="AB39" i="12" a="1"/>
  <c r="AB39" i="12" s="1"/>
  <c r="AE114" i="12" a="1"/>
  <c r="AE114" i="12" s="1"/>
  <c r="AI38" i="12" a="1"/>
  <c r="AI38" i="12" s="1"/>
  <c r="AH124" i="12" a="1"/>
  <c r="AH124" i="12" s="1"/>
  <c r="AD92" i="12" a="1"/>
  <c r="AD92" i="12" s="1"/>
  <c r="AH93" i="12" a="1"/>
  <c r="AH93" i="12" s="1"/>
  <c r="AC53" i="12" a="1"/>
  <c r="AC53" i="12" s="1"/>
  <c r="AK100" i="12" a="1"/>
  <c r="AK100" i="12" s="1"/>
  <c r="AG5" i="12" a="1"/>
  <c r="AG5" i="12" s="1"/>
  <c r="AC69" i="12" a="1"/>
  <c r="AC69" i="12" s="1"/>
  <c r="AK88" i="12" a="1"/>
  <c r="AK88" i="12" s="1"/>
  <c r="AC51" i="12" a="1"/>
  <c r="AC51" i="12" s="1"/>
  <c r="AG99" i="12" a="1"/>
  <c r="AG99" i="12" s="1"/>
  <c r="AK68" i="12" a="1"/>
  <c r="AK68" i="12" s="1"/>
  <c r="AC115" i="12" a="1"/>
  <c r="AC115" i="12" s="1"/>
  <c r="AG60" i="12" a="1"/>
  <c r="AG60" i="12" s="1"/>
  <c r="AK41" i="12" a="1"/>
  <c r="AK41" i="12" s="1"/>
  <c r="AC31" i="12" a="1"/>
  <c r="AC31" i="12" s="1"/>
  <c r="AG111" i="12" a="1"/>
  <c r="AG111" i="12" s="1"/>
  <c r="AK24" i="12" a="1"/>
  <c r="AK24" i="12" s="1"/>
  <c r="AC12" i="12" a="1"/>
  <c r="AC12" i="12" s="1"/>
  <c r="AG21" i="12" a="1"/>
  <c r="AG21" i="12" s="1"/>
  <c r="AK20" i="12" a="1"/>
  <c r="AK20" i="12" s="1"/>
  <c r="AC39" i="12" a="1"/>
  <c r="AC39" i="12" s="1"/>
  <c r="AH94" i="12" a="1"/>
  <c r="AH94" i="12" s="1"/>
  <c r="AD78" i="12" a="1"/>
  <c r="AD78" i="12" s="1"/>
  <c r="AH62" i="12" a="1"/>
  <c r="AH62" i="12" s="1"/>
  <c r="AH81" i="12" a="1"/>
  <c r="AH81" i="12" s="1"/>
  <c r="AD100" i="12" a="1"/>
  <c r="AD100" i="12" s="1"/>
  <c r="AH16" i="12" a="1"/>
  <c r="AH16" i="12" s="1"/>
  <c r="AH88" i="12" a="1"/>
  <c r="AH88" i="12" s="1"/>
  <c r="AD99" i="12" a="1"/>
  <c r="AD99" i="12" s="1"/>
  <c r="AH68" i="12" a="1"/>
  <c r="AH68" i="12" s="1"/>
  <c r="AD60" i="12" a="1"/>
  <c r="AD60" i="12" s="1"/>
  <c r="AH41" i="12" a="1"/>
  <c r="AH41" i="12" s="1"/>
  <c r="AD111" i="12" a="1"/>
  <c r="AD111" i="12" s="1"/>
  <c r="AH24" i="12" a="1"/>
  <c r="AH24" i="12" s="1"/>
  <c r="AD21" i="12" a="1"/>
  <c r="AD21" i="12" s="1"/>
  <c r="AH20" i="12" a="1"/>
  <c r="AH20" i="12" s="1"/>
  <c r="AK42" i="12" a="1"/>
  <c r="AK42" i="12" s="1"/>
  <c r="AK67" i="12" a="1"/>
  <c r="AK67" i="12" s="1"/>
  <c r="AI51" i="12" a="1"/>
  <c r="AI51" i="12" s="1"/>
  <c r="AA41" i="12" a="1"/>
  <c r="AA41" i="12" s="1"/>
  <c r="AE23" i="12" a="1"/>
  <c r="AE23" i="12" s="1"/>
  <c r="AH39" i="12" a="1"/>
  <c r="AH39" i="12" s="1"/>
  <c r="AG38" i="12" a="1"/>
  <c r="AG38" i="12" s="1"/>
  <c r="AD35" i="12" a="1"/>
  <c r="AD35" i="12" s="1"/>
  <c r="AH34" i="12" a="1"/>
  <c r="AH34" i="12" s="1"/>
  <c r="AD9" i="12" a="1"/>
  <c r="AD9" i="12" s="1"/>
  <c r="AH13" i="12" a="1"/>
  <c r="AH13" i="12" s="1"/>
  <c r="AD28" i="12" a="1"/>
  <c r="AD28" i="12" s="1"/>
  <c r="AH27" i="12" a="1"/>
  <c r="AH27" i="12" s="1"/>
  <c r="AD119" i="12" a="1"/>
  <c r="AD119" i="12" s="1"/>
  <c r="AH25" i="12" a="1"/>
  <c r="AH25" i="12" s="1"/>
  <c r="Z112" i="12" a="1"/>
  <c r="Z112" i="12" s="1"/>
  <c r="Z70" i="12" a="1"/>
  <c r="Z70" i="12" s="1"/>
  <c r="AC33" i="12" a="1"/>
  <c r="AC33" i="12" s="1"/>
  <c r="AG29" i="12" a="1"/>
  <c r="AG29" i="12" s="1"/>
  <c r="AG119" i="12" a="1"/>
  <c r="AG119" i="12" s="1"/>
  <c r="AH105" i="12" a="1"/>
  <c r="AH105" i="12" s="1"/>
  <c r="AK98" i="12" a="1"/>
  <c r="AK98" i="12" s="1"/>
  <c r="AI96" i="12" a="1"/>
  <c r="AI96" i="12" s="1"/>
  <c r="AA60" i="12" a="1"/>
  <c r="AA60" i="12" s="1"/>
  <c r="AE24" i="12" a="1"/>
  <c r="AE24" i="12" s="1"/>
  <c r="AI19" i="12" a="1"/>
  <c r="AI19" i="12" s="1"/>
  <c r="AC38" i="12" a="1"/>
  <c r="AC38" i="12" s="1"/>
  <c r="AI37" i="12" a="1"/>
  <c r="AI37" i="12" s="1"/>
  <c r="AA35" i="12" a="1"/>
  <c r="AA35" i="12" s="1"/>
  <c r="AE34" i="12" a="1"/>
  <c r="AE34" i="12" s="1"/>
  <c r="AI33" i="12" a="1"/>
  <c r="AI33" i="12" s="1"/>
  <c r="AA9" i="12" a="1"/>
  <c r="AA9" i="12" s="1"/>
  <c r="AE13" i="12" a="1"/>
  <c r="AE13" i="12" s="1"/>
  <c r="AI8" i="12" a="1"/>
  <c r="AI8" i="12" s="1"/>
  <c r="AA28" i="12" a="1"/>
  <c r="AA28" i="12" s="1"/>
  <c r="AE27" i="12" a="1"/>
  <c r="AE27" i="12" s="1"/>
  <c r="AI4" i="12" a="1"/>
  <c r="AI4" i="12" s="1"/>
  <c r="AA119" i="12" a="1"/>
  <c r="AA119" i="12" s="1"/>
  <c r="AE25" i="12" a="1"/>
  <c r="AE25" i="12" s="1"/>
  <c r="AI120" i="12" a="1"/>
  <c r="AI120" i="12" s="1"/>
  <c r="Z85" i="12" a="1"/>
  <c r="Z85" i="12" s="1"/>
  <c r="Z79" i="12" a="1"/>
  <c r="Z79" i="12" s="1"/>
  <c r="AK5" i="12" a="1"/>
  <c r="AK5" i="12" s="1"/>
  <c r="AA40" i="12" a="1"/>
  <c r="AA40" i="12" s="1"/>
  <c r="AG114" i="12" a="1"/>
  <c r="AG114" i="12" s="1"/>
  <c r="AG35" i="12" a="1"/>
  <c r="AG35" i="12" s="1"/>
  <c r="AK13" i="12" a="1"/>
  <c r="AK13" i="12" s="1"/>
  <c r="AC26" i="12" a="1"/>
  <c r="AC26" i="12" s="1"/>
  <c r="Z87" i="12" a="1"/>
  <c r="Z87" i="12" s="1"/>
  <c r="AK81" i="12" a="1"/>
  <c r="AK81" i="12" s="1"/>
  <c r="AI88" i="12" a="1"/>
  <c r="AI88" i="12" s="1"/>
  <c r="AA115" i="12" a="1"/>
  <c r="AA115" i="12" s="1"/>
  <c r="AE111" i="12" a="1"/>
  <c r="AE111" i="12" s="1"/>
  <c r="AI20" i="12" a="1"/>
  <c r="AI20" i="12" s="1"/>
  <c r="AK114" i="12" a="1"/>
  <c r="AK114" i="12" s="1"/>
  <c r="AF37" i="12" a="1"/>
  <c r="AF37" i="12" s="1"/>
  <c r="AJ36" i="12" a="1"/>
  <c r="AJ36" i="12" s="1"/>
  <c r="AB34" i="12" a="1"/>
  <c r="AB34" i="12" s="1"/>
  <c r="AF33" i="12" a="1"/>
  <c r="AF33" i="12" s="1"/>
  <c r="AJ32" i="12" a="1"/>
  <c r="AJ32" i="12" s="1"/>
  <c r="AB13" i="12" a="1"/>
  <c r="AB13" i="12" s="1"/>
  <c r="AF8" i="12" a="1"/>
  <c r="AF8" i="12" s="1"/>
  <c r="AJ29" i="12" a="1"/>
  <c r="AJ29" i="12" s="1"/>
  <c r="AB27" i="12" a="1"/>
  <c r="AB27" i="12" s="1"/>
  <c r="AF4" i="12" a="1"/>
  <c r="AF4" i="12" s="1"/>
  <c r="AJ26" i="12" a="1"/>
  <c r="AJ26" i="12" s="1"/>
  <c r="AB25" i="12" a="1"/>
  <c r="AB25" i="12" s="1"/>
  <c r="AH85" i="12" a="1"/>
  <c r="AH85" i="12" s="1"/>
  <c r="AH72" i="12" a="1"/>
  <c r="AH72" i="12" s="1"/>
  <c r="AG80" i="12" a="1"/>
  <c r="AG80" i="12" s="1"/>
  <c r="AB78" i="12" a="1"/>
  <c r="AB78" i="12" s="1"/>
  <c r="AF92" i="12" a="1"/>
  <c r="AF92" i="12" s="1"/>
  <c r="AJ70" i="12" a="1"/>
  <c r="AJ70" i="12" s="1"/>
  <c r="AB110" i="12" a="1"/>
  <c r="AB110" i="12" s="1"/>
  <c r="AF62" i="12" a="1"/>
  <c r="AF62" i="12" s="1"/>
  <c r="AJ93" i="12" a="1"/>
  <c r="AJ93" i="12" s="1"/>
  <c r="AB18" i="12" a="1"/>
  <c r="AB18" i="12" s="1"/>
  <c r="AF61" i="12" a="1"/>
  <c r="AF61" i="12" s="1"/>
  <c r="AJ81" i="12" a="1"/>
  <c r="AJ81" i="12" s="1"/>
  <c r="AB98" i="12" a="1"/>
  <c r="AB98" i="12" s="1"/>
  <c r="AF100" i="12" a="1"/>
  <c r="AF100" i="12" s="1"/>
  <c r="AJ67" i="12" a="1"/>
  <c r="AJ67" i="12" s="1"/>
  <c r="AB5" i="12" a="1"/>
  <c r="AB5" i="12" s="1"/>
  <c r="AF57" i="12" a="1"/>
  <c r="AF57" i="12" s="1"/>
  <c r="AJ16" i="12" a="1"/>
  <c r="AJ16" i="12" s="1"/>
  <c r="AD7" i="12" a="1"/>
  <c r="AD7" i="12" s="1"/>
  <c r="AH77" i="12" a="1"/>
  <c r="AH77" i="12" s="1"/>
  <c r="AD124" i="12" a="1"/>
  <c r="AD124" i="12" s="1"/>
  <c r="AH86" i="12" a="1"/>
  <c r="AH86" i="12" s="1"/>
  <c r="AK83" i="12" a="1"/>
  <c r="AK83" i="12" s="1"/>
  <c r="AC92" i="12" a="1"/>
  <c r="AC92" i="12" s="1"/>
  <c r="AG70" i="12" a="1"/>
  <c r="AG70" i="12" s="1"/>
  <c r="AK79" i="12" a="1"/>
  <c r="AK79" i="12" s="1"/>
  <c r="AC62" i="12" a="1"/>
  <c r="AC62" i="12" s="1"/>
  <c r="AG93" i="12" a="1"/>
  <c r="AG93" i="12" s="1"/>
  <c r="AK55" i="12" a="1"/>
  <c r="AK55" i="12" s="1"/>
  <c r="AC61" i="12" a="1"/>
  <c r="AC61" i="12" s="1"/>
  <c r="AD104" i="12" a="1"/>
  <c r="AD104" i="12" s="1"/>
  <c r="AH87" i="12" a="1"/>
  <c r="AH87" i="12" s="1"/>
  <c r="AD70" i="12" a="1"/>
  <c r="AD70" i="12" s="1"/>
  <c r="AH55" i="12" a="1"/>
  <c r="AH55" i="12" s="1"/>
  <c r="AH53" i="12" a="1"/>
  <c r="AH53" i="12" s="1"/>
  <c r="AD67" i="12" a="1"/>
  <c r="AD67" i="12" s="1"/>
  <c r="AH69" i="12" a="1"/>
  <c r="AH69" i="12" s="1"/>
  <c r="AB96" i="12" a="1"/>
  <c r="AB96" i="12" s="1"/>
  <c r="AF51" i="12" a="1"/>
  <c r="AF51" i="12" s="1"/>
  <c r="AJ99" i="12" a="1"/>
  <c r="AJ99" i="12" s="1"/>
  <c r="AB64" i="12" a="1"/>
  <c r="AB64" i="12" s="1"/>
  <c r="AF115" i="12" a="1"/>
  <c r="AF115" i="12" s="1"/>
  <c r="AJ60" i="12" a="1"/>
  <c r="AJ60" i="12" s="1"/>
  <c r="AB40" i="12" a="1"/>
  <c r="AB40" i="12" s="1"/>
  <c r="AF31" i="12" a="1"/>
  <c r="AF31" i="12" s="1"/>
  <c r="AJ111" i="12" a="1"/>
  <c r="AJ111" i="12" s="1"/>
  <c r="AB23" i="12" a="1"/>
  <c r="AB23" i="12" s="1"/>
  <c r="AF12" i="12" a="1"/>
  <c r="AF12" i="12" s="1"/>
  <c r="AJ21" i="12" a="1"/>
  <c r="AJ21" i="12" s="1"/>
  <c r="AB19" i="12" a="1"/>
  <c r="AB19" i="12" s="1"/>
  <c r="AF39" i="12" a="1"/>
  <c r="AF39" i="12" s="1"/>
  <c r="AI114" i="12" a="1"/>
  <c r="AI114" i="12" s="1"/>
  <c r="AH7" i="12" a="1"/>
  <c r="AH7" i="12" s="1"/>
  <c r="AH70" i="12" a="1"/>
  <c r="AH70" i="12" s="1"/>
  <c r="AK53" i="12" a="1"/>
  <c r="AK53" i="12" s="1"/>
  <c r="AG67" i="12" a="1"/>
  <c r="AG67" i="12" s="1"/>
  <c r="AC57" i="12" a="1"/>
  <c r="AC57" i="12" s="1"/>
  <c r="AJ69" i="12" a="1"/>
  <c r="AJ69" i="12" s="1"/>
  <c r="AC96" i="12" a="1"/>
  <c r="AC96" i="12" s="1"/>
  <c r="AG51" i="12" a="1"/>
  <c r="AG51" i="12" s="1"/>
  <c r="AK99" i="12" a="1"/>
  <c r="AK99" i="12" s="1"/>
  <c r="AC64" i="12" a="1"/>
  <c r="AC64" i="12" s="1"/>
  <c r="AG115" i="12" a="1"/>
  <c r="AG115" i="12" s="1"/>
  <c r="AK60" i="12" a="1"/>
  <c r="AK60" i="12" s="1"/>
  <c r="AC40" i="12" a="1"/>
  <c r="AC40" i="12" s="1"/>
  <c r="AG31" i="12" a="1"/>
  <c r="AG31" i="12" s="1"/>
  <c r="AK111" i="12" a="1"/>
  <c r="AK111" i="12" s="1"/>
  <c r="AC23" i="12" a="1"/>
  <c r="AC23" i="12" s="1"/>
  <c r="AG12" i="12" a="1"/>
  <c r="AG12" i="12" s="1"/>
  <c r="AK21" i="12" a="1"/>
  <c r="AK21" i="12" s="1"/>
  <c r="AC19" i="12" a="1"/>
  <c r="AC19" i="12" s="1"/>
  <c r="AJ39" i="12" a="1"/>
  <c r="AJ39" i="12" s="1"/>
  <c r="AH92" i="12" a="1"/>
  <c r="AH92" i="12" s="1"/>
  <c r="AD53" i="12" a="1"/>
  <c r="AD53" i="12" s="1"/>
  <c r="AH5" i="12" a="1"/>
  <c r="AH5" i="12" s="1"/>
  <c r="AD69" i="12" a="1"/>
  <c r="AD69" i="12" s="1"/>
  <c r="AD51" i="12" a="1"/>
  <c r="AD51" i="12" s="1"/>
  <c r="AH99" i="12" a="1"/>
  <c r="AH99" i="12" s="1"/>
  <c r="AD115" i="12" a="1"/>
  <c r="AD115" i="12" s="1"/>
  <c r="AH60" i="12" a="1"/>
  <c r="AH60" i="12" s="1"/>
  <c r="AD31" i="12" a="1"/>
  <c r="AD31" i="12" s="1"/>
  <c r="AH111" i="12" a="1"/>
  <c r="AH111" i="12" s="1"/>
  <c r="AD12" i="12" a="1"/>
  <c r="AD12" i="12" s="1"/>
  <c r="AH21" i="12" a="1"/>
  <c r="AH21" i="12" s="1"/>
  <c r="AD39" i="12" a="1"/>
  <c r="AD39" i="12" s="1"/>
  <c r="AD79" i="12" a="1"/>
  <c r="AD79" i="12" s="1"/>
  <c r="AG57" i="12" a="1"/>
  <c r="AG57" i="12" s="1"/>
  <c r="AA68" i="12" a="1"/>
  <c r="AA68" i="12" s="1"/>
  <c r="AE40" i="12" a="1"/>
  <c r="AE40" i="12" s="1"/>
  <c r="AI12" i="12" a="1"/>
  <c r="AI12" i="12" s="1"/>
  <c r="AC114" i="12" a="1"/>
  <c r="AC114" i="12" s="1"/>
  <c r="AD36" i="12" a="1"/>
  <c r="AD36" i="12" s="1"/>
  <c r="AH35" i="12" a="1"/>
  <c r="AH35" i="12" s="1"/>
  <c r="AD32" i="12" a="1"/>
  <c r="AD32" i="12" s="1"/>
  <c r="AH9" i="12" a="1"/>
  <c r="AH9" i="12" s="1"/>
  <c r="AD29" i="12" a="1"/>
  <c r="AD29" i="12" s="1"/>
  <c r="AH28" i="12" a="1"/>
  <c r="AH28" i="12" s="1"/>
  <c r="AD26" i="12" a="1"/>
  <c r="AD26" i="12" s="1"/>
  <c r="AH119" i="12" a="1"/>
  <c r="AH119" i="12" s="1"/>
  <c r="Z123" i="12" a="1"/>
  <c r="Z123" i="12" s="1"/>
  <c r="Z76" i="12" a="1"/>
  <c r="Z76" i="12" s="1"/>
  <c r="Z93" i="12" a="1"/>
  <c r="Z93" i="12" s="1"/>
  <c r="AG32" i="12" a="1"/>
  <c r="AG32" i="12" s="1"/>
  <c r="AK28" i="12" a="1"/>
  <c r="AK28" i="12" s="1"/>
  <c r="AK25" i="12" a="1"/>
  <c r="AK25" i="12" s="1"/>
  <c r="Z96" i="12" a="1"/>
  <c r="Z96" i="12" s="1"/>
  <c r="AD83" i="12" a="1"/>
  <c r="AD83" i="12" s="1"/>
  <c r="AG89" i="12" a="1"/>
  <c r="AG89" i="12" s="1"/>
  <c r="AA99" i="12" a="1"/>
  <c r="AA99" i="12" s="1"/>
  <c r="AE41" i="12" a="1"/>
  <c r="AE41" i="12" s="1"/>
  <c r="AI23" i="12" a="1"/>
  <c r="AI23" i="12" s="1"/>
  <c r="AK39" i="12" a="1"/>
  <c r="AK39" i="12" s="1"/>
  <c r="AH38" i="12" a="1"/>
  <c r="AH38" i="12" s="1"/>
  <c r="AA36" i="12" a="1"/>
  <c r="AA36" i="12" s="1"/>
  <c r="AE35" i="12" a="1"/>
  <c r="AE35" i="12" s="1"/>
  <c r="AI34" i="12" a="1"/>
  <c r="AI34" i="12" s="1"/>
  <c r="AA32" i="12" a="1"/>
  <c r="AA32" i="12" s="1"/>
  <c r="AE9" i="12" a="1"/>
  <c r="AE9" i="12" s="1"/>
  <c r="AI13" i="12" a="1"/>
  <c r="AI13" i="12" s="1"/>
  <c r="AA29" i="12" a="1"/>
  <c r="AA29" i="12" s="1"/>
  <c r="AE28" i="12" a="1"/>
  <c r="AE28" i="12" s="1"/>
  <c r="AI27" i="12" a="1"/>
  <c r="AI27" i="12" s="1"/>
  <c r="AA26" i="12" a="1"/>
  <c r="AA26" i="12" s="1"/>
  <c r="AE119" i="12" a="1"/>
  <c r="AE119" i="12" s="1"/>
  <c r="AI25" i="12" a="1"/>
  <c r="AI25" i="12" s="1"/>
  <c r="Z104" i="12" a="1"/>
  <c r="Z104" i="12" s="1"/>
  <c r="Z73" i="12" a="1"/>
  <c r="Z73" i="12" s="1"/>
  <c r="AA96" i="12" a="1"/>
  <c r="AA96" i="12" s="1"/>
  <c r="AI111" i="12" a="1"/>
  <c r="AI111" i="12" s="1"/>
  <c r="AK38" i="12" a="1"/>
  <c r="AK38" i="12" s="1"/>
  <c r="AK34" i="12" a="1"/>
  <c r="AK34" i="12" s="1"/>
  <c r="AC29" i="12" a="1"/>
  <c r="AC29" i="12" s="1"/>
  <c r="AK119" i="12" a="1"/>
  <c r="AK119" i="12" s="1"/>
  <c r="AG100" i="12" a="1"/>
  <c r="AG100" i="12" s="1"/>
  <c r="AA51" i="12" a="1"/>
  <c r="AA51" i="12" s="1"/>
  <c r="AE60" i="12" a="1"/>
  <c r="AE60" i="12" s="1"/>
  <c r="AI24" i="12" a="1"/>
  <c r="AI24" i="12" s="1"/>
  <c r="AA39" i="12" a="1"/>
  <c r="AA39" i="12" s="1"/>
  <c r="AD38" i="12" a="1"/>
  <c r="AD38" i="12" s="1"/>
  <c r="AJ37" i="12" a="1"/>
  <c r="AJ37" i="12" s="1"/>
  <c r="AB35" i="12" a="1"/>
  <c r="AB35" i="12" s="1"/>
  <c r="AF34" i="12" a="1"/>
  <c r="AF34" i="12" s="1"/>
  <c r="AJ33" i="12" a="1"/>
  <c r="AJ33" i="12" s="1"/>
  <c r="AB9" i="12" a="1"/>
  <c r="AB9" i="12" s="1"/>
  <c r="AF13" i="12" a="1"/>
  <c r="AF13" i="12" s="1"/>
  <c r="AJ8" i="12" a="1"/>
  <c r="AJ8" i="12" s="1"/>
  <c r="AB28" i="12" a="1"/>
  <c r="AB28" i="12" s="1"/>
  <c r="AF27" i="12" a="1"/>
  <c r="AF27" i="12" s="1"/>
  <c r="AJ4" i="12" a="1"/>
  <c r="AJ4" i="12" s="1"/>
  <c r="AD76" i="12" a="1"/>
  <c r="AD76" i="12" s="1"/>
  <c r="AG42" i="12" a="1"/>
  <c r="AG42" i="12" s="1"/>
  <c r="AB83" i="12" a="1"/>
  <c r="AB83" i="12" s="1"/>
  <c r="AF78" i="12" a="1"/>
  <c r="AF78" i="12" s="1"/>
  <c r="AJ92" i="12" a="1"/>
  <c r="AJ92" i="12" s="1"/>
  <c r="AB79" i="12" a="1"/>
  <c r="AB79" i="12" s="1"/>
  <c r="AF110" i="12" a="1"/>
  <c r="AF110" i="12" s="1"/>
  <c r="AJ62" i="12" a="1"/>
  <c r="AJ62" i="12" s="1"/>
  <c r="AB55" i="12" a="1"/>
  <c r="AB55" i="12" s="1"/>
  <c r="AF18" i="12" a="1"/>
  <c r="AF18" i="12" s="1"/>
  <c r="AJ61" i="12" a="1"/>
  <c r="AJ61" i="12" s="1"/>
  <c r="AB53" i="12" a="1"/>
  <c r="AB53" i="12" s="1"/>
  <c r="AF98" i="12" a="1"/>
  <c r="AF98" i="12" s="1"/>
  <c r="AJ100" i="12" a="1"/>
  <c r="AJ100" i="12" s="1"/>
  <c r="AB89" i="12" a="1"/>
  <c r="AB89" i="12" s="1"/>
  <c r="AF5" i="12" a="1"/>
  <c r="AF5" i="12" s="1"/>
  <c r="AJ57" i="12" a="1"/>
  <c r="AJ57" i="12" s="1"/>
  <c r="AB69" i="12" a="1"/>
  <c r="AB69" i="12" s="1"/>
  <c r="AH97" i="12" a="1"/>
  <c r="AH97" i="12" s="1"/>
  <c r="AD94" i="12" a="1"/>
  <c r="AD94" i="12" s="1"/>
  <c r="AH76" i="12" a="1"/>
  <c r="AH76" i="12" s="1"/>
  <c r="AH80" i="12" a="1"/>
  <c r="AH80" i="12" s="1"/>
  <c r="AC78" i="12" a="1"/>
  <c r="AC78" i="12" s="1"/>
  <c r="AG92" i="12" a="1"/>
  <c r="AG92" i="12" s="1"/>
  <c r="AK70" i="12" a="1"/>
  <c r="AK70" i="12" s="1"/>
  <c r="AC110" i="12" a="1"/>
  <c r="AC110" i="12" s="1"/>
  <c r="AG62" i="12" a="1"/>
  <c r="AG62" i="12" s="1"/>
  <c r="AK93" i="12" a="1"/>
  <c r="AK93" i="12" s="1"/>
  <c r="AC18" i="12" a="1"/>
  <c r="AC18" i="12" s="1"/>
  <c r="AG61" i="12" a="1"/>
  <c r="AG61" i="12" s="1"/>
  <c r="AH71" i="12" a="1"/>
  <c r="AH71" i="12" s="1"/>
  <c r="AG58" i="12" a="1"/>
  <c r="AG58" i="12" s="1"/>
  <c r="AH79" i="12" a="1"/>
  <c r="AH79" i="12" s="1"/>
  <c r="AD98" i="12" a="1"/>
  <c r="AD98" i="12" s="1"/>
  <c r="AH57" i="12" a="1"/>
  <c r="AH57" i="12" s="1"/>
  <c r="AB88" i="12" a="1"/>
  <c r="AB88" i="12" s="1"/>
  <c r="AF96" i="12" a="1"/>
  <c r="AF96" i="12" s="1"/>
  <c r="AJ51" i="12" a="1"/>
  <c r="AJ51" i="12" s="1"/>
  <c r="AB68" i="12" a="1"/>
  <c r="AB68" i="12" s="1"/>
  <c r="AF64" i="12" a="1"/>
  <c r="AF64" i="12" s="1"/>
  <c r="AJ115" i="12" a="1"/>
  <c r="AJ115" i="12" s="1"/>
  <c r="AB41" i="12" a="1"/>
  <c r="AB41" i="12" s="1"/>
  <c r="AF40" i="12" a="1"/>
  <c r="AF40" i="12" s="1"/>
  <c r="AJ31" i="12" a="1"/>
  <c r="AJ31" i="12" s="1"/>
  <c r="AB24" i="12" a="1"/>
  <c r="AB24" i="12" s="1"/>
  <c r="AF23" i="12" a="1"/>
  <c r="AF23" i="12" s="1"/>
  <c r="AJ12" i="12" a="1"/>
  <c r="AJ12" i="12" s="1"/>
  <c r="AB20" i="12" a="1"/>
  <c r="AB20" i="12" s="1"/>
  <c r="AF19" i="12" a="1"/>
  <c r="AF19" i="12" s="1"/>
  <c r="AI39" i="12" a="1"/>
  <c r="AI39" i="12" s="1"/>
  <c r="AA38" i="12" a="1"/>
  <c r="AA38" i="12" s="1"/>
  <c r="AC80" i="12" a="1"/>
  <c r="AC80" i="12" s="1"/>
  <c r="AD61" i="12" a="1"/>
  <c r="AD61" i="12" s="1"/>
  <c r="AG98" i="12" a="1"/>
  <c r="AG98" i="12" s="1"/>
  <c r="AC89" i="12" a="1"/>
  <c r="AC89" i="12" s="1"/>
  <c r="AK57" i="12" a="1"/>
  <c r="AK57" i="12" s="1"/>
  <c r="AC88" i="12" a="1"/>
  <c r="AC88" i="12" s="1"/>
  <c r="AG96" i="12" a="1"/>
  <c r="AG96" i="12" s="1"/>
  <c r="AK51" i="12" a="1"/>
  <c r="AK51" i="12" s="1"/>
  <c r="AC68" i="12" a="1"/>
  <c r="AC68" i="12" s="1"/>
  <c r="AG64" i="12" a="1"/>
  <c r="AG64" i="12" s="1"/>
  <c r="AK115" i="12" a="1"/>
  <c r="AK115" i="12" s="1"/>
  <c r="AC41" i="12" a="1"/>
  <c r="AC41" i="12" s="1"/>
  <c r="AG40" i="12" a="1"/>
  <c r="AG40" i="12" s="1"/>
  <c r="AK31" i="12" a="1"/>
  <c r="AK31" i="12" s="1"/>
  <c r="AC24" i="12" a="1"/>
  <c r="AC24" i="12" s="1"/>
  <c r="AG23" i="12" a="1"/>
  <c r="AG23" i="12" s="1"/>
  <c r="AK12" i="12" a="1"/>
  <c r="AK12" i="12" s="1"/>
  <c r="AC20" i="12" a="1"/>
  <c r="AC20" i="12" s="1"/>
  <c r="AG19" i="12" a="1"/>
  <c r="AG19" i="12" s="1"/>
  <c r="AC42" i="12" a="1"/>
  <c r="AC42" i="12" s="1"/>
  <c r="AD18" i="12" a="1"/>
  <c r="AD18" i="12" s="1"/>
  <c r="AH67" i="12" a="1"/>
  <c r="AH67" i="12" s="1"/>
  <c r="AD57" i="12" a="1"/>
  <c r="AD57" i="12" s="1"/>
  <c r="AK69" i="12" a="1"/>
  <c r="AK69" i="12" s="1"/>
  <c r="AD96" i="12" a="1"/>
  <c r="AD96" i="12" s="1"/>
  <c r="AH51" i="12" a="1"/>
  <c r="AH51" i="12" s="1"/>
  <c r="AD64" i="12" a="1"/>
  <c r="AD64" i="12" s="1"/>
  <c r="AH115" i="12" a="1"/>
  <c r="AH115" i="12" s="1"/>
  <c r="AD40" i="12" a="1"/>
  <c r="AD40" i="12" s="1"/>
  <c r="AH31" i="12" a="1"/>
  <c r="AH31" i="12" s="1"/>
  <c r="AD23" i="12" a="1"/>
  <c r="AD23" i="12" s="1"/>
  <c r="AH12" i="12" a="1"/>
  <c r="AH12" i="12" s="1"/>
  <c r="AD19" i="12" a="1"/>
  <c r="AD19" i="12" s="1"/>
  <c r="AG39" i="12" a="1"/>
  <c r="AG39" i="12" s="1"/>
  <c r="AH18" i="12" a="1"/>
  <c r="AH18" i="12" s="1"/>
  <c r="AE64" i="12" a="1"/>
  <c r="AE64" i="12" s="1"/>
  <c r="AI31" i="12" a="1"/>
  <c r="AI31" i="12" s="1"/>
  <c r="AA20" i="12" a="1"/>
  <c r="AA20" i="12" s="1"/>
  <c r="AH114" i="12" a="1"/>
  <c r="AH114" i="12" s="1"/>
  <c r="AD37" i="12" a="1"/>
  <c r="AD37" i="12" s="1"/>
  <c r="AH36" i="12" a="1"/>
  <c r="AH36" i="12" s="1"/>
  <c r="AD33" i="12" a="1"/>
  <c r="AD33" i="12" s="1"/>
  <c r="AH32" i="12" a="1"/>
  <c r="AH32" i="12" s="1"/>
  <c r="AD8" i="12" a="1"/>
  <c r="AD8" i="12" s="1"/>
  <c r="AH29" i="12" a="1"/>
  <c r="AH29" i="12" s="1"/>
  <c r="AD4" i="12" a="1"/>
  <c r="AD4" i="12" s="1"/>
  <c r="AH26" i="12" a="1"/>
  <c r="AH26" i="12" s="1"/>
  <c r="AD120" i="12" a="1"/>
  <c r="AD120" i="12" s="1"/>
  <c r="Z101" i="12" a="1"/>
  <c r="Z101" i="12" s="1"/>
  <c r="Z86" i="12" a="1"/>
  <c r="Z86" i="12" s="1"/>
  <c r="Z109" i="12" a="1"/>
  <c r="Z109" i="12" s="1"/>
  <c r="AK9" i="12" a="1"/>
  <c r="AK9" i="12" s="1"/>
  <c r="AC4" i="12" a="1"/>
  <c r="AC4" i="12" s="1"/>
  <c r="Z97" i="12" a="1"/>
  <c r="Z97" i="12" s="1"/>
  <c r="AH110" i="12" a="1"/>
  <c r="AH110" i="12" s="1"/>
  <c r="AC16" i="12" a="1"/>
  <c r="AC16" i="12" s="1"/>
  <c r="AE68" i="12" a="1"/>
  <c r="AE68" i="12" s="1"/>
  <c r="AI40" i="12" a="1"/>
  <c r="AI40" i="12" s="1"/>
  <c r="AA21" i="12" a="1"/>
  <c r="AA21" i="12" s="1"/>
  <c r="AD114" i="12" a="1"/>
  <c r="AD114" i="12" s="1"/>
  <c r="AA37" i="12" a="1"/>
  <c r="AA37" i="12" s="1"/>
  <c r="AE36" i="12" a="1"/>
  <c r="AE36" i="12" s="1"/>
  <c r="AI35" i="12" a="1"/>
  <c r="AI35" i="12" s="1"/>
  <c r="AA33" i="12" a="1"/>
  <c r="AA33" i="12" s="1"/>
  <c r="AE32" i="12" a="1"/>
  <c r="AE32" i="12" s="1"/>
  <c r="AI9" i="12" a="1"/>
  <c r="AI9" i="12" s="1"/>
  <c r="AA8" i="12" a="1"/>
  <c r="AA8" i="12" s="1"/>
  <c r="AE29" i="12" a="1"/>
  <c r="AE29" i="12" s="1"/>
  <c r="AI28" i="12" a="1"/>
  <c r="AI28" i="12" s="1"/>
  <c r="AA4" i="12" a="1"/>
  <c r="AA4" i="12" s="1"/>
  <c r="AE26" i="12" a="1"/>
  <c r="AE26" i="12" s="1"/>
  <c r="AI119" i="12" a="1"/>
  <c r="AI119" i="12" s="1"/>
  <c r="AA120" i="12" a="1"/>
  <c r="AA120" i="12" s="1"/>
  <c r="Z63" i="12" a="1"/>
  <c r="Z63" i="12" s="1"/>
  <c r="Z53" i="12" a="1"/>
  <c r="Z53" i="12" s="1"/>
  <c r="Z60" i="12" a="1"/>
  <c r="Z60" i="12" s="1"/>
  <c r="AD74" i="12" a="1"/>
  <c r="AD74" i="12" s="1"/>
  <c r="AI99" i="12" a="1"/>
  <c r="AI99" i="12" s="1"/>
  <c r="AE12" i="12" a="1"/>
  <c r="AE12" i="12" s="1"/>
  <c r="AG37" i="12" a="1"/>
  <c r="AG37" i="12" s="1"/>
  <c r="AC32" i="12" a="1"/>
  <c r="AC32" i="12" s="1"/>
  <c r="AG28" i="12" a="1"/>
  <c r="AG28" i="12" s="1"/>
  <c r="AC120" i="12" a="1"/>
  <c r="AC120" i="12" s="1"/>
  <c r="AH78" i="12" a="1"/>
  <c r="AH78" i="12" s="1"/>
  <c r="AC5" i="12" a="1"/>
  <c r="AC5" i="12" s="1"/>
  <c r="AE99" i="12" a="1"/>
  <c r="AE99" i="12" s="1"/>
  <c r="AI41" i="12" a="1"/>
  <c r="AI41" i="12" s="1"/>
  <c r="AA12" i="12" a="1"/>
  <c r="AA12" i="12" s="1"/>
  <c r="AJ38" i="12" a="1"/>
  <c r="AJ38" i="12" s="1"/>
  <c r="AB36" i="12" a="1"/>
  <c r="AB36" i="12" s="1"/>
  <c r="AF35" i="12" a="1"/>
  <c r="AF35" i="12" s="1"/>
  <c r="AJ34" i="12" a="1"/>
  <c r="AJ34" i="12" s="1"/>
  <c r="AB32" i="12" a="1"/>
  <c r="AB32" i="12" s="1"/>
  <c r="AF9" i="12" a="1"/>
  <c r="AF9" i="12" s="1"/>
  <c r="AJ13" i="12" a="1"/>
  <c r="AJ13" i="12" s="1"/>
  <c r="AB29" i="12" a="1"/>
  <c r="AB29" i="12" s="1"/>
  <c r="AC58" i="12" a="1"/>
  <c r="AC58" i="12" s="1"/>
  <c r="AF83" i="12" a="1"/>
  <c r="AF83" i="12" s="1"/>
  <c r="AJ78" i="12" a="1"/>
  <c r="AJ78" i="12" s="1"/>
  <c r="AB70" i="12" a="1"/>
  <c r="AB70" i="12" s="1"/>
  <c r="AF79" i="12" a="1"/>
  <c r="AF79" i="12" s="1"/>
  <c r="AJ110" i="12" a="1"/>
  <c r="AJ110" i="12" s="1"/>
  <c r="AB93" i="12" a="1"/>
  <c r="AB93" i="12" s="1"/>
  <c r="AF55" i="12" a="1"/>
  <c r="AF55" i="12" s="1"/>
  <c r="AJ18" i="12" a="1"/>
  <c r="AJ18" i="12" s="1"/>
  <c r="AB81" i="12" a="1"/>
  <c r="AB81" i="12" s="1"/>
  <c r="AF53" i="12" a="1"/>
  <c r="AF53" i="12" s="1"/>
  <c r="AJ98" i="12" a="1"/>
  <c r="AJ98" i="12" s="1"/>
  <c r="AB67" i="12" a="1"/>
  <c r="AB67" i="12" s="1"/>
  <c r="AF89" i="12" a="1"/>
  <c r="AF89" i="12" s="1"/>
  <c r="AJ5" i="12" a="1"/>
  <c r="AJ5" i="12" s="1"/>
  <c r="AB16" i="12" a="1"/>
  <c r="AB16" i="12" s="1"/>
  <c r="AF69" i="12" a="1"/>
  <c r="AF69" i="12" s="1"/>
  <c r="AD105" i="12" a="1"/>
  <c r="AD105" i="12" s="1"/>
  <c r="AH112" i="12" a="1"/>
  <c r="AH112" i="12" s="1"/>
  <c r="AH42" i="12" a="1"/>
  <c r="AH42" i="12" s="1"/>
  <c r="AC83" i="12" a="1"/>
  <c r="AC83" i="12" s="1"/>
  <c r="AG78" i="12" a="1"/>
  <c r="AG78" i="12" s="1"/>
  <c r="AK92" i="12" a="1"/>
  <c r="AK92" i="12" s="1"/>
  <c r="AC79" i="12" a="1"/>
  <c r="AC79" i="12" s="1"/>
  <c r="AG110" i="12" a="1"/>
  <c r="AG110" i="12" s="1"/>
  <c r="AK62" i="12" a="1"/>
  <c r="AK62" i="12" s="1"/>
  <c r="AC55" i="12" a="1"/>
  <c r="AC55" i="12" s="1"/>
  <c r="AG18" i="12" a="1"/>
  <c r="AG18" i="12" s="1"/>
  <c r="AK61" i="12" a="1"/>
  <c r="AK61" i="12" s="1"/>
  <c r="AH83" i="12" a="1"/>
  <c r="AH83" i="12" s="1"/>
  <c r="AD81" i="12" a="1"/>
  <c r="AD81" i="12" s="1"/>
  <c r="AH89" i="12" a="1"/>
  <c r="AH89" i="12" s="1"/>
  <c r="AD16" i="12" a="1"/>
  <c r="AD16" i="12" s="1"/>
  <c r="AF88" i="12" a="1"/>
  <c r="AF88" i="12" s="1"/>
  <c r="AJ96" i="12" a="1"/>
  <c r="AJ96" i="12" s="1"/>
  <c r="AB99" i="12" a="1"/>
  <c r="AB99" i="12" s="1"/>
  <c r="AF68" i="12" a="1"/>
  <c r="AF68" i="12" s="1"/>
  <c r="AJ64" i="12" a="1"/>
  <c r="AJ64" i="12" s="1"/>
  <c r="AB60" i="12" a="1"/>
  <c r="AB60" i="12" s="1"/>
  <c r="AF41" i="12" a="1"/>
  <c r="AF41" i="12" s="1"/>
  <c r="AJ40" i="12" a="1"/>
  <c r="AJ40" i="12" s="1"/>
  <c r="AB111" i="12" a="1"/>
  <c r="AB111" i="12" s="1"/>
  <c r="AF24" i="12" a="1"/>
  <c r="AF24" i="12" s="1"/>
  <c r="AJ23" i="12" a="1"/>
  <c r="AJ23" i="12" s="1"/>
  <c r="AB21" i="12" a="1"/>
  <c r="AB21" i="12" s="1"/>
  <c r="AF20" i="12" a="1"/>
  <c r="AF20" i="12" s="1"/>
  <c r="AJ19" i="12" a="1"/>
  <c r="AJ19" i="12" s="1"/>
  <c r="AA114" i="12" a="1"/>
  <c r="AA114" i="12" s="1"/>
  <c r="AE38" i="12" a="1"/>
  <c r="AE38" i="12" s="1"/>
  <c r="AD30" i="12" a="1"/>
  <c r="AD30" i="12" s="1"/>
  <c r="AD62" i="12" a="1"/>
  <c r="AD62" i="12" s="1"/>
  <c r="AG81" i="12" a="1"/>
  <c r="AG81" i="12" s="1"/>
  <c r="AC100" i="12" a="1"/>
  <c r="AC100" i="12" s="1"/>
  <c r="AK89" i="12" a="1"/>
  <c r="AK89" i="12" s="1"/>
  <c r="AG16" i="12" a="1"/>
  <c r="AG16" i="12" s="1"/>
  <c r="AG88" i="12" a="1"/>
  <c r="AG88" i="12" s="1"/>
  <c r="AK96" i="12" a="1"/>
  <c r="AK96" i="12" s="1"/>
  <c r="AC99" i="12" a="1"/>
  <c r="AC99" i="12" s="1"/>
  <c r="AG68" i="12" a="1"/>
  <c r="AG68" i="12" s="1"/>
  <c r="AK64" i="12" a="1"/>
  <c r="AK64" i="12" s="1"/>
  <c r="AC60" i="12" a="1"/>
  <c r="AC60" i="12" s="1"/>
  <c r="AG41" i="12" a="1"/>
  <c r="AG41" i="12" s="1"/>
  <c r="AK40" i="12" a="1"/>
  <c r="AK40" i="12" s="1"/>
  <c r="AC111" i="12" a="1"/>
  <c r="AC111" i="12" s="1"/>
  <c r="AG24" i="12" a="1"/>
  <c r="AG24" i="12" s="1"/>
  <c r="AK23" i="12" a="1"/>
  <c r="AK23" i="12" s="1"/>
  <c r="AC21" i="12" a="1"/>
  <c r="AC21" i="12" s="1"/>
  <c r="AG20" i="12" a="1"/>
  <c r="AG20" i="12" s="1"/>
  <c r="AK19" i="12" a="1"/>
  <c r="AK19" i="12" s="1"/>
  <c r="AD59" i="12" a="1"/>
  <c r="AD59" i="12" s="1"/>
  <c r="AK80" i="12" a="1"/>
  <c r="AK80" i="12" s="1"/>
  <c r="AD110" i="12" a="1"/>
  <c r="AD110" i="12" s="1"/>
  <c r="AH61" i="12" a="1"/>
  <c r="AH61" i="12" s="1"/>
  <c r="AH98" i="12" a="1"/>
  <c r="AH98" i="12" s="1"/>
  <c r="AD89" i="12" a="1"/>
  <c r="AD89" i="12" s="1"/>
  <c r="AD88" i="12" a="1"/>
  <c r="AD88" i="12" s="1"/>
  <c r="AH96" i="12" a="1"/>
  <c r="AH96" i="12" s="1"/>
  <c r="AD68" i="12" a="1"/>
  <c r="AD68" i="12" s="1"/>
  <c r="AH64" i="12" a="1"/>
  <c r="AH64" i="12" s="1"/>
  <c r="AD41" i="12" a="1"/>
  <c r="AD41" i="12" s="1"/>
  <c r="AH40" i="12" a="1"/>
  <c r="AH40" i="12" s="1"/>
  <c r="AD24" i="12" a="1"/>
  <c r="AD24" i="12" s="1"/>
  <c r="AH23" i="12" a="1"/>
  <c r="AH23" i="12" s="1"/>
  <c r="AD20" i="12" a="1"/>
  <c r="AD20" i="12" s="1"/>
  <c r="AH19" i="12" a="1"/>
  <c r="AH19" i="12" s="1"/>
  <c r="AD63" i="12" a="1"/>
  <c r="AD63" i="12" s="1"/>
  <c r="AC98" i="12" a="1"/>
  <c r="AC98" i="12" s="1"/>
  <c r="AE96" i="12" a="1"/>
  <c r="AE96" i="12" s="1"/>
  <c r="AI115" i="12" a="1"/>
  <c r="AI115" i="12" s="1"/>
  <c r="AA24" i="12" a="1"/>
  <c r="AA24" i="12" s="1"/>
  <c r="AE19" i="12" a="1"/>
  <c r="AE19" i="12" s="1"/>
  <c r="AB38" i="12" a="1"/>
  <c r="AB38" i="12" s="1"/>
  <c r="AH37" i="12" a="1"/>
  <c r="AH37" i="12" s="1"/>
  <c r="AD34" i="12" a="1"/>
  <c r="AD34" i="12" s="1"/>
  <c r="AH33" i="12" a="1"/>
  <c r="AH33" i="12" s="1"/>
  <c r="AD13" i="12" a="1"/>
  <c r="AD13" i="12" s="1"/>
  <c r="AH8" i="12" a="1"/>
  <c r="AH8" i="12" s="1"/>
  <c r="AD27" i="12" a="1"/>
  <c r="AD27" i="12" s="1"/>
  <c r="AH4" i="12" a="1"/>
  <c r="AH4" i="12" s="1"/>
  <c r="AD25" i="12" a="1"/>
  <c r="AD25" i="12" s="1"/>
  <c r="AH120" i="12" a="1"/>
  <c r="AH120" i="12" s="1"/>
  <c r="Z75" i="12" a="1"/>
  <c r="Z75" i="12" s="1"/>
  <c r="AK35" i="12" a="1"/>
  <c r="AK35" i="12" s="1"/>
  <c r="AC8" i="12" a="1"/>
  <c r="AC8" i="12" s="1"/>
  <c r="AG26" i="12" a="1"/>
  <c r="AG26" i="12" s="1"/>
  <c r="Z124" i="12" a="1"/>
  <c r="Z124" i="12" s="1"/>
  <c r="AE88" i="12" a="1"/>
  <c r="AE88" i="12" s="1"/>
  <c r="AI64" i="12" a="1"/>
  <c r="AI64" i="12" s="1"/>
  <c r="AA111" i="12" a="1"/>
  <c r="AA111" i="12" s="1"/>
  <c r="AE20" i="12" a="1"/>
  <c r="AE20" i="12" s="1"/>
  <c r="AJ114" i="12" a="1"/>
  <c r="AJ114" i="12" s="1"/>
  <c r="AE37" i="12" a="1"/>
  <c r="AE37" i="12" s="1"/>
  <c r="AI36" i="12" a="1"/>
  <c r="AI36" i="12" s="1"/>
  <c r="AA34" i="12" a="1"/>
  <c r="AA34" i="12" s="1"/>
  <c r="AE33" i="12" a="1"/>
  <c r="AE33" i="12" s="1"/>
  <c r="AI32" i="12" a="1"/>
  <c r="AI32" i="12" s="1"/>
  <c r="AA13" i="12" a="1"/>
  <c r="AA13" i="12" s="1"/>
  <c r="AE8" i="12" a="1"/>
  <c r="AE8" i="12" s="1"/>
  <c r="AI29" i="12" a="1"/>
  <c r="AI29" i="12" s="1"/>
  <c r="AA27" i="12" a="1"/>
  <c r="AA27" i="12" s="1"/>
  <c r="AE4" i="12" a="1"/>
  <c r="AE4" i="12" s="1"/>
  <c r="AI26" i="12" a="1"/>
  <c r="AI26" i="12" s="1"/>
  <c r="AG36" i="12" a="1"/>
  <c r="AG36" i="12" s="1"/>
  <c r="AE21" i="12" a="1"/>
  <c r="AE21" i="12" s="1"/>
  <c r="AJ35" i="12" a="1"/>
  <c r="AJ35" i="12" s="1"/>
  <c r="AB8" i="12" a="1"/>
  <c r="AB8" i="12" s="1"/>
  <c r="AJ27" i="12" a="1"/>
  <c r="AJ27" i="12" s="1"/>
  <c r="AB119" i="12" a="1"/>
  <c r="AB119" i="12" s="1"/>
  <c r="AJ25" i="12" a="1"/>
  <c r="AJ25" i="12" s="1"/>
  <c r="Z7" i="12" a="1"/>
  <c r="Z7" i="12" s="1"/>
  <c r="Z88" i="12" a="1"/>
  <c r="Z88" i="12" s="1"/>
  <c r="AC67" i="12" a="1"/>
  <c r="AC67" i="12" s="1"/>
  <c r="AI60" i="12" a="1"/>
  <c r="AI60" i="12" s="1"/>
  <c r="AB114" i="12" a="1"/>
  <c r="AB114" i="12" s="1"/>
  <c r="AK36" i="12" a="1"/>
  <c r="AK36" i="12" s="1"/>
  <c r="AC13" i="12" a="1"/>
  <c r="AC13" i="12" s="1"/>
  <c r="AG4" i="12" a="1"/>
  <c r="AG4" i="12" s="1"/>
  <c r="AC35" i="12" a="1"/>
  <c r="AC35" i="12" s="1"/>
  <c r="AG13" i="12" a="1"/>
  <c r="AG13" i="12" s="1"/>
  <c r="AK4" i="12" a="1"/>
  <c r="AK4" i="12" s="1"/>
  <c r="AA25" i="12" a="1"/>
  <c r="AA25" i="12" s="1"/>
  <c r="AG53" i="12" a="1"/>
  <c r="AG53" i="12" s="1"/>
  <c r="AG9" i="12" a="1"/>
  <c r="AG9" i="12" s="1"/>
  <c r="AK16" i="12" a="1"/>
  <c r="AK16" i="12" s="1"/>
  <c r="AF114" i="12" a="1"/>
  <c r="AF114" i="12" s="1"/>
  <c r="AB33" i="12" a="1"/>
  <c r="AB33" i="12" s="1"/>
  <c r="AF29" i="12" a="1"/>
  <c r="AF29" i="12" s="1"/>
  <c r="AB4" i="12" a="1"/>
  <c r="AB4" i="12" s="1"/>
  <c r="AF119" i="12" a="1"/>
  <c r="AF119" i="12" s="1"/>
  <c r="AB120" i="12" a="1"/>
  <c r="AB120" i="12" s="1"/>
  <c r="Z71" i="12" a="1"/>
  <c r="Z71" i="12" s="1"/>
  <c r="Z74" i="12" a="1"/>
  <c r="Z74" i="12" s="1"/>
  <c r="AG69" i="12" a="1"/>
  <c r="AG69" i="12" s="1"/>
  <c r="AE31" i="12" a="1"/>
  <c r="AE31" i="12" s="1"/>
  <c r="AF38" i="12" a="1"/>
  <c r="AF38" i="12" s="1"/>
  <c r="AC34" i="12" a="1"/>
  <c r="AC34" i="12" s="1"/>
  <c r="AG8" i="12" a="1"/>
  <c r="AG8" i="12" s="1"/>
  <c r="AK26" i="12" a="1"/>
  <c r="AK26" i="12" s="1"/>
  <c r="AE39" i="12" a="1"/>
  <c r="AE39" i="12" s="1"/>
  <c r="AG34" i="12" a="1"/>
  <c r="AG34" i="12" s="1"/>
  <c r="AK8" i="12" a="1"/>
  <c r="AK8" i="12" s="1"/>
  <c r="AC119" i="12" a="1"/>
  <c r="AC119" i="12" s="1"/>
  <c r="AE120" i="12" a="1"/>
  <c r="AE120" i="12" s="1"/>
  <c r="AE115" i="12" a="1"/>
  <c r="AE115" i="12" s="1"/>
  <c r="AK27" i="12" a="1"/>
  <c r="AK27" i="12" s="1"/>
  <c r="AI68" i="12" a="1"/>
  <c r="AI68" i="12" s="1"/>
  <c r="AB37" i="12" a="1"/>
  <c r="AB37" i="12" s="1"/>
  <c r="AF32" i="12" a="1"/>
  <c r="AF32" i="12" s="1"/>
  <c r="AF28" i="12" a="1"/>
  <c r="AF28" i="12" s="1"/>
  <c r="AB26" i="12" a="1"/>
  <c r="AB26" i="12" s="1"/>
  <c r="AJ119" i="12" a="1"/>
  <c r="AJ119" i="12" s="1"/>
  <c r="AF120" i="12" a="1"/>
  <c r="AF120" i="12" s="1"/>
  <c r="Z105" i="12" a="1"/>
  <c r="Z105" i="12" s="1"/>
  <c r="Z98" i="12" a="1"/>
  <c r="Z98" i="12" s="1"/>
  <c r="AE51" i="12" a="1"/>
  <c r="AE51" i="12" s="1"/>
  <c r="AA23" i="12" a="1"/>
  <c r="AA23" i="12" s="1"/>
  <c r="AC37" i="12" a="1"/>
  <c r="AC37" i="12" s="1"/>
  <c r="AG33" i="12" a="1"/>
  <c r="AG33" i="12" s="1"/>
  <c r="AK29" i="12" a="1"/>
  <c r="AK29" i="12" s="1"/>
  <c r="AC25" i="12" a="1"/>
  <c r="AC25" i="12" s="1"/>
  <c r="AK33" i="12" a="1"/>
  <c r="AK33" i="12" s="1"/>
  <c r="AC28" i="12" a="1"/>
  <c r="AC28" i="12" s="1"/>
  <c r="AG25" i="12" a="1"/>
  <c r="AG25" i="12" s="1"/>
  <c r="AA19" i="12" a="1"/>
  <c r="AA19" i="12" s="1"/>
  <c r="Z77" i="12" a="1"/>
  <c r="Z77" i="12" s="1"/>
  <c r="AA31" i="12" a="1"/>
  <c r="AA31" i="12" s="1"/>
  <c r="AF36" i="12" a="1"/>
  <c r="AF36" i="12" s="1"/>
  <c r="AJ9" i="12" a="1"/>
  <c r="AJ9" i="12" s="1"/>
  <c r="AJ28" i="12" a="1"/>
  <c r="AJ28" i="12" s="1"/>
  <c r="AF26" i="12" a="1"/>
  <c r="AF26" i="12" s="1"/>
  <c r="AF25" i="12" a="1"/>
  <c r="AF25" i="12" s="1"/>
  <c r="AJ120" i="12" a="1"/>
  <c r="AJ120" i="12" s="1"/>
  <c r="Z30" i="12" a="1"/>
  <c r="Z30" i="12" s="1"/>
  <c r="Z5" i="12" a="1"/>
  <c r="Z5" i="12" s="1"/>
  <c r="AD55" i="12" a="1"/>
  <c r="AD55" i="12" s="1"/>
  <c r="AA64" i="12" a="1"/>
  <c r="AA64" i="12" s="1"/>
  <c r="AI21" i="12" a="1"/>
  <c r="AI21" i="12" s="1"/>
  <c r="AK37" i="12" a="1"/>
  <c r="AK37" i="12" s="1"/>
  <c r="AK32" i="12" a="1"/>
  <c r="AK32" i="12" s="1"/>
  <c r="AC27" i="12" a="1"/>
  <c r="AC27" i="12" s="1"/>
  <c r="AG120" i="12" a="1"/>
  <c r="AG120" i="12" s="1"/>
  <c r="AC36" i="12" a="1"/>
  <c r="AC36" i="12" s="1"/>
  <c r="AC9" i="12" a="1"/>
  <c r="AC9" i="12" s="1"/>
  <c r="AG27" i="12" a="1"/>
  <c r="AG27" i="12" s="1"/>
  <c r="AK120" i="12" a="1"/>
  <c r="AK120" i="12" s="1"/>
  <c r="N120" i="12" a="1"/>
  <c r="N120" i="12" s="1"/>
  <c r="N40" i="12" a="1"/>
  <c r="N40" i="12" s="1"/>
  <c r="N21" i="12" a="1"/>
  <c r="N21" i="12" s="1"/>
  <c r="N35" i="12" a="1"/>
  <c r="N35" i="12" s="1"/>
  <c r="N28" i="12" a="1"/>
  <c r="N28" i="12" s="1"/>
  <c r="N12" i="12" a="1"/>
  <c r="N12" i="12" s="1"/>
  <c r="N36" i="12" a="1"/>
  <c r="N36" i="12" s="1"/>
  <c r="N29" i="12" a="1"/>
  <c r="N29" i="12" s="1"/>
  <c r="N31" i="12" a="1"/>
  <c r="N31" i="12" s="1"/>
  <c r="N111" i="12" a="1"/>
  <c r="N111" i="12" s="1"/>
  <c r="N19" i="12" a="1"/>
  <c r="N19" i="12" s="1"/>
  <c r="N33" i="12" a="1"/>
  <c r="N33" i="12" s="1"/>
  <c r="N4" i="12" a="1"/>
  <c r="N4" i="12" s="1"/>
  <c r="N20" i="12" a="1"/>
  <c r="N20" i="12" s="1"/>
  <c r="N34" i="12" a="1"/>
  <c r="N34" i="12" s="1"/>
  <c r="N27" i="12" a="1"/>
  <c r="N27" i="12" s="1"/>
  <c r="N41" i="12" a="1"/>
  <c r="N41" i="12" s="1"/>
  <c r="N114" i="12" a="1"/>
  <c r="N114" i="12" s="1"/>
  <c r="N9" i="12" a="1"/>
  <c r="N9" i="12" s="1"/>
  <c r="N119" i="12" a="1"/>
  <c r="N119" i="12" s="1"/>
  <c r="N39" i="12" a="1"/>
  <c r="N39" i="12" s="1"/>
  <c r="N32" i="12" a="1"/>
  <c r="N32" i="12" s="1"/>
  <c r="N26" i="12" a="1"/>
  <c r="N26" i="12" s="1"/>
  <c r="N23" i="12" a="1"/>
  <c r="N23" i="12" s="1"/>
  <c r="N37" i="12" a="1"/>
  <c r="N37" i="12" s="1"/>
  <c r="N8" i="12" a="1"/>
  <c r="N8" i="12" s="1"/>
  <c r="N24" i="12" a="1"/>
  <c r="N24" i="12" s="1"/>
  <c r="N38" i="12" a="1"/>
  <c r="N38" i="12" s="1"/>
  <c r="N13" i="12" a="1"/>
  <c r="N13" i="12" s="1"/>
  <c r="N25" i="12" a="1"/>
  <c r="N25" i="12" s="1"/>
  <c r="N60" i="12" a="1"/>
  <c r="N60" i="12" s="1"/>
  <c r="N115" i="12" a="1"/>
  <c r="N115" i="12" s="1"/>
  <c r="O64" i="12" a="1"/>
  <c r="O64" i="12" s="1"/>
  <c r="P64" i="12" a="1"/>
  <c r="P64" i="12" s="1"/>
  <c r="Q64" i="12" a="1"/>
  <c r="Q64" i="12" s="1"/>
  <c r="R64" i="12" a="1"/>
  <c r="R64" i="12" s="1"/>
  <c r="S64" i="12" a="1"/>
  <c r="S64" i="12" s="1"/>
  <c r="T64" i="12" a="1"/>
  <c r="T64" i="12" s="1"/>
  <c r="U64" i="12" a="1"/>
  <c r="U64" i="12" s="1"/>
  <c r="V64" i="12" a="1"/>
  <c r="V64" i="12" s="1"/>
  <c r="W64" i="12" a="1"/>
  <c r="W64" i="12" s="1"/>
  <c r="X64" i="12" a="1"/>
  <c r="X64" i="12" s="1"/>
  <c r="Y64" i="12" a="1"/>
  <c r="Y64" i="12" s="1"/>
  <c r="N64" i="12" a="1"/>
  <c r="N64" i="12" s="1"/>
  <c r="E2" i="15"/>
  <c r="E3" i="15"/>
  <c r="E4" i="15"/>
  <c r="E5" i="15"/>
  <c r="E6" i="15"/>
  <c r="E7" i="15"/>
  <c r="E8" i="15"/>
  <c r="E9" i="15"/>
  <c r="E11" i="15"/>
  <c r="E12" i="15"/>
  <c r="E19" i="15"/>
  <c r="E20" i="15"/>
  <c r="E23" i="15"/>
  <c r="E24" i="15"/>
  <c r="E25" i="15"/>
  <c r="E26" i="15"/>
  <c r="E27" i="15"/>
  <c r="E28" i="15"/>
  <c r="E30" i="15"/>
  <c r="E31" i="15"/>
  <c r="E32" i="15"/>
  <c r="E33" i="15"/>
  <c r="E34" i="15"/>
  <c r="E35" i="15"/>
  <c r="E36" i="15"/>
  <c r="E37" i="15"/>
  <c r="E38" i="15"/>
  <c r="E39" i="15"/>
  <c r="E42" i="15"/>
  <c r="E43" i="15"/>
  <c r="E45" i="15"/>
  <c r="E46" i="15"/>
  <c r="E47" i="15"/>
  <c r="E48" i="15"/>
  <c r="R124" i="12" a="1"/>
  <c r="R124" i="12" s="1"/>
  <c r="Y68" i="12" a="1"/>
  <c r="Y68" i="12" s="1"/>
  <c r="X68" i="12" a="1"/>
  <c r="X68" i="12" s="1"/>
  <c r="W68" i="12" a="1"/>
  <c r="W68" i="12" s="1"/>
  <c r="V68" i="12" a="1"/>
  <c r="V68" i="12" s="1"/>
  <c r="U68" i="12" a="1"/>
  <c r="U68" i="12" s="1"/>
  <c r="T68" i="12" a="1"/>
  <c r="T68" i="12" s="1"/>
  <c r="S68" i="12" a="1"/>
  <c r="S68" i="12" s="1"/>
  <c r="R68" i="12" a="1"/>
  <c r="R68" i="12" s="1"/>
  <c r="Q68" i="12" a="1"/>
  <c r="Q68" i="12" s="1"/>
  <c r="P68" i="12" a="1"/>
  <c r="P68" i="12" s="1"/>
  <c r="O68" i="12" a="1"/>
  <c r="O68" i="12" s="1"/>
  <c r="Y99" i="12" a="1"/>
  <c r="Y99" i="12" s="1"/>
  <c r="X99" i="12" a="1"/>
  <c r="X99" i="12" s="1"/>
  <c r="W99" i="12" a="1"/>
  <c r="W99" i="12" s="1"/>
  <c r="V99" i="12" a="1"/>
  <c r="V99" i="12" s="1"/>
  <c r="U99" i="12" a="1"/>
  <c r="U99" i="12" s="1"/>
  <c r="T99" i="12" a="1"/>
  <c r="T99" i="12" s="1"/>
  <c r="S99" i="12" a="1"/>
  <c r="S99" i="12" s="1"/>
  <c r="R99" i="12" a="1"/>
  <c r="R99" i="12" s="1"/>
  <c r="Q99" i="12" a="1"/>
  <c r="Q99" i="12" s="1"/>
  <c r="P99" i="12" a="1"/>
  <c r="P99" i="12" s="1"/>
  <c r="O99" i="12" a="1"/>
  <c r="O99" i="12" s="1"/>
  <c r="N99" i="12" a="1"/>
  <c r="N99" i="12" s="1"/>
  <c r="N68" i="12" a="1"/>
  <c r="N68" i="12" s="1"/>
  <c r="S73" i="12" a="1"/>
  <c r="S73" i="12" s="1"/>
  <c r="R70" i="12" a="1"/>
  <c r="R70" i="12" s="1"/>
  <c r="N51" i="12" a="1"/>
  <c r="N51" i="12" s="1"/>
  <c r="O7" i="12" a="1"/>
  <c r="O7" i="12" s="1"/>
  <c r="S7" i="12" a="1"/>
  <c r="S7" i="12" s="1"/>
  <c r="W7" i="12" a="1"/>
  <c r="W7" i="12" s="1"/>
  <c r="O97" i="12" a="1"/>
  <c r="O97" i="12" s="1"/>
  <c r="S97" i="12" a="1"/>
  <c r="S97" i="12" s="1"/>
  <c r="W97" i="12" a="1"/>
  <c r="W97" i="12" s="1"/>
  <c r="O123" i="12" a="1"/>
  <c r="O123" i="12" s="1"/>
  <c r="S123" i="12" a="1"/>
  <c r="S123" i="12" s="1"/>
  <c r="W123" i="12" a="1"/>
  <c r="W123" i="12" s="1"/>
  <c r="O63" i="12" a="1"/>
  <c r="O63" i="12" s="1"/>
  <c r="S63" i="12" a="1"/>
  <c r="S63" i="12" s="1"/>
  <c r="W63" i="12" a="1"/>
  <c r="W63" i="12" s="1"/>
  <c r="O71" i="12" a="1"/>
  <c r="O71" i="12" s="1"/>
  <c r="S71" i="12" a="1"/>
  <c r="S71" i="12" s="1"/>
  <c r="W71" i="12" a="1"/>
  <c r="W71" i="12" s="1"/>
  <c r="O77" i="12" a="1"/>
  <c r="O77" i="12" s="1"/>
  <c r="W77" i="12" a="1"/>
  <c r="W77" i="12" s="1"/>
  <c r="O101" i="12" a="1"/>
  <c r="O101" i="12" s="1"/>
  <c r="W101" i="12" a="1"/>
  <c r="W101" i="12" s="1"/>
  <c r="O59" i="12" a="1"/>
  <c r="O59" i="12" s="1"/>
  <c r="W59" i="12" a="1"/>
  <c r="W59" i="12" s="1"/>
  <c r="O105" i="12" a="1"/>
  <c r="O105" i="12" s="1"/>
  <c r="S105" i="12" a="1"/>
  <c r="S105" i="12" s="1"/>
  <c r="W105" i="12" a="1"/>
  <c r="W105" i="12" s="1"/>
  <c r="O95" i="12" a="1"/>
  <c r="O95" i="12" s="1"/>
  <c r="S95" i="12" a="1"/>
  <c r="S95" i="12" s="1"/>
  <c r="W95" i="12" a="1"/>
  <c r="W95" i="12" s="1"/>
  <c r="O75" i="12" a="1"/>
  <c r="O75" i="12" s="1"/>
  <c r="S75" i="12" a="1"/>
  <c r="S75" i="12" s="1"/>
  <c r="W75" i="12" a="1"/>
  <c r="W75" i="12" s="1"/>
  <c r="O30" i="12" a="1"/>
  <c r="O30" i="12" s="1"/>
  <c r="S30" i="12" a="1"/>
  <c r="S30" i="12" s="1"/>
  <c r="W30" i="12" a="1"/>
  <c r="W30" i="12" s="1"/>
  <c r="O94" i="12" a="1"/>
  <c r="O94" i="12" s="1"/>
  <c r="W94" i="12" a="1"/>
  <c r="W94" i="12" s="1"/>
  <c r="O112" i="12" a="1"/>
  <c r="O112" i="12" s="1"/>
  <c r="S112" i="12" a="1"/>
  <c r="S112" i="12" s="1"/>
  <c r="W112" i="12" a="1"/>
  <c r="W112" i="12" s="1"/>
  <c r="O85" i="12" a="1"/>
  <c r="O85" i="12" s="1"/>
  <c r="S85" i="12" a="1"/>
  <c r="S85" i="12" s="1"/>
  <c r="W85" i="12" a="1"/>
  <c r="W85" i="12" s="1"/>
  <c r="O54" i="12" a="1"/>
  <c r="O54" i="12" s="1"/>
  <c r="W54" i="12" a="1"/>
  <c r="W54" i="12" s="1"/>
  <c r="O124" i="12" a="1"/>
  <c r="O124" i="12" s="1"/>
  <c r="S124" i="12" a="1"/>
  <c r="S124" i="12" s="1"/>
  <c r="W124" i="12" a="1"/>
  <c r="W124" i="12" s="1"/>
  <c r="O76" i="12" a="1"/>
  <c r="O76" i="12" s="1"/>
  <c r="S76" i="12" a="1"/>
  <c r="S76" i="12" s="1"/>
  <c r="W76" i="12" a="1"/>
  <c r="W76" i="12" s="1"/>
  <c r="O73" i="12" a="1"/>
  <c r="O73" i="12" s="1"/>
  <c r="W73" i="12" a="1"/>
  <c r="W73" i="12" s="1"/>
  <c r="O74" i="12" a="1"/>
  <c r="O74" i="12" s="1"/>
  <c r="S74" i="12" a="1"/>
  <c r="S74" i="12" s="1"/>
  <c r="W74" i="12" a="1"/>
  <c r="W74" i="12" s="1"/>
  <c r="O87" i="12" a="1"/>
  <c r="O87" i="12" s="1"/>
  <c r="S87" i="12" a="1"/>
  <c r="S87" i="12" s="1"/>
  <c r="W87" i="12" a="1"/>
  <c r="W87" i="12" s="1"/>
  <c r="O86" i="12" a="1"/>
  <c r="O86" i="12" s="1"/>
  <c r="S86" i="12" a="1"/>
  <c r="S86" i="12" s="1"/>
  <c r="W86" i="12" a="1"/>
  <c r="W86" i="12" s="1"/>
  <c r="O72" i="12" a="1"/>
  <c r="O72" i="12" s="1"/>
  <c r="S72" i="12" a="1"/>
  <c r="S72" i="12" s="1"/>
  <c r="W72" i="12" a="1"/>
  <c r="W72" i="12" s="1"/>
  <c r="O42" i="12" a="1"/>
  <c r="O42" i="12" s="1"/>
  <c r="S42" i="12" a="1"/>
  <c r="S42" i="12" s="1"/>
  <c r="W42" i="12" a="1"/>
  <c r="W42" i="12" s="1"/>
  <c r="O58" i="12" a="1"/>
  <c r="O58" i="12" s="1"/>
  <c r="W58" i="12" a="1"/>
  <c r="W58" i="12" s="1"/>
  <c r="O80" i="12" a="1"/>
  <c r="O80" i="12" s="1"/>
  <c r="S80" i="12" a="1"/>
  <c r="S80" i="12" s="1"/>
  <c r="W80" i="12" a="1"/>
  <c r="W80" i="12" s="1"/>
  <c r="O83" i="12" a="1"/>
  <c r="O83" i="12" s="1"/>
  <c r="W83" i="12" a="1"/>
  <c r="W83" i="12" s="1"/>
  <c r="O78" i="12" a="1"/>
  <c r="O78" i="12" s="1"/>
  <c r="S78" i="12" a="1"/>
  <c r="S78" i="12" s="1"/>
  <c r="W78" i="12" a="1"/>
  <c r="W78" i="12" s="1"/>
  <c r="P7" i="12" a="1"/>
  <c r="P7" i="12" s="1"/>
  <c r="T7" i="12" a="1"/>
  <c r="T7" i="12" s="1"/>
  <c r="X7" i="12" a="1"/>
  <c r="X7" i="12" s="1"/>
  <c r="P97" i="12" a="1"/>
  <c r="P97" i="12" s="1"/>
  <c r="T97" i="12" a="1"/>
  <c r="T97" i="12" s="1"/>
  <c r="X97" i="12" a="1"/>
  <c r="X97" i="12" s="1"/>
  <c r="P123" i="12" a="1"/>
  <c r="P123" i="12" s="1"/>
  <c r="T123" i="12" a="1"/>
  <c r="T123" i="12" s="1"/>
  <c r="X123" i="12" a="1"/>
  <c r="X123" i="12" s="1"/>
  <c r="P63" i="12" a="1"/>
  <c r="P63" i="12" s="1"/>
  <c r="T63" i="12" a="1"/>
  <c r="T63" i="12" s="1"/>
  <c r="X63" i="12" a="1"/>
  <c r="X63" i="12" s="1"/>
  <c r="P71" i="12" a="1"/>
  <c r="P71" i="12" s="1"/>
  <c r="T71" i="12" a="1"/>
  <c r="T71" i="12" s="1"/>
  <c r="X71" i="12" a="1"/>
  <c r="X71" i="12" s="1"/>
  <c r="P77" i="12" a="1"/>
  <c r="P77" i="12" s="1"/>
  <c r="T77" i="12" a="1"/>
  <c r="T77" i="12" s="1"/>
  <c r="X77" i="12" a="1"/>
  <c r="X77" i="12" s="1"/>
  <c r="P101" i="12" a="1"/>
  <c r="P101" i="12" s="1"/>
  <c r="T101" i="12" a="1"/>
  <c r="T101" i="12" s="1"/>
  <c r="X101" i="12" a="1"/>
  <c r="X101" i="12" s="1"/>
  <c r="P59" i="12" a="1"/>
  <c r="P59" i="12" s="1"/>
  <c r="T59" i="12" a="1"/>
  <c r="T59" i="12" s="1"/>
  <c r="X59" i="12" a="1"/>
  <c r="X59" i="12" s="1"/>
  <c r="P105" i="12" a="1"/>
  <c r="P105" i="12" s="1"/>
  <c r="T105" i="12" a="1"/>
  <c r="T105" i="12" s="1"/>
  <c r="X105" i="12" a="1"/>
  <c r="X105" i="12" s="1"/>
  <c r="P95" i="12" a="1"/>
  <c r="P95" i="12" s="1"/>
  <c r="T95" i="12" a="1"/>
  <c r="T95" i="12" s="1"/>
  <c r="X95" i="12" a="1"/>
  <c r="X95" i="12" s="1"/>
  <c r="P75" i="12" a="1"/>
  <c r="P75" i="12" s="1"/>
  <c r="T75" i="12" a="1"/>
  <c r="T75" i="12" s="1"/>
  <c r="X75" i="12" a="1"/>
  <c r="X75" i="12" s="1"/>
  <c r="P30" i="12" a="1"/>
  <c r="P30" i="12" s="1"/>
  <c r="T30" i="12" a="1"/>
  <c r="T30" i="12" s="1"/>
  <c r="X30" i="12" a="1"/>
  <c r="X30" i="12" s="1"/>
  <c r="P94" i="12" a="1"/>
  <c r="P94" i="12" s="1"/>
  <c r="T94" i="12" a="1"/>
  <c r="T94" i="12" s="1"/>
  <c r="X94" i="12" a="1"/>
  <c r="X94" i="12" s="1"/>
  <c r="P112" i="12" a="1"/>
  <c r="P112" i="12" s="1"/>
  <c r="T112" i="12" a="1"/>
  <c r="T112" i="12" s="1"/>
  <c r="X112" i="12" a="1"/>
  <c r="X112" i="12" s="1"/>
  <c r="P85" i="12" a="1"/>
  <c r="P85" i="12" s="1"/>
  <c r="T85" i="12" a="1"/>
  <c r="T85" i="12" s="1"/>
  <c r="X85" i="12" a="1"/>
  <c r="X85" i="12" s="1"/>
  <c r="P54" i="12" a="1"/>
  <c r="P54" i="12" s="1"/>
  <c r="T54" i="12" a="1"/>
  <c r="T54" i="12" s="1"/>
  <c r="X54" i="12" a="1"/>
  <c r="X54" i="12" s="1"/>
  <c r="P124" i="12" a="1"/>
  <c r="P124" i="12" s="1"/>
  <c r="T124" i="12" a="1"/>
  <c r="T124" i="12" s="1"/>
  <c r="X124" i="12" a="1"/>
  <c r="X124" i="12" s="1"/>
  <c r="P76" i="12" a="1"/>
  <c r="P76" i="12" s="1"/>
  <c r="T76" i="12" a="1"/>
  <c r="T76" i="12" s="1"/>
  <c r="X76" i="12" a="1"/>
  <c r="X76" i="12" s="1"/>
  <c r="P73" i="12" a="1"/>
  <c r="P73" i="12" s="1"/>
  <c r="T73" i="12" a="1"/>
  <c r="T73" i="12" s="1"/>
  <c r="X73" i="12" a="1"/>
  <c r="X73" i="12" s="1"/>
  <c r="P74" i="12" a="1"/>
  <c r="P74" i="12" s="1"/>
  <c r="T74" i="12" a="1"/>
  <c r="T74" i="12" s="1"/>
  <c r="X74" i="12" a="1"/>
  <c r="X74" i="12" s="1"/>
  <c r="P87" i="12" a="1"/>
  <c r="P87" i="12" s="1"/>
  <c r="T87" i="12" a="1"/>
  <c r="T87" i="12" s="1"/>
  <c r="X87" i="12" a="1"/>
  <c r="X87" i="12" s="1"/>
  <c r="P86" i="12" a="1"/>
  <c r="P86" i="12" s="1"/>
  <c r="T86" i="12" a="1"/>
  <c r="T86" i="12" s="1"/>
  <c r="X86" i="12" a="1"/>
  <c r="X86" i="12" s="1"/>
  <c r="P72" i="12" a="1"/>
  <c r="P72" i="12" s="1"/>
  <c r="T72" i="12" a="1"/>
  <c r="T72" i="12" s="1"/>
  <c r="X72" i="12" a="1"/>
  <c r="X72" i="12" s="1"/>
  <c r="P42" i="12" a="1"/>
  <c r="P42" i="12" s="1"/>
  <c r="T42" i="12" a="1"/>
  <c r="T42" i="12" s="1"/>
  <c r="X42" i="12" a="1"/>
  <c r="X42" i="12" s="1"/>
  <c r="P58" i="12" a="1"/>
  <c r="P58" i="12" s="1"/>
  <c r="T58" i="12" a="1"/>
  <c r="T58" i="12" s="1"/>
  <c r="X58" i="12" a="1"/>
  <c r="X58" i="12" s="1"/>
  <c r="P80" i="12" a="1"/>
  <c r="P80" i="12" s="1"/>
  <c r="T80" i="12" a="1"/>
  <c r="T80" i="12" s="1"/>
  <c r="X80" i="12" a="1"/>
  <c r="X80" i="12" s="1"/>
  <c r="P83" i="12" a="1"/>
  <c r="P83" i="12" s="1"/>
  <c r="T83" i="12" a="1"/>
  <c r="T83" i="12" s="1"/>
  <c r="X83" i="12" a="1"/>
  <c r="X83" i="12" s="1"/>
  <c r="P78" i="12" a="1"/>
  <c r="P78" i="12" s="1"/>
  <c r="T78" i="12" a="1"/>
  <c r="T78" i="12" s="1"/>
  <c r="X78" i="12" a="1"/>
  <c r="X78" i="12" s="1"/>
  <c r="P92" i="12" a="1"/>
  <c r="P92" i="12" s="1"/>
  <c r="Q7" i="12" a="1"/>
  <c r="Q7" i="12" s="1"/>
  <c r="U7" i="12" a="1"/>
  <c r="U7" i="12" s="1"/>
  <c r="Y7" i="12" a="1"/>
  <c r="Y7" i="12" s="1"/>
  <c r="Q97" i="12" a="1"/>
  <c r="Q97" i="12" s="1"/>
  <c r="U97" i="12" a="1"/>
  <c r="U97" i="12" s="1"/>
  <c r="Y97" i="12" a="1"/>
  <c r="Y97" i="12" s="1"/>
  <c r="Q123" i="12" a="1"/>
  <c r="Q123" i="12" s="1"/>
  <c r="U123" i="12" a="1"/>
  <c r="U123" i="12" s="1"/>
  <c r="Y123" i="12" a="1"/>
  <c r="Y123" i="12" s="1"/>
  <c r="Q63" i="12" a="1"/>
  <c r="Q63" i="12" s="1"/>
  <c r="U63" i="12" a="1"/>
  <c r="U63" i="12" s="1"/>
  <c r="Y63" i="12" a="1"/>
  <c r="Y63" i="12" s="1"/>
  <c r="Q71" i="12" a="1"/>
  <c r="Q71" i="12" s="1"/>
  <c r="U71" i="12" a="1"/>
  <c r="U71" i="12" s="1"/>
  <c r="Y71" i="12" a="1"/>
  <c r="Y71" i="12" s="1"/>
  <c r="Q77" i="12" a="1"/>
  <c r="Q77" i="12" s="1"/>
  <c r="U77" i="12" a="1"/>
  <c r="U77" i="12" s="1"/>
  <c r="Y77" i="12" a="1"/>
  <c r="Y77" i="12" s="1"/>
  <c r="Q101" i="12" a="1"/>
  <c r="Q101" i="12" s="1"/>
  <c r="U101" i="12" a="1"/>
  <c r="U101" i="12" s="1"/>
  <c r="Y101" i="12" a="1"/>
  <c r="Y101" i="12" s="1"/>
  <c r="Q59" i="12" a="1"/>
  <c r="Q59" i="12" s="1"/>
  <c r="U59" i="12" a="1"/>
  <c r="U59" i="12" s="1"/>
  <c r="Y59" i="12" a="1"/>
  <c r="Y59" i="12" s="1"/>
  <c r="Q105" i="12" a="1"/>
  <c r="Q105" i="12" s="1"/>
  <c r="U105" i="12" a="1"/>
  <c r="U105" i="12" s="1"/>
  <c r="Y105" i="12" a="1"/>
  <c r="Y105" i="12" s="1"/>
  <c r="Q95" i="12" a="1"/>
  <c r="Q95" i="12" s="1"/>
  <c r="U95" i="12" a="1"/>
  <c r="U95" i="12" s="1"/>
  <c r="Y95" i="12" a="1"/>
  <c r="Y95" i="12" s="1"/>
  <c r="Q75" i="12" a="1"/>
  <c r="Q75" i="12" s="1"/>
  <c r="U75" i="12" a="1"/>
  <c r="U75" i="12" s="1"/>
  <c r="Y75" i="12" a="1"/>
  <c r="Y75" i="12" s="1"/>
  <c r="Q30" i="12" a="1"/>
  <c r="Q30" i="12" s="1"/>
  <c r="U30" i="12" a="1"/>
  <c r="U30" i="12" s="1"/>
  <c r="Y30" i="12" a="1"/>
  <c r="Y30" i="12" s="1"/>
  <c r="Q94" i="12" a="1"/>
  <c r="Q94" i="12" s="1"/>
  <c r="U94" i="12" a="1"/>
  <c r="U94" i="12" s="1"/>
  <c r="Y94" i="12" a="1"/>
  <c r="Y94" i="12" s="1"/>
  <c r="Q112" i="12" a="1"/>
  <c r="Q112" i="12" s="1"/>
  <c r="U112" i="12" a="1"/>
  <c r="U112" i="12" s="1"/>
  <c r="Y112" i="12" a="1"/>
  <c r="Y112" i="12" s="1"/>
  <c r="Q85" i="12" a="1"/>
  <c r="Q85" i="12" s="1"/>
  <c r="U85" i="12" a="1"/>
  <c r="U85" i="12" s="1"/>
  <c r="Y85" i="12" a="1"/>
  <c r="Y85" i="12" s="1"/>
  <c r="Q54" i="12" a="1"/>
  <c r="Q54" i="12" s="1"/>
  <c r="U54" i="12" a="1"/>
  <c r="U54" i="12" s="1"/>
  <c r="Y54" i="12" a="1"/>
  <c r="Y54" i="12" s="1"/>
  <c r="Q124" i="12" a="1"/>
  <c r="Q124" i="12" s="1"/>
  <c r="U124" i="12" a="1"/>
  <c r="U124" i="12" s="1"/>
  <c r="Y124" i="12" a="1"/>
  <c r="Y124" i="12" s="1"/>
  <c r="Q76" i="12" a="1"/>
  <c r="Q76" i="12" s="1"/>
  <c r="U76" i="12" a="1"/>
  <c r="U76" i="12" s="1"/>
  <c r="Y76" i="12" a="1"/>
  <c r="Y76" i="12" s="1"/>
  <c r="Q73" i="12" a="1"/>
  <c r="Q73" i="12" s="1"/>
  <c r="U73" i="12" a="1"/>
  <c r="U73" i="12" s="1"/>
  <c r="Y73" i="12" a="1"/>
  <c r="Y73" i="12" s="1"/>
  <c r="Q74" i="12" a="1"/>
  <c r="Q74" i="12" s="1"/>
  <c r="U74" i="12" a="1"/>
  <c r="U74" i="12" s="1"/>
  <c r="Y74" i="12" a="1"/>
  <c r="Y74" i="12" s="1"/>
  <c r="Q87" i="12" a="1"/>
  <c r="Q87" i="12" s="1"/>
  <c r="U87" i="12" a="1"/>
  <c r="U87" i="12" s="1"/>
  <c r="Y87" i="12" a="1"/>
  <c r="Y87" i="12" s="1"/>
  <c r="Q86" i="12" a="1"/>
  <c r="Q86" i="12" s="1"/>
  <c r="U86" i="12" a="1"/>
  <c r="U86" i="12" s="1"/>
  <c r="Y86" i="12" a="1"/>
  <c r="Y86" i="12" s="1"/>
  <c r="Q72" i="12" a="1"/>
  <c r="Q72" i="12" s="1"/>
  <c r="U72" i="12" a="1"/>
  <c r="U72" i="12" s="1"/>
  <c r="Y72" i="12" a="1"/>
  <c r="Y72" i="12" s="1"/>
  <c r="Q42" i="12" a="1"/>
  <c r="Q42" i="12" s="1"/>
  <c r="U42" i="12" a="1"/>
  <c r="U42" i="12" s="1"/>
  <c r="Y42" i="12" a="1"/>
  <c r="Y42" i="12" s="1"/>
  <c r="Q58" i="12" a="1"/>
  <c r="Q58" i="12" s="1"/>
  <c r="U58" i="12" a="1"/>
  <c r="U58" i="12" s="1"/>
  <c r="Y58" i="12" a="1"/>
  <c r="Y58" i="12" s="1"/>
  <c r="Q80" i="12" a="1"/>
  <c r="Q80" i="12" s="1"/>
  <c r="U80" i="12" a="1"/>
  <c r="U80" i="12" s="1"/>
  <c r="R7" i="12" a="1"/>
  <c r="R7" i="12" s="1"/>
  <c r="V7" i="12" a="1"/>
  <c r="V7" i="12" s="1"/>
  <c r="R97" i="12" a="1"/>
  <c r="R97" i="12" s="1"/>
  <c r="V97" i="12" a="1"/>
  <c r="V97" i="12" s="1"/>
  <c r="R123" i="12" a="1"/>
  <c r="R123" i="12" s="1"/>
  <c r="V123" i="12" a="1"/>
  <c r="V123" i="12" s="1"/>
  <c r="R63" i="12" a="1"/>
  <c r="R63" i="12" s="1"/>
  <c r="V63" i="12" a="1"/>
  <c r="V63" i="12" s="1"/>
  <c r="R71" i="12" a="1"/>
  <c r="R71" i="12" s="1"/>
  <c r="V71" i="12" a="1"/>
  <c r="V71" i="12" s="1"/>
  <c r="R77" i="12" a="1"/>
  <c r="R77" i="12" s="1"/>
  <c r="V77" i="12" a="1"/>
  <c r="V77" i="12" s="1"/>
  <c r="R101" i="12" a="1"/>
  <c r="R101" i="12" s="1"/>
  <c r="V101" i="12" a="1"/>
  <c r="V101" i="12" s="1"/>
  <c r="R59" i="12" a="1"/>
  <c r="R59" i="12" s="1"/>
  <c r="V59" i="12" a="1"/>
  <c r="V59" i="12" s="1"/>
  <c r="R105" i="12" a="1"/>
  <c r="R105" i="12" s="1"/>
  <c r="V105" i="12" a="1"/>
  <c r="V105" i="12" s="1"/>
  <c r="R95" i="12" a="1"/>
  <c r="R95" i="12" s="1"/>
  <c r="V95" i="12" a="1"/>
  <c r="V95" i="12" s="1"/>
  <c r="R75" i="12" a="1"/>
  <c r="R75" i="12" s="1"/>
  <c r="V75" i="12" a="1"/>
  <c r="V75" i="12" s="1"/>
  <c r="R30" i="12" a="1"/>
  <c r="R30" i="12" s="1"/>
  <c r="V30" i="12" a="1"/>
  <c r="V30" i="12" s="1"/>
  <c r="R94" i="12" a="1"/>
  <c r="R94" i="12" s="1"/>
  <c r="V94" i="12" a="1"/>
  <c r="V94" i="12" s="1"/>
  <c r="R112" i="12" a="1"/>
  <c r="R112" i="12" s="1"/>
  <c r="V112" i="12" a="1"/>
  <c r="V112" i="12" s="1"/>
  <c r="R85" i="12" a="1"/>
  <c r="R85" i="12" s="1"/>
  <c r="V85" i="12" a="1"/>
  <c r="V85" i="12" s="1"/>
  <c r="R54" i="12" a="1"/>
  <c r="R54" i="12" s="1"/>
  <c r="V54" i="12" a="1"/>
  <c r="V54" i="12" s="1"/>
  <c r="V124" i="12" a="1"/>
  <c r="V124" i="12" s="1"/>
  <c r="R76" i="12" a="1"/>
  <c r="R76" i="12" s="1"/>
  <c r="V76" i="12" a="1"/>
  <c r="V76" i="12" s="1"/>
  <c r="R73" i="12" a="1"/>
  <c r="R73" i="12" s="1"/>
  <c r="V73" i="12" a="1"/>
  <c r="V73" i="12" s="1"/>
  <c r="R74" i="12" a="1"/>
  <c r="R74" i="12" s="1"/>
  <c r="V74" i="12" a="1"/>
  <c r="V74" i="12" s="1"/>
  <c r="R87" i="12" a="1"/>
  <c r="R87" i="12" s="1"/>
  <c r="V87" i="12" a="1"/>
  <c r="V87" i="12" s="1"/>
  <c r="R86" i="12" a="1"/>
  <c r="R86" i="12" s="1"/>
  <c r="V86" i="12" a="1"/>
  <c r="V86" i="12" s="1"/>
  <c r="R72" i="12" a="1"/>
  <c r="R72" i="12" s="1"/>
  <c r="V72" i="12" a="1"/>
  <c r="V72" i="12" s="1"/>
  <c r="V42" i="12" a="1"/>
  <c r="V42" i="12" s="1"/>
  <c r="V83" i="12" a="1"/>
  <c r="V83" i="12" s="1"/>
  <c r="R78" i="12" a="1"/>
  <c r="R78" i="12" s="1"/>
  <c r="W92" i="12" a="1"/>
  <c r="W92" i="12" s="1"/>
  <c r="O70" i="12" a="1"/>
  <c r="O70" i="12" s="1"/>
  <c r="W70" i="12" a="1"/>
  <c r="W70" i="12" s="1"/>
  <c r="O79" i="12" a="1"/>
  <c r="O79" i="12" s="1"/>
  <c r="S79" i="12" a="1"/>
  <c r="S79" i="12" s="1"/>
  <c r="W79" i="12" a="1"/>
  <c r="W79" i="12" s="1"/>
  <c r="O110" i="12" a="1"/>
  <c r="O110" i="12" s="1"/>
  <c r="S110" i="12" a="1"/>
  <c r="S110" i="12" s="1"/>
  <c r="W110" i="12" a="1"/>
  <c r="W110" i="12" s="1"/>
  <c r="O62" i="12" a="1"/>
  <c r="O62" i="12" s="1"/>
  <c r="S62" i="12" a="1"/>
  <c r="S62" i="12" s="1"/>
  <c r="W62" i="12" a="1"/>
  <c r="W62" i="12" s="1"/>
  <c r="O93" i="12" a="1"/>
  <c r="O93" i="12" s="1"/>
  <c r="S93" i="12" a="1"/>
  <c r="S93" i="12" s="1"/>
  <c r="W93" i="12" a="1"/>
  <c r="W93" i="12" s="1"/>
  <c r="O55" i="12" a="1"/>
  <c r="O55" i="12" s="1"/>
  <c r="S55" i="12" a="1"/>
  <c r="S55" i="12" s="1"/>
  <c r="W55" i="12" a="1"/>
  <c r="W55" i="12" s="1"/>
  <c r="O18" i="12" a="1"/>
  <c r="O18" i="12" s="1"/>
  <c r="S18" i="12" a="1"/>
  <c r="S18" i="12" s="1"/>
  <c r="W18" i="12" a="1"/>
  <c r="W18" i="12" s="1"/>
  <c r="O61" i="12" a="1"/>
  <c r="O61" i="12" s="1"/>
  <c r="S61" i="12" a="1"/>
  <c r="S61" i="12" s="1"/>
  <c r="W61" i="12" a="1"/>
  <c r="W61" i="12" s="1"/>
  <c r="O81" i="12" a="1"/>
  <c r="O81" i="12" s="1"/>
  <c r="S81" i="12" a="1"/>
  <c r="S81" i="12" s="1"/>
  <c r="W81" i="12" a="1"/>
  <c r="W81" i="12" s="1"/>
  <c r="O53" i="12" a="1"/>
  <c r="O53" i="12" s="1"/>
  <c r="S53" i="12" a="1"/>
  <c r="S53" i="12" s="1"/>
  <c r="W53" i="12" a="1"/>
  <c r="W53" i="12" s="1"/>
  <c r="O98" i="12" a="1"/>
  <c r="O98" i="12" s="1"/>
  <c r="S98" i="12" a="1"/>
  <c r="S98" i="12" s="1"/>
  <c r="W98" i="12" a="1"/>
  <c r="W98" i="12" s="1"/>
  <c r="O100" i="12" a="1"/>
  <c r="O100" i="12" s="1"/>
  <c r="S100" i="12" a="1"/>
  <c r="S100" i="12" s="1"/>
  <c r="W100" i="12" a="1"/>
  <c r="W100" i="12" s="1"/>
  <c r="O67" i="12" a="1"/>
  <c r="O67" i="12" s="1"/>
  <c r="S67" i="12" a="1"/>
  <c r="S67" i="12" s="1"/>
  <c r="W67" i="12" a="1"/>
  <c r="W67" i="12" s="1"/>
  <c r="O89" i="12" a="1"/>
  <c r="O89" i="12" s="1"/>
  <c r="S89" i="12" a="1"/>
  <c r="S89" i="12" s="1"/>
  <c r="W89" i="12" a="1"/>
  <c r="W89" i="12" s="1"/>
  <c r="O5" i="12" a="1"/>
  <c r="O5" i="12" s="1"/>
  <c r="S5" i="12" a="1"/>
  <c r="S5" i="12" s="1"/>
  <c r="W5" i="12" a="1"/>
  <c r="W5" i="12" s="1"/>
  <c r="O57" i="12" a="1"/>
  <c r="O57" i="12" s="1"/>
  <c r="S57" i="12" a="1"/>
  <c r="S57" i="12" s="1"/>
  <c r="W57" i="12" a="1"/>
  <c r="W57" i="12" s="1"/>
  <c r="O16" i="12" a="1"/>
  <c r="O16" i="12" s="1"/>
  <c r="S16" i="12" a="1"/>
  <c r="S16" i="12" s="1"/>
  <c r="W16" i="12" a="1"/>
  <c r="W16" i="12" s="1"/>
  <c r="O69" i="12" a="1"/>
  <c r="O69" i="12" s="1"/>
  <c r="S69" i="12" a="1"/>
  <c r="S69" i="12" s="1"/>
  <c r="W69" i="12" a="1"/>
  <c r="W69" i="12" s="1"/>
  <c r="O88" i="12" a="1"/>
  <c r="O88" i="12" s="1"/>
  <c r="S88" i="12" a="1"/>
  <c r="S88" i="12" s="1"/>
  <c r="W88" i="12" a="1"/>
  <c r="W88" i="12" s="1"/>
  <c r="O96" i="12" a="1"/>
  <c r="O96" i="12" s="1"/>
  <c r="S96" i="12" a="1"/>
  <c r="S96" i="12" s="1"/>
  <c r="W96" i="12" a="1"/>
  <c r="W96" i="12" s="1"/>
  <c r="O51" i="12" a="1"/>
  <c r="O51" i="12" s="1"/>
  <c r="S51" i="12" a="1"/>
  <c r="S51" i="12" s="1"/>
  <c r="W51" i="12" a="1"/>
  <c r="W51" i="12" s="1"/>
  <c r="T104" i="12" a="1"/>
  <c r="T104" i="12" s="1"/>
  <c r="X104" i="12" a="1"/>
  <c r="X104" i="12" s="1"/>
  <c r="P104" i="12" a="1"/>
  <c r="P104" i="12" s="1"/>
  <c r="R109" i="12" a="1"/>
  <c r="R109" i="12" s="1"/>
  <c r="V109" i="12" a="1"/>
  <c r="V109" i="12" s="1"/>
  <c r="X96" i="12" a="1"/>
  <c r="X96" i="12" s="1"/>
  <c r="X51" i="12" a="1"/>
  <c r="X51" i="12" s="1"/>
  <c r="Q104" i="12" a="1"/>
  <c r="Q104" i="12" s="1"/>
  <c r="P109" i="12" a="1"/>
  <c r="P109" i="12" s="1"/>
  <c r="Y88" i="12" a="1"/>
  <c r="Y88" i="12" s="1"/>
  <c r="U96" i="12" a="1"/>
  <c r="U96" i="12" s="1"/>
  <c r="U51" i="12" a="1"/>
  <c r="U51" i="12" s="1"/>
  <c r="O104" i="12" a="1"/>
  <c r="O104" i="12" s="1"/>
  <c r="R80" i="12" a="1"/>
  <c r="R80" i="12" s="1"/>
  <c r="Q83" i="12" a="1"/>
  <c r="Q83" i="12" s="1"/>
  <c r="Y83" i="12" a="1"/>
  <c r="Y83" i="12" s="1"/>
  <c r="U78" i="12" a="1"/>
  <c r="U78" i="12" s="1"/>
  <c r="O92" i="12" a="1"/>
  <c r="O92" i="12" s="1"/>
  <c r="T92" i="12" a="1"/>
  <c r="T92" i="12" s="1"/>
  <c r="X92" i="12" a="1"/>
  <c r="X92" i="12" s="1"/>
  <c r="P70" i="12" a="1"/>
  <c r="P70" i="12" s="1"/>
  <c r="T70" i="12" a="1"/>
  <c r="T70" i="12" s="1"/>
  <c r="X70" i="12" a="1"/>
  <c r="X70" i="12" s="1"/>
  <c r="P79" i="12" a="1"/>
  <c r="P79" i="12" s="1"/>
  <c r="T79" i="12" a="1"/>
  <c r="T79" i="12" s="1"/>
  <c r="X79" i="12" a="1"/>
  <c r="X79" i="12" s="1"/>
  <c r="P110" i="12" a="1"/>
  <c r="P110" i="12" s="1"/>
  <c r="T110" i="12" a="1"/>
  <c r="T110" i="12" s="1"/>
  <c r="X110" i="12" a="1"/>
  <c r="X110" i="12" s="1"/>
  <c r="P62" i="12" a="1"/>
  <c r="P62" i="12" s="1"/>
  <c r="T62" i="12" a="1"/>
  <c r="T62" i="12" s="1"/>
  <c r="X62" i="12" a="1"/>
  <c r="X62" i="12" s="1"/>
  <c r="P93" i="12" a="1"/>
  <c r="P93" i="12" s="1"/>
  <c r="T93" i="12" a="1"/>
  <c r="T93" i="12" s="1"/>
  <c r="X93" i="12" a="1"/>
  <c r="X93" i="12" s="1"/>
  <c r="P55" i="12" a="1"/>
  <c r="P55" i="12" s="1"/>
  <c r="T55" i="12" a="1"/>
  <c r="T55" i="12" s="1"/>
  <c r="X55" i="12" a="1"/>
  <c r="X55" i="12" s="1"/>
  <c r="P18" i="12" a="1"/>
  <c r="P18" i="12" s="1"/>
  <c r="T18" i="12" a="1"/>
  <c r="T18" i="12" s="1"/>
  <c r="X18" i="12" a="1"/>
  <c r="X18" i="12" s="1"/>
  <c r="P61" i="12" a="1"/>
  <c r="P61" i="12" s="1"/>
  <c r="T61" i="12" a="1"/>
  <c r="T61" i="12" s="1"/>
  <c r="X61" i="12" a="1"/>
  <c r="X61" i="12" s="1"/>
  <c r="P81" i="12" a="1"/>
  <c r="P81" i="12" s="1"/>
  <c r="T81" i="12" a="1"/>
  <c r="T81" i="12" s="1"/>
  <c r="X81" i="12" a="1"/>
  <c r="X81" i="12" s="1"/>
  <c r="P53" i="12" a="1"/>
  <c r="P53" i="12" s="1"/>
  <c r="T53" i="12" a="1"/>
  <c r="T53" i="12" s="1"/>
  <c r="X53" i="12" a="1"/>
  <c r="X53" i="12" s="1"/>
  <c r="P98" i="12" a="1"/>
  <c r="P98" i="12" s="1"/>
  <c r="T98" i="12" a="1"/>
  <c r="T98" i="12" s="1"/>
  <c r="X98" i="12" a="1"/>
  <c r="X98" i="12" s="1"/>
  <c r="P100" i="12" a="1"/>
  <c r="P100" i="12" s="1"/>
  <c r="T100" i="12" a="1"/>
  <c r="T100" i="12" s="1"/>
  <c r="X100" i="12" a="1"/>
  <c r="X100" i="12" s="1"/>
  <c r="P67" i="12" a="1"/>
  <c r="P67" i="12" s="1"/>
  <c r="T67" i="12" a="1"/>
  <c r="T67" i="12" s="1"/>
  <c r="X67" i="12" a="1"/>
  <c r="X67" i="12" s="1"/>
  <c r="P89" i="12" a="1"/>
  <c r="P89" i="12" s="1"/>
  <c r="T89" i="12" a="1"/>
  <c r="T89" i="12" s="1"/>
  <c r="X89" i="12" a="1"/>
  <c r="X89" i="12" s="1"/>
  <c r="P5" i="12" a="1"/>
  <c r="P5" i="12" s="1"/>
  <c r="T5" i="12" a="1"/>
  <c r="T5" i="12" s="1"/>
  <c r="X5" i="12" a="1"/>
  <c r="X5" i="12" s="1"/>
  <c r="P57" i="12" a="1"/>
  <c r="P57" i="12" s="1"/>
  <c r="T57" i="12" a="1"/>
  <c r="T57" i="12" s="1"/>
  <c r="X57" i="12" a="1"/>
  <c r="X57" i="12" s="1"/>
  <c r="P16" i="12" a="1"/>
  <c r="P16" i="12" s="1"/>
  <c r="T16" i="12" a="1"/>
  <c r="T16" i="12" s="1"/>
  <c r="X16" i="12" a="1"/>
  <c r="X16" i="12" s="1"/>
  <c r="P69" i="12" a="1"/>
  <c r="P69" i="12" s="1"/>
  <c r="T69" i="12" a="1"/>
  <c r="T69" i="12" s="1"/>
  <c r="X69" i="12" a="1"/>
  <c r="X69" i="12" s="1"/>
  <c r="P88" i="12" a="1"/>
  <c r="P88" i="12" s="1"/>
  <c r="T88" i="12" a="1"/>
  <c r="T88" i="12" s="1"/>
  <c r="X88" i="12" a="1"/>
  <c r="X88" i="12" s="1"/>
  <c r="P96" i="12" a="1"/>
  <c r="P96" i="12" s="1"/>
  <c r="T96" i="12" a="1"/>
  <c r="T96" i="12" s="1"/>
  <c r="T51" i="12" a="1"/>
  <c r="T51" i="12" s="1"/>
  <c r="Y104" i="12" a="1"/>
  <c r="Y104" i="12" s="1"/>
  <c r="W109" i="12" a="1"/>
  <c r="W109" i="12" s="1"/>
  <c r="Q96" i="12" a="1"/>
  <c r="Q96" i="12" s="1"/>
  <c r="Q51" i="12" a="1"/>
  <c r="Q51" i="12" s="1"/>
  <c r="V104" i="12" a="1"/>
  <c r="V104" i="12" s="1"/>
  <c r="X109" i="12" a="1"/>
  <c r="X109" i="12" s="1"/>
  <c r="V80" i="12" a="1"/>
  <c r="V80" i="12" s="1"/>
  <c r="R83" i="12" a="1"/>
  <c r="R83" i="12" s="1"/>
  <c r="V78" i="12" a="1"/>
  <c r="V78" i="12" s="1"/>
  <c r="Q92" i="12" a="1"/>
  <c r="Q92" i="12" s="1"/>
  <c r="U92" i="12" a="1"/>
  <c r="U92" i="12" s="1"/>
  <c r="Y92" i="12" a="1"/>
  <c r="Y92" i="12" s="1"/>
  <c r="Q70" i="12" a="1"/>
  <c r="Q70" i="12" s="1"/>
  <c r="U70" i="12" a="1"/>
  <c r="U70" i="12" s="1"/>
  <c r="Y70" i="12" a="1"/>
  <c r="Y70" i="12" s="1"/>
  <c r="Q79" i="12" a="1"/>
  <c r="Q79" i="12" s="1"/>
  <c r="U79" i="12" a="1"/>
  <c r="U79" i="12" s="1"/>
  <c r="Y79" i="12" a="1"/>
  <c r="Y79" i="12" s="1"/>
  <c r="Q110" i="12" a="1"/>
  <c r="Q110" i="12" s="1"/>
  <c r="U110" i="12" a="1"/>
  <c r="U110" i="12" s="1"/>
  <c r="Y110" i="12" a="1"/>
  <c r="Y110" i="12" s="1"/>
  <c r="Q62" i="12" a="1"/>
  <c r="Q62" i="12" s="1"/>
  <c r="U62" i="12" a="1"/>
  <c r="U62" i="12" s="1"/>
  <c r="Y62" i="12" a="1"/>
  <c r="Y62" i="12" s="1"/>
  <c r="Q93" i="12" a="1"/>
  <c r="Q93" i="12" s="1"/>
  <c r="U93" i="12" a="1"/>
  <c r="U93" i="12" s="1"/>
  <c r="Y93" i="12" a="1"/>
  <c r="Y93" i="12" s="1"/>
  <c r="Q55" i="12" a="1"/>
  <c r="Q55" i="12" s="1"/>
  <c r="U55" i="12" a="1"/>
  <c r="U55" i="12" s="1"/>
  <c r="Y55" i="12" a="1"/>
  <c r="Y55" i="12" s="1"/>
  <c r="Q18" i="12" a="1"/>
  <c r="Q18" i="12" s="1"/>
  <c r="U18" i="12" a="1"/>
  <c r="U18" i="12" s="1"/>
  <c r="Y18" i="12" a="1"/>
  <c r="Y18" i="12" s="1"/>
  <c r="Q61" i="12" a="1"/>
  <c r="Q61" i="12" s="1"/>
  <c r="U61" i="12" a="1"/>
  <c r="U61" i="12" s="1"/>
  <c r="Y61" i="12" a="1"/>
  <c r="Y61" i="12" s="1"/>
  <c r="Q81" i="12" a="1"/>
  <c r="Q81" i="12" s="1"/>
  <c r="U81" i="12" a="1"/>
  <c r="U81" i="12" s="1"/>
  <c r="Y81" i="12" a="1"/>
  <c r="Y81" i="12" s="1"/>
  <c r="Q53" i="12" a="1"/>
  <c r="Q53" i="12" s="1"/>
  <c r="U53" i="12" a="1"/>
  <c r="U53" i="12" s="1"/>
  <c r="Y53" i="12" a="1"/>
  <c r="Y53" i="12" s="1"/>
  <c r="Q98" i="12" a="1"/>
  <c r="Q98" i="12" s="1"/>
  <c r="U98" i="12" a="1"/>
  <c r="U98" i="12" s="1"/>
  <c r="Y98" i="12" a="1"/>
  <c r="Y98" i="12" s="1"/>
  <c r="Q100" i="12" a="1"/>
  <c r="Q100" i="12" s="1"/>
  <c r="U100" i="12" a="1"/>
  <c r="U100" i="12" s="1"/>
  <c r="Y100" i="12" a="1"/>
  <c r="Y100" i="12" s="1"/>
  <c r="Q67" i="12" a="1"/>
  <c r="Q67" i="12" s="1"/>
  <c r="U67" i="12" a="1"/>
  <c r="U67" i="12" s="1"/>
  <c r="Y67" i="12" a="1"/>
  <c r="Y67" i="12" s="1"/>
  <c r="Q89" i="12" a="1"/>
  <c r="Q89" i="12" s="1"/>
  <c r="U89" i="12" a="1"/>
  <c r="U89" i="12" s="1"/>
  <c r="Y89" i="12" a="1"/>
  <c r="Y89" i="12" s="1"/>
  <c r="Q5" i="12" a="1"/>
  <c r="Q5" i="12" s="1"/>
  <c r="U5" i="12" a="1"/>
  <c r="U5" i="12" s="1"/>
  <c r="Y5" i="12" a="1"/>
  <c r="Y5" i="12" s="1"/>
  <c r="Q57" i="12" a="1"/>
  <c r="Q57" i="12" s="1"/>
  <c r="U57" i="12" a="1"/>
  <c r="U57" i="12" s="1"/>
  <c r="Y57" i="12" a="1"/>
  <c r="Y57" i="12" s="1"/>
  <c r="Q16" i="12" a="1"/>
  <c r="Q16" i="12" s="1"/>
  <c r="U16" i="12" a="1"/>
  <c r="U16" i="12" s="1"/>
  <c r="Y16" i="12" a="1"/>
  <c r="Y16" i="12" s="1"/>
  <c r="Q69" i="12" a="1"/>
  <c r="Q69" i="12" s="1"/>
  <c r="U69" i="12" a="1"/>
  <c r="U69" i="12" s="1"/>
  <c r="Y69" i="12" a="1"/>
  <c r="Y69" i="12" s="1"/>
  <c r="Q88" i="12" a="1"/>
  <c r="Q88" i="12" s="1"/>
  <c r="R104" i="12" a="1"/>
  <c r="R104" i="12" s="1"/>
  <c r="R42" i="12" a="1"/>
  <c r="R42" i="12" s="1"/>
  <c r="V58" i="12" a="1"/>
  <c r="V58" i="12" s="1"/>
  <c r="Y80" i="12" a="1"/>
  <c r="Y80" i="12" s="1"/>
  <c r="U83" i="12" a="1"/>
  <c r="U83" i="12" s="1"/>
  <c r="Q78" i="12" a="1"/>
  <c r="Q78" i="12" s="1"/>
  <c r="Y78" i="12" a="1"/>
  <c r="Y78" i="12" s="1"/>
  <c r="R92" i="12" a="1"/>
  <c r="R92" i="12" s="1"/>
  <c r="V92" i="12" a="1"/>
  <c r="V92" i="12" s="1"/>
  <c r="V70" i="12" a="1"/>
  <c r="V70" i="12" s="1"/>
  <c r="R79" i="12" a="1"/>
  <c r="R79" i="12" s="1"/>
  <c r="V79" i="12" a="1"/>
  <c r="V79" i="12" s="1"/>
  <c r="R110" i="12" a="1"/>
  <c r="R110" i="12" s="1"/>
  <c r="V110" i="12" a="1"/>
  <c r="V110" i="12" s="1"/>
  <c r="R62" i="12" a="1"/>
  <c r="R62" i="12" s="1"/>
  <c r="V62" i="12" a="1"/>
  <c r="V62" i="12" s="1"/>
  <c r="R93" i="12" a="1"/>
  <c r="R93" i="12" s="1"/>
  <c r="V93" i="12" a="1"/>
  <c r="V93" i="12" s="1"/>
  <c r="R55" i="12" a="1"/>
  <c r="R55" i="12" s="1"/>
  <c r="V55" i="12" a="1"/>
  <c r="V55" i="12" s="1"/>
  <c r="R18" i="12" a="1"/>
  <c r="R18" i="12" s="1"/>
  <c r="V18" i="12" a="1"/>
  <c r="V18" i="12" s="1"/>
  <c r="R61" i="12" a="1"/>
  <c r="R61" i="12" s="1"/>
  <c r="V61" i="12" a="1"/>
  <c r="V61" i="12" s="1"/>
  <c r="R81" i="12" a="1"/>
  <c r="R81" i="12" s="1"/>
  <c r="V81" i="12" a="1"/>
  <c r="V81" i="12" s="1"/>
  <c r="R53" i="12" a="1"/>
  <c r="R53" i="12" s="1"/>
  <c r="V53" i="12" a="1"/>
  <c r="V53" i="12" s="1"/>
  <c r="R98" i="12" a="1"/>
  <c r="R98" i="12" s="1"/>
  <c r="V98" i="12" a="1"/>
  <c r="V98" i="12" s="1"/>
  <c r="R100" i="12" a="1"/>
  <c r="R100" i="12" s="1"/>
  <c r="V100" i="12" a="1"/>
  <c r="V100" i="12" s="1"/>
  <c r="R67" i="12" a="1"/>
  <c r="R67" i="12" s="1"/>
  <c r="V67" i="12" a="1"/>
  <c r="V67" i="12" s="1"/>
  <c r="R89" i="12" a="1"/>
  <c r="R89" i="12" s="1"/>
  <c r="V89" i="12" a="1"/>
  <c r="V89" i="12" s="1"/>
  <c r="R5" i="12" a="1"/>
  <c r="R5" i="12" s="1"/>
  <c r="V5" i="12" a="1"/>
  <c r="V5" i="12" s="1"/>
  <c r="R57" i="12" a="1"/>
  <c r="R57" i="12" s="1"/>
  <c r="V57" i="12" a="1"/>
  <c r="V57" i="12" s="1"/>
  <c r="R16" i="12" a="1"/>
  <c r="R16" i="12" s="1"/>
  <c r="V16" i="12" a="1"/>
  <c r="V16" i="12" s="1"/>
  <c r="R69" i="12" a="1"/>
  <c r="R69" i="12" s="1"/>
  <c r="V69" i="12" a="1"/>
  <c r="V69" i="12" s="1"/>
  <c r="R88" i="12" a="1"/>
  <c r="R88" i="12" s="1"/>
  <c r="V88" i="12" a="1"/>
  <c r="V88" i="12" s="1"/>
  <c r="R96" i="12" a="1"/>
  <c r="R96" i="12" s="1"/>
  <c r="V96" i="12" a="1"/>
  <c r="V96" i="12" s="1"/>
  <c r="R51" i="12" a="1"/>
  <c r="R51" i="12" s="1"/>
  <c r="V51" i="12" a="1"/>
  <c r="V51" i="12" s="1"/>
  <c r="W104" i="12" a="1"/>
  <c r="W104" i="12" s="1"/>
  <c r="S104" i="12" a="1"/>
  <c r="S104" i="12" s="1"/>
  <c r="Q109" i="12" a="1"/>
  <c r="Q109" i="12" s="1"/>
  <c r="U109" i="12" a="1"/>
  <c r="U109" i="12" s="1"/>
  <c r="Y109" i="12" a="1"/>
  <c r="Y109" i="12" s="1"/>
  <c r="O109" i="12" a="1"/>
  <c r="O109" i="12" s="1"/>
  <c r="P51" i="12" a="1"/>
  <c r="P51" i="12" s="1"/>
  <c r="U104" i="12" a="1"/>
  <c r="U104" i="12" s="1"/>
  <c r="S109" i="12" a="1"/>
  <c r="S109" i="12" s="1"/>
  <c r="U88" i="12" a="1"/>
  <c r="U88" i="12" s="1"/>
  <c r="Y96" i="12" a="1"/>
  <c r="Y96" i="12" s="1"/>
  <c r="Y51" i="12" a="1"/>
  <c r="Y51" i="12" s="1"/>
  <c r="T109" i="12" a="1"/>
  <c r="T109" i="12" s="1"/>
  <c r="S54" i="12" a="1"/>
  <c r="S54" i="12" s="1"/>
  <c r="S92" i="12" a="1"/>
  <c r="S92" i="12" s="1"/>
  <c r="S77" i="12" a="1"/>
  <c r="S77" i="12" s="1"/>
  <c r="S58" i="12" a="1"/>
  <c r="S58" i="12" s="1"/>
  <c r="S83" i="12" a="1"/>
  <c r="S83" i="12" s="1"/>
  <c r="R58" i="12" a="1"/>
  <c r="R58" i="12" s="1"/>
  <c r="S101" i="12" a="1"/>
  <c r="S101" i="12" s="1"/>
  <c r="S59" i="12" a="1"/>
  <c r="S59" i="12" s="1"/>
  <c r="S94" i="12" a="1"/>
  <c r="S94" i="12" s="1"/>
  <c r="N96" i="12" a="1"/>
  <c r="N96" i="12" s="1"/>
  <c r="N69" i="12" a="1"/>
  <c r="N69" i="12" s="1"/>
  <c r="N16" i="12" a="1"/>
  <c r="N16" i="12" s="1"/>
  <c r="N88" i="12" a="1"/>
  <c r="N88" i="12" s="1"/>
  <c r="N5" i="12" a="1"/>
  <c r="N5" i="12" s="1"/>
  <c r="N57" i="12" a="1"/>
  <c r="N57" i="12" s="1"/>
  <c r="N100" i="12" a="1"/>
  <c r="N100" i="12" s="1"/>
  <c r="N98" i="12" a="1"/>
  <c r="N98" i="12" s="1"/>
  <c r="N67" i="12" a="1"/>
  <c r="N67" i="12" s="1"/>
  <c r="N89" i="12" a="1"/>
  <c r="N89" i="12" s="1"/>
  <c r="N81" i="12" a="1"/>
  <c r="N81" i="12" s="1"/>
  <c r="N53" i="12" a="1"/>
  <c r="N53" i="12" s="1"/>
  <c r="N61" i="12" a="1"/>
  <c r="N61" i="12" s="1"/>
  <c r="N18" i="12" a="1"/>
  <c r="N18" i="12" s="1"/>
  <c r="N55" i="12" a="1"/>
  <c r="N55" i="12" s="1"/>
  <c r="N62" i="12" a="1"/>
  <c r="N62" i="12" s="1"/>
  <c r="N110" i="12" a="1"/>
  <c r="N110" i="12" s="1"/>
  <c r="N79" i="12" a="1"/>
  <c r="N79" i="12" s="1"/>
  <c r="N93" i="12" a="1"/>
  <c r="N93" i="12" s="1"/>
  <c r="N104" i="12" a="1"/>
  <c r="N104" i="12" s="1"/>
  <c r="N7" i="12" a="1"/>
  <c r="N7" i="12" s="1"/>
  <c r="N97" i="12" a="1"/>
  <c r="N97" i="12" s="1"/>
  <c r="N123" i="12" a="1"/>
  <c r="N123" i="12" s="1"/>
  <c r="N63" i="12" a="1"/>
  <c r="N63" i="12" s="1"/>
  <c r="N71" i="12" a="1"/>
  <c r="N71" i="12" s="1"/>
  <c r="N77" i="12" a="1"/>
  <c r="N77" i="12" s="1"/>
  <c r="N101" i="12" a="1"/>
  <c r="N101" i="12" s="1"/>
  <c r="N59" i="12" a="1"/>
  <c r="N59" i="12" s="1"/>
  <c r="N105" i="12" a="1"/>
  <c r="N105" i="12" s="1"/>
  <c r="N95" i="12" a="1"/>
  <c r="N95" i="12" s="1"/>
  <c r="N75" i="12" a="1"/>
  <c r="N75" i="12" s="1"/>
  <c r="N30" i="12" a="1"/>
  <c r="N30" i="12" s="1"/>
  <c r="N94" i="12" a="1"/>
  <c r="N94" i="12" s="1"/>
  <c r="N112" i="12" a="1"/>
  <c r="N112" i="12" s="1"/>
  <c r="N85" i="12" a="1"/>
  <c r="N85" i="12" s="1"/>
  <c r="N54" i="12" a="1"/>
  <c r="N54" i="12" s="1"/>
  <c r="N124" i="12" a="1"/>
  <c r="N124" i="12" s="1"/>
  <c r="N76" i="12" a="1"/>
  <c r="N76" i="12" s="1"/>
  <c r="N73" i="12" a="1"/>
  <c r="N73" i="12" s="1"/>
  <c r="N74" i="12" a="1"/>
  <c r="N74" i="12" s="1"/>
  <c r="N87" i="12" a="1"/>
  <c r="N87" i="12" s="1"/>
  <c r="N86" i="12" a="1"/>
  <c r="N86" i="12" s="1"/>
  <c r="N72" i="12" a="1"/>
  <c r="N72" i="12" s="1"/>
  <c r="N42" i="12" a="1"/>
  <c r="N42" i="12" s="1"/>
  <c r="N58" i="12" a="1"/>
  <c r="N58" i="12" s="1"/>
  <c r="N80" i="12" a="1"/>
  <c r="N80" i="12" s="1"/>
  <c r="N83" i="12" a="1"/>
  <c r="N83" i="12" s="1"/>
  <c r="N78" i="12" a="1"/>
  <c r="N78" i="12" s="1"/>
  <c r="N92" i="12" a="1"/>
  <c r="N92" i="12" s="1"/>
  <c r="N70" i="12" a="1"/>
  <c r="N70" i="12" s="1"/>
  <c r="N109" i="12" a="1"/>
  <c r="N109" i="12" s="1"/>
  <c r="C9" i="13"/>
  <c r="N6" i="13"/>
  <c r="N9" i="13" s="1"/>
  <c r="K6" i="13"/>
  <c r="D6" i="13"/>
  <c r="H6" i="13"/>
  <c r="L6" i="13"/>
  <c r="E6" i="13"/>
  <c r="I6" i="13"/>
  <c r="M6" i="13"/>
  <c r="F6" i="13"/>
  <c r="J6" i="13"/>
  <c r="G6" i="13"/>
  <c r="AT132" i="12" l="1"/>
  <c r="AO132" i="12"/>
  <c r="AU132" i="12"/>
  <c r="AM132" i="12"/>
  <c r="AR132" i="12"/>
  <c r="AV132" i="12"/>
  <c r="AN132" i="12"/>
  <c r="AP132" i="12"/>
  <c r="AQ132" i="12"/>
  <c r="AX132" i="12"/>
  <c r="AS132" i="12"/>
  <c r="AW132" i="12"/>
  <c r="J66" i="12"/>
  <c r="M104" i="12"/>
  <c r="J104" i="12" s="1"/>
  <c r="M51" i="12"/>
  <c r="J51" i="12" s="1"/>
  <c r="M71" i="12"/>
  <c r="J71" i="12" s="1"/>
  <c r="AE132" i="12"/>
  <c r="Z132" i="12"/>
  <c r="AL132" i="12"/>
  <c r="AG132" i="12"/>
  <c r="AH132" i="12"/>
  <c r="AK132" i="12"/>
  <c r="AF132" i="12"/>
  <c r="AC132" i="12"/>
  <c r="AD132" i="12"/>
  <c r="AJ132" i="12"/>
  <c r="AI132" i="12"/>
  <c r="AB132" i="12"/>
  <c r="AA132" i="12"/>
  <c r="B7" i="17"/>
  <c r="B8" i="17"/>
  <c r="B9" i="17"/>
  <c r="B10" i="17"/>
  <c r="B11" i="17"/>
  <c r="B12" i="17"/>
  <c r="B13" i="17"/>
  <c r="B14" i="17"/>
  <c r="B15" i="17"/>
  <c r="B16" i="17"/>
  <c r="B17" i="17"/>
  <c r="B18" i="17"/>
  <c r="B19" i="17"/>
  <c r="B20" i="17"/>
  <c r="B21" i="17"/>
  <c r="B22" i="17"/>
  <c r="B23" i="17"/>
  <c r="E8" i="17"/>
  <c r="E10" i="17"/>
  <c r="E11" i="17"/>
  <c r="E12" i="17"/>
  <c r="E13" i="17"/>
  <c r="E14" i="17"/>
  <c r="E15" i="17"/>
  <c r="E16" i="17"/>
  <c r="E17" i="17"/>
  <c r="E18" i="17"/>
  <c r="E19" i="17"/>
  <c r="E20" i="17"/>
  <c r="E22" i="17"/>
  <c r="E23" i="17"/>
  <c r="L10" i="13"/>
  <c r="K10" i="13"/>
  <c r="H10" i="13"/>
  <c r="D10" i="13"/>
  <c r="D9" i="13"/>
  <c r="K9" i="13"/>
  <c r="H9" i="13"/>
  <c r="L9" i="13"/>
  <c r="G9" i="13"/>
  <c r="G10" i="13"/>
  <c r="F10" i="13"/>
  <c r="F9" i="13"/>
  <c r="C10" i="13"/>
  <c r="M10" i="13"/>
  <c r="M9" i="13"/>
  <c r="N10" i="13"/>
  <c r="I10" i="13"/>
  <c r="I9" i="13"/>
  <c r="J10" i="13"/>
  <c r="J9" i="13"/>
  <c r="E10" i="13"/>
  <c r="E9" i="13"/>
  <c r="M59" i="12" l="1"/>
  <c r="J59" i="12" s="1"/>
  <c r="M30" i="12"/>
  <c r="J30" i="12" s="1"/>
  <c r="M75" i="12"/>
  <c r="J75" i="12" s="1"/>
  <c r="J54" i="12"/>
  <c r="M97" i="12"/>
  <c r="J97" i="12" s="1"/>
  <c r="J95" i="12"/>
  <c r="J94" i="12"/>
  <c r="E6" i="17"/>
  <c r="F24" i="17"/>
  <c r="E21" i="17"/>
  <c r="B6" i="17"/>
  <c r="B24" i="17" s="1"/>
  <c r="C19" i="18"/>
  <c r="F137" i="12" l="1"/>
  <c r="F138" i="12"/>
  <c r="F140" i="12"/>
  <c r="F136" i="12"/>
  <c r="F139" i="12"/>
  <c r="F135" i="12"/>
  <c r="E24" i="17"/>
  <c r="I140" i="12" l="1"/>
  <c r="I135" i="12"/>
  <c r="I139" i="12"/>
  <c r="I138" i="12"/>
  <c r="I137" i="12"/>
  <c r="I13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FABIO LOPES FERNANDES RAMOS</author>
    <author>tc={16D85D61-B445-418B-9914-F88DF34B5246}</author>
  </authors>
  <commentList>
    <comment ref="B18" authorId="0" shapeId="0" xr:uid="{00000000-0006-0000-0100-000001000000}">
      <text>
        <r>
          <rPr>
            <b/>
            <sz val="9"/>
            <color indexed="81"/>
            <rFont val="Segoe UI"/>
            <family val="2"/>
          </rPr>
          <t>FABIO LOPES FERNANDES RAMOS:</t>
        </r>
        <r>
          <rPr>
            <sz val="9"/>
            <color indexed="81"/>
            <rFont val="Segoe UI"/>
            <family val="2"/>
          </rPr>
          <t xml:space="preserve">
Replanejamento do projeto considerando novas entregas (Adequação PDPJ e transferência de conhecimento para o CNJ) e integrações.</t>
        </r>
      </text>
    </comment>
    <comment ref="B40" authorId="1" shapeId="0" xr:uid="{16D85D61-B445-418B-9914-F88DF34B5246}">
      <text>
        <t>[Threaded comment]
Your version of Excel allows you to read this threaded comment; however, any edits to it will get removed if the file is opened in a newer version of Excel. Learn more: https://go.microsoft.com/fwlink/?linkid=870924
Comment:
    O projeto PDPJ-BR Compliance teve o nome alterado para PDPJ-BR Conecta. (04/10/2024)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FABIO LOPES FERNANDES RAMOS</author>
    <author>tc={E303AD52-F51F-4536-8879-577AEEA11CF8}</author>
  </authors>
  <commentList>
    <comment ref="B16" authorId="0" shapeId="0" xr:uid="{EC4158D5-C93F-4406-9C03-928E0FA63CBD}">
      <text>
        <r>
          <rPr>
            <b/>
            <sz val="9"/>
            <color indexed="81"/>
            <rFont val="Segoe UI"/>
            <family val="2"/>
          </rPr>
          <t>FABIO LOPES FERNANDES RAMOS:</t>
        </r>
        <r>
          <rPr>
            <sz val="9"/>
            <color indexed="81"/>
            <rFont val="Segoe UI"/>
            <family val="2"/>
          </rPr>
          <t xml:space="preserve">
Replanejamento do projeto considerando novas entregas (Adequação PDPJ e transferência de conhecimento para o CNJ) e integrações.</t>
        </r>
      </text>
    </comment>
    <comment ref="B36" authorId="1" shapeId="0" xr:uid="{E303AD52-F51F-4536-8879-577AEEA11CF8}">
      <text>
        <t>[Threaded comment]
Your version of Excel allows you to read this threaded comment; however, any edits to it will get removed if the file is opened in a newer version of Excel. Learn more: https://go.microsoft.com/fwlink/?linkid=870924
Comment:
    O projeto PDPJ-BR Compliance teve o nome alterado para PDPJ-BR Conecta. (04/10/2024)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FABIO LOPES FERNANDES RAMOS</author>
  </authors>
  <commentList>
    <comment ref="E7" authorId="0" shapeId="0" xr:uid="{00000000-0006-0000-0200-000001000000}">
      <text>
        <r>
          <rPr>
            <b/>
            <sz val="9"/>
            <color indexed="81"/>
            <rFont val="Segoe UI"/>
            <family val="2"/>
          </rPr>
          <t>FABIO LOPES FERNANDES RAMOS:</t>
        </r>
        <r>
          <rPr>
            <sz val="9"/>
            <color indexed="81"/>
            <rFont val="Segoe UI"/>
            <family val="2"/>
          </rPr>
          <t xml:space="preserve">
TEP incluído no processo.</t>
        </r>
      </text>
    </comment>
    <comment ref="E75" authorId="0" shapeId="0" xr:uid="{00000000-0006-0000-0200-000004000000}">
      <text>
        <r>
          <rPr>
            <b/>
            <sz val="9"/>
            <color indexed="81"/>
            <rFont val="Segoe UI"/>
            <family val="2"/>
          </rPr>
          <t>FABIO LOPES FERNANDES RAMOS:
Última medição: 06/2023</t>
        </r>
      </text>
    </comment>
    <comment ref="E105" authorId="0" shapeId="0" xr:uid="{00000000-0006-0000-0200-000003000000}">
      <text>
        <r>
          <rPr>
            <b/>
            <sz val="9"/>
            <color indexed="81"/>
            <rFont val="Segoe UI"/>
            <family val="2"/>
          </rPr>
          <t>FABIO LOPES FERNANDES RAMOS:</t>
        </r>
        <r>
          <rPr>
            <sz val="9"/>
            <color indexed="81"/>
            <rFont val="Segoe UI"/>
            <family val="2"/>
          </rPr>
          <t xml:space="preserve">
Última medição; 11/2023.</t>
        </r>
      </text>
    </comment>
    <comment ref="E123" authorId="0" shapeId="0" xr:uid="{00000000-0006-0000-0200-000002000000}">
      <text>
        <r>
          <rPr>
            <b/>
            <sz val="9"/>
            <color indexed="81"/>
            <rFont val="Segoe UI"/>
            <family val="2"/>
          </rPr>
          <t>FABIO LOPES FERNANDES RAMOS:</t>
        </r>
        <r>
          <rPr>
            <sz val="9"/>
            <color indexed="81"/>
            <rFont val="Segoe UI"/>
            <family val="2"/>
          </rPr>
          <t xml:space="preserve">
PROJETO ENCERRADO.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<sst xmlns="http://schemas.openxmlformats.org/spreadsheetml/2006/main" count="15482" uniqueCount="3804">
  <si>
    <t>Projetos em excecução no Conselho Nacional de Justiça - Acompanhamento da ECP para o Painel</t>
  </si>
  <si>
    <t>SEI</t>
  </si>
  <si>
    <t>PROJETO</t>
  </si>
  <si>
    <t>OBJETO</t>
  </si>
  <si>
    <t>OBJETIVO</t>
  </si>
  <si>
    <t>Patrocinador</t>
  </si>
  <si>
    <t>UNIDADE PATROCINADORA</t>
  </si>
  <si>
    <t>GERENTE DO PROJETO</t>
  </si>
  <si>
    <t>UNIDADE GERENTE DO PROJETO</t>
  </si>
  <si>
    <t>ALINHAMENTO ESTRATÉGICO</t>
  </si>
  <si>
    <t>MACRODESAFIO</t>
  </si>
  <si>
    <t>POLÍTICA JUDICIÁRIA</t>
  </si>
  <si>
    <t>ÍNICIO DO PROJETO</t>
  </si>
  <si>
    <t>PREVISÃO DE TERMINO</t>
  </si>
  <si>
    <t>% PREVISTO</t>
  </si>
  <si>
    <t>% EXECUTADO</t>
  </si>
  <si>
    <t>MEDIÇÃO DE STATUS</t>
  </si>
  <si>
    <t>DATA DE ATUALIZAÇÃO</t>
  </si>
  <si>
    <t>Dados de</t>
  </si>
  <si>
    <t>LINK PARA O PAINEL DO CNJ</t>
  </si>
  <si>
    <t>Programa</t>
  </si>
  <si>
    <t>Situação</t>
  </si>
  <si>
    <t>LINK PARA A PÁGINA DO PROJETO</t>
  </si>
  <si>
    <t>Status</t>
  </si>
  <si>
    <t>Entregas Previstas</t>
  </si>
  <si>
    <t>Orçamento Previsto</t>
  </si>
  <si>
    <t>Orçamento Executado</t>
  </si>
  <si>
    <t>Link para a página do programa</t>
  </si>
  <si>
    <t>Supervisor</t>
  </si>
  <si>
    <t>Unidade Gestora (Negocial)</t>
  </si>
  <si>
    <t>Capacidade / Benefício Estruturante</t>
  </si>
  <si>
    <t>ENTREGAS REALIZADAS</t>
  </si>
  <si>
    <t>Hoje</t>
  </si>
  <si>
    <t>GERENTE  INSTITUCIONAL</t>
  </si>
  <si>
    <t>UNIDADE DO GERENTE INSTITUCIONAL</t>
  </si>
  <si>
    <t xml:space="preserve">Lições Aprendidas </t>
  </si>
  <si>
    <t>Portfólio 2024</t>
  </si>
  <si>
    <t>Portfólio 2025</t>
  </si>
  <si>
    <t>Portfólio 2026</t>
  </si>
  <si>
    <t>Observações</t>
  </si>
  <si>
    <t>04868/2023</t>
  </si>
  <si>
    <t>SINAPSES – Melhorias Evolutivas e Corretivas</t>
  </si>
  <si>
    <t>Implementar melhorias e correções de funcionalidades da aplicação SINAPSES.</t>
  </si>
  <si>
    <t xml:space="preserve">Dr. Dorotheo Barbosa Neto
</t>
  </si>
  <si>
    <t>SEP - Secretaria de Estratégia e Projetos</t>
  </si>
  <si>
    <t>Ana Angélica Rodrigues Alves</t>
  </si>
  <si>
    <t>PNUD</t>
  </si>
  <si>
    <t>Não definido</t>
  </si>
  <si>
    <t>Justiça 4.0</t>
  </si>
  <si>
    <t>Cancelado</t>
  </si>
  <si>
    <t>- Implantação de padrão Data Transfer Object (DTO);
- Gestão de Usuários, Domínios e Integração Keycloak / Single Sign-On (SSO);
- Unificação dos Modelos;
- Auditoria/Histórico;
- Catálogo de Modelos;
- Interface Atualizadas;
- Melhoria de interface – padrão PDPJ ;
- Métricas de Monitoramento;
- Documentação do Projeto, comunicação e divulgação do projeto</t>
  </si>
  <si>
    <t>https://www.cnj.jus.br/tecnologia-da-informacao-e-comunicacao/justica-4-0/</t>
  </si>
  <si>
    <t>Sim</t>
  </si>
  <si>
    <t>TEP: https://www.cnj.jus.br/sei/controlador.php?acao=procedimento_trabalhar&amp;id_procedimento=1670519&amp;id_documento=2226063</t>
  </si>
  <si>
    <t>Aux2024</t>
  </si>
  <si>
    <t>Aux2025</t>
  </si>
  <si>
    <t>Aux2026</t>
  </si>
  <si>
    <t>Consultor</t>
  </si>
  <si>
    <t>00030/2025</t>
  </si>
  <si>
    <t>Phase-out: Transição Projetos X Operação</t>
  </si>
  <si>
    <t>O presente projeto visa estruturar a transição sustentável de soluções do Justiça 4.0 para o CNJ, considerando suporte, infraestrutura e treinamento. Tem como objetivo desenvolver e implementar boas práticas de transição dos serviços para a operação após a conclusão dos projetos de desenvolvimento, incluindo etapas obrigatórias no cronograma dos projetos, como treinamentos e repasse aos times de suporte técnico do DTI. Além disso, será padronizado que o repasse de conhecimento tenha início já na fase de homologação do sistema, otimizando a transferência de conhecimento e facilitando a integração com a operação.</t>
  </si>
  <si>
    <t>Renato Silveira</t>
  </si>
  <si>
    <t>10. Aprimorar a governança e a gestão da tecnologia e comunicação sob a ótica de soluções colaborativas</t>
  </si>
  <si>
    <t>12. Fortalecimento da estratégia nacional de TIC e de proteção de dados;
09. Aperfeiçoamento da gestão administrativa e da governança judiciária</t>
  </si>
  <si>
    <t>Estratégia Nacional de Tecnologia da Informação e Comunicação do Poder Judiciário (ENTIC-JUD), Resolução CNJ n. 370/2021, e com o Programa Justiça 4.0 - Eixo Fortalecimento de Capacidades Institucionais do CNJ (transferência de conhecimento e soluções com foco na segurança jurídica, sustentabilidade de projetos e eficiência da prestação jurisdicional)"</t>
  </si>
  <si>
    <t xml:space="preserve">- Definição da estrutura e responsáveis ;
-  Definição e elaboração da documentação técnica padrão dos sistemas, assim como dos Manuais de Usuário e Operação;
</t>
  </si>
  <si>
    <t>Dr. Alexandre Libonati de Abreu</t>
  </si>
  <si>
    <t>DTI - Departamento de Tecnologia da Informação e Comunicação</t>
  </si>
  <si>
    <t xml:space="preserve">Benefício 1 - Capacitação e Criação de manuais e documentações - Esse benefício visa reduzir os riscos e falhas operacionais na transição do projeto para a operação. 
Benefício 2 - Melhoria no processo de transição de equipes - Facilidade de manutenção e melhorias contínuas, permitindo que eventuais novos integrantes da equipe e operadores entendam rapidamente o sistema, garantindo uma transição suave em qualquer evolução tecnológica ou de processo.  </t>
  </si>
  <si>
    <t>Paulo Magnus Pereira Porto</t>
  </si>
  <si>
    <t>00139/2024</t>
  </si>
  <si>
    <t>Mapa Nacional do Tribunal do Júri</t>
  </si>
  <si>
    <t>Identificar, por meio dos dados do Painel “Justiça em Números”, os gargalos específicos e, posteriormente, as questões a eles relacionadas que geram a morosidade e o acúmulo de processos de competência do Tribunal do Júri, criando soluções colaborativas e customizadas para resolução desses problemas em parceria com os tribunais envolvidos.</t>
  </si>
  <si>
    <t>Dr. Gláucio Roberto Brittes de Araujo</t>
  </si>
  <si>
    <t>Thiago Gontijo Vieira</t>
  </si>
  <si>
    <t>01. Desenvolver políticas judiciárias e outros instrumentos para o aperfeiçoamento das atividades dos órgãos do Poder Judiciário e dos seus serviços auxiliares e dos serviços notariais e de registro, e dos demais órgãos correicionais</t>
  </si>
  <si>
    <t>08. Aperfeiçoamento da gestão da justiça criminal</t>
  </si>
  <si>
    <t>Portaria CNJ nº 69/2017</t>
  </si>
  <si>
    <r>
      <rPr>
        <sz val="11"/>
        <color rgb="FF000000"/>
        <rFont val="Calibri"/>
        <family val="2"/>
        <scheme val="minor"/>
      </rPr>
      <t xml:space="preserve">Coleta de dados dos sistemas do DPJ;
Apresentação do diagnóstico aos tribunais;
</t>
    </r>
    <r>
      <rPr>
        <strike/>
        <sz val="11"/>
        <color rgb="FF000000"/>
        <rFont val="Calibri"/>
        <family val="2"/>
        <scheme val="minor"/>
      </rPr>
      <t xml:space="preserve">Visitas in-loco e criação de soluções;
</t>
    </r>
    <r>
      <rPr>
        <sz val="11"/>
        <color rgb="FF000000"/>
        <rFont val="Calibri"/>
        <family val="2"/>
        <scheme val="minor"/>
      </rPr>
      <t xml:space="preserve">Trinunais apresentam proposta para solução dos gargalos ao CNJ;
Acompanhamento e medição dos resultados das soluções
Relatório final do projeto
</t>
    </r>
  </si>
  <si>
    <t>Dr. Paulo Marcos de Farias</t>
  </si>
  <si>
    <t>SG - Secretaria Geral</t>
  </si>
  <si>
    <t xml:space="preserve">• Diagnóstico dos gargalos locais dos processos do tribunal do júri
• Soluções colaborativas
• Diminuição dos gargalos
</t>
  </si>
  <si>
    <t>"- Diagnóstico dos gargalos locais dos processos do tribunal do júri;
- Apresentação do diagnóstico aos tribunais;
- Propostas de soluções de 23 tribunais;</t>
  </si>
  <si>
    <t>00484/2024</t>
  </si>
  <si>
    <t>Painel do Programa Desjudicializa</t>
  </si>
  <si>
    <t>Produzir novo painel digital denominado "Painel Desjudicializa", em que serão apresentados dados processuais detalhados a respeito do maior litigante do Poder Judiciário brasileiro, o Instituto Nacional de Seguro Social-INSS.</t>
  </si>
  <si>
    <t xml:space="preserve">Dra. Ana Lúcia Andrade de Aguiar
</t>
  </si>
  <si>
    <t>André José da Silva Lima</t>
  </si>
  <si>
    <t>03. Fomentar a gestão da qualidade dos dados no Poder Judiciário</t>
  </si>
  <si>
    <t>05. Prevenção de litígios e adoção de soluções consensuais para os conflitos</t>
  </si>
  <si>
    <t> Programa Justiça 4.0, eixo 2: Gestão de dados e informações - aprimoramento de bases de dados e formulação, implantação e monitoramento de políticas judiciárias com base em evidências para fortalecer a promoção de direitos humanos e a transparência de dados. Ademais, o referido Projeto correlaciona-se com a Resolução CNJ Nº 235 de 29/06/2020</t>
  </si>
  <si>
    <t xml:space="preserve"> - fazer levantamento dos processos relacionados aos 10 maiores litigantes do judiciário brasileiro e elaborar regras negociais para escrita de script que extrairá os dados da base;
- Identificar padrões com as variáveis estabelecidas negocialmente para o estudo;
-Confecção do painel;</t>
  </si>
  <si>
    <t>DPJ - Departamento de Pesquisas Judiciárias</t>
  </si>
  <si>
    <t>Identificação do maior litigante do judiciário brasileiro-INSS, como polo ativo e passivo.</t>
  </si>
  <si>
    <t xml:space="preserve"> - identificação dos 10 maiores litigantes, ativos e 
passivos.
- Criação de script de banco de dados;
-Criar base de dados com os 10 maiores litigantes;
-Disponibilização de dados em Homologação;
-Disponibilização de dados em Desenvolvimento
</t>
  </si>
  <si>
    <t>Isabely Fontana da Mota</t>
  </si>
  <si>
    <t>DPJ/CNJ</t>
  </si>
  <si>
    <t>00535/2019</t>
  </si>
  <si>
    <t>Execução Fiscal - Automação e Governança</t>
  </si>
  <si>
    <t>Automação dos processos de execução fiscal e instituição de medidas de governaça</t>
  </si>
  <si>
    <t>Projeto voltado à automação dos processos de execução fiscal e instituição de medidas de governança</t>
  </si>
  <si>
    <t>Dra. Lívia Cristina Marques Peres e Dra. Keity Saboia</t>
  </si>
  <si>
    <t>Fernando Landim Caetano</t>
  </si>
  <si>
    <t>Memora</t>
  </si>
  <si>
    <t>13. Estimular a desburocratização no Poder Judiciário</t>
  </si>
  <si>
    <t>03. Agilidade e produtividade na prestação jurisdicional</t>
  </si>
  <si>
    <t>Resolve</t>
  </si>
  <si>
    <t>https://www.cnj.jus.br/programas-e-acoes/programa-resolve/execucao-fiscal/</t>
  </si>
  <si>
    <t>Planejamento (compilação das medidas propostas, dados estatísticos  e entrega, apresentação, critérios de aceitação e formalização do projeto); 
Criação do Grupo de Trabalho ;  
Capacitação; 
Desenvolvimento de medidas de Automação;
Piloto com 6 tribunais; 
Acompanhamento do impacto;</t>
  </si>
  <si>
    <t>https://www.cnj.jus.br/programas-e-acoes/programa-resolve/</t>
  </si>
  <si>
    <t xml:space="preserve">Dra. Lívia Cristina Marques Peres e Dra. Keity Saboia
</t>
  </si>
  <si>
    <t xml:space="preserve">• Fluxos de automação de expedientes
• Automação de fluxos de suspensão e Sobrestamento processual
• Automação de fluxos de bens imóveis
• Automação de fluxos básicos de processamento
• Automação de fluxo de pós-conclusão
• Automação de fluxo de pós convênio
• Automação do fluxo de análise da inicial
• Configuração de microfluxos integrado ao fluxo base nacional
• Pilotos
• APIs disponibilizadas
• Operação assistida dos Tribunais Aderentes
</t>
  </si>
  <si>
    <t>00600/2023</t>
  </si>
  <si>
    <t>Programa Nacional de Promoção da Equidade Racial no Poder Judiciário - 2024</t>
  </si>
  <si>
    <t>Estruturar e implementar iniciativas e políticas para promover a equidade racial no Poder Judiciário</t>
  </si>
  <si>
    <t>Luis Roberto Barroso</t>
  </si>
  <si>
    <t>Presidência do CNJ</t>
  </si>
  <si>
    <t>Priscila Nunes Patel</t>
  </si>
  <si>
    <t>Gabinete da Presidência</t>
  </si>
  <si>
    <t>01. Desenvolver políticas judiciárias e outros instrumentos para o aperfeiçoamento das atividades dos órgãos do Poder Judiciário e dos seus serviços auxiliares e dos serviços notariais e de registro, e dos demais órgãos correicionais.
07. Fomentar e fortalecer a atuação interinstitucional do CNJ para garantir os direitos dos cidadãos</t>
  </si>
  <si>
    <t>01. Garantia dos direitos fundamentais</t>
  </si>
  <si>
    <t>Programa Nacional de Promoção da Equidade Racial no Poder Judiciário</t>
  </si>
  <si>
    <t>https://www.cnj.jus.br/programas-e-acoes/direitos-humanos/pacto-nacional-do-judiciario-pela-equidade-racial/</t>
  </si>
  <si>
    <t xml:space="preserve">-Elaborar e executar Plano de Comunicação;
-Monitorar o engajamento dos tribunais que aderiram ao Pacto Nacional;
-Divulgar os cadernos formativos elaborados em parceria com o programa Fazendo Justiça;
- Realizar a primeira edição do Prêmio Anual de Equidade Racial do Poder Judiciário para homenagear os Tribunais que desenvolverem Programas cuja centralidade seja o combate ao racismo institucional, atendendo, ainda, aos Objetivos de Desenvolvimento Sustentável (ODS) que compõem a Agenda 2030;
- Promoção, por meio de plano de comunicação, do credenciamento de cursos preparatórios junto à Fundação Getúlio Vargas dentro do programa CNJ de Bolsas;
- Concessão do Selo CNJ de Bolsas de Ação Afirmativa para pelo menos um curso preparatório para a magistratura, por estado, junto à Fundação Getúlio Vargas dentro do programa CNJ de Bolsas;
-  Inclusão do IPER – Indicador de Desempenho na Promoção da Equidade Racial, no Prêmio CNJ de Qualidade de 2025
- Trabalhar junto aos tribunais para tornar os dados étnico-raciais enviados mais fidedignos;
- Realizar nova turma para a formação inicial e continuada de magistrados(as) em relações étnico-raciais, Direito antidiscriminatório e Equidade Racial, em parceria com Enfam;
- Realizar nova turma para a formação inicial e continuada de magistrados(as) em relações étnico-raciais, Direito antidiscriminatório e Equidade Racial, em parceria com Enamat;
- Realizar formação inicial e continuada de servidores(as) e estagiários(as)  em relações étnico-raciais, Direito antidiscriminatório e Equidade Racial (Ceajud);
- Capacitar membros das comissões de heteroidentificação;
- Capacitar servidores da comunicação;
- Criação de banco de especialistas em heteroidentificação ;
- Publicar o Protocolo de julgamento com perspectiva racial.
- Publicar a Política Nacional do Poder Judiciário de Equidade Racial;
- </t>
  </si>
  <si>
    <t>Dra. Karen Louise Vilanova batista de Souza</t>
  </si>
  <si>
    <t>Benefício 1 - Tribunais engajados em torno do combate ao racismo e da promoção da equidade racial;
Benefício 2 - Fomento à implementação de medidas estruturantes antirracistas, de combate ao racismo estrutural e promoção da equidade racial;
Benefício 3 - Aumento da capacidade organizacional quanto ao conhecimento sobre a temática e a obtenção de dados sobre as questões raciais, para o planejamento dos projetos e ações do programa;
Benefício 4 - Diretrizes para uma maior atuação dos órgãos do Poder Judiciário Nacional no combate ao racismo e na promoção da equidade racial</t>
  </si>
  <si>
    <t>- Realizar a primeira edição do Prêmio Anual de Equidade Racial do Poder Judiciário para homenagear os Tribunais que desenvolverem Programas cuja centralidade seja o combate ao racismo institucional, atendendo, ainda, aos Objetivos de Desenvolvimento Sustentável (ODS) que compõem a Agenda 2030;
- Capacitar membros das comissões de heteroidentificação;
- Publicar o Protocolo de julgamento com perspectiva racial</t>
  </si>
  <si>
    <t xml:space="preserve">Cristina de Oliveira Winckler  </t>
  </si>
  <si>
    <t>ECP - Escritório Corporativo de Projetos Institucionais</t>
  </si>
  <si>
    <t>01167/2025</t>
  </si>
  <si>
    <t>Data Lake - Melhorias Evolutivas e Corretivas</t>
  </si>
  <si>
    <t>O projeto visa implementar melhorias evolutivas, correções e novas funcionalidades no Data Lake, assegurando a continuidade da relevância, segurança e eficiência, e fortalecendo seu papel como um repositório centralizado e integrado para o grande volume de dados gerados pelos sistemas do Justiça 4.0.</t>
  </si>
  <si>
    <t>Marcos Cardoso</t>
  </si>
  <si>
    <t>03. Fomentar a gestão da qualidade dos dados no Poder Judiciário;</t>
  </si>
  <si>
    <t xml:space="preserve">12. Fortalecimento da estratégia nacional de TIC e de proteção de dados;
09. Aperfeiçoamento da gestão administrativa e da governança judiciária; e 
03. Agilidade e produtividade na prestação jurisdicional
</t>
  </si>
  <si>
    <t>Estratégia Nacional de Tecnologia da Informação e Comunicação do Poder Judiciário (ENTIC-JUD), Resolução CNJ n. 370/2021; e 
Programa Justiça 4.0 - Eixo Fortalecimento de Capacidades Institucionais do CNJ (transferência de conhecimento e soluções com foco na segurança jurídica, sustentabilidade de projetos e eficiência da prestação jurisdicional).</t>
  </si>
  <si>
    <t>-  Melhorias na performance do sistema e garantia de alta disponibilidade;
- Aprimoramento contínuo da segurança; 
- Correção de bugs;
- Aumento da cobertura de testes e automatização de testes;
-  Documentação de regras de negócio, requisitos, 
refinamentos e arquitetura do sistema e gestão de releases;
-  Implementação de novas funcionalidades e 
melhorias evolutivas</t>
  </si>
  <si>
    <t>Dr. João Thiago de França Guerra</t>
  </si>
  <si>
    <t>BENEFÍCIO 1 - Melhoria da estabilidade e confiabilidade e Evolução do Data Lake.
Benefício 2 - Melhorias Implementadas</t>
  </si>
  <si>
    <t xml:space="preserve">P1 – Planejamento: Termo de Abertura de Projeto. 
P7 - Novas Funcionalidades e Melhorias Evolutivas 
• Implementação de situação processual e fase dos processos </t>
  </si>
  <si>
    <t>Antônio Augusto Silva Martins</t>
  </si>
  <si>
    <t>01179/2023</t>
  </si>
  <si>
    <t>6ª edição da Série Justiça e pesquisa</t>
  </si>
  <si>
    <t>contratação de pesquisas empíricas em eixos temáticos destinadas ao conhecimento da função jurisdicional brasileira, análise e diagnóstico dos problemas estruturais e conjunturais dos diversos segmentos do Poder Judiciário e para fornecer subsídios técnicos para a formulação de políticas judiciárias, nos termos do art. 5º, § 1º e § 2º, inc. II, da Lei nº 11.364/2006.</t>
  </si>
  <si>
    <t>Dra. Lívia Cristina Marques Peres</t>
  </si>
  <si>
    <t>Gabriela Moreira de Azevedo Soares</t>
  </si>
  <si>
    <t>09. Aperfeiçoamento da gestão administrativa e da governança judiciária</t>
  </si>
  <si>
    <t>Resolução 335 /2020 Justiça 4.0</t>
  </si>
  <si>
    <t>https://www.cnj.jus.br/editais-3/</t>
  </si>
  <si>
    <t>1-Instituto Cíclica - Estudo sobre a redução do número de adolescentes em cumprimento de medidas socioeducativas de meio fechado no Brasil";
2- FADEP/USP - Características do racismo estrutural reproduzido no sistema de justiça;
3 - Centro Brasileiro de Análise e Planejamento – CEBRAP - Pessoas com transtorno mental em conflito com a lei no Brasil: itinerários jurídicos e portas de saída;
4 - Associação Brasileira de Jurimetria (ABJ) - Diagnóstico sobre a devolução de crianças e adolescentes em estágio de convivência e adotadas;
5 - Instituto Veredas - Trajetórias no mundo do trabalho de pessoas privadas de liberdade e egressas do sistema prisional: desafios e boas práticas na interface entre a garantia de Direitos Fundamentais e Justiça Criminal;
6 - INSPER - Instituto de Ensino e Pesquisa - Caminhos da tortura na justiça juvenil brasileira: o papel do poder judiciário;
7 - Publicação dos relatórios</t>
  </si>
  <si>
    <t xml:space="preserve">Dra. Lívia Cristina Marques Peres
</t>
  </si>
  <si>
    <t xml:space="preserve">• Instituto Cíclica - Estudo sobre a redução do número de adolescentes em cumprimento de medidas socioeducativas de meio fechado no Brasil".
• FADEP/USP - Características do racismo estrutural reproduzido no sistema de justiça
• Centro Brasileiro de Análise e Planejamento – CEBRAP - Pessoas com transtorno mental em conflito com a lei no Brasil: itinerários jurídicos e portas de saída.
• Associação Brasileira de Jurimetria (ABJ) - Diagnóstico sobre a devolução de crianças e adolescentes em estágio de convivência e adotadas.
• Instituto Veredas - Trajetórias no mundo do trabalho de pessoas privadas de liberdade e egressas do sistema prisional: desafios e boas práticas na interface entre a garantia de Direitos Fundamentais e Justiça Criminal.
• INSPER - Instituto de Ensino e Pesquisa - Caminhos da tortura na justiça juvenil brasileira: o papel do poder judiciário
• Publicação dos relatórios
</t>
  </si>
  <si>
    <t>01247/2025</t>
  </si>
  <si>
    <t>Painel da Fazenda Nacional.</t>
  </si>
  <si>
    <t>Produzir novo painel digital denominado "Painel Fazenda Nacional”, de acordo com a Portaria Conjunta Nº 7 de 23/10/2023, que dispõe sobre procedimentos, iniciativas e estratégias para racionalizar e aprimorar o fluxo de execuções fiscais promovidas pela Procuradoria-Geral da Fazenda Nacional.</t>
  </si>
  <si>
    <t>03. Fomentar a gestão da qualidade dos dados no Poder Judiciário;
13. Estimular a desburocratização no Poder Judiciário; e 
04. Promover a disseminação das informações, de forma padronizada e sistêmica</t>
  </si>
  <si>
    <t>03. Agilidade e produtividade na prestação jurisdicional; e 
02. Fortalecimento da Relação Institucional do Judiciário com a Sociedade</t>
  </si>
  <si>
    <t>Estratégia Nacional de Tecnologia da Informação e Comunicação do Poder Judiciário (ENTIC-JUD), Resolução CNJ n. 370/2021, e com o Programa Justiça 4.0 - Eixo Fortalecimento de Capacidades Institucionais do CNJ (transferência de conhecimento e soluções com foco na segurança jurídica, sustentabilidade de projetos e eficiência da prestação jurisdicional.</t>
  </si>
  <si>
    <t>- Extração dos dados do Datajud;
- Tratamento e Processamento de Dados;
- Análise Estatística e Criação de Indicadores;
- Criação do Painel em BI;
- Lançamento e divulgação e implementação de novas funcionalidades</t>
  </si>
  <si>
    <t>Aumento da transparência ativa.</t>
  </si>
  <si>
    <t>01487/2022</t>
  </si>
  <si>
    <t>Domicílio Judicial Eletrônico</t>
  </si>
  <si>
    <t>Desenvolvimento de módulo intitulado "Domicílio Judicial Eletrônico" para centralizar as comunicações processuais através de desenvolvimento de API e outros mecanismos de integração
assíncrona por meio de um sistema centralizador.</t>
  </si>
  <si>
    <t>Dr. Adriano da Silva Araújo</t>
  </si>
  <si>
    <t>Luciana Martins Frassetto de Freitas</t>
  </si>
  <si>
    <t>09. Fomentar e incrementar a produção de soluções tecnológicas, com foco em inovação e transformação digital</t>
  </si>
  <si>
    <t>02. Fortalecimento da Relação Institucional do Judiciário com a Sociedade</t>
  </si>
  <si>
    <t>https://www.cnj.jus.br/tecnologia-da-informacao-e-comunicacao/justica-4-0/domicilio-judicial-eletronico/</t>
  </si>
  <si>
    <t xml:space="preserve">- Etapa 1 – Iniciação e planejamento: Cooperação Técnica, resolução validada, documentação do projeto com os requisitos negociais, inception/capacitação da equipe;
- Etapa 2 – Estruturação: Estruturação técnica, base estrutural do projeto, jornadas definidas, refactoring e versão inicial da API.
- Etapa 3 – Evolução: Especificações funcionais, desenvolvimento (cadastro e API), início do stress test.
- Etapa 4 – Consolidação: Piloto com os tribunais (teste de API), especificação faltante de novos serviços, validação com os bancos, homologação, implementação em produção.
- Etapa 5 – Divulgação e encerramento: definição da estratégia de capacitação/divulgação do sistema, construção do site, ajustes e manutenções, encerramento da cooperação técnica.
</t>
  </si>
  <si>
    <t>Disponibilizar funcionalidade que possibilitará maior velocidade na localização do destinatário da comunicação processual</t>
  </si>
  <si>
    <t>Iniciação e Planejamento:
1. Termo de Cooperação Técnica - CNJ e 
FEBRABAN
2. Termo de Abertura do Projeto
3. Inception da equipe
4. Termo de Confidencialidade pela equipe
5. Plano Geral do Projeto
6. documento Análise de Requisitos
7. Plano de Trabalho
Estruturação do sistema:
1. Termo de Adesão
2. Cadastro do CNPJ e CPF (público, privado e 
pessoa física)
3. Perfis de usuários (administrador, gestor e 
preposto)
4. Desenvolvimento da Autenticação PJ e PF
5. Definição da arquitetura
6. Vinculação de filiais e coligadas
7. Acesso à Comunicação processual
8. Filtros da Comunicação processual
9. realizar testes unitários e de usabilidade
10. Criação da base de log
11. integração front e back
12. Realização de testes de performance
13. Desenvolvimento do perfil advogado;
14. Criação do serviço de ticket</t>
  </si>
  <si>
    <t>Marcos Paulo Santos Calixto</t>
  </si>
  <si>
    <t>01703/2024</t>
  </si>
  <si>
    <t>Monitoramento: soluções da PDPJ-Br</t>
  </si>
  <si>
    <t>Criar uma plataforma integrada com dashboard unificado para monitorar globalmente a adoção e o impacto das soluções tecnológicas da PDPJ-Br</t>
  </si>
  <si>
    <t>Gustavo Martins Pereira</t>
  </si>
  <si>
    <t>12. Fortalecimento da estratégia nacional de TIC e de proteção de dados</t>
  </si>
  <si>
    <t>Programa Justiça 4.0 (Projeto BRA/20/003)</t>
  </si>
  <si>
    <t>https://app.powerbi.com/view?r=eyJrIjoiMjA5YmQwMjYtY2QwYy00YmYzLThmYmEtODg5YmUxZjJhNDg4IiwidCI6ImFkOTE5MGU2LWM0NWQtNDYwMC1iYzVjLWVjYTU1NGNjZjQ5NyIsImMiOjJ9</t>
  </si>
  <si>
    <t>Dr. Dorotheo Barbosa Neto</t>
  </si>
  <si>
    <t>Benefício 1 - Estruturar uma estratégia de monitoramento das integrações dos Tribunais aos sistemas do Portal de Serviços do Programa Justiça 4.0
Benefício 2 - Elaboração de um Painel de BI único de Monitoramento do Programa Justiça 4.0</t>
  </si>
  <si>
    <t>Flávio Feitosa Costa</t>
  </si>
  <si>
    <t>01764/2020</t>
  </si>
  <si>
    <t xml:space="preserve">Mineração de Processos do Pje </t>
  </si>
  <si>
    <t>Desenvolvimento de uma metodologia para aplicação de técnicas de mineração de processos nas bases de dados do PJE</t>
  </si>
  <si>
    <t xml:space="preserve"> presente projeto tem por objetivo criar um laboratório de mineração de processos no âmbito do judiciário brasileiro e instrumentalizar servidores e magistrados no uso dessa tecnologia, visando à redução do retrabalho através da identificação de oportunidades de melhorias nos fluxos dos processos, mensuração dos efeitos das mudanças realizadas, implementação de melhorias contínuas nos fluxos existentes, aumento da produtividade pela eliminação de gargalos, reconhecimento e ajuste de desvios nos fluxos estabelecidos e redução dos custos operacionais. E tem como objetivos específicos:
Análise das ferramentas comerciais e acadêmicas de mineração de processos disponíveis com vistas a identificar quais funcionalidades de cada uma delas mais se adequam às necessidades do judiciário;
Implantação do laboratório virtual, incluindo ferramentas, equipes técnica e gestora, bibliografia de referência, infraestrutura de comunicação interna e externa;
Desenvolvimento de metodologia para aplicação de técnicas de mineração de processos nas bases de dados do PJe com o objetivo de identificar, melhorar e padronizar os fluxos de processos no judiciário;
Validação da metodologia desenvolvida nos tribunais participantes deste projeto;
Aplicação da metodologia em tribunais parceiros, contemplando treinamento para uso autônomo da metodologia;
Documentação da metodologia e melhores práticas para sua aplicação.
Utilização da base nacional do PJe, mantida pelo DPJ/CNJ, como repositório central para projetos de Mineração de Processo.</t>
  </si>
  <si>
    <t>Antônio Augusto Raposo</t>
  </si>
  <si>
    <t>Meta 1: desenvolvimento de uma metodologia para aplicação de técnicas de mineração de processos nas bases de dados do PJe; 
Meta 2: análise das 22 (vinte e duas) ferramentas de mineração de processos citadas no relatório Market Guide for Process Mining (publicado em 17 de junho de 2019 - ID G00387812 - Gartner).;
Meta 3: implantação de um Laboratório Virtual de Mineração de Processos; O ambiente virtual contará com uma ferramenta comercial e de uma ferramenta acadêmica para mineração de processos.;  Meta 4: validação da metodologia com magistrados e servidores em tribunais participantes deste projeto; Meta 5: projeto de expansão do laboratório. 
Meta 5: Lançamento da ferramenta de mineração de processos do CNJ e projeto de expansão do laboratório.
Meta 6: Apropriação tecnológica da atual versão do protótipo funcional para mineração de processos a partir do log de eventos do CODEX e treinamento da equipe nas tecnologias a serem utilizadas.
Meta 7: Explorar a base de dados do CODEX para descobrir redes sociais[1] do relacionamento funcional entre os servidores e magistrados do judiciário brasileiro.
Meta 8: Explorar a base de dados do CODEX para identificar as atividades executadas por cada servidor e aferir seu nível de eficiência global e durante a realização de atividades específicas.
Meta 9: Realizar pesquisas para contribuir com o trabalho das corregedorias
Meta 10: Treinar magistrados e servidores de tribunais integrados ao CODEX sobre mineração de processos e uso da ferramenta, coletando subsídios para aprimorar a ferramenta desenvolvida neste projeto.
Meta 11: Avaliar aspectos não funcionais como desempenho da ferramenta 
Meta 12: Transferência tecnológica da ferramenta de mineração de processos para a equipe técnica do CNJ.</t>
  </si>
  <si>
    <t>- Metodologia
- Treinamento
- Ferramenta Jump</t>
  </si>
  <si>
    <t>01809/2025</t>
  </si>
  <si>
    <t>Gestão de Clientes</t>
  </si>
  <si>
    <t>Implementar uma solução integrada para a gestão de acessos e credenciais às APIs da PDPJ-Br, garantindo maior segurança, controle e eficiência. A iniciativa envolve a centralização da gestão de credenciais (Client ID e Secret ID), a automação do processo de tarifação e o desenvolvimento de um Portal do Desenvolvedor para facilitar a integração com as APIs. Além disso, será implementado um sistema de monitoramento em tempo real e rate limiting para garantir a estabilidade e rastreabilidade no uso dos serviços</t>
  </si>
  <si>
    <t>Cristiany dos Santos Souza</t>
  </si>
  <si>
    <t>09. Aperfeiçoamento da gestão administrativa e da governança judiciária; e 12. Fortalecimento da estratégia nacional de TIC e de proteção de dados</t>
  </si>
  <si>
    <t>Portal do Desenvolvedor e Gestão de Acessos;
Monitoramento e Segurança;
Integração de Tarifação e Faturamento.</t>
  </si>
  <si>
    <t>Benefício 1: Implementação da Gestão de Clientes</t>
  </si>
  <si>
    <t>-Base e preparação
-Portal do desenvovedor
-Catátlogo e conteúdo
-Governança de acesso
-Integrações e produção
-Monitoramento e bilhetagem</t>
  </si>
  <si>
    <t>Thiago de Andrade Vieira</t>
  </si>
  <si>
    <t>01913/2025</t>
  </si>
  <si>
    <t>Desenvolvimento de um Conjunto de Solução em Gestão de Dados para a Corregedoria Nacional de Justiça</t>
  </si>
  <si>
    <t>O projeto visa implementar um conjunto de soluções em gestão de dados e tecnologia da informação que possibilite à Corregedoria Nacional de Justiça acessar, extrair, agrupar e analisar, de forma eficiente e segura, o desenvolvimento e a implementação de ferramentas de controle, monitoramento e automação envolvendo todos os Tribunais de Justiça dos Estados e do Distrito Federal, Tribunais Regionais Federais e Tribunais Regionais do Trabalho do Brasil</t>
  </si>
  <si>
    <t>Ministro Mauro Campbell</t>
  </si>
  <si>
    <t>Corregedoria Nacional de Justiça</t>
  </si>
  <si>
    <t>Caio Henrique Faustino da Silva</t>
  </si>
  <si>
    <t>05. Aprimorar as inspeções e correições</t>
  </si>
  <si>
    <t>03. Agilidade e produtividade na prestação jurisdicional;
04. Enfrentamento à corrupção, à improbidade administrativa e aos ilícitos eleitorais; e 
09. Aperfeiçoamento da gestão administrativa e da governança judiciária</t>
  </si>
  <si>
    <t>Mapeamento e Seleção dos Dados;
Painel de BI</t>
  </si>
  <si>
    <t>Dra. Luciana Dória de Medeiros Chaves</t>
  </si>
  <si>
    <t xml:space="preserve">Benefício 1: Garantir maior eficiência aos expedientes de inspeção e fiscalização da CN/CNJ;
Benefício 2: Assegurar o constante aprimoramento das estratégias de monitoramento e fiscalização da CN/CNJ 
Benefício 3:Permitir que a CN/CNJ gerencie riscos e mitigue crises no Poder Judiciário  </t>
  </si>
  <si>
    <t>01945/2022</t>
  </si>
  <si>
    <t>Capacitação técnica para desenvolvedores nas tecnologias da PDPJ - BR</t>
  </si>
  <si>
    <t>Desenvolvimento de capacitações em tecnologias Java e Angular aplicadas à PDPJ-Br, na modalidade de Educação a Distância, para o Poder Judiciário brasileiro.</t>
  </si>
  <si>
    <t>Tamires Aparecida Ferreira Souza</t>
  </si>
  <si>
    <t>16. Aperfeiçoar políticas e práticas de Gestão de Pessoas</t>
  </si>
  <si>
    <t>10. Aperfeiçoamento da gestão de pessoas</t>
  </si>
  <si>
    <t>https://www.cnj.jus.br/tecnologia-da-informacao-e-comunicacao/justica-4-0/capacitacoes/</t>
  </si>
  <si>
    <t>1 - Relatório técnico;
2 - Curso de Java Básico;
3 - Curso de Java Básico - EAD;
4 - Curso de Java Avançado;
5 - 4 - Curso de Java Avançado - EAD;
6 - Curso de Angular;
7 - Curso de Testes Automatizados;
8 - Curso de Angular - EAD;
9 - Curso de Testes Automatizados - EAD.</t>
  </si>
  <si>
    <t>Promoção da qualificação do quadro de servidores do Poder Judiciário nas tecnologias Java e Angular aplicadas à PDPJ-Br, que de forma direta ou indireta contribuem ou pretende contribuir com o desenvolvimento soluções colaborativas na PDPJ-Br.</t>
  </si>
  <si>
    <t xml:space="preserve">• Relatório Técnico
• Curso de Java Básico
• Curso de Java Básico - EAD
• Curso de Java Avançado
• Curso de Java Avançado - EAD
</t>
  </si>
  <si>
    <t>02024/2024</t>
  </si>
  <si>
    <t xml:space="preserve">Aperfeiçoamento funcional em temáticas prioritárias para o CNJ e para Justiça Federal 
(cursos, capacitações, metodologias e ferramentas avançados) – Ciclo Avançado </t>
  </si>
  <si>
    <t xml:space="preserve">Desenvolvimento de metodologias e elaboração de cursos, materiais e ferramentas de capacitação na modalidade de Educação a Distância (EaD) na temática de ciência de dados e em nível avançado, em complemento ao projeto anterior finalizado. </t>
  </si>
  <si>
    <t>Gladis Maddalozzo</t>
  </si>
  <si>
    <t>03. Fomentar a gestão da qualidade dos dados no Poder Judiciário; e 
16. perfeiçoar políticas e práticas de Gestão de Pessoas</t>
  </si>
  <si>
    <t>10. Aperfeiçoamento da Gestão de Pessoas; e
09. Aperfeiçoamento da gestão administrativa e da governança judiciária</t>
  </si>
  <si>
    <t>Estratégia Nacional de Tecnologia da Informação e Comunicação do Poder Judiciário (ENTIC-JUD), Resolução CNJ n. 370/2021;
Programa Justiça 4.0 - Eixo Fortalecimento de Capacidades Institucionais do CNJ (transferência de conhecimento e soluções com foco na segurança jurídica, sustentabilidade de projetos e eficiência da prestação jurisdicional);
 O projeto também relaciona-se à Política Nacional de Formação e Aperfeiçoamento dos Servidores do Poder Judiciário, Resolução Nº 192/2014</t>
  </si>
  <si>
    <t>Curso R Avançado para Ciência de Dados ;
Curso Python Avançado para Ciência de Dados ;
Curso Power BI Avançado para Análise de Dados ;
Curso R Avançado para Ciência de Dados ;
Curso Python Avançado para Ciência de Dados (autoinstrucional);
Curso Power BI Avançado para Análise de Dados (autoinstrucional);
Curso Relatórios e Automações Profissionais com R;
Curso Processamento de Big Data em R e Python;
Curso Mineração de Texto Avançada ;
Curso Relatórios e Automações Profissionais com R (autoinstrucional);
Curso Processamento de Big Data em R e Python (autoinstrucional);
Curso Mineração de Texto Avançada (autoinstrucional);
Curso Machine Learning Avançado;
Curso Aplicações e Dashboard Avançado com R ;
Curso Machine Learning Avançado  (autoinstrucional);
Curso Aplicações e Dashboard Avançado com R (autoinstrucional);</t>
  </si>
  <si>
    <t xml:space="preserve">BENEFÍCIO 1 - Sensibilização de magistrados/as e servidores/as do Poder Judiciário sobre a importância de capacitações na área de Ciência de Dados em nível avançado, a fim de fomentar a cultura de dados no judiciário.
BENEFÍCIO 2 -  Desenvolvimento de capacidades avançadas, na área de Ciência de Dados, de magistrados/as e servidores/as do Poder Judiciário. </t>
  </si>
  <si>
    <t>Departamento de Pesquisas Judiciárias (DPJ)</t>
  </si>
  <si>
    <t>02080/2023</t>
  </si>
  <si>
    <t>Gabinete do Juízo</t>
  </si>
  <si>
    <t>Criação de uma solução modular que permita a realização dos atos de gabinete dos juízes, com arquiteturabaseada em microsserviços, aderente à Plataforma Digital do Poder Judiciário Nacional, instituída pelaResolução CNJ Nº 335/2020 (https://atos.cnj.jus.br/atos/detalhar/3496), e que atenda aos requisitos técnicose de arquitetura fixados pelo CNJ por meio da Portaria CNJ Nº 253-2020(https://atos.cnj.jus.br/atos/detalhar/3582), publicada em 18 de novembro de 2020, que instituiu os critériose diretrizes técnicas para o processo de desenvolvimento de módulos e serviços na Plataforma Digital doPoder Judiciário Brasileiro – PDPJ-Br.</t>
  </si>
  <si>
    <t>Diogo dos Santos Moreira</t>
  </si>
  <si>
    <t xml:space="preserve">• Finalização do novo editor de texto 
• Variáveis e tópico síntese </t>
  </si>
  <si>
    <t>Viabilizar a possibilidade dos tribunais imprimirem maior celeridade e controle aos processos conduzidos pelos gabinetes das varas de justiça dos tribunais do judiciário brasileiro.</t>
  </si>
  <si>
    <t xml:space="preserve">• Módulo em ambiente de produção - março de 2024 
• Lançamento Nacional do Gabinete em 25/03/2025 
• Módulo em ambiente de produção no TJAP – setembro de 2025 
• Realease 4 – fevereiro de 2026 
• Realese 5 
• Realese 6 
• Entrega do novo editor de texto Badon </t>
  </si>
  <si>
    <t>02245/2025</t>
  </si>
  <si>
    <t>SEEU - Reescrita</t>
  </si>
  <si>
    <t>Otimização do Sistema Eletrônico de Execução Unificado (SEEU), com foco em elevar a disponibilidade da solução, otimizar o consumo dos recursos de nuvem na plataforma AWS e viabilizar a absorção progressiva dos tribunais de São Paulo.</t>
  </si>
  <si>
    <t>Tiago Ribeiro Gonçalves</t>
  </si>
  <si>
    <t>07. Fomentar e fortalecer a atuação interinstitucional do CNJ para garantir os direitos dos cidadãos</t>
  </si>
  <si>
    <t>08. Aperfeiçoamento da gestão da justiça criminal; e
12. Fortalecimento da estratégia nacional de TIC e de proteção de dados</t>
  </si>
  <si>
    <t>1. Relatório de Diagnóstico e Proposta de Trabalho;
2. Implementação da proposta de trabalho</t>
  </si>
  <si>
    <t>Dr. Ricardo Alexandre Da Silva Costa</t>
  </si>
  <si>
    <t>DMF - Departamento de Monitoramento e Fiscalização do Sistema Carcerário e do Sistema de Execução de Medidas Socioeducativas</t>
  </si>
  <si>
    <t>Benefício 1: Aumento da robustez e capacidade de absorção de demandas futuras, assim como o aumento de usuários/acessos e processos que tramitam no sistema diariamente.
Benefício 2: Otimização (Redução) dos custos relacionados aos serviços AWS (Estruturante)</t>
  </si>
  <si>
    <t xml:space="preserve"> Fase: Planejamento 
• P1 – Elaboração Canvas 
• P2 – Elaboração Termo de Abertura do Projeto (TAP) 
• P3 - Elaboração Plano de Gestão do Projeto (PGP) / 1.1 Elaboração 
Fase: Execução / P1 - Relatório de Diagnóstico e Proposta de Trabalho 
Fase: Execução / P2 - Implementação da Proposta de Trabalho: 
• Sprint 0 - Onboarding FAJU X Justiça 4.0 
• Sprint 1 - SDK AWS 
• Sprint 2 - Entregar a Prova de Conceito do Upload S3-SDK 
• Sprint 3 - Análise dos Padrões, Transfer e Accelerator - SDK 
• Sprint 4 - MicroService - Adicionar S3 ao Novo Projeto 
• Sprint 5 - SEEU Utilizar as APIs de Arquivo do microsserviço
• Sprint 6 - Remover Dependências de S3 do SEEU e liberar Versão do microsserviço de Arquivo 
• Sprint 7 - Consumir microsserviço de Arquivo Carimbado 
• Sprint 8 - Juntar Documentos - Consumir MS de Assinatura Simples e Completa 
• Sprint 9 - Preparação e entrega do microserviço de arquivos (download, upload, carimbo, 
assinatura) 
• Sprint 10 - Consumir URL de Assinatura nas Funcionalidades do SEEU 
 Medição dos benefícios do Projeto 
• Marco 1 - Medição dos benefícios (Técnico e financeiro) - Antes e Depois sempre mesmo dia da 
semana e horário </t>
  </si>
  <si>
    <t>02394/2024</t>
  </si>
  <si>
    <t>Portal de Serviços</t>
  </si>
  <si>
    <t>O projeto Portal de Serviços tem como objetivo o desenvolvimento e publicação de serviços judiciários, que farão parte de um Portal de acesso unificado aos serviços da Justiça, buscando contribuir para criação de uma identidade visual única para os serviços do Judiciário Nacional.
Para tanto, serão criadas funcionalidades para o público interno, que atua no dia a dia da justiça, e para o público externo, demandantes da justiça.</t>
  </si>
  <si>
    <t>Tania Essabbá</t>
  </si>
  <si>
    <t>01. Desenvolver políticas judiciárias e outros instrumentos para o aperfeiçoamento das atividades dos órgãos do Poder Judiciário e dos seus serviços auxiliares e dos serviços notariais e de registro, e dos demais órgãos correicionais.
07. Fomentar e fortalecer a atuação interinstitucional do CNJ para garantir os direitos dos cidadãos; e 
13. Estimular a desburocratização no Poder Judiciário</t>
  </si>
  <si>
    <t>09. Aperfeiçoamento da gestão administrativa e da governança judiciária.
03. Agilidade e produtividade na prestação jurisdicional</t>
  </si>
  <si>
    <t>Programa Justiça 4.0 - Eixo fortalecimento de capacidades institucionais do CNJ. 
O projeto também apoia a Resolução CNJ N. 335/2020, que institui uma política pública de governança e gestão do processo judicial eletrônico, integrando os tribunais por meio da Plataforma Digital do Poder Judiciário Brasileiro (PDPJ-Br), mantendo o PJe como sistema prioritário do CNJ.</t>
  </si>
  <si>
    <t>(Atividades recorrentes / evolutivas) 
 Funcionalidades para a Justiça 
• Ajustes em Carta Precatória/Resposta 
• Ajustes Ofícios 
• Ajustes Declínio de Competência Serviços Estruturantes 
 Funcionalidades para o público em geral 
• Ajustes das funcionalidades do Portal Interno 
• Integração com sistema de Execução Fiscal (EFIN) 
 Backlog 2026</t>
  </si>
  <si>
    <t>BENEFÍCIO 1 - Padronização do envio de remessas digitais: Proporcionar aos tribunais a capacidade de envio e recebimento de Cartas Precatórias, Declínios de Competência e envios de Ofícios.
BENEFÍCIO 2 - Unificação do local de acesso:Reduzir a necessidade de acessar múltiplos sistemas, otimizando o tempo e esforço dedicados à 
obtenção de informações e andamento processual, promovendo maior transparência no sistema judiciário, permitindo que as partes envolvidas e o público em geral tenham acesso fácil e direto às informações processuais.</t>
  </si>
  <si>
    <t xml:space="preserve">Funcionalidades para a Justiça:
'-Carta Precatória;
-Resposta à Carta precatória.
Funcionalidades para o público em geral:
-Consultar Processos;
-Peticionar Intercorrente;
-Minhas Petições;
-Autos Digitais;
-Integração ao Domicílio Eletrônico;
-Integração ao Diário da Justiça;
-Integração Peticionamento Intercorrente.
 Tratamentos de cenários críticos: 
• Limitar Declínio e Petição Inicial para classes escolhidas </t>
  </si>
  <si>
    <t>02465/2024</t>
  </si>
  <si>
    <t>SisPreq – Sistema de Precatórios e Requisições de Pequeno Valor</t>
  </si>
  <si>
    <t>Solução nacional para a expedição de ofícios requisitórios, gestão de fila e pagamento de Requisições de Pequeno Valor (RPVs) e Precatórios</t>
  </si>
  <si>
    <t>Artur Nascimento</t>
  </si>
  <si>
    <t>Política Judiciária de Gestão de Precatórios</t>
  </si>
  <si>
    <t>15/12/2026</t>
  </si>
  <si>
    <t>- Formulário de pré-cadastro de Precatórios
- Tela de visuaização de cadastro
- Funcionalidade de edição de cadastros
- Geração e expedição de minuta
- Implementações técnicas</t>
  </si>
  <si>
    <t xml:space="preserve">- Controle e padronização dos processos de Precatórios e RPVs pelos Tribunais 
- Geração de informações relevantes para subsidiar tomada de decisão, otimizando recursos públicos
- Aumento de velocidade e eficiência no pagamento de precatórios e RPVs </t>
  </si>
  <si>
    <t xml:space="preserve">
• Entrada de recurso (Rafael Medrado) no projeto (ainda em phase-out anterior). 
• Reunião de ponto de controle com a Dra. Paula (apresentação do time, modularização e 
formação de equipe) 
• Reunião com a DB (Carlos) sobre modularização / repasse. 
• Indicação de arquiteto responsável (Rafael Chagas) </t>
  </si>
  <si>
    <t>02476/2024</t>
  </si>
  <si>
    <t>Itinerância Cooperativa na Amazônia Legal – 1ª Edição de 2024 – Humaitá e Lábrea/AM</t>
  </si>
  <si>
    <t>Estruturar e implementar acesso à Justiça por meio da realização de Itinerância cooperativa na Amazônia Legal.</t>
  </si>
  <si>
    <t>Angela Maria dos Santos</t>
  </si>
  <si>
    <t>Resolução CNJ n. 460, de 6 de maio de 2022</t>
  </si>
  <si>
    <t>-Desenvolver planos de ação por eixos temáticos
- realizar itinerância
- compilar, avaliar e apresentar resultados</t>
  </si>
  <si>
    <t>- Garantir acesso à Justiça e promover cidadania à população da região sede da itinerância
- Documentar os dados da localidade atendida, empiricamente coletados, e as informações 
dos serviços prestados</t>
  </si>
  <si>
    <t>02483/2023</t>
  </si>
  <si>
    <t>SNA – Novo Sistema Nacional de Adoção e Acolhimento</t>
  </si>
  <si>
    <t>Desenvolvimento de uma nova versão do Sistema Nacional de Adoção e
Acolhimento (Novo SNA) com inclusão de soluções adequadas aos padrões da PDPJ.</t>
  </si>
  <si>
    <t>Dr. Gabriel Da Silveira Matos</t>
  </si>
  <si>
    <t>Finalizado</t>
  </si>
  <si>
    <t>• Etapa 1: Mapeamento de processos e requisitos;
• Etapa 2: Integração PDPJ;
• Etapa 3: Módulo de Pretendentes (Parte 1);
• Etapa 4: Treinamento, disseminação das informações;
• Etapa 5: Monitoramento da qualidade/uso da solução.</t>
  </si>
  <si>
    <t>Dra. Rebeca de Mendonça Lima</t>
  </si>
  <si>
    <t xml:space="preserve">Benefício 1: Mapeamento amplo do processo de adoção e acolhimento
Benefício 2: Integração do SNA aos sistemas processuais do Poder Judiciário e Poder Executivo, por meio da PDPJ.
Benefício 3: Melhoria e evolução das demandas identificadas no SNA anterior (legado).
Benefício 4: Controle, monitoramento e disseminação das informações, com garantia de padrões éticos e auditáveis.
Benefício 5: Avanço na eficácia do Sistema Nacional de Adoção e Acolhimento.
</t>
  </si>
  <si>
    <t>02626/2025</t>
  </si>
  <si>
    <t>Fortalecimento da Segurança Cibernética e da Transparência para Governança e Efetividade da Atuação do Poder Judiciário (Projeto BRA/24/021)</t>
  </si>
  <si>
    <t>Criar ferramentas e estratégias para melhorar a segurança cibernética, a preservação de documentos e o gerenciamento de informações e conhecimentos dos sistemas do Conselho Nacional de Justiça.</t>
  </si>
  <si>
    <t>Dr. João Felipe Menezes Lopes</t>
  </si>
  <si>
    <t>A definir</t>
  </si>
  <si>
    <t>09. Fomentar e incrementar a produção de soluções tecnológicas, com foco em inovação e transformação digital;
13. Estimular a desburocratização no Poder Judiciário</t>
  </si>
  <si>
    <t>09. Aperfeiçoamento da gestão administrativa e da governança judiciária;
12. Fortalecimento da estratégia nacional de TIC e de proteção de dados</t>
  </si>
  <si>
    <t>Estratégia Nacional de Segurança Cibernética do Poder Judiciário (ENSEC-PJ), instituída pela Resolução CNJ Nº 396/2021;
Política da Estratégia Nacional de Tecnologia da Informação e Comunicação do Poder Judiciário (ENTIC-JUD), instituída pela Resolução CNJ Nº 370/2021.</t>
  </si>
  <si>
    <t>Benefício 1: Fortalecimento da segurança cibernética nas ferramentas digitais do Judiciário.
Benefício 2: Aprimoramento da usabilidade negocial e técnica dos serviços tecnológicos do CNJ, alinhado aos protocolos de segurança cibernética para usuários internos e externos
Benefício 3:Preservação digital e de gestão documental para produção e análise de dados de formulação, apoio à implantação e monitoramento de políticas judiciárias
Benefício 4: Gestão eficiente e gestão de conhecimento do projeto realizadas em atendimento ao usuário</t>
  </si>
  <si>
    <t>02633/2025</t>
  </si>
  <si>
    <t>Itinerância Cooperativa na Amazônia Legal – Edição de 2025 – Boca do Acre (AM) e Xapuri (AC)</t>
  </si>
  <si>
    <t xml:space="preserve">
Estruturar e implementar acesso a direitos por meio do Programa Itinerância Cooperativa na Amazônia Legal.</t>
  </si>
  <si>
    <t>Thais Martins Bosch</t>
  </si>
  <si>
    <t>01. Garantia dos direitos fundamentais e 02. Fortalecimento da Relação Institucional do Judiciário com a Sociedade</t>
  </si>
  <si>
    <t>Política de Cooperação Judiciária, instutuída pela Resolução Nº 350 de 27/10/2020</t>
  </si>
  <si>
    <t>Itinerância na  Boca do Acre (AM) e Xapuri (AC)</t>
  </si>
  <si>
    <t>Benefício 1 - Garantir acesso à justiça e promover cidadania à população da região sede da itinerância; e 
Benefício 2 - Documentar os dados da localidade atendida, empiricamente coletados, e as informações 
dos serviços prestados</t>
  </si>
  <si>
    <t>02660/2023</t>
  </si>
  <si>
    <t>Propagar - Inclusão, Acessibilidade, Justiça e Cidadania</t>
  </si>
  <si>
    <t>Promover eventos virtuais visando a difusão de ações e projetos implementados nos tribunais que estejam
relacionados à inclusão do cidadão, à acessibilidade e à cidadania.</t>
  </si>
  <si>
    <t>Conselheiro Mário Goulart Maia</t>
  </si>
  <si>
    <t>Gabinete do Conselheiro Mário Goulart Maia</t>
  </si>
  <si>
    <t>Eneida Pimentel Barreto</t>
  </si>
  <si>
    <t>Gab. Cons. Juiz Trabalho</t>
  </si>
  <si>
    <t>14. Impulsionar a implantação e a gestão das  Políticas de Sustentabilidade e Acessibilidade</t>
  </si>
  <si>
    <t>Resolução 401/2021 - Diretrizes de acessibilidade e inclusão de pessoas com deficiência nos órgãos do
Poder Judiciário e de seus serviços auxiliares, e regulamenta o funcionamento de unidades de
acessibilidade e inclusão.</t>
  </si>
  <si>
    <t>Não há</t>
  </si>
  <si>
    <t>1) Impulsionar a implementação e a gestão de políticas de Sustentabilidade e Acessibilidade.
2) Fomentar e fortalecer a atuação interinstitucional do CNJ para garantir os direitos do cidadão._x000D_</t>
  </si>
  <si>
    <t xml:space="preserve">• Ciclo 1 - Projeto Linguagem Simples - TJBA
• Ciclo 2 - Balcão Visual. TRT15
• Ciclo 3 - Central Judicial do Idoso. TJDFT
• Ciclo 4 - Construção de novos protocolos PoPruajud
• Ciclo 5 - Aguardando tema
• Compilação e análise de dados
• Publicação revista
</t>
  </si>
  <si>
    <t>02887/2024</t>
  </si>
  <si>
    <t>Apoio a implantação de soluções da PDPJ-Br</t>
  </si>
  <si>
    <r>
      <t>O objetivo principal é assegurar que todos os participantes do sistema tenham acesso a um suporte técnico eficiente, capaz de solucionar problemas mais complexos que exijam conhecimentos especializados, garantindo assim a continuidade e a eficiência dos serviços prestados pela PDPJ-Br</t>
    </r>
    <r>
      <rPr>
        <sz val="12"/>
        <color rgb="FF000000"/>
        <rFont val="Times New Roman"/>
        <family val="1"/>
      </rPr>
      <t>.</t>
    </r>
  </si>
  <si>
    <t xml:space="preserve">01. Desenvolver políticas judiciárias e outros instrumentos para o aperfeiçoamento das atividades dos órgãos do Poder Judiciário e dos seus serviços auxiliares e dos serviços notariais e de registro, e dos demais órgãos correicionais;
09. Fomentar e incrementar a produção de soluções tecnológicas, com foco em inovação e transformação digital;
10. Aprimorar a governança e a gestão da tecnologia e comunicação sob a ótica de soluções colaborativas.
</t>
  </si>
  <si>
    <t xml:space="preserve"> Programa Justiça 4.0 (Projeto BRA/20/003)</t>
  </si>
  <si>
    <t xml:space="preserve"> Etapa 2 – Planejamento da Operação, Mapeamento e Capacitação:  
• Realizar o mapeamento dos sistemas legados sem fila de atendimento no GLPI ou filas sem 
atendimento 
• Reestruturar as filas de atendimento no GLPI conforme necessidade 
 Etapa 3 -Triagem e atendimento técnico N2  
• Realizar a triagem dos chamados/tarefas direcionados pelo N1 para atendimento 
• Realizar a atendimento dos chamados/tarefas Nivel 2 
 Etapa 4 – Escalação, Documentação e Comunicação 
 Etapa 5 – Apoio às soluções PDPJ e Monitoramento </t>
  </si>
  <si>
    <t>- Melhoria do Suporte Técnico à Implementação das soluções da PDPJ</t>
  </si>
  <si>
    <t xml:space="preserve">Etapa 1 – Planejamento do projeto  
 Etapa 2 – Planejamento da Operação, Mapeamento e Capacitação / Criar as novas filas de atendimento 
conforme necessidade / Realizar a capacitação do time de suporte N2 
• Serviços Estruturantes 
• CODEX 
• Domicílio Judicial Eletrônico 
• SNGB 
• BNMP 
• SNA 
• INTEGRA 
• PREVJUD 
• SISPERJUD 
• SPVATJUD 
• Portal JUS.BR 
• Consulta Nacional de Pessoas (API Pessoas) 
• Gestão de Clientes 
</t>
  </si>
  <si>
    <t>02888/2024</t>
  </si>
  <si>
    <t>Delegação de Perfis</t>
  </si>
  <si>
    <t>Ampliar a utilização da Plataforma de Delegação de Perfis para abranger outros módulos básicos e negociais da
PDPJ, possibilitando a consolidação da delegação de acessos em uma plataforma centralizada.</t>
  </si>
  <si>
    <t>Juliano Pinto</t>
  </si>
  <si>
    <t>02938/2021</t>
  </si>
  <si>
    <t>SNGB - Sistema Nacional de Gestão de Bens</t>
  </si>
  <si>
    <t xml:space="preserve">Produzir nova ferramenta digital para cadastro e controle dos bens apreendidos no âmbito dos processos da justiça brasileira, em substituição à ferramenta atual, denominada Sistema Nacional de Bens Apreendidos (SNBA). </t>
  </si>
  <si>
    <t>OBJETIVO GERAL
Contratar uma empresa para desenvolvimento do Novo SNBA, um sistema que visa o cadastramento e registro debens apreendidos nos procedimentos tramitados na justiça brasileira, permitindo um melhor controle dos processos e bens pelos órgãos judiciais.
OBJETIVOS ESPECÍFICOS
O Novo SNBA deverá favorecer a integração do Poder Judiciário no âmbito da gestão de bens apreendidos, atuando com eficácia no controle desses bens. O sistema a ser desenvolvido no contexto desta seleção deverá observar as seguintes premissas:
Ser um sistema agnóstico, capaz de se integrar a todos os sistemas de processos eletrônicos, nos termos da Resolução CNJ nº 335/2020, que institui a PDPJ-Br.
Controlar a situação do bem apreendido desde o registro no sistema até a sua destinação final, sinalizando aos sistemas de processo eletrônico a existência de bem sem destinação, com o fito de impedir o arquivamento definitivo de inquérito ou processo sem que seja dada destinação definitiva a todos os objetos, bens e valores apreendidos e a ele relacionados.
Deverá ser capaz de armazenar informações sobre centenas de milhares de registros de bens apreendidos e seus vínculos processuais (pessoas físicas, jurídicas, bens e processos) e possivelmente milhões de vínculos entre esses registros. A tecnologia utilizada deverá se desenvolver através de um banco de dados para o armazenamento e busca dos vínculos.
Atender a realidade de tribunais que não possuem central de gestão de bens apreendidos (sendo a gestão realizada ao nível da unidade judiciária), sem deixar de atender tribunais que a possuem ou desejam criá-la. A ferramenta deverá ser acessível através da Web, utilizando os navegadores recentes e sem a necessidade de instalação de plugins ou programas adicionais.
A estratégia de disseminação do sistema deverá incluir um Manual Técnico (contendo a produção de conhecimentos gerados) e atividades específicas de transferência da informação e conhecimento aos beneficiários e usuários da ferramenta. Nesse sentido, as atividades de disseminação dos produtos do SNBA não ocorrerão apenas em formato de ação pedagógica, mas deverão criar condições de familiaridade e encorajar o real uso sistema. Os objetivos específicos da estratégia são a difusão do sistema e seus benefícios, criação de ambientes de informação e capacitação e o constante incentivo ao uso e aprendizado. Para isso, as equipes dos Eixos 1 e 3 trabalharão em conjunto no desenvolvimento do sistema para o alinhamento da estratégia e sua correta disseminação.</t>
  </si>
  <si>
    <t>Alexandre Alves de Oliveira</t>
  </si>
  <si>
    <t>https://www.cnj.jus.br/tecnologia-da-informacao-e-comunicacao/justica-4-0/sistema-nacional-de-gestao-de-bens-sngb/</t>
  </si>
  <si>
    <t>1 - Especificações de requisitos funcionais e não funcionais para o desenvolvimento e implantação do Novo SNBA;
2 - Entrega e instalação do módulo de cadastramento e registro de bens apreendidos;
3 - Especificações para o desenvolvimento de painéis BI para apresentação de dados;
4 -  Entrega e instalação do módulo de painéis BI;
5 - Especificações de requisitos funcionais e não funcionais para os módulos referentes ao acesso e controle de perfis no sistema e demais módulos relacionados ao acompanhamento da tramitação, movimentação, status (ativação/desativação) e destinação dos bens. 
6 - Entrega e instalação dos módulos do Novo SNBA no ambiente do CNJ;
7 - Especificações de requisitos funcionais e não funcionais para prover arquitetura de back end baseada em API;
8 - Entrega e instalação do módulo de interligação do SNBA;
9 - Especificações de requisitos funcionais e não funcionais para prover funcionalidades de Controle e Segurança para o sistema;
10 - Entrega e instalação das funcionalidades de Controle e Segurança para o sistema;
11 -  Material para capacitação autoinstrucional</t>
  </si>
  <si>
    <t xml:space="preserve">1 - Acabar com as fragilidades identificadas no sistema anterior  de Gestão de Bens (por meio do novo sistema SNGB, que já será construído de forma a sanar as fragilidades identificadas);
2 - Possibilitar o uso do sistema de gestão de bens (SNGB) em qualquer processo judicial eletrônico (por  meio da elaboração de nova versão, com arquitetura agnóstica, capaz de se integrar a todos os sistemas processuais eletrônicos por meio da PDPJ); </t>
  </si>
  <si>
    <t>Produto 1 - Documento técnico contendo especificações de requisitos funcionais e não funcionais para o desenvolvimento e implantação do Novo SNBA (1265206);
Produto 2 - Relatório técnico de entrega e instalação do módulo de cadastramento e registro de bens apreendidos (1277784);
Produto 3 - Documento técnico contendo especificações para o desenvolvimento de painéis BI para apresentação de dados (1312982);
Produto 4 - Relatório técnico de entrega e instalação do módulo de painéis BI (1312992);
Produto 5 - Documento técnico contendo especificações de requisitos funcionais e não funcionais para os módulos referentes ao acesso e controle de perfis no sistema e demais módulos relacionados ao acompanhamento da tramitação, movimentação, status (ativação/desativação) e destinação dos bens (1342917);
Produto 6 - Relatório técnico de entrega e instalação dos módulos do Novo SNBA no ambiente do CNJ (1352740);
Produto 7 - Documento técnico contendo especificações de requisitos funcionais e não funcionais para prover arquitetura de back end baseada em API (1363432);
Produto 8 - Relatório técnico de entrega e instalação do módulo de interligação do SNBA (1395454);
Produto 9 - Documento técnico contendo especificações de requisitos funcionais e não funcionais para prover funcionalidades de Controle e Segurança para o sistema (1398543);
Produto 10 - Relatório técnico de entrega e instalação das funcionalidades de Controle e Segurança para o sistema (1428550);
Produto 11 - Relatório Final e material para capacitação autoinstrucional (1456264, 1456268 e 1456271);
Produto 12 - Documento técnico contendo (1) a especificação de requisitos funcionais e não funcionais utilizados para a implementação do serviço de busca de informações processuais do Codex ou de outras bases centralizadas (2) atualização da documentação do sistema (FAQ, manuais e outros) (1722780);
Produto 13 - Documento técnico contendo (1) a especificação de requisitos funcionais e não funcionais utilizados para implementação da integração do novo SNBA ao serviço de busca de informações processuais do Codex ou outras bases centralizadas (2) atualização da documentação do sistema (FAQ, manuais e outros) (1920162);
Produto 14 - Documento técnico contendo (1) especificações de requisitos funcionais e não funcionais utilizados para a implementação de plug in de integração do Novo SNBA com outros sistemas integrantes à PDPJ (2) atualização da documentação do sistema (FAQ, manuais e outros) (1782570);
Produto 15 - Documento técnico contendo (1) especificações de requisitos funcionais e não funcionais para a implementação de evoluções nos módulos já existentes no Novo SNBA, preferencialmente os módulos de cadastro e remessas de bens ou integrações com usuários internos e externos (2) atualização da documentação do sistema (FAQ, manuais e outros) (1782571);
Produto 16 - Documento técnico contendo: (1) especificações de requisitos funcionais e não funcionais para a implementação de evoluções nos módulos já existentes no Novo SNBA, preferencialmenete os módulos de controle e segurança (2) atualização da documentação do sistema (FAQ, manuais e outros) (1884745);
Produto 17 - Documento técnico contendo (1) especificações de requisitos funcionais e não funcionais para a implementação de evoluções nos módulos já existentes no Novo SNBA, preferencialmente as consultas e relatórios estatísticos do sistema (2) atualização da documentação do sistema (FAQ, manuais e outros) e Relatório final contendo avaliação dos resultados alcançados e da estratégia adotada ao longo do trabalho, destacando lições técnicas aprendidas, pontos de melhoria na evolução dos sistemas trabalhados, bem como avaliação dos resultados obtidos (1890538).</t>
  </si>
  <si>
    <t>02941/2021</t>
  </si>
  <si>
    <t>SNIPER - Justiça 4.0</t>
  </si>
  <si>
    <t>Desenvolver ferramenta de análise financeira e busca de ativos do Poder Judiciário. A ferramenta será denominada SNIPER.</t>
  </si>
  <si>
    <t>O objetivo do projeto é o desenvolvimento do SNIPER, um sistema que visa a implantação de ferramenta cuja funcionalidade principal será a possibilidade de cruzar informações contidas em bases de dados diferentes, abertas e fechadas, destacando os vínculos societários, patrimoniais e financeiros existentes entre pessoas físicas e jurídicas, que não seriam perceptíveis por uma análise apenas documental, realizados a partir de uma decisão judicial pertinente. A ferramenta dará a possibilidade de os usuários explorarem graficamente esses vínculos, fazendo com que as investigações sejam feitas de maneira mais rápida e eficiente.</t>
  </si>
  <si>
    <t>Carlo Borsoi Moura</t>
  </si>
  <si>
    <t>https://www.cnj.jus.br/tecnologia-da-informacao-e-comunicacao/justica-4-0/sniper/</t>
  </si>
  <si>
    <t>1 - Módulo "mapa de relacionamentos";
2 - Módulo “ferramenta de pesquisa e busca de ativos”;
3 - Módulo “mapa de relacionamentos CNJ”;
4 - Módulo “dados sigilosos” ;
5 - Garantia</t>
  </si>
  <si>
    <t>Ferramenta de análise de entidades e ativos</t>
  </si>
  <si>
    <t xml:space="preserve">- Módulo Mapa de Relacionamento com dados aberto
- Módulo de pesquisa e busca de ativos
- Módulo Mapa de Relacionamento CNJ
- Módulo de dados sigilosos
</t>
  </si>
  <si>
    <t>Francisco Gonçalves de Araújo Filho</t>
  </si>
  <si>
    <t>03096/2021</t>
  </si>
  <si>
    <t>PMO Jud -Redesenho dos processos do Escritório de Projetos do CNJ</t>
  </si>
  <si>
    <t>Redesenho dos processos do Escritório de Projetos do CNJ</t>
  </si>
  <si>
    <t xml:space="preserve">Objetivo Geral 
Estruturar escritório de projetos no CNJ, com foco na otimização e coordenação, transparência e gestão estratégica das iniciativas implantadas pelo CNJ. 
Objetivos Específicos 
Fortalecer a capacidade do CNJ para elaborar, acompanhar e difundir seus programas e projetos estratégicos. 
Fortalecer a capacidade do CNJ para monitorar os resultados de políticas judiciárias, programas e projetos. 
Ampliar o acesso do público a dados atualizados sobre Portfólio do CNJ. 
Fortalecer a capacidade do CNJ para monitorar os indicadores de desempenho da Estratégia Nacional do Poder Judiciário (2021-2026). </t>
  </si>
  <si>
    <t>Claudia Lopes Correa</t>
  </si>
  <si>
    <t>12. Promover práticas inovadoras de gestão e de incentivo ao trabalho colaborativo</t>
  </si>
  <si>
    <t xml:space="preserve">Produto 01 - Plano de trabalho, Produto
Produto 02 - Diagnóstico de Maturidade em Gestão, 
Produto 03 - Capacitação em Gerenciamento de Portfólios e Projetos,
Produto 04 - Plano de Melhorias, 
Produto 05 – Revisão da Metodologia de Gerenciamento de Projetos, 
Produto 06 - Implementação e Monitoramento do Escritório de Projetos - FASE 1, 
Produto 07 - Implementação e Monitoramento do Escritório de Projetos - FASE 2 e 
Produto 08 – Avaliação e Guia com Ferramentas e Melhores Práticas de Gestão de Projetos. </t>
  </si>
  <si>
    <t>Dra. Dayse Starling Motta</t>
  </si>
  <si>
    <t xml:space="preserve">- Entrega 01: Plano de Trabalho
- Entrega 02: Capacitações em gerenciamento de projetos
- Entrega 03: Relatório final de diagnóstico P3M3 e MMGP
- Entrega 04: Plano de Melhorias
- Entrega 05: Proposta de atualização da metodologia de gerenciamento de projetos do centro de serviços 
-Entrega 06: Modelos e documentos complementares à metodologia definida no produto “Revisão da Metodologia de Gerenciamento de Projetos”, bem como modelos de relatórios e dashboards, conforme necessário; Definição dos requisitos para implementação, customização ou utilização de ferramentas para gestão de projetos; Execução das configurações, parametrizações ou implantações de sistemas necessários, incluindo Microsoft Project Online, Power BI e Microsoft 365, conforme plano de trabalho.
- Entrega 07: Monitoramento e acompanhamento junto à equipe CNJ.
- Entrega 08: Relatório de encerramento do projeto.
</t>
  </si>
  <si>
    <t>03545/2021</t>
  </si>
  <si>
    <t>Painel de Estatística   - Justiça 4.0</t>
  </si>
  <si>
    <t>Produzir novo painel digital, denominado "Painel de Estatística", seguindo o disposto na Resolução n. 333/2020, que determina a inclusão de campo/espaço denominado "Estatística" na página principal dos sítios eletrônicos dos
órgãos do Poder Judiciário, disponibilizando dados de um banco de dados massivo em um painel de simples
navegação e acesso, compilando as estatísticas judiciárias processuais mais relevantes.</t>
  </si>
  <si>
    <t xml:space="preserve">O objetivo do presente projeto é possibilitar, por meio do desenvolvimento de um painel de estatísticas, com vistas a facilitar o acesso às informações consolidadas da atividade-fim dos órgãos do Poder Judiciário, ressaltando que a atividade-meio é a produção dos dados gerados pelos referidos Órgãos do Poder Judiciário em suas respectivas esferas, de modo a fundamentar a tomada de decisões tanto do CNJ quanto dos próprios Tribunais. 
Essa disponibilidade de dados se justifica pela imprescindibilidade do uso de dados atuais, confiáveis e desagregados, disponíveis em um mesmo campo/espaço no portal do tribunal, com vistas a reunir dados abertos, melhorando a transparência e o acesso a esses dados e informações por meio de Painéis de Business Intelligence e Relatórios Estatísticos referentes à atividade-fim do Poder Judiciário. </t>
  </si>
  <si>
    <t>Resolução n. 76/2019</t>
  </si>
  <si>
    <t>I – Entrega do painel de estatística em pleno funcionamento e com uso aberto aos usuários;
2 - Usabilidade da ferramenta por todos os tribunais do país;
3 - Utilização dos dados do painel como referência para obtenção de pontuação dos tribunais no prêmio CNJ de qualidade;
4 - Disponibilização de acesso para corregedoria nacional de justiça para a extração de dados customizados, além de realização de reuniões periódicas para apresentação do painel, verificação do uso e sugestão de implementações;
5 - Desenvolvimento de 6 painéis;
6 - Reestruturação do Sistema de Gestão de Tabelas (SGT) em suas tabelas de consultas de classes, movimentos e assuntos</t>
  </si>
  <si>
    <t>1 - Disponibilização de dados saneados e padronizados;
2 - Desenvolvimento de tecnologia que servirá como modelo para a atualização de parâmetros vigentes e para o desenvolvimento de outros painéis temáticos do CNJ;
3 - Redução do nível de inconsistência detectado pelo DPJ nos painéis de qualificação dos dados, a partir da qualificação do DataJud.</t>
  </si>
  <si>
    <t xml:space="preserve">• Entrega do painel de estatística em pleno funcionamento e com uso aberto aos usuários
• Usabilidade da ferramenta por todos os tribunais do país
• Utilização dos dados do painel como referência para obtenção de pontuação dos tribunais no prêmio CNJ de qualidade
• Disponibilização de acesso para corregedoria nacional de justiça para a extração de dados customizados, além de realização de reuniões periódicas para apresentação do painel, verificação do uso e sugestão de implementações
• Desenvolvimento de 6 painéis
• Reestruturação do Sistema de Gestão de Tabelas (SGT) em suas tabelas de consultas de classes, movimentos e assuntos
</t>
  </si>
  <si>
    <t>03558/2021</t>
  </si>
  <si>
    <t>Prevjud - Automação de Processos Previdenciários - Justiça 4.0</t>
  </si>
  <si>
    <t xml:space="preserve">Solução de software para automação dos acessos a informações das bases de dados do INSS, bem como automação do cumprimento, pelo INSS, das decisões judiciais. </t>
  </si>
  <si>
    <t>Objetivo Geral
Desenvolver  solução de software para automação dos acessos a informações das bases de dados do INSS, bem como automação do cumprimento, pelo INSS, das decisões judiciais.
Objetivos Específicos
-	Automatizar a requisição aos sistemas do INSS,  sem a necessidade de intervenção humana, dos dados do segurado necessários para o andamento da ação judicial.
-	Automatizar a disponibilização, pelos sistemas do INSS, dos dados do segurado necessários para o andamento da ação judicial;
-	Automatizar o encaminhamento dos dados das decisões judiciais, de forma estruturada, aos sistemas do INSS;
-	Automatizar o acompanhamento do cumprimento das decisões judiciais;
-	Automatizar o recebimento da informação que atesta o cumprimento pelo INSS das decisões judiciais.</t>
  </si>
  <si>
    <t>Wallace Fernando Carlos da Silva</t>
  </si>
  <si>
    <t>31/03/2026</t>
  </si>
  <si>
    <t>https://www.cnj.jus.br/tecnologia-da-informacao-e-comunicacao/justica-4-0/prevjud/</t>
  </si>
  <si>
    <t>1 - Montagem do Ambiente PDPJ - Prover toda a infraestrutura de desenvolvimento do serviço na plataforma PDPJ, o que inclui projeto no Jira, Gitlab e ambientes de desenvolvimento, QA e Produção;
2- Integração com SSO - Permite que os sistemas processuais eletrônicos possam autenticar os usuários no serviço Prevjud pela PDPJ.;
3 - Nova Integração com SSO - Permitir que os sistemas processuais eletrônicos possam receberas notificações do serviço Prevjud pela PDPJ.;
4 - Dossiê Médico - Disponibilizar o relatório de dossiê médico do INSS para os autos dos processos judiciais de forma eletrônica;
5 - Dossiê Previdenciário - Disponibilizar os relatórios do dossiê previdenciário do INSS para os autos dos processos judiciais de forma eletrônica;
6 - PAP - Disponibilizar o relatório de Processo Administrativo Previdenciário do INSS para os autos dos processos judiciais de forma eletrônica;
7 - Módulo de Gestão de Ordens Judiciais - Permite o envio eletrônico de uma ordem judicial ao INSS para o seu cumprimento, evitando uso de e-mail, ofícios e outras formas mais manuais;
8 - Módulo de Extração de Dados - Permite a extração dos dados da intimação judicial da sentença do processo, o que permite o envio desta intimação de forma automática, sem preenchimentos de formulários.</t>
  </si>
  <si>
    <t>1 - Disponibilização da ferramenta PREVJUD que possa ser utilizada por todos os sistemas processuais eletrônicos.;
2 - Acesso automático de informações previdenciárias, insertas no Dossiê Médico, Dossiê Previdenciário e Processo Administrativo Previdenciário;
3 - Intimação automatizada de ordem judicial dirigida ao INSS.</t>
  </si>
  <si>
    <t xml:space="preserve">Montagem do Ambiente PDPJ
Integração com SSO
Nova Integração com SSO
Dossiê Médico
Dossiê Previdenciário
PAP
Módulo de Gestão de Ordens Judiciais
Módulo de Extração de Dados
</t>
  </si>
  <si>
    <t>Antonio Ferreira de Melo Filho</t>
  </si>
  <si>
    <t>03559/2021</t>
  </si>
  <si>
    <t>Aperfeiçoamento funcional em temáticas prioritárias para o CNJ e para Justiça Federal (cursos, capacitações, metodologias e ferramentas)</t>
  </si>
  <si>
    <t xml:space="preserve">Elaboração de cursos, materiais e ferramentas de capacitação na modalidade de Educação à Distância (EaD)           
</t>
  </si>
  <si>
    <t>Objetivo Geral
Elaboração de cursos de capacitação com foco no aperfeiçoamento da atuação do Poder Judiciário, disponibilização de ferramentas e metodologias para a gestão do conhecimento e fortalecimento da cultura organizacional.
Objetivos Específicos
Fortalecer as capacidades institucionais do CNJ e do Poder Judiciário e a promoção da segurança jurídica;
Promover o aprimoramento e gestão da informação dos dados judiciários e a integração das informações estratégicas;
Desenvolver conteúdos adaptados às demandas de formação dos magistrados e servidores do Poder Judiciário;
Aprimorar o acesso à informação, capacitação e o estabelecimento da governança colaborativa no Poder Judiciário.</t>
  </si>
  <si>
    <t>1. Fundamentos de estatística para Ciência de dados;
2. Excel para análise de dados; 
3. R para análise de dados;
4. Python para análise de dados;
5. Dashboards com o Power BI;
6. Dashboards e relatórios dinâmicos com o R  e
7. aprendizado de máquina.</t>
  </si>
  <si>
    <t>Benefício 1 - Sensibilizar magistrados e servidores do Poder Judiciário sobre a importância de capacitações na área de Ciência de Dados, a fim de fomentar a cultura de dados no judiciário
Benefício 2 - Habilitar o desenvolvimento de capacidades funcionais, na área de Ciência de Dados, de magistrados e servidores do Poder Judiciário</t>
  </si>
  <si>
    <t>- Plano de execução detalhada do acordo - 1227309;
Curso Fundamentos de Estatística para Ciência de Dados – síncrono e autoinstrucional – 1413430;
- Curso Excel para Análise de Dados – síncrono e autoinstrucional - 1489516;
- Curso R para Análise de Dados – síncrono e autoinstrucional – 1501914;
- Curso Python para Análise de Dados – síncrono e autoinstrucional - 1375897;
- Curso Dashboards com o Power BI – síncrono e autoinstrucional - 1382768;
- Curso Dashboards e Relatórios Dinâmicos com o R – síncrono e autoinstrucional –  1381256;
- Curso Aprendizado de Máquina (Machine Learning) – síncrono e autoinstrucional –  1535861;
- Curso Mineração de Texto – síncrono e autoinstrucional –  1535863;
- Relatório final das ofertas dos cursos –  1535898;
- Plano de trabalho do Curso síncrono de Spark – Distribuição e Processamento de Dados –  1484510;
- Curso de Spark – Distribuição e Processamento de Dados – síncrono -  1612642;
- Curso de Spark – Distribuição e Processamento de Dados – adaptado ao formato autoinstrucional –  1771992</t>
  </si>
  <si>
    <t>03924/2023</t>
  </si>
  <si>
    <t>Nacionalização SAREF - Sistema de Apresentação Remota por Reconhecimento Facial</t>
  </si>
  <si>
    <t>Disponibilizar, para todos os tribunais aderentes à PDPJ-BR, o Sistema SAREF (Sistema de Apresentação
Remota por Reconhecimento Facial), de modo a nacionalizar a solução.</t>
  </si>
  <si>
    <t>Marcelo da Rocha Santos</t>
  </si>
  <si>
    <t xml:space="preserve">Documentos iniciais do projeto elaborados e aprovados.
Versão inicial dos manuais entregue para revisão pela área de comunicação
Revisão do sistema desenvolvido
</t>
  </si>
  <si>
    <t>Disponibilização ampla de ferramenta que possibilita o reconhecimento facial de pessoas
em alternativas penais</t>
  </si>
  <si>
    <t>Identificação e gestão das melhorias necessárias
Elaboração de manuais e documentação do sistema
Implementação de melhorias conforme necessidades apresentadas e aprovadas pelo DMF
Transferência de conhecimento para o CNJ
Criação de cenários de testes e realização de testes</t>
  </si>
  <si>
    <t>Jairo Simão Santana Melo</t>
  </si>
  <si>
    <t>04137/2024</t>
  </si>
  <si>
    <t>Integra - Serviço de Monitoramento de Atos do CNJ</t>
  </si>
  <si>
    <t>Evoluir de forma digital o serviço de monitoramento de normativos do CNJ, padronizar e automatizar os fluxos do procedimento de Acompanhamento de Cumprimento de Decisão – Cumprdec, tornando um serviço oficial do CNJ.</t>
  </si>
  <si>
    <t>Ministro Luís Roberto Barroso</t>
  </si>
  <si>
    <t>Sandra de Oliveira Carvalho</t>
  </si>
  <si>
    <t>SERES - Seção de Acompanhamento das Resoluções e Recomendações</t>
  </si>
  <si>
    <t>02. Aperfeiçoar os mecanismos de monitoramento de políticas judiciárias</t>
  </si>
  <si>
    <t>Política de Gestão da Inovação - Resolução CNJ nº 395/2021</t>
  </si>
  <si>
    <t xml:space="preserve">Levantar as informações necessárias e criação de fluxo padronizado para monitoramento dos Cumprdecs
Realizar ajustes na ferramenta já existente para que seja possível utilizar o fluxo desenvolvido
Realizar piloto para análise do fluxo padronizado e do sistema SNMC pelas unidades e pelos tribunais
Capacitar os servidores do CNJ e dos tribunais/conselhos que usarão o SNMC.
Adesões dos tribunais e conselhos do Poder Judiciário
Disponibilizar as informações coletadas no Cumprdec
</t>
  </si>
  <si>
    <t>Dr. Marcel da Silva Augusto Corrêa</t>
  </si>
  <si>
    <t xml:space="preserve">• Padronização do fluxo do monitoramento dos atos normativos.
• Transparência das informações obtidas nos Cumprdec.
• Aperfeiçoamento e centralização do monitoramento e avaliação do cumprimento dos Normativos
</t>
  </si>
  <si>
    <t>Igor Guimarães Pedreira</t>
  </si>
  <si>
    <t>04751/2022</t>
  </si>
  <si>
    <t>CODEX - Melhorias Evolutivas e Corretivas</t>
  </si>
  <si>
    <t>O projeto visa implementar melhorias evolutivas, correções e novas funcionalidades na plataforma Codex</t>
  </si>
  <si>
    <t>12. Fortalecimento da estratégia nacional de TIC e de proteção de dados; e
03. Agilidade e produtividade na prestação jurisdicional</t>
  </si>
  <si>
    <t>Programa Justiça 4.0 - Eixo Inovação e Tecnologia (soluções disruptivas para transformar o Judiciário e melhorar a prestação de serviços a toda sociedade). O projeto também apoia a Resolução CNJ N. 335/2020, que institui uma política pública de governança e gestão do processo judicial eletrônico, integrando os tribunais por meio da Plataforma Digital do Poder Judiciário Brasileiro (PDPJ-Br), mantendo o PJe como sistema prioritário do CNJ."</t>
  </si>
  <si>
    <t xml:space="preserve">
BENEFÍCIO 1 - Melhoria da estabilidade e Evolução do Codex. </t>
  </si>
  <si>
    <t xml:space="preserve">ENCERRAMENTO DOS EPICOS:  
 •P48 - Integração com Datajud 
 •P45 - Melhorias de Segurança  
 •P44 - Integração do Portal de Serviço 
 •P34 – Latência 
 •P41 - Manutenção/Correção de Bugs 
 •P21 - Esta s ca e Monitoramento 
 •P23 – Observabilidade 
 •P42 - Indicadores </t>
  </si>
  <si>
    <t xml:space="preserve">Jairo Simão Santana Melo </t>
  </si>
  <si>
    <t>05138/2024</t>
  </si>
  <si>
    <t>Consulta Nacional de Pessoas (FAC Nacional)</t>
  </si>
  <si>
    <t>Desenvolver serviço estruturante de busca nacional de pessoas para o Portal de Serviços, o qual possibilitará a identificação de
todos os processos judiciais, bem como informações constantes nas bases de dados da Polícia Federal, a partir da inserção de dados
pessoais como cpf, nome da mãe, número da OAB, dentre outros.</t>
  </si>
  <si>
    <t>Bruno Cezar Andrade de Souza</t>
  </si>
  <si>
    <t xml:space="preserve">Relatório contendo todos os processos judiciais relacionados à pessoa pesquisada
Painel amigável possibilitando ao usuário pesquisar dados relacionados a pessoas e aplicar filtros
APIs criadas; 
Acesso aos dados de pessoas existente na base de dados da Polícia Federal
Criação de vínculos entre dados que se referem a uma mesma pessoa, mesmo que tenham nome e documentos diferentes;
Acesso à Folha de Antecedentes Criminais da Polícia Federal
Regras negociais definidas;
Perfis de acesso definidos;
Folha de Antecedentes Criminais, contendo dados do SINIC e dos quatro grandes repositórios do CNJ, disponibilizada
</t>
  </si>
  <si>
    <t xml:space="preserve">1 - Disponibilização dos dados sobre antecedentes criminais de todos os tribunais e da polícia federal em um único local.
</t>
  </si>
  <si>
    <t>05150/2024</t>
  </si>
  <si>
    <t>7ª Edição da Série Justiça Pesquisa - Exercício 2024/2025</t>
  </si>
  <si>
    <t>Contratação e realização de pesquisas empíricas no tema “Diagnóstico sobre o Enfrentamento de Litigância Predatória no Poder Judiciário”.</t>
  </si>
  <si>
    <t>-</t>
  </si>
  <si>
    <t>- Contratação das empresas
- Realização da(s) Pesquisa (s)
- Publicação e divulgação final</t>
  </si>
  <si>
    <t>Diagnóstico sobre o Enfrentamento de Litigância Predatória no Poder Judiciário</t>
  </si>
  <si>
    <t>05578/2024</t>
  </si>
  <si>
    <t>Conecta</t>
  </si>
  <si>
    <t>Monitoramento de conformidades na integração de sistemas legados à PDPJ-BR e na produção de novas soluções.</t>
  </si>
  <si>
    <t>Cesar Henrique de Oliveira Pereira</t>
  </si>
  <si>
    <t>31/12/2026</t>
  </si>
  <si>
    <t>- Inventário Preliminar de Soluções e Levantamento dos Planos Estratégicos dos Tribunais
- Implantação do Processo de Monitoramento
- Implantação do Processo de Monitoramento para soluções nacionalizadas
- Definição e Operacionalização do sistema de monitoramento de conformidades
- Identificação de inciativas e Implantação de framework de mentoria
- Mentoria de soluções de inovação a serem nacionalizadas
- Transferência de Conhecimento para DTI e Termo de Encerramento aprovado</t>
  </si>
  <si>
    <t>Dr. José Faustino Macedo de Souza Ferreira (Juiz de Direito do Tribunal de Justiça do Estado de Pernambuco )</t>
  </si>
  <si>
    <t xml:space="preserve">Nacionalização de sistemas processuais passíveis de compartilhamento pelos órgãos do Poder Judiciário </t>
  </si>
  <si>
    <t>Flávio Feitosa</t>
  </si>
  <si>
    <t>06767/2022</t>
  </si>
  <si>
    <t>Diagnóstico sobre a otimização dos processos de trabalho no Poder Judiciário em face da implementação das Políticas Tecnológicas do Programa Justiça 4.0.</t>
  </si>
  <si>
    <t>Desenvolver, junto ao universo de 86 tribunais, um estudo diagnóstico sobre a modernização e otimização das estruturas, processos e procedimentos internos instalados nesses órgãos em face da implementação das políticas tecnológicas: Núcleos de Justiça 4.0, Balcão Virtual e Juízo 100% Digital.</t>
  </si>
  <si>
    <t>1 - Elaboração e validação da metodologia;
2 - Testar a metodologia aplicando o diagnóstico piloto em três tribunais;
3 - Ampliar a aplicação do Diagnóstico em 83 tribunais;
4 - Estruturação das evidências levantas pelo diagnóstico;
5 - Diagnóstico - Textos dos capítulos de a) introdução; b) metodologia da pesquisa diagnóstica, fundamentação para a escolha das hipóteses; e c) contextualização;
6 - Diagnóstico - Capítulo de análise técnica que contenha a análise descritiva dos dados quantitativos previamente produzidos pelas equipes do CNJ e do PNUD;
7 - Diagnóstico - Análise descritiva referente às testagens das hipóteses do projeto;
8 - Diagnóstico - Relatório consolidado, contemplando os documentos produzidos nos Produtos 1, 2, 3 e 4 e com capítulo conclusivo que apresente síntese dos principais resultados encontrados e sugestões de recomendações desenvolvidas com base no diagnóstico;
9 - Diagnóstico - Sumário Executivo com resumo dos principais resultados encontrados nos produtos 1 a 4, bem como apresentando boas práticas;
10 - Exames estatísticos relativos à testagem das hipóteses 1 e 2 do estudo;
11 - Exames estatísticos relativos à testagem das hipóteses 3 e 4 do estudo;
12 - Exames estatísticos relativos à testagem das hipóteses 5 e 6 do estudo;
13 - Apresentação do relatório do diagnóstico.</t>
  </si>
  <si>
    <t>Análise das evidências do estudo acerca da efetividade, eficiência e economicidade da prestação jurisdicional, em face a implementação do Balcão Virtual, do Núcleo de Justiça 4.0 e do Juízo 100% Digital nos tribunais</t>
  </si>
  <si>
    <t xml:space="preserve">• Elaboração e validação da metodologia
• Testar a metodologia aplicando o diagnóstico piloto em três tribunais
• Ampliar a aplicação do Diagnóstico em 83 tribunais
• Estruturação das evidências levantas pelo diagnóstico
• Diagnóstico - Textos dos capítulos de a) introdução; b) metodologia da pesquisa diagnóstica, fundamentação para a escolha das hipóteses; e c) contextualização
• Diagnóstico - Capítulo de análise técnica que contenha a análise descritiva dos dados quantitativos previamente produzidos pelas equipes do CNJ e do PNUD
• Diagnóstico - Capítulo de análise descritiva dos dados quantitativos previamente produzidos pelas equipes do CNJ e do PNUD
• Diagnóstico - Análise descritiva referente às testagens das hipóteses do projeto
• Diagnóstico - Relatório consolidado, contemplando os documentos produzidos nos Produtos 1, 2, 3 e 4 e com capítulo conclusivo que apresente síntese dos principais resultados encontrados e sugestões de recomendações desenvolvidas com base no diagnóstico.
• Diagnóstico - Sumário Executivo com resumo dos principais resultados encontrados nos produtos 1 a 4, bem como apresentando boas práticas.
• Exames estatísticos relativos à testagem das hipóteses 1 e 2 do estudo
• Exames estatísticos relativos à testagem das hipóteses 3 e 4 do estudo
• Exames estatísticos relativos à testagem das hipóteses 5 e 6 do estudo
• Apresentação do relatório do diagnóstico
</t>
  </si>
  <si>
    <t>06826/2024</t>
  </si>
  <si>
    <t>Sniper BC</t>
  </si>
  <si>
    <t>Projeto para construção do Sniper BC, que disponibilizará informações de novas bases de acesso restrito pelo poder judiciário, possibilitando ao usuário realize pesquisas de ativos e pedidos judiciais de bloqueio e constrição de bens nesses sistemas de forma integrada, aumentando a eficiência e eficácia jurisdicional nessas atividades</t>
  </si>
  <si>
    <t>Benefício 1 - Ampliação das bases de informação
Benefício 2 - Plataforma integrada de busca e constrição</t>
  </si>
  <si>
    <t>• Revisões e melhorias no código implementado 
• Ajustes funcionais e validações no módulo de bloqueio 
• Revisão de materiais de capacitação 
• Avanços técnicos decorrentes de alinhamentos com stakeholders institucionais</t>
  </si>
  <si>
    <t>07855/2022</t>
  </si>
  <si>
    <t>Sensibilização e Formação em Integridade e Compliance no Poder Judiciário</t>
  </si>
  <si>
    <t>Estimular, por meio de ações de sensibilização e de formação de gestores e servidores, a implantação de programas de integridade e compliance no Poder Judiciário.</t>
  </si>
  <si>
    <t>Planejamento;
Contratação;
Pro-ensino - Plano de trabalho com projetos pedagógicos;
Pro-ensino P2 compledo do curso 1 Princípios básicos de integridade e Compliance para o Poder Judiciário;
Pro ensino P3 - Versão final revisada do curso 01;
Campanha de sensibilização para engajamento do público alvo do Curso Formação de gestores em sistema de integridade e Compliance;
Pro ensino 4 V1 completa do curso Formação de Gestores do Poder Judiciário em Sistema de Integridade Compliance;
Pro-ensino P5 - Relatório da Aplicação completa do Curso “Formação de Gestores do Poder Judiciário em Sistemas de Integridade e Compliance”;
Pro-Enisno P6 - Adequação do Curso “Formação de Gestores em Sistemas de Integridade e Compliance” para disponibilização em formato assíncrono na plataforma do CEAJud ;
Pro-Ensino P7 - Relatório final de atividades e resultados alcançados
Termo de Encerramento do Projeto
Pesquisa medição de benefícios 1;
Campanha de sensibilização do tema do curso 01: Princípios básicos de integridade e Compilance para o Poder Judiciário;</t>
  </si>
  <si>
    <t>São benefícios estruturantes:
1. Sensibilizar gestores e servidores do Poder Judiciário sobre os normativos, princípios e mecanismos de Integridade e Compliance.
São benefícios híbridos:
2. Gerar o reconhecimento e aplicação prática, por gestores e servidores do Poder Judiciário, dos princípios e mecanismos de integridade de compliance em seu contexto de trabalho.
São benefícios de resultado:
3. Manter o tema integridade e compliance como uma premissa da prática diária institucional. 
4. Demonstrar os resultados provenientes da implementação de práticas e mecanismos de  integridade e compliance pelo Poder Judiciário.</t>
  </si>
  <si>
    <t xml:space="preserve">- Curso “Princípios Básicos em Integridade &amp; Compliance para o Poder Judiciário” assíncrono, ofertado ao público do Judiciário e ao público externo, por meio da plataforma do CEAJUD. O curso atingiu 739 inscritos até janeiro de 2024
- Curso “Formação de Gestores do Poder Judiciário em Sistemas de Integridade e Compliance” síncrono na modalidade EaD ofertado para 193 participantes do Judiciário em posição relacionada a gestão de integridade e indicados para participar do curso por seu respectivo tribunal ou conselho.
- Curso “Formação de Gestores do Poder Judiciário em Sistemas de Integridade e Compliance”, ofertado ao público do Judiciário e ao público externo, por meio da plataforma do CEAJUD. O curso atingiu 532 inscritos até janeiro de 2024.
- Sensibilização realizada com publicação de matéria no site do CNJ e de série de quatro publicações em redes sociais sobre a Resolução nº 410/2021, que dispõe sobre a instituição de sistemas de integridade no Poder Judiciário.
- Pesquisa realizada para medição do conhecimento sobre a Resolução nº 410/2021 e temas relacionados a integridade e compliance por parte dos servidores do Judiciário, atingindo público de mais de 5.397 pessoas.
</t>
  </si>
  <si>
    <t>Thaís Martins Bosch</t>
  </si>
  <si>
    <t>08286/2022</t>
  </si>
  <si>
    <t>Implantação do SERP</t>
  </si>
  <si>
    <t>Implantar o Sistema Eletrônico de Registros Públicos – SERP, nos moldes previsto na Lei 14.382/2022, modernizando e simplificando os procedimentos cartorários.</t>
  </si>
  <si>
    <t>Ministro Luis Felipe Salomão</t>
  </si>
  <si>
    <t>Luciano Almeida Lima</t>
  </si>
  <si>
    <t>06. Fomentar a melhoria dos serviços extrajudiciais</t>
  </si>
  <si>
    <t>Dra. Daniela Pereira Madeira</t>
  </si>
  <si>
    <t xml:space="preserve"> - Benefício 1 – (Estruturante) simplificar os procedimentos cartorários com novas regras e 
procedimentos para o funcionamento e compartilhamento de informações;
 - Benefício 2 – (Estruturante) prover infraestrutura e manutenção adequada ao SERP com a 
implantação de um fundo arrecadador;
 - Benefício 3 – (Resultado) modernizar os procedimentos cartorários com a integração dos 
sistemas de todos os cartórios.</t>
  </si>
  <si>
    <t>08287/2022</t>
  </si>
  <si>
    <t>Conciliação e Mediação na prática</t>
  </si>
  <si>
    <t>Viabilizar a implantação do serviço de conciliação online prévia e posterior ao protesto</t>
  </si>
  <si>
    <t>Normatização e efetivação da possibilidade da conciliação pré e pós protesto de dívidas por meio de ferramentas remotas.</t>
  </si>
  <si>
    <t>08. Fortalecer a política judiciária de soluções alternativas de conflitos e a desjudicialização</t>
  </si>
  <si>
    <t>Diretrizes Estratégicas da Corregedorias para o ano de 2023, mais especificamente a DIRETRIZ ESTRATÉGICA 2: “Desenvolver protocolos institucionais entre os Tribunais e as serventias extrajudiciais, com o objetivo de otimizar e documentar as medidas de desjudicialização e desburocratização, inserindo nesse contexto práticas concernentes aos meios consensuais de solução de conflitos.”</t>
  </si>
  <si>
    <t>Benefício 1: Implementação da mediação e conciliação na prática dos cartórios 
Benefício 2: Impulsionamento da consolidação das medidas autocompositivas de resolução de conflitos 
nos cartórios</t>
  </si>
  <si>
    <t>08370/2024</t>
  </si>
  <si>
    <t>SNGB - Melhorias evolutivas</t>
  </si>
  <si>
    <t>Melhoria do Sistema Nacional de Gestão de Bens Apreendidos (SNGB), e manutenção do sistema por meio de ciclos de sprints, com a previsão de transferência gradativa do conhecimento técnico ao CNJ, permitindo que a equipe interna assuma a sustentação de forma plena ao término do projeto.</t>
  </si>
  <si>
    <t>12. Fortalecimento da estratégia nacional de TIC e de proteção de dados e 03. Agilidade e produtividade na prestação jurisdicional</t>
  </si>
  <si>
    <r>
      <t>Política de Gestão da Inovação</t>
    </r>
    <r>
      <rPr>
        <i/>
        <sz val="10"/>
        <color rgb="FF000000"/>
        <rFont val="Calibri"/>
        <family val="2"/>
        <scheme val="minor"/>
      </rPr>
      <t>, Resolução CNJ nº 395/2021 </t>
    </r>
  </si>
  <si>
    <t>Benefício 1 - Mellhoria da estabilidade e Evolução do Sistema SNGB - Promover a estabilidade do sistema SNGB e a implementação de melhorias contínuas com base nas demandas operacionais do CNJ.</t>
  </si>
  <si>
    <t>08536/2022</t>
  </si>
  <si>
    <t>Sirenejud 2.0</t>
  </si>
  <si>
    <t>Aperfeiçoamento do Painel Interativo Nacional de Dados Ambiental e Interinstitucional - SireneJud para melhorar a experiência do usuário na visualização de dados, na produção de informação e na criação de KMLs (formato de arquivo para identificar áreas geográficas).</t>
  </si>
  <si>
    <t>https://www.cnj.jus.br/programas-e-acoes/sirenejud/</t>
  </si>
  <si>
    <t>1 - Migração da estrutura para ambiente de produção;
2 - Inclusão das camadas internacionais e atualização das camadas de desmatamento e do CAR no Mapa Geral;
3 - Criação de painéis de dados estatísticos a partir do DataJud;
4 - Atualização do relatório de áreas desmatadas e relatório de sobreposição de área;
5 - Melhorias de UX/UI</t>
  </si>
  <si>
    <t>Aumento da transparência ativa dos dados ambientais do Poder Judiciário</t>
  </si>
  <si>
    <t>• Migração da estrutura para ambiente de produção
• Inclusão das camadas internacionais e atualização das camadas de desmatamento e do CAR no Mapa Geral
- Criação de landing page
- Página de Mapas atualizada a partir dos insumos da equipe de UX/UI (Justiça 4.0)
- Páginas de painéis e de relatórios geográficos atualizada a partir dos insumos da equipe de UX/UI (Justiça 4.0)
 - Criação da página para gerar KML</t>
  </si>
  <si>
    <t>08543/2021</t>
  </si>
  <si>
    <t>Sinapses 5 - Capacitação Cursos EaD IA</t>
  </si>
  <si>
    <t>Desenvolvimento de capacitações em inteligência artificial, na modalidade de Educação a Distância, para o Poder Judiciário brasileiro.</t>
  </si>
  <si>
    <t xml:space="preserve">Dr. João Thiago de França Guerra
</t>
  </si>
  <si>
    <t>https://www.cnj.jus.br/sistemas/plataforma-sinapses/</t>
  </si>
  <si>
    <t>1 - Planejamento, cronograma de entrega das atividades e identidade visual;
2 - Curso de Introdução à Inteligência Artificial;
3 - Vídeos institucionais e vídeos para mídias sociais referentes ao Curso de Introdução à Inteligência Artificial.;
4 - Curso sobre Anotação de Dados para o Poder Judiciário;
5 - Vídeos institucionais e vídeos para mídias sociais referentes ao Curso sobre Anotação de dados para o Poder Judiciário;
6 - Edição do Curso Modelo de IA “Classificação Processual” – UNIFOR para o formato autoinstrucional;
7 - Edição dos Cursos Modelo de IA de “Agrupamento por Similaridade” - UFG e Modelo de IA de “Precedentes Qualificados” - UnB para o formato autoinstruciona.</t>
  </si>
  <si>
    <t>Qualificação de magistrados e servidores do Poder Judiciário em inteligência artificial</t>
  </si>
  <si>
    <t xml:space="preserve">• Planejamento, cronograma de entrega das atividades e identidade visual
• Curso de Introdução à Inteligência Artificial
• Vídeos institucionais e vídeos para mídias sociais referentes ao Curso de Introdução à Inteligência Artificial.
• "Curso sobre Anotação de Dados para o
• Poder Judiciário"
• Vídeos institucionais e vídeos para mídias sociais referentes ao Curso sobre Anotação de dados para o Poder Judiciário.
• Edição do Curso Modelo de IA “Classificação Processual” – UNIFOR para o formato autoinstrucional
• Edição dos Cursos Modelo de IA de “Agrupamento por Similaridade” - UFG e Modelo de IA de “Precedentes Qualificados” - UnB para o formato autoinstruciona
</t>
  </si>
  <si>
    <t>08547/2021</t>
  </si>
  <si>
    <t>Data Lake</t>
  </si>
  <si>
    <t>Definir um repositório de dados corporativos único dentro do Programa Justiça 4.0, consolidados a partir das bases de diferentes sistemas de origem, armazenados em diferentes formatos e utilizados como fonte de dados para consumo por outros sistemas e outras aplicações integrados ao Programa, construindo consequentemente uma governança de dados estruturados e não estruturados.</t>
  </si>
  <si>
    <t>Ariel Rodrigues Reis de Melo</t>
  </si>
  <si>
    <t>31/12/2024</t>
  </si>
  <si>
    <t>1 - MVP CSJT - Arquitetura da solução;
2 - MVP CSJT - Implementação da infraestrutura;
3 - Data Lake do Poder Judiciário - Arquitetura da solução;
4 - Data Lake do Poder Judiciário - Implementação da infraestrutura do Data Lake do Poder Judiciário;
5 - MVP CSJT - Carga dos dados;
6 - MVP CSJT - APIs de consulta;
7 - MVP CSJT - Tela de Pesquisa de Processos;
8 - Data Lake do Poder Judiciário - Carga dos dados;
9 - Data Lake do Poder Judiciário - APIs de consulta;
10 - Data Lake do Poder Judiciário - Tela de Pesquisa de Processos.</t>
  </si>
  <si>
    <t>1 - Disponibilização da infraestrutura robusta e adequada de armazenamento de dados para e adequada para o Programa Justiça 4.0, reduzindo os riscos de perda de dados, gerando ganhos de performance na disponibilização da informação aos consumidores e principalmente grande desempenho no consumo e ingestão das informações processuais;
2 - Melhora da gestão das informações processuais, seja dos dados estruturados ou não estruturados;</t>
  </si>
  <si>
    <t xml:space="preserve">• MVP CSJT - Arquitetura da solução
• MVP CSJT - Implementação da infraestrutura
• Data Lake do Poder Judiciário - Arquitetura da solução
• Data Lake do Poder Judiciário - Implementação da infraestrutura do Data Lake do Poder Judiciário
• MVP CSJT - Carga dos dados
• MVP CSJT - APIs de consulta
• MVP CSJT - Tela de Pesquisa de Processos
• Data Lake do Poder Judiciário - Carga dos dados
• Data Lake do Poder Judiciário - APIs de consulta
• Data Lake do Poder Judiciário - Tela de Pesquisa de Processos
</t>
  </si>
  <si>
    <t>08610/2022</t>
  </si>
  <si>
    <t>Demandas Complexas</t>
  </si>
  <si>
    <t>Com esse projeto, propõe-se estruturar o Poder Judiciário e suas conexões com o sistema de justiça e as demais
instituições públicas, para responder de forma cooperativa, célere e articulada às demandas complexas.</t>
  </si>
  <si>
    <t>Dra. Fabiane Pieruccini</t>
  </si>
  <si>
    <t>https://www.cnj.jus.br/programas-e-acoes/demandas-complexas/</t>
  </si>
  <si>
    <t>1 - Identificação e priorização dos fatores de inseguraça;
2 - Guia Prático de Inspeções Judiciais;
3 - Guia prático de ferramentas institucionais;
4 - Plano de Comunicação;
5 - Normativo - Estrutura de apoio;
6 - Aplicativo de apoio aos magistrados.</t>
  </si>
  <si>
    <t>1 - Maior segurança percebida pelos magistrados e equipes ao trabalharem com demandas complexas;
2 - Percepção da sociedade de que o judiciário está cumprindo seu papel em relação às demandas complexas e que o CNJ é um ator de governança e integração com os demais atores nesse contexto;
3 - Incremento da eficiência (tempo e custo) no trâmite das demandas complexas, especialmente na fase de execução.</t>
  </si>
  <si>
    <t xml:space="preserve">• Identificação e priorização dos fatores de inseguraça
• Guia Prático de Inspeções Judiciais
• Guia prático de ferramentas institucionais
• Plano de Comunicação
• Normativo - Estrutura de apoio
• Aplicativo de apoio aos magistrados
</t>
  </si>
  <si>
    <t>08690/2023</t>
  </si>
  <si>
    <t>Pesquisa IA 2023 - Mapeamento dos projetos de Inteligência Artificial em desenvolvimento pelos tribunais brasileiros</t>
  </si>
  <si>
    <t>Mapear as ações em andamento e concluídas
relacionadas ao desenvolvimento de soluções de Inteligência Artificial (IA) no âmbito do judiciário
brasileiro.</t>
  </si>
  <si>
    <t>Dr. Gabriel da Silveira Matos</t>
  </si>
  <si>
    <t xml:space="preserve">Levantamento Bibliográfico
Coleta de Dados
Avaliação do Estado Atual
Levantamento de Dados Qualitativos
Categorização de Tipos de Projetos
Análise de Equipes e Modelos de IA
Avaliação Ética e Legal
</t>
  </si>
  <si>
    <t xml:space="preserve">Benefício 1 - Mapeamento Abrangente: Fornecer aos magistrados uma visão completa e atualizada do cenário de projetos de IA, capacitando-os a entender o panorama geral. 
Benefício 2 - Avaliação do Estado Atual: Capacitar os magistrados a avaliar criticamente o estágio atual das iniciativas de IA, facilitando a tomada de decisões informadas e estratégicas.
Benefício 3 - Classificação de Tipos de Projetos: Capacitar os magistrados a compreenderem a diversidade de projetos de IA, possibilitando uma abordagem mais específica e informada na integração dessas tecnologias. 
Benefício 4 - Análise de Equipes e Modelos de IA: Capacitar os magistrados a compreender as dinâmicas das equipes e as complexidades dos modelos de IA, permitindo uma avaliação mais holística e informada. 
Benefício 5 - Avaliação Ética e Legal: Capacitar os magistrados a considerarem de maneira abrangente as implicações éticas e legais, possibilitando uma abordagem ética e alinhada com os padrões regulatórios estabelecidos
</t>
  </si>
  <si>
    <t>Documentação Canvas de Projeto (1694358)
Termo de Abertura do Projeto (1713520)
Glossário (1680882)
Projeto de Pesquisa (1680886)
Questionário de Pesquisa (1680888)
Painel de Resultados da Pesquisa (1902808, 1902811, 1902813, 1902815, 1902816, 1902819)
Sumário Executivo (1884173) e Relatório Completo (1884176)</t>
  </si>
  <si>
    <t>09081/2022</t>
  </si>
  <si>
    <t>Plano Nacional de Inovação no Poder Judiciário</t>
  </si>
  <si>
    <t>Realização de um Diagnóstico Nacional acerca das inovações do Poder Judiciário Brasileiro, estruturação e realização da Premiação nacional acerca de práticas inovadoras e, elaboração de um Plano
Nacional de Inovação para o Poder Judiciário.</t>
  </si>
  <si>
    <t>Wilfredo Enriqye Pires Pacheco</t>
  </si>
  <si>
    <t>Produto 1 – Plano de trabalho detalhado e metodologia para a realização das ações previstas no acordo.;
Produto 2 – Proposta técnica do Prêmio de Inovação no Poder Judiciário;
Produto 3 – Modelo teórico para a análise da capacidade institucional, compreendendo os quatro objetivos específicos;
Produto 4 – Modelo teórico para análise das expectativas da sociedade para o judiciário do futuro;
Produto 5 – Relatório analítico sobre as inovações e da forma de atuação dos laboratórios de inovação do Poder Judiciário;
Produto 6 – Relatório analítico sobre a tendência organizacional para a inovação e capacidade institucional dos Tribunais para a inovação;
Produto 7 – Plano Nacional de Inovação do Poder Judiciário.</t>
  </si>
  <si>
    <t>1 - Engajar os Tribunais e identificar as melhores práticas de inovação do judiciário;
2 - Dotar o CNJ de informações sistematizadas acerca do cenário de inovação do poder judiciário;
3 - Disponibilizar um Plano nacional de Inovação para o Poder Judiciário.</t>
  </si>
  <si>
    <t xml:space="preserve">• Produto 1 – Plano de trabalho detalhado e metodologia para a realização das ações previstas no acordo.
• Produto 2 – Proposta técnica do Prêmio de Inovação no Poder Judiciário.
• Produto 3 – Modelo teórico para a análise da capacidade institucional, compreendendo os quatro objetivos específicos.
• Produto 4 – Modelo teórico para análise das expectativas da sociedade para o judiciário do futuro.
• Produto 5 – Relatório analítico sobre as inovações e da forma de atuação dos laboratórios de inovação do Poder Judiciário.
• Produto 6 – Relatório analítico sobre a tendência organizacional para a inovação e capacidade institucional dos Tribunais para a inovação
• Produto 7 – Plano Nacional de Inovação do Poder Judiciário.
</t>
  </si>
  <si>
    <t>09173/2024</t>
  </si>
  <si>
    <t>IA para Gestão de Precedentes Qualificados</t>
  </si>
  <si>
    <t>Desenvolvimento e aplicação de soluções de inteligência artificial para otimizar a gestão e análise de processos judiciais sobrestados</t>
  </si>
  <si>
    <t xml:space="preserve"> Programa Justiça 4.0 - Eixo Inovação e Tecnologia (soluções disruptivas para transformar o Judiciário e melhorar a prestação de serviços a toda sociedade). O projeto também apoia a Resolução CNJ N. 335/2020, que institui uma política pública de governança e gestão do processo judicial eletrônico, integrando os tribunais por meio da Plataforma Digital do Poder Judiciário Brasileiro (PDPJ-Br).</t>
  </si>
  <si>
    <t xml:space="preserve">1. Levantamento de Processos Sobrestados 
2. Painel Transparente de Análises 
3. Criação de Datasets Padrão Ouro 
4. Retreinamento Contínuo do Modelo de IA 
5. Integração do Sinapses Labs na PDPJ </t>
  </si>
  <si>
    <t>Dra. Wanessa Mendes de Araújo</t>
  </si>
  <si>
    <t xml:space="preserve">Benefício 1 - Implementação de modelo de inteligência artificial capaz de identificar precedentes qualificados do STF e STJ. </t>
  </si>
  <si>
    <t>Levantamento de processos sobrestados
Implementação do Painel de Análise
Criação de datasets padrão ouro
Retreinamento contínuo do modelo de IA
Integração do sinapses labs com PDPJ</t>
  </si>
  <si>
    <t>09445/2023</t>
  </si>
  <si>
    <t>Domicílio Judicial Eletrônico - Melhorias Evolutivas</t>
  </si>
  <si>
    <t>Desenvolver melhorias e correções no módulo intitulado "Domicílio Judicial Eletrônico" e na integração dos tribunais, para a expansão no uso do sistema pelas instituições privadas, instituições públicas e pessoas físicas.</t>
  </si>
  <si>
    <t>Diogo Medeiros</t>
  </si>
  <si>
    <t>- Empresas Privadas - melhorias;
- Instituições Públicas - melhorias;
-  Pessoas Físicas - melhorias;
- Alteração Resolução 569/2024;
- Integração - Portal de Serviços e DJEN;
- Capacitação</t>
  </si>
  <si>
    <t xml:space="preserve">BENEFÍCIO 1 - Ampliação do acesso à comunicação processual - Disponibilizar o sistema às demais empresas privadas, instituições públicas e pessoas físicas, que possibilitará maior velocidade no acesso à comunicação processual pelos usuários. 
BENEFÍCIO 2  -  Implementação de melhorias no sistema - Este benefício visa melhorar a eficácia e a confiabilidade do DJE, minimizando problemas e falhas nas notificações e intimações eletrônicas nos processos judiciais, garantindo que as partes envolvidas nos processos judiciais recebam as informações de forma segura e sem intercorrências </t>
  </si>
  <si>
    <t>09536/2024</t>
  </si>
  <si>
    <t>Portal Jus BR</t>
  </si>
  <si>
    <t>Desenvolvimento do Portal Jus.br que permitirá o acesso aos principais serviços relevantes para usuários internos e
externos no âmbito do judiciário, como advogados, representantes dos Ministérios Públicos, defensorias e o público em
geral visando:
• Aprimorar a eficiência operacional, transparência e acessibilidade;
• Promover uma experiência digital;
• Facilitar o acesso às informações e serviços de forma ágil e segura._x000D_</t>
  </si>
  <si>
    <t>Gisele Cristina Borges</t>
  </si>
  <si>
    <t>04. Promover a disseminação das informações, de forma padronizada e sistêmica.
15. Estimular a comunicação ao cidadão, a integração e a colaboração no âmbito do Poder Judiciário</t>
  </si>
  <si>
    <t>02. Fortalecimento da Relação Institucional do Judiciário com a Sociedade.
12. Fortalecimento da estratégia nacional de TIC e de proteção de dados</t>
  </si>
  <si>
    <t xml:space="preserve"> Programa Justiça 4.0 - eixo 1 - Inovação e Tecnologia - soluções disruptivas para transformar o Judiciário e melhorar a prestação de serviços a toda sociedade.</t>
  </si>
  <si>
    <t>23/07/2024</t>
  </si>
  <si>
    <t>30/10/2025</t>
  </si>
  <si>
    <t>Permissionamento de usuários/SSO
Gestão de Notícias
Gestão de serviços, categorias e acessos
Gestão de favoritos
Gestão de Itens Recentes
Filtros e buscas avançadas
Estatísticas
Acessibilidade
Melhoria de segurança
Automação de scripts
Sustentação
Vitrine de Serviços
Conteúdo Portal CNJ
Documentação
Correções e Melhorias Contínuas
Refactoring
Phaseout</t>
  </si>
  <si>
    <t>09613/2024</t>
  </si>
  <si>
    <t>Qualificação de Dados</t>
  </si>
  <si>
    <t>O projeto Qualificação de dados tem como objetivo promover um ecossistema de dados no Poder Judiciário que possibilite a acurácia na identificação e transparência dos dados processuais, garantindo aos usuários uma melhor experiência na usabilidade do Portal de Serviços.</t>
  </si>
  <si>
    <t>Renato Toshiyuki Murasaki</t>
  </si>
  <si>
    <t>- Proporcionar a governança das informações, garantindo maior transparência, conformidade e padronização dos dados no ecossistema do sistema judicial, mediante a Resolução nº 335 e normas definidas pelo Conselho Nacional de Justiça (CNJ).</t>
  </si>
  <si>
    <t xml:space="preserve">Planejamento 
PoC 
Transição PoC para MVP 
MVP </t>
  </si>
  <si>
    <t>09630/2024</t>
  </si>
  <si>
    <t>Desenvolvimento do módulo de Sessão de Julgamento (PDPJ-Br)</t>
  </si>
  <si>
    <t>O projeto consiste no desenvolvimento e implementação do módulo de Sessão de Julgamento no ambiente de produção da PDPJ-Br. O módulo deverá ser desenvolvido e implementado considerando todas as funcionalidades necessárias para a sua integração à PDPJ-Br, inspirando-se em funcionalidades de sistemas já existentes, como o PJe e o E-Proc.</t>
  </si>
  <si>
    <t>Daniel Arêas Brito</t>
  </si>
  <si>
    <t>01. Desenvolver políticas judiciárias e outros instrumentos para o aperfeiçoamento das atividades dos órgãos do Poder Judiciário e dos seus serviços auxiliares e dos serviços notariais e de registro, e dos demais órgãos correicionais;
09. Fomentar e incrementar a produção de soluções tecnológicas, com foco em inovação e transformação digital;
13. Estimular a desburocratização no Poder Judiciário</t>
  </si>
  <si>
    <t>09. Aperfeiçoamento da gestão administrativa e da governança judiciária;
12. Fortalecimento da estratégia nacional de TIC e de proteção de dados.</t>
  </si>
  <si>
    <t>Programa Justiça 4.0, em especial com o Eixo I - Inovação e Tecnologia (Soluções disruptivas para transformar o Judiciário e melhorar a prestação de serviços a toda a sociedade)".</t>
  </si>
  <si>
    <t xml:space="preserve">O módulo de Sessão de Julgamento  desenvolvido e implementado com todas as funcionalidades especificadas, incluindo integração completa com a PDPJ-Br e compatibilidade com outros sistemas judiciais, como o PJe e o E-Proc. </t>
  </si>
  <si>
    <t>Benefício 1 - Acessibilidade na utilização do sistema - Benefício na utilização do sistema dentro dos padrões do manual de acessibilidade do .gov. 
Benefício 2 - Sistema amigável com melhorias na navegabilidade - Melhorias na navegabilidade e acessibilidade para facilitar e universalizar o uso do sistema, trazendo agilidade e praticidade ao processo nas sessões de julgamento.</t>
  </si>
  <si>
    <t xml:space="preserve">• Avanço do Release 2/2 com salto de progresso (61% → 100%). 
• Evoluções focadas em assinatura/votação em lote e evolução para adiamento/acórdão em lote 
(continuidade funcional por sprint). 
• Preparação/início de testes de carga com JMeter (configuração e execução). </t>
  </si>
  <si>
    <t>09796/2024</t>
  </si>
  <si>
    <t>Fluxo Nacional Automatizado das Execuções Fiscais (EFIN)</t>
  </si>
  <si>
    <t>O projeto do Fluxo Nacional Automatizado das Execuções Fiscais (FNA) prevê a implementação de módulo da PDPJ com funcionalidades necessárias à automação e acompanhamento do processamento dos processos de execução fiscal, desde o ajuizamento da inicial até a etapa de constrição de bens pela PDPJ (SISBAJUD, RENAJUD, Sniper-BC). O módulo vai acompanhar os processos judiciais e eventos neles lançados por meio da PDPJ (Codex) e gerar notificações (serviço de notificações) para consumo dos sistemas processuais dos tribunais.</t>
  </si>
  <si>
    <t>Dra. Keity Mara Ferreira de Sousa e Saboya</t>
  </si>
  <si>
    <t>Política de Execução Fiscal, instituída pela Resolução Nº 547 de 22/02/2024</t>
  </si>
  <si>
    <t xml:space="preserve">
R$ 1.517.259,2</t>
  </si>
  <si>
    <t>Keity Mara Ferreira de Sousa e Saboya</t>
  </si>
  <si>
    <t>Benefício 1 - Ajuizamento automatizado de processos de execução fiscal e validação dos dados das CDAs
Benefício 2 - Citação automatizada dos executados em processos de execução fiscal.
Benefício 3 - Pedidos de bloqueio e constrição de bens automatizados nos processos de execução fiscal.
Benefício 4 - Dashboard capaz de realizar medição do tempo decorrido nas fases dos processos de execução fiscal 
e verificação de aderência dos tribunais ao Fluxo Nacional, bem como mensuração de eventuais 
reduções do tempo de tramitação e das taxas de congestionamento dos processos de execução fiscal.</t>
  </si>
  <si>
    <t xml:space="preserve">• Ajustes técnicos e funcionais pós-testes 
• Implantação de novo layout para atendimento dos processos distribuídos 
• Inclusão do campo para apontar 'Assunto principal' na certidão de validação de dados 
• Implementação de mensagens de recusa do tribunal e portal na aplicação </t>
  </si>
  <si>
    <t>Dr. Rafael Leite Paulo</t>
  </si>
  <si>
    <t>10101/2024</t>
  </si>
  <si>
    <t>Fonajus itinerante</t>
  </si>
  <si>
    <t>O Programa FONAJUS Itinerante percorrerá todos os estados do Brasil com o propósito de promover diálogos, cooperação institucional e capacitação, com o objetivo principal de implementar, em conjunto com os Comitês Estaduais de Saúde, a Política Judiciária de Resolução Adequada das Demandas de Assistência à Saúde, aprovada pela Resolução CNJ n. 530, de 10 de novembro de 2023.</t>
  </si>
  <si>
    <t>Conselheira Daiane Nogueira de Lira</t>
  </si>
  <si>
    <t>Gabinete da Conselheira Daiane Nogueira de Lira</t>
  </si>
  <si>
    <t>Camila da Silva Barreiro</t>
  </si>
  <si>
    <t>Gabinete Conselheira Daiane Nogueira de Lira</t>
  </si>
  <si>
    <t>Política Judiciária de Resolução Adequada das Demandas de Assistência à Saúde, instutuída pela Resolução Nº 530 de 10/11/2023.</t>
  </si>
  <si>
    <t>30/4/2026</t>
  </si>
  <si>
    <t>-  Elaboração do material informativo para distribuição e disseminação após levantamento de estatísticas do 
estado e de informações sobre o Comitê Estadual de Saúde e o NatJus/SP
- Realização de seminário durante a visita
- Realização de capacitações durante a visita
- Participação de magistrados e servidores no seminário e nas capacitações</t>
  </si>
  <si>
    <t>Suporte à implementação da Política Judiciária de Resolução Adequada das Demandas de Assistência à Saúde</t>
  </si>
  <si>
    <t>10157/2022</t>
  </si>
  <si>
    <t>Repositório Anticorrupção e Tecnologia do Poder Judiciário</t>
  </si>
  <si>
    <t>Criar um Repositório que reúna sistematicamente publicações incluindo pesquisas, estudos e diretrizes concernentes à atuação do Poder Judiciário e de serviços auxiliares e de possibilidades do uso da tecnologia em ações de prevenção e combate à corrupção e à lavagem de dinheiro e recuperação e gestão de ativos e disseminar o Repositório para públicos do Poder Judiciário e demais profissionais interessados no tema.</t>
  </si>
  <si>
    <t>a sistematização e disponibilização pública deste conhecimento contribuirá para os atores que pensam em possíveis ações para o aperfeiçoamento do sistema de justiça nos temas mencionados, contribuindo para essas ações de forma estruturante.</t>
  </si>
  <si>
    <t>Alexandre Nicoletti Dall’Ara</t>
  </si>
  <si>
    <t>04. Enfrentamento à corrupção, à improbidade administrativa e aos ilícitos eleitorais</t>
  </si>
  <si>
    <t>1 - Relatório - prevenção e combate à corrupção e à lavagem de dinheiro;
2 - Relatório - recuperação e gestão de ativos;
3 - Relatório - prevenção e combate à corrupção e à lavagem de dinheiro;
4 - Relatório - recuperação e gestão de ativos;
5 - Sumário - prevenção e combate à corrupção e à lavagem de dinheiro;
6 - Sumário - recuperação e gestão de ativos;
7 - Criação de painel interativo on-line para disponibilização da bibliografia identificada.;
8 - Divulgação do repositório;
9 -Evento sobre principais resultados do repositório.</t>
  </si>
  <si>
    <t>1 - Identificação e organização de bibliografia a respeito da atuação do Judiciário e de serviços auxiliares em ações de prevenção e combate à corrupção e à lavagem de dinheiro e recuperação de ativos;
2 - Disponibilização ao público de bibliografia selecionada e categorizada a respeito da atuação do Judiciário e serviços auxiliares e de soluções tecnológicas adequadas ao aprimoramento dessa atuação em ações de prevenção e combate à corrupção e à lavagem de dinheiro e recuperação de ativos;
3 - Sensibilização e Disseminação do Repositório Anticorrupção e Tecnologia do Poder Judiciário.</t>
  </si>
  <si>
    <t xml:space="preserve">• Relatório - prevenção e combate à corrupção e à lavagem de dinheiro
• Relatório - recuperação e gestão de ativos
• Relatório - prevenção e combate à corrupção e à lavagem de dinheiro
• Relatório - recuperação e gestão de ativos
• Sumário - prevenção e combate à corrupção e à lavagem de dinheiro
• Sumário - recuperação e gestão de ativos
• Criação de painel interativo on-line para disponibilização da bibliografia identificada.
• Divulgação do repositório
• Evento sobre principais resultados do repositório
</t>
  </si>
  <si>
    <t>Elisa Sardão Colares</t>
  </si>
  <si>
    <t>10698/2024</t>
  </si>
  <si>
    <t>SireneJud 2.0 - Evoluções</t>
  </si>
  <si>
    <t>Aperfeiçoamento do Painel Interativo Nacional de Dados Ambiental e Interinstitucional – SireneJud para melhorar a experiência do usuário: (i) na visualização de dados; (ii) na produção de informação; e (iii) na criação de KMLs (Keyhole Markup Language – formato de arquivo para identificar áreas geográficas).</t>
  </si>
  <si>
    <t>02. Aperfeiçoar os mecanismos de monitoramento de políticas judiciárias;
14. Impulsionar a implantação e a gestão das  Políticas de Sustentabilidade e Acessibilidade</t>
  </si>
  <si>
    <t>07. Promoção da sustentabilidade;
12. Fortalecimento da estratégia nacional de TIC e de proteção de dados</t>
  </si>
  <si>
    <t xml:space="preserve"> Programa Justiça 4.0 - Eixo Inovação e Tecnologia (soluções disruptivas para transformar o Judiciário e melhorar a prestação de serviços a toda sociedade)</t>
  </si>
  <si>
    <t>-Atualização das páginas dos painéis e dos relatórios;
-  Criação da página para gerar KML</t>
  </si>
  <si>
    <t>Benefício 1 - Aumento da transparência ativa dos dados ambientais do Poder Judiciário - Considera-se um benefício estruturante, pois cria condições devidamente alinhadas ao vínculo estratégico, voltado ao aperfeiçoamento dos mecanismos de monitoramento das políticas judiciárias e ao fortalecimento da gestão da qualidade dos dados no Poder Judiciário.</t>
  </si>
  <si>
    <t>Felipe Antoniazzi</t>
  </si>
  <si>
    <t>10926/2024</t>
  </si>
  <si>
    <t>Pacto Nacional do Judiciário pelos Direitos Humanos - 2ª Fase</t>
  </si>
  <si>
    <t xml:space="preserve"> proteção dos direitos humanos é a vocação maior do Poder Judiciário. O Pacto Nacional do Judiciário pelos Direitos Humanos – 2ª Fase possui por objeto a reafirmação do princípio da prevalência da dignidade humana como pilar estruturante do Estado Democrático de Direito, à luz do controle de convencionalidade e da jurisprudência interamericana em matéria de Direitos Humanos. O presente projeto institucional, assim, visa a consolidar o Pacto como política pública contínua, permanente, estrutural e transformadora.</t>
  </si>
  <si>
    <t>Dr. Luís Geraldo Sant’Ana Lanfredi</t>
  </si>
  <si>
    <t>Luiz Victor do Espírito Santo Silva</t>
  </si>
  <si>
    <t>Unidade de Monitoramento e Fiscalização das Decisões do Sistema Interamericano de Direitos Humanos (UMF/CNJ)</t>
  </si>
  <si>
    <t>Jônatas dos Santos Andrade</t>
  </si>
  <si>
    <t>Valorização das boas práticas referentes a mecanismos nacionais de implementação de decisões estruturais do Sistema Interamericano de Direitos Humanos (SIDH), e consequente cumprimento das decisões do SIDH; e reafirmação do princípio da prevalência da dignidade humana como pilar estruturante do Estado Democrático de Direito, à luz do controle de convencionalidade e da jurisprudência interamericana em matéria de Direitos Humanos. (capacidade/benefício estruturante)</t>
  </si>
  <si>
    <t>Fomento à criação de UMFs locais e articulação de REDE de UMFs
Promoção de diretrizes básicas para a cooperação institucional
Adoção de diretrizes para um protocolo de contingência visando a cumprir as decisões do SIDH
Valorização das boas práticas de mecanismos nacionais de implementação
Realização da 2ª edição do Concurso Nacional de Sentença e Decisões em Direitos Humanos
Fomento a incubadores de projetos de formação em Direitos Humanos e controle do convencionalidade
Publicação dos Cadernos de Jurisprudência: Concretizando Direitos Humanos
Construção de uma Plano de Comunicação centrado na promoção dos Direitos Humanos</t>
  </si>
  <si>
    <t>UMF/CNJ</t>
  </si>
  <si>
    <t>10965/2023</t>
  </si>
  <si>
    <t>BNMP 3.0 – Banco Nacional de Medidas Penais e Prisões – Fase 2</t>
  </si>
  <si>
    <t xml:space="preserve">A fase do 2 do projeto Banco Nacional de Medidas Penais e Prisões (BNMP 3.0), visa a correção de bugs e a 
implementação de melhorias identificadas e não contempladas na fase 1, bem como a realização da 
homologação final através de testes a serem executados por usuários indicados pelos tribunais e a implantação 
da solução em nível nacional. </t>
  </si>
  <si>
    <t>Gleidson de Moura Porto</t>
  </si>
  <si>
    <t>07. Fomentar e fortalecer a atuação interinstitucional do CNJ para garantir os direitos dos cidadãos.</t>
  </si>
  <si>
    <t>Resolução CNJ n° 335/2020 e Resolução nº. 417/2021:</t>
  </si>
  <si>
    <t>-Implementação de melhorias identificadas na fase 1 mas não implementadas;
-Correção de bugs;
- Homologação final</t>
  </si>
  <si>
    <t>• Gestão de documentos relativos às ordens de prisão, internação, soltura, desinternação, recaptura, monitoramento eletrônico, acompanhamento de medidas diversas da prisão, análise de custódia, guias, lançamento de eventos de fuga, evasão, benefícios de saída temporária, alteração de unidade ou regime prisional e transferência de documentos por declínio de competência em todo o território nacional. 
• Registro de eventos como fuga, saída temporária, evasão, alteração da unidade prisional, alteração do regime prisional, transferência de documentos por declínio de competência, averbação de alterações em mandados, auto de prisão em flagrante, audiência de custódia, registro do Regime Disciplinar Diferenciado (RDD), prorrogação o mandado de prisão temporária e comunicação da prisão. 
• Emissão de alertas para ação de servidores(as) e magistrados(as): assinatura, cumprimento, não cumprimento, proximidade de encerramento de prazo, baixa automática, extinção, eventos e unificação.</t>
  </si>
  <si>
    <t>-Implementação de 26 melhorias identificadas na fase 1 mas não implementadas;
-Correção de 52 bugs;
- Homologação final</t>
  </si>
  <si>
    <t>Leonardo da Silva Borges</t>
  </si>
  <si>
    <t>11270/2022</t>
  </si>
  <si>
    <t>SPVATJUD</t>
  </si>
  <si>
    <t>Construção do módulo de integração do DPVAT na PDPJ-Br, onde se desenvolve solução de software para automatizar o acesso às informações das bases de dados da CEF acerca do DPVAT.</t>
  </si>
  <si>
    <t xml:space="preserve">- Etapa 1 – Montagem dos ambientes de desenvolvimento, testes e produção, utilizando os projetos de referência da PDPJ-Br. O resultado é um módulo básico de serviços para a PDPJ.
- Etapa 2 – Disponibilização na PDPJ do serviço de acesso aos dados cadastrais do demandante, acessível por quaisquer tribunais que estejam integrados à plataforma digital do poder judiciário.
- Etapa 3 – Disponibilização na PDPJ do serviço de acesso ao resultado da análise do procedimento do DPVAT, acessível por quaisquer de tribunais que estejam integrados à plataforma digital do poder judiciário.
- Etapa 4 – Disponibilização na PDPJ do serviço de acesso aos laudos da perícia administrativa, acessível por quaisquer tribunais que estejam integrados a plataforma digital do poder judiciário.
- Etapa 5 – Suportar o uso integrado do serviço nas plataformas do PJe e eProc.
- Etapa 6 – Disponibilização de métricas associadas aos serviços do DPVAT.
</t>
  </si>
  <si>
    <t xml:space="preserve">- Benefício 1 – Categoria Estruturante – Disponibilização de um serviço integrador de dados da CEF na PDPJ-Br para acesso automático de informações do DPVAT, composto dos dados cadastrais do demandante, do resultado da análise do procedimento do DPVAT na CEF e dos laudos da perícia administrativa.
- Benefício 2 – Categoria Resultado – Análise e tramitação com maior agilidade dos processos relativos ao DPVAT.
</t>
  </si>
  <si>
    <t xml:space="preserve">- Ambiente inicial de desenvolvimento
- Módulo Dados Cadastrais do segurado </t>
  </si>
  <si>
    <t>11340/2023</t>
  </si>
  <si>
    <t>Polícia Judicial Amiga dos Autistas</t>
  </si>
  <si>
    <t>Fomento de ações formativas, de sensibilização e de inclusão, voltadas ao desenvolvimento funcional e à reflexão dos ocupantes dos cargos de agente e inspetor de Polícia Judicial, sobre questões relativas às pessoas com deficiência e seus direitos, sobretudo, no caso do autismo.</t>
  </si>
  <si>
    <t>Igor Tobias Mariano</t>
  </si>
  <si>
    <t>Departamento de Segurança Institucional do Poder Judiciário - DSIPJ</t>
  </si>
  <si>
    <t>Fábio de Carvalho Rodrigues Paraguassu</t>
  </si>
  <si>
    <t>Divisão de Segurança - DISE</t>
  </si>
  <si>
    <t>Resolução CNJ nº 343/2020 - Institui condições especiais de trabalho para magistrados(as) e servidores(as) com deficiência, necessidades especiais ou doença grave ou que sejam pais ou responsáveis por dependentes nessa mesma condição e dá outras providências.
Resolução CNJ nº 401/2021 - Dispõe sobre o desenvolvimento de diretrizes de acessibilidade e inclusão de pessoas com deficiência nos órgãos do Poder Judiciário e de seus serviços auxiliares, e regulamenta o funcionamento de unidades de acessibilidade e inclusão.
Resolução CNJ nº 435/2021 - Dispõe sobre a política e o sistema nacional de segurança do Poder Judiciário e dá outras providências.
Lei Brasileira de Inclusão (Lei nº 13.146/2015)</t>
  </si>
  <si>
    <t xml:space="preserve">Protocolo Específico de Atuação da Polícia Judicial
Projeto Pedagógico
Formatação de “cursos permanentes e instruções técnicas continuadas "
</t>
  </si>
  <si>
    <t>Dra. Adriana Alves dos Santos Cruz</t>
  </si>
  <si>
    <t>Fomento de ações formativas, de sensibilização e de inclusão, relativas às pessoas com deficiência</t>
  </si>
  <si>
    <t>Protocolo Específico de Atuação da Polícia Judicial, no Campo do Acolhimento de Pessoas com TEA</t>
  </si>
  <si>
    <t>Tiago Luiz Caldeira Pereira</t>
  </si>
  <si>
    <t>Academia Nacional de Segurança do Poder Judiciário - ANSPJ</t>
  </si>
  <si>
    <t>11449/2024</t>
  </si>
  <si>
    <t>2º Edital da 7ª Edição da Série Justiça Pesquisa - Exercício 2024/2025</t>
  </si>
  <si>
    <t>O objeto do projeto é a contratação de pesquisas empíricas em eixos temáticos destinadas ao conhecimento da função jurisdicional brasileira, análise e diagnóstico dos problemas estruturais e conjunturais dos diversos segmentos do Poder Judiciário e para fornecer subsídios técnicos para a formulação de políticas judiciárias, nos termos do art. 5º, § 1º e § 2º, inc. II, da Lei nº 11.364/2006.</t>
  </si>
  <si>
    <t>Danielly dos Santos Queirós</t>
  </si>
  <si>
    <t>Política Judiciária de Política Nacional Judicial de Atenção a Pessoas em Situação de Rua e suas interseccionalidades instituída pela Resolução CNJ nº 425/2021</t>
  </si>
  <si>
    <t>27/8/2026</t>
  </si>
  <si>
    <t xml:space="preserve"> - Publicação Edital;
- Recebimento Propostas e análise; 
- Contratação Instituições de Pesquisa;
Realização Pesquisas Contratadas;
-Publicação Edital;
-Realização da(s) Pesquisa(s);
-Elaboração e Publicação do relatório final.</t>
  </si>
  <si>
    <t>- Realização de pesquisas para conhecimento da função jurisdicional brasileira.</t>
  </si>
  <si>
    <t>Coordenadoria de Gestão de Projetos e de Instrumentos de Cooperação da SEP</t>
  </si>
  <si>
    <t>11644/2022</t>
  </si>
  <si>
    <t>Sisperjud</t>
  </si>
  <si>
    <t>Construção de um módulo na PDPJ para solução de software que automatize a quesitação, a curadoria e a elaboração do laudo das perícias médicas dos benefícios previdenciários por incapacidade.</t>
  </si>
  <si>
    <t>Resolução CNJ n. 530/2023, de 10 de novembro de 2023, e Programa Justiça 4.0, no Eixo Inovação e Tecnologia (Soluções disruptivas para transformar o Judiciário e melhorar a prestação de serviços a toda sociedade).</t>
  </si>
  <si>
    <t>* Módulo de criação de perícias e configuração de formulário de quesitos;
* Módulo de elaboração do laudo pericial;
* Módulo de esclarecimentos Complementares;
* Módulo de definição dos quesitos adicionais;
* Módulo de curadoria;
* Capacitações;
* Repasse do conhecimento para o CNJ.</t>
  </si>
  <si>
    <t>Disponibilização de ferramenta na PDPJ que crie laudo pericial em formato eletrônico</t>
  </si>
  <si>
    <t>11645/2022</t>
  </si>
  <si>
    <t>BNP/Pangea</t>
  </si>
  <si>
    <t>Projeto para construção do módulo BNP/Pangea da PDPJ, em que desenvolve-se uma solução de software para a criação do Banco Nacional de Precedentes (BNP) e a ferramenta de pesquisa desta base.</t>
  </si>
  <si>
    <t>06. Consolidação do sistema de precedentes obrigatórios</t>
  </si>
  <si>
    <t>23/12/2026</t>
  </si>
  <si>
    <t>Fase: Execução  
• P3 - Integração com sistemas de processo eletrônico via base de dados de movimentação 
processual 
• P5 construção de interface para notas técnicas 
 Fase: Entrada em produção / P2 Confecção de artefatos prioritários: 
• 2.2 Manual de Operação</t>
  </si>
  <si>
    <t>Benefício 1 - Disponibilização de repositório de precedentes qualificados, conhecido como Banco  Nacional de Precedentes (BNP)
Benefício 2 - Disponibilização de Ferramenta de consulta ao repositório de precedentes qualificados  que possa ser utilizada na PDPJ
Benefício 3 - Automatização da integração com os sistemas de processos eletrônicos.
Benefício 4 - Disponibilização de funcionalidade de sugestão automática de precedentes na PDPJ e 
para a integração dos sistemas processuais._x000D_</t>
  </si>
  <si>
    <t xml:space="preserve">Fase: Planejamento 
• P1 – Elaboração Canvas  
• P2 -Planejamento do projeto 
• P3 - Elaboração Plano de Gestão do Projeto (PGP) 
Fase: Execução 
• P1 Modelagem e criação do Banco de Dados de Precedentes / modelo de dados e endpoint para 
envio de precedentes 
• P2 - Criação da Pesquisa textual (Pangea) / consulta por parâmetros 
• P4 - Serviços de envio dos tipos processuais abrangidos no Art. 927 do CPC 
Fase: Entrada em produção / P2 Confecção de artefatos prioritários: 
• 2.1 Manual do Usuário 
• 2.3 Guia de FAQ 
Fase: Encerramento 
• P1 Documentação Final e phase out / 1.1 Reunião de alinhamento inicial - Equipe PhaseOut 
</t>
  </si>
  <si>
    <t>11729/2025</t>
  </si>
  <si>
    <t>Projeto Piloto – Rede de Apoio para Avaliação Externa, com base no IA-CM</t>
  </si>
  <si>
    <t>Testar a metodologia de avaliação da maturidade das auditorias internas do Poder Judiciário com base no IA CM, em ambiente colaborativo, antes da formalização de norma nacional. Para isso, o projeto buscará verificar a aplicabilidade do modelo, promover capacitação, orientar a realização de autoavaliações e validações externas entre os órgãos participantes, a fim de consolidar uma proposta normativa para instituir a Rede de Apoio.</t>
  </si>
  <si>
    <t xml:space="preserve">Dr. Paulo Cesar Rodrigues </t>
  </si>
  <si>
    <t>SAU - Secretaria de Auditoria</t>
  </si>
  <si>
    <t xml:space="preserve">Amanda Côrtes Gomes </t>
  </si>
  <si>
    <t>Coordenadoria de Gestão do 
Sistema de Auditoria do Poder Judiciário 
(COSI)</t>
  </si>
  <si>
    <t>09. Aperfeiçoamento da gestão administrativa e da governança judiciária; e 04. Enfrentamento à corrupção, à improbidade administrativa e aos ilícitos eleitorais</t>
  </si>
  <si>
    <t xml:space="preserve">Capacitação dos membros da Rede de Apoio (autoavaliação);
Autoavaliações realizadas pelos órgãos participantes;
Capacitação dos membros da Rede de Apoio (validação externa);
Validações externas por pares executadas;
Formalização da rede
</t>
  </si>
  <si>
    <t>11776/2024</t>
  </si>
  <si>
    <t>BNMP – Banco Nacional de Medidas Penais e Prisões – Melhorias Evolutivas</t>
  </si>
  <si>
    <t>Desenvolvimento de melhorias no sistema do BNMP</t>
  </si>
  <si>
    <t>08. Aperfeiçoamento da gestão da justiça crimina</t>
  </si>
  <si>
    <t>Programa Justiça 4.0 - Eixo Inovação e Tecnologia (soluções disruptivas para transformar o Judiciário e melhorar a prestação de serviços a toda sociedade);
Resolução CNJ N. 335/2020, que institui uma política pública de governança e gestão do processo judicial eletrônico, integrando os tribunais por meio da Plataforma Digital do Poder Judiciário Brasileiro (PDPJ-Br)</t>
  </si>
  <si>
    <t>BENEFÍCIO 1 - Mellhoria da estabilidade e Evolução do Sistema BNMP 
BENEFÍCIO 2 - Revisão arquitetural do sistema</t>
  </si>
  <si>
    <t xml:space="preserve"> Publicação e atualização do painel mensalmente, diante das extrações dos dados de  realização 
de julgamentos pelo tribunal do Juri pelos tribunais enviados ao Datajud. 
• Correções técnicas em ambiente produtivo 
• Ajustes de regras de negócio 
• Alinhamentos técnicos para garantir conformidade normativa 
• Ações focadas em estabilidade operacional 
• Correções funcionais em fluxos do BNMP 
• Ajustes voltados à qualidade e consistência dos dados 
• Tratamento de inconsistências reportadas por tribunais 
• Melhorias de estabilidade e confiabilidade do sistema</t>
  </si>
  <si>
    <t>11821/2024</t>
  </si>
  <si>
    <t>Selo Linguagem Simples</t>
  </si>
  <si>
    <t>Abertura de edital aos Tribunais para inscrição de propostas para avaliação e posterior premiação.</t>
  </si>
  <si>
    <t>Carolina Schincariol Scacchetti</t>
  </si>
  <si>
    <t>04. Promover a disseminação das informações, de forma padronizada e sistêmica</t>
  </si>
  <si>
    <t>Política de Comunicação Social no âmbito do Poder Judiciário, instituída pela Resolução Nº 85 de 08/09/2009</t>
  </si>
  <si>
    <t>Estimular o uso da linguagem simples pelas instituições do Poder Judiciário</t>
  </si>
  <si>
    <t>11988/2024</t>
  </si>
  <si>
    <t>Pesquisa IA 2024 - Mapeamento dos projetos de Inteligência Artificial em desenvolvimento pelos tribunais brasileiros</t>
  </si>
  <si>
    <t>Mapear e avaliar os projetos de Inteligência Artificial (IA) em desenvolvimento nos tribunais brasileiros, identificando barreiras, facilitadores e o alinhamento às normativas do CNJ</t>
  </si>
  <si>
    <t>03. Fomentar a gestão da qualidade dos dados no Poder Judiciário;
01. Desenvolver políticas judiciárias e outros instrumentos para o aperfeiçoamento das atividades dos órgãos do Poder Judiciário e dos seus serviços auxiliares e dos serviços notariais e de registro, e dos demais órgãos correicionais</t>
  </si>
  <si>
    <t>12. Fortalecimento da estratégia nacional de TIC e de proteção de dados; e
09. Aperfeiçoamento da gestão administrativa e da governança judiciária</t>
  </si>
  <si>
    <t>Programa Justiça 4.0 - Eixo Inovação e Tecnologia (soluções disruptivas para transformar o Judiciário e melhorar a prestação de serviços a toda sociedade)</t>
  </si>
  <si>
    <t>- Questionário validado;
- Documento de glossário;
- Artefatos estruturados e validados (questionário, glossário, plano de pesquisa e comunicação);
- Documento de plano de comunicação;
-  Base de dados consolidada com as respostas</t>
  </si>
  <si>
    <t xml:space="preserve">Benefício 1 - Documentação Completa e Sistematizada : Desenvolvimento de artefatos iniciais, como questionário e glossário que asseguram a 
base metodológica para o levantamento e análise das iniciativas de IA no Judiciário. 
Benefício 2 - Mapeamento Abrangente e Atualizado das Iniciativas - Identificar e documentar todas as iniciativas relacionadas ao desenvolvimento de projetos de IA em andamento e concluídos nos tribunais e conselhos do Judiciário Brasileiro. 
Benefício 3 - Transparência e Comunicação Estratégica - Elaboração e divulgação de relatórios e estratégias de comunicação para disseminar os 
resultados da pesquisa, promovendo o compartilhamento de informações e boas práticas entre os tribunais. </t>
  </si>
  <si>
    <t>Questionário estruturado
Questionário de atualização de projetos
Painel interativo da pesquisa
Relatório executivo</t>
  </si>
  <si>
    <t>12135/2022</t>
  </si>
  <si>
    <t>Painel dos Grandes Litigantes</t>
  </si>
  <si>
    <t>Produzir um novo painel digital, denominado "Painel dos Grandes Litigantes", que contenha os maiores litigantes do judiciário, para ser disponibilizado aos Magistrados Servidores, Pesquisadores, Estudantes e Comunidade como um todo.</t>
  </si>
  <si>
    <t>Política Judiciária Nacional de tratamento adequado dos conflitos de interesses no âmbito do Poder Judiciário, instituída pela Resolução CNJ nº 125/2010</t>
  </si>
  <si>
    <t>30/06/26</t>
  </si>
  <si>
    <t>Benefício 1 - Disponibilizar dados saneados e padronizados acerca dos maiores litigantes do país, de maneira rápida, estruturada e transparente.
Benefício 2 - Realizar 91 Webnários com todos os tribunais para divulgação do painel e o uso de suas funcionalidades, fomentando o debate qualificado sobre soluções para redução da litigância.</t>
  </si>
  <si>
    <t>12215/2023</t>
  </si>
  <si>
    <t>Painel “Justiça Criminal e Sistema Prisional”</t>
  </si>
  <si>
    <t>Produzir novo painel digital denominado "Justiça Criminal e Sistema Prisional", seguindo o disposto na Resolução n. 331/2020, que indique, em um primeiro momento, os dados processuais do Júri, da execução penal e do Banco Nacional de Mandados de Prisão.</t>
  </si>
  <si>
    <t>02. Aperfeiçoar os mecanismos de monitoramento de políticas judiciárias, 03. Fomentar a gestão da qualidade dos dados no Poder Judiciário e 07. Fomentar e fortalecer a atuação interinstitucional do CNJ para garantir os direitos dos cidadãos</t>
  </si>
  <si>
    <t>08. Aperfeiçoamento da gestão da justiça criminal e 02. Fortalecimento da Relação Institucional do Judiciário com a Sociedade</t>
  </si>
  <si>
    <t>Programa Justiça 4.0 - eixo 2: Gestão de dados e informações - aprimoramento de bases de dados e formulação, implantação e monitoramento de políticas judiciárias com base em evidências para fortalecer a promoção de direitos humanos e a transparência de dados</t>
  </si>
  <si>
    <t>- Indicadores estipulados para uso nas consultas;
- Script de Extração de Dados;
- Extração dos dados da Datamart com as regras negociais estabelecidas;
- Dados disponibilizados em painel para validação;
- Dados disponibilizados em painel em ambiente público de consulta.</t>
  </si>
  <si>
    <t xml:space="preserve">Ampliação do acesso às informações consolidadas da atividade-fim dos órgãos do Poder Judiciário aos usuários e beneficiários do projeto. </t>
  </si>
  <si>
    <t>13898/2024</t>
  </si>
  <si>
    <t>Escola Virtual do Poder Judiciário</t>
  </si>
  <si>
    <t>Criação da Escola Virtual do Poder Judiciário (EVJ) para promover igualdade de oportunidades de capacitação para os servidores do Poder Judiciário por meio da implementação do novo portal CEAJUD/CNJ com uma interface mais amigável, da oferta de cursos a distância, do compartilhamento de vagas entre tribunais e da agregação de cursos na plataforma, facilitando o acesso dos servidores a uma variedade de oportunidades de desenvolvimento profissional.</t>
  </si>
  <si>
    <t>Diogo Albuquerque Ferreira</t>
  </si>
  <si>
    <t>CEAJUD - Centro de Formação e Aperfeiçoamento de Servidores</t>
  </si>
  <si>
    <t>Política Nacional de Formação e Aperfeiçoamento dos Servidores dos Poder Judiciário</t>
  </si>
  <si>
    <t>- Reformulação do Portal  do CEAJUD/CNJ;
- Estabelecimento de  Parcerias e Levantamento de Recursos;
- Implementação de  Curso (Análise e seleção dos cursos)
- Campanha de  Divulgação e Sensibilização; 
- Oferta de um ciclo de capacitação;
- Avaliação e Monitoramento.</t>
  </si>
  <si>
    <t>- Centralização, divulgação de informações e disponibilização dos cursos para os servidores do Poder Judiciário.</t>
  </si>
  <si>
    <t>13961/2025</t>
  </si>
  <si>
    <t>Sistema de Detecção e Prevenção de Nepotismo no Poder Judiciário</t>
  </si>
  <si>
    <t>O projeto visa desenvolver e implementar um sistema inteligente de detecção e prevenção de nepotismo no Poder Judiciário, utilizando tecnologias de análise de dados, inteligência artificial                            e mineração de dados para identificar vínculos familiares e possíveis irregularidades em nomeações, contratações e designações em todos os Tribunais vinculados ao CNJ.</t>
  </si>
  <si>
    <t>09. Fomentar e incrementar a produção de soluções tecnológicas, com foco em inovação e transformação digital
13. Estimular a desburocratização no Poder Judiciário</t>
  </si>
  <si>
    <t>04. Enfrentamento à corrupção, à improbidade administrativa e aos ilícitos eleitorais
12. Fortalecimento da estratégia nacional de TIC e de proteção de dados</t>
  </si>
  <si>
    <t xml:space="preserve">Resolução CNJ nº 07/2025, que disciplina o exercício de cargos, empregos e funções por parentes, cônjuges e companheiros de magistrados e de servidores investidos em cargos de direção e assessoramento, no âmbito dos órgãos do Poder Judiciário e dá outras providências. Esta resolução veda a prática de nepotismo, e o projeto visa identificar e reduzir eventuais irregularidades relacionadas a esse tema.
Resolução CNJ nº 615/2025, que estabelece diretrizes para o desenvolvimento, utilização e governança de soluções desenvolvidas com recursos de inteligência artificial no Poder Judiciário. Está relacionada ao projeto considerando que soluções que utilizam IA precisam observar as diretrizes estabelecidas nessa resolução, especialmente quanto à transparência, auditabilidade e mitigação de riscos. </t>
  </si>
  <si>
    <t>-Análise e Modelagem de Dados;
- Desenvolvimento do Sistema;
- Implementação e Integração;
-Monitoramento e Avaliação</t>
  </si>
  <si>
    <t>BENEFÍCIO 1 - Detecção Proativa de Nepotismo
BENEFÍCIO 2 - Fortalecimento da Transparência e Credibilidade
BENEFÍCIO 3 - Padronização dos Controles Anti-Nepotismo</t>
  </si>
  <si>
    <t>14204/2024</t>
  </si>
  <si>
    <t>Programa Novos Caminhos</t>
  </si>
  <si>
    <t>Este projeto irá detalhar os passos essenciais para a implementação do programa em todos os estados, assegurando que a política pública seja efetivamente aplicada e monitorada.</t>
  </si>
  <si>
    <t>07. Fomentar e fortalecer a atuação interinstitucional do CNJ para garantir os direitos dos cidadãos;</t>
  </si>
  <si>
    <t xml:space="preserve">01. Garantia dos direitos fundamentais;
02. Fortalecimento da Relação Institucional do Judiciário com a Sociedade
</t>
  </si>
  <si>
    <t>Mobilização dos Tribunais;
Produção de conteúdo nas mídias sociais para divulgação do programa;
Acordos de Cooperação Técnica com os tribunais.</t>
  </si>
  <si>
    <t>Dra. Carolina Ranzolin Nerbass</t>
  </si>
  <si>
    <t>BENEFÍCIO 1 - Implementação do programa novos caminhos em todos os estados do Brasil;
BENEFÍCIO 2 - Transparência dos resultados</t>
  </si>
  <si>
    <t>14965/2024</t>
  </si>
  <si>
    <t>Serviços Estruturantes - Melhorias Evolutivas e Corretivas</t>
  </si>
  <si>
    <t>Implementar melhorias evolutivas, correções e novas funcionalidades nos Serviços Estruturantes. Este conjunto de serviços, desenvolvido no âmbito da PDPJ-Br, já disponibilizou ao Poder Judiciário soluções essenciais, como o Serviço de Autenticação (SSO), Marketplace, Notificações e Cabeçalho Processual, além da Consulta às Tabelas Processuais Unificadas (TPU), dos serviços de mensageria, pessoas e endereços. Nesta nova etapa, o foco está em aprimorar a performance, segurança, usabilidade e funcionalidades desses serviços, assegurando excelência no atendimento às demandas do sistema judiciário e de seus usuários.</t>
  </si>
  <si>
    <t>03. Agilidade e produtividade na prestação jurisdicional;
12. Fortalecimento da estratégia nacional de TIC e de proteção de dados</t>
  </si>
  <si>
    <t xml:space="preserve">Benefício 1 - Melhoria da estabilidade e Evolução dos serviços estruturantes da PDPJ.
</t>
  </si>
  <si>
    <t>Planejamento do projeto 
Apoio aos Tribunais, correções e bugs dos Serviços Estruturantes 
• Apoio aos Tribunais, correções e bugs nos serviços estruturantes - 1o trimestre 2024 
• Apoio aos Tribunais, correções e bugs nos serviços estruturantes - 2o trimestre 2024 
• Apoio aos Tribunais, correções e bugs nos serviços estruturantes - 3o trimestre 2024 
• Apoio aos Tribunais, correções e bugs nos serviços estruturantes - 4o trimestre 2024 
• Apoio aos Tribunais, correções e bugs nos serviços estruturantes - 1o trimestre 2025 
• Apoio aos Tribunais, correções e bugs nos serviços estruturantes - 2o trimestre 2025 
Organizacional 
Marketplace 
Serviços Estruturantes – Geral 
SSO 
Cabeçalho Processual 
• Revisão do conceito de fases do cabeçalho processual 
• Integração com o Datalake 
 Log</t>
  </si>
  <si>
    <t>15844/2024</t>
  </si>
  <si>
    <t>Programa de Acessibilidade e Inclusão do Conselho Nacional de Justiça (CNJ)</t>
  </si>
  <si>
    <t>Promover a mudança da cultura organizacional por meio da implementação das ações e projetos da Política de acessibilidade e inclusão.</t>
  </si>
  <si>
    <t>Dra. Luciana da Veiga Oliveira</t>
  </si>
  <si>
    <t>Juli Alves Silva</t>
  </si>
  <si>
    <t>DGE - Departamento de Gestão Estratégica</t>
  </si>
  <si>
    <t>Resolução CNJ n. 401/2021 - Dispõe sobre o desenvolvimento de diretrizes de acessibilidade e inclusão de pessoas com deficiência nos órgãos do Poder Judiciário e de seus serviços auxiliares, e regulamenta o funcionamento de unidades de acessibilidade e inclusão.</t>
  </si>
  <si>
    <t>- Capacitação IF-RS: Fortalecendo Competências e Inclusão;
-Campanha de Comunicação ;
-Capacitação em eventos acessíveis;
-Capacitação em audiodescrição ;
-Justiça Restaurativa para a acessibilidade ;
-Ampliação dos itens de acessibilidade no diagnóstico de QVT 2025;
- ACT Rede de Acessibilidade;
- Valoriza 2025;
-Alteração das Catracas ;
- Acolhimento Inclusivo dos novos servidores;</t>
  </si>
  <si>
    <t xml:space="preserve">Dr. Fábio Cesar dos Santos Oliveira </t>
  </si>
  <si>
    <t>BENEFÍCIO 1 - Educação de servidores(as) quanto às questões relacionadas à inclusão e acessibilidade - Visa tornar a equipe do Conselho ciente sobre as necessidades das pessoas com deficiência ou mobilidade reduzida, receptiva às mudanças necessárias e capacitada com os conhecimentos adequados para implementá-las. 
BENEFÍCIO 2 - Infraestrutura das comunicações do Conselho - Garantir que todas as comunicações e eventos promovidos pelo CNJ sejam acessíveis a todas as pessoas, independentemente de suas limitações físicas, sensoriais ou cognitivas. 
BENEFÍCIO 3 - Fomento à inclusão no ambiente de trabalho - Visa promover a inclusão da pessoa com deficiência, de modo que tenham total acesso aos recursos e oportunidades internas em equivalência com os(as) demais profissionais.
BENEFÍCIO 4 Infraestrutura das tecnologias - Garantir que a infraestrutura de Tecnologia da Informação do Conselho, bem como as soluções tecnológicas desenvolvidas ou utilizadas pelo órgão sejam acessíveis a todas as pessoas, independentemente de suas limitações físicas, sensoriais ou cognitivas.</t>
  </si>
  <si>
    <t>16319/2024</t>
  </si>
  <si>
    <t>FONAR - Formulário Nacional de Avaliação de Risco e Formulário Rogéria</t>
  </si>
  <si>
    <t>Projeto que visa disponibilizar os Formulários Nacional de Avaliação de Risco (FONAR) e o Formulário Rogéria, no padrão da PDPJ, acessível a partir de qualquer dispositivo por meio da internet. Integrar esse sistema ao SINESP e ao Codex para validação de Boletins de Ocorrência pré-existentes, bem como processos judiciais. Gerar uma Base de Dados nacional de avaliação de risco, possibilitando a elaboração de relatórios e dashboards de acompanhamento através de painéis analíticos</t>
  </si>
  <si>
    <t>02. Aperfeiçoar os mecanismos de monitoramento de políticas judiciárias; 
07. Fomentar e fortalecer a atuação interinstitucional do CNJ para garantir os direitos dos cidadãos; e 
09. Fomentar e incrementar a produção de soluções tecnológicas, com foco em inovação e transformação digital</t>
  </si>
  <si>
    <t>01. Garantia dos direitos fundamentais; e 
12. Fortalecimento da estratégia nacional de TIC e de proteção de dados</t>
  </si>
  <si>
    <t xml:space="preserve">Desenvolvimento de Relatórios 
Início do Desenvolvimento de Dashboards </t>
  </si>
  <si>
    <t>Benefício 1: Criação de uma Base de Dados nacional de avaliação de Risco</t>
  </si>
  <si>
    <t xml:space="preserve">Etapa 1 – Entrada em produção do MVP em 07/08/2025 - Formulários FONAR 
e Rogeria 
• Realização de webnário do FONAR 
• Lançamento do Guia Interinstitucional de Avaliação de Risco para Aplicação 
do Formulário Nacional de Avaliação de Risco (Fonar)
 Lançamento do Guia Interinstitucional para Aplicação do Formulário 
Rogéria 
• Etapa 2 – Mobile e integração com o Data Lake </t>
  </si>
  <si>
    <t>Sheila da Silva Ribeiro Lima</t>
  </si>
  <si>
    <t>16689/2025</t>
  </si>
  <si>
    <t>Mapa Nacional do Crime Organizado</t>
  </si>
  <si>
    <t>Identificar a forma como o Poder Judiciário trata as persecuções penais dos delitos de organização criminosa 
(art. 2º e seu parágrafo 1º, da Lei nº 12.850/2013) e outros associativos que podem ter relação com crime 
organizado (em especial art. 35, Lei nº 11.343/2006, e arts. 288 e 288-A, do Código Penal); as estruturas 
adotadas e a situação dos acervos nas unidades judiciárias; além do impacto de cada modelo nos resultados, 
apresentando, em seguida, o Mapa Nacional do Crime Organizado.</t>
  </si>
  <si>
    <t>Dr. Glaucio Roberto Brittes Araújo</t>
  </si>
  <si>
    <t>01. Desenvolver políticas judiciárias e outros instrumentos para o aperfeiçoamento das atividades dos órgãos do Poder Judiciário e dos seus serviços auxiliares e dos serviços notariais e de registro, e dos demais órgãos correicionais
07. Fomentar e fortalecer a atuação interinstitucional do CNJ para garantir os direitos dos cidadãos</t>
  </si>
  <si>
    <t>08. Aperfeiçoamento da gestão da justiça criminal
09. Aperfeiçoamento da gestão administrativa e da governança judiciária</t>
  </si>
  <si>
    <t>Entrega 1: Coleta de dados quantitativos
Entrega 2: Coleta de dados qualitativos
Entrega 3: Apresentação do diagnóstico
Entrega 4: Relatório final do projeto</t>
  </si>
  <si>
    <t>41.988,41</t>
  </si>
  <si>
    <t>Diagnóstico sobre como o Poder Judiciário desempenha seu papel em relação ao Crime organizado.</t>
  </si>
  <si>
    <t>16882/2025</t>
  </si>
  <si>
    <t>Módulo de Pessoal e Estrutura Judiciária Mensal (MPM) V.2</t>
  </si>
  <si>
    <t>Reestruturar e manter o Sistema Módulo de Pessoal e Estrutura Judiciária Mensal (MPM). Seu principal objetivo é centralizar e atualizar informações sobre órgãos do Poder Judiciário brasileiro (serventias, magistrados(as), servidores(as) e forças auxiliares), abrangendo todos os ramos de justiça, tribunais e conselhos. O sistema permite monitorar políticas públicas relacionadas à inclusão de gênero, acessibilidade, ações de cotas raciais e reservas para pessoas com deficiência, além de fornecer dados confiáveis para planejamento, gestão e transparência.</t>
  </si>
  <si>
    <t xml:space="preserve">Dra. Ana Lúcia Andrade de Aguiar </t>
  </si>
  <si>
    <t>03. Fomentar a gestão da qualidade dos dados no Poder Judiciário
02. Aperfeiçoar os mecanismos de monitoramento de políticas judiciárias</t>
  </si>
  <si>
    <t>09. Aperfeiçoamento da gestão administrativa e da governança judiciária
10. Aperfeiçoamento da gestão de pessoas</t>
  </si>
  <si>
    <t>Programa Justiça 4.0 - Eixo 2: Inovação e Tecnologia Soluções disruptivas para transformar o Judiciário e melhorar a prestação de serviços a toda a sociedade. ( Resolução CNJ nº 492/2023, que institui a Política para Adoção de Perspectiva de Gênero do Poder Judiciário; Resolução CNJ nº 255/2018, que institui a Política Nacional de Incentivo à Participação Institucional Feminina no Poder Judiciário; e  Resolução CNJ nº 401/2021, que dispõe sobre o desenvolvimento de diretrizes de acessibilidade e inclusão de pessoas com deficiência nos órgãos do Poder Judiciário e em seus serviços auxiliares, regulamentando o funcionamento das unidades de acessibilidade e inclusão)</t>
  </si>
  <si>
    <t>- Reestruturação e manutenção do sistema para recebimento e tratamento de dados.;
- Criação do Painel de Dados de Pessoal (Painel em BI);
- Análise Estatística e Criação de Indicadores Subsídios para Monitoramento das Políticas 
Públicas</t>
  </si>
  <si>
    <t xml:space="preserve"> R$ 2.958.354,76</t>
  </si>
  <si>
    <t xml:space="preserve">Integração de dados e modernização tecnológica do MPM </t>
  </si>
  <si>
    <t>17085/2025</t>
  </si>
  <si>
    <t>Painel Crime Organizado</t>
  </si>
  <si>
    <t>Produzir painel digital responsável pelo armazenamento centralizado dos dados e metadados processuais 
relativos a todos os processos físicos ou eletrônicos, públicos ou sigilosos dos tribunais, denominado "painel 
Crime Organizado".</t>
  </si>
  <si>
    <t xml:space="preserve">01. Desenvolver políticas judiciárias e outros instrumentos para o aperfeiçoamento das atividades dos órgãos do Poder Judiciário e dos seus serviços auxiliares e dos serviços notariais e de registro, e dos demais órgãos correcionais.
03. Fomentar a gestão da qualidade dos dados no Poder Judiciário
</t>
  </si>
  <si>
    <t>Justiça 4.0
Resolução CNJ nº446/2022</t>
  </si>
  <si>
    <t>Painel BI</t>
  </si>
  <si>
    <t xml:space="preserve">Aumento da transparência ativa sobre o tratamento do crime organizado pelo Poder Judiciário </t>
  </si>
  <si>
    <t xml:space="preserve">17372/2024 </t>
  </si>
  <si>
    <t>API de Pessoas</t>
  </si>
  <si>
    <t>Desenvolvimento de API para consulta de dados centralizados de Pessoa, pessoa física ou pessoa jurídica, possibilitando o acesso por sistemas integrados ao PDPJ-Br e por consumidores externos que tenham a devida autorização.  A API de Pessoas é uma ferramenta eficaz para enriquecer aplicações com informações estruturadas e organizadas sobre Pessoa (pessoa física e jurídica) do sistema Jus.br, melhorando a precisão no acesso e no cadastro de dados de Pessoa. Além disso, a API oferece monitoramento do acesso aos dados de Pessoas.</t>
  </si>
  <si>
    <t>09. Fomentar e incrementar a produção de soluções tecnológicas, com foco em inovação e transformação digital e 
03. Fomentar a gestão da qualidade dos dados no Poder Judiciário</t>
  </si>
  <si>
    <t>12. Fortalecimento da estratégia nacional de TIC e de proteção de dados e 
09. Aperfeiçoamento da gestão administrativa e da governança judiciária</t>
  </si>
  <si>
    <t>Fase: Encerramento 
• P1 - Kick off do phase out:  
Reunião de alinhamento inicial / Mapeamento do backlog existente / Cronograma de transição 
de times 
• P2 - Revisão dos artefatos prioritários:  
Manual do Usuário / Manual de Operação / Guia de FAQ</t>
  </si>
  <si>
    <t xml:space="preserve">Benefício 1 - Acesso a Dados Estruturados e Organizados de Pessoa 
</t>
  </si>
  <si>
    <t>Fase: Planejamento 
• P1 - Criação do Canvas 
• P2 - Criação do TAP 
• P3 - Criação do CockPit 
• P4 - Criação do PGP 
Fase: Execução 
• P1 - Preparação do Ambiente de Desenvolvimento/Teste 
• P2 - Preparação de uma PoC 
• P3 - Implementação de um MVP 
• P4 - Reconstrução da Consulta de Processos &amp; Melhorias Backend 
• P5 - Construção do FrontEnd 
• P6 - Montagem do Ambiente de Produção 
• P7 - Propor arquitetura para Controle de Versão do JSON 
• P8 - Disponibilizar acesso à Folha de Antecedentes Criminais (PF) 
• P9 - Melhorias de responsividade e usabilidade 
• P10 - Liberar release 0.8.0.0 (Motor ingestão, API e Frontend) 
• P11 - Evoluir a estrutura de dados (JSON Opensearch e S3) de pessoa 
• P12 - Liberar release 0.9.0.0 (Motor ingestão, API e Frontend) 
• P13 - Disponibilizar acesso à informação de execução penal (SEEU) 
• P14 - Evoluir endpoints para consumo da Polícia Federal 
• P15 - Liberar release 1.0.0.0 (Motor ingestão, API e Frontend) 
• P16 - Lançamento nacional da interface de busca unificada e API Pessoas 
• P20 - Versionamento DL Pessoas 
 Fase: Entrada em produção 
• P1 - Planejamento 
• P2 - Confecção de artefatos prioritários:  Manual de usuário / Guia de FAQ / Manual de 
operações / Relatório Pentest / Relatório JMeter 
• P3 - Estruturação de atendimento N1-N3</t>
  </si>
  <si>
    <t>17466/2024</t>
  </si>
  <si>
    <r>
      <rPr>
        <sz val="11"/>
        <color rgb="FF000000"/>
        <rFont val="Calibri"/>
        <family val="2"/>
        <scheme val="minor"/>
      </rPr>
      <t>Audiência de Custódia</t>
    </r>
    <r>
      <rPr>
        <sz val="11"/>
        <color rgb="FFFF0000"/>
        <rFont val="Calibri"/>
        <family val="2"/>
        <scheme val="minor"/>
      </rPr>
      <t xml:space="preserve"> (sistema penal)</t>
    </r>
  </si>
  <si>
    <t>Fortalecer as audiências de custódia como mecanismo capaz de racionalizar a porta de entrada do sistema prisional, à luz da Resolução CNJ nº  213/2015, do Código de Processo Penal e em conformidade com parâmetros nacionais e internacionais.</t>
  </si>
  <si>
    <t>Valdirene Daufemback</t>
  </si>
  <si>
    <t>07. Fomentar e fortalecer a atuação interinstitucional do CNJ para garantir os direitos dos cidadãos;
01. Desenvolver políticas judiciárias e outros instrumentos para o aperfeiçoamento das atividades dos órgãos do Poder Judiciário e dos seus serviços auxiliares e dos serviços notariais e de registro, e dos demais órgãos correicionais</t>
  </si>
  <si>
    <t>08. Aperfeiçoamento da gestão da justiça criminal; e
01. Garantia dos direitos fundamentais</t>
  </si>
  <si>
    <t>Fazendo Justiça</t>
  </si>
  <si>
    <r>
      <rPr>
        <sz val="11"/>
        <color theme="5"/>
        <rFont val="Calibri"/>
        <family val="2"/>
        <scheme val="minor"/>
      </rPr>
      <t>(1.2.1) Publicação do Guia dos Serviços APEC</t>
    </r>
    <r>
      <rPr>
        <sz val="11"/>
        <color rgb="FFC00000"/>
        <rFont val="Calibri"/>
        <family val="2"/>
        <scheme val="minor"/>
      </rPr>
      <t xml:space="preserve"> 
</t>
    </r>
    <r>
      <rPr>
        <sz val="11"/>
        <color rgb="FF00B050"/>
        <rFont val="Calibri"/>
        <family val="2"/>
        <scheme val="minor"/>
      </rPr>
      <t>(1.2.2) Levantamento nacional sobre audiência de custódia, elaborado a partir dos insumos fornecidos pelas assessorias estaduais</t>
    </r>
  </si>
  <si>
    <t>https://www.cnj.jus.br/sistema-carcerario/fazendo-justica/</t>
  </si>
  <si>
    <t>(1.2.2) Levantamento nacional sobre audiência de custódia, elaborado a partir dos insumos fornecidos pelas assessorias estaduais</t>
  </si>
  <si>
    <t>Juliana Tonche</t>
  </si>
  <si>
    <t>174661/2024</t>
  </si>
  <si>
    <r>
      <rPr>
        <sz val="11"/>
        <color rgb="FF000000"/>
        <rFont val="Calibri"/>
        <family val="2"/>
        <scheme val="minor"/>
      </rPr>
      <t xml:space="preserve">Alternativas Penais </t>
    </r>
    <r>
      <rPr>
        <sz val="11"/>
        <color rgb="FFFF0000"/>
        <rFont val="Calibri"/>
        <family val="2"/>
        <scheme val="minor"/>
      </rPr>
      <t>(sistema penal)</t>
    </r>
  </si>
  <si>
    <t>Articular os atores centrais da política de alternativas penais nas três esferas de governo para a implantação de serviços de acompanhamento das medidas diversas da prisão</t>
  </si>
  <si>
    <r>
      <rPr>
        <sz val="11"/>
        <color rgb="FF00B050"/>
        <rFont val="Calibri"/>
        <family val="2"/>
        <scheme val="minor"/>
      </rPr>
      <t>(1.1.4) Suporte técnico e metodológico para a implantação do Sistema Nacional de Alternativas Penais</t>
    </r>
    <r>
      <rPr>
        <sz val="11"/>
        <color rgb="FFC00000"/>
        <rFont val="Calibri"/>
        <family val="2"/>
        <scheme val="minor"/>
      </rPr>
      <t xml:space="preserve">
</t>
    </r>
    <r>
      <rPr>
        <sz val="11"/>
        <color rgb="FF00B050"/>
        <rFont val="Calibri"/>
        <family val="2"/>
        <scheme val="minor"/>
      </rPr>
      <t xml:space="preserve">
(1.1.4) Desenvolver 1 encontro metodológico com as equipes multidisciplinares das VEPMAS conforme matriz do modelo de gestão de alternativas penais</t>
    </r>
  </si>
  <si>
    <t>1746610/2024</t>
  </si>
  <si>
    <r>
      <rPr>
        <sz val="11"/>
        <color rgb="FF000000"/>
        <rFont val="Calibri"/>
        <family val="2"/>
        <scheme val="minor"/>
      </rPr>
      <t xml:space="preserve">Mutirão Processual Penal </t>
    </r>
    <r>
      <rPr>
        <sz val="11"/>
        <color rgb="FFFF0000"/>
        <rFont val="Calibri"/>
        <family val="2"/>
        <scheme val="minor"/>
      </rPr>
      <t>(sistema penal)</t>
    </r>
  </si>
  <si>
    <t>Realizar esforços concentrados para a revisão de processos nas fases de conhecimento e execução penal, garantindo o cumprimento da Lei de Execução Penal e dos precedentes vinculantes do STF com vistas ao desafogamento do sistema prisional.</t>
  </si>
  <si>
    <t>(5.6.4) Apoio técnico aos Mutirões Processuais Penais (Assessoria Jurídica)
(5.10.1) Apoiar a mobilização dos  TRFs participantes da metodologia do Mutirão Processual Penal (Ações com os TRFs)</t>
  </si>
  <si>
    <t>1746611/2024</t>
  </si>
  <si>
    <r>
      <rPr>
        <sz val="11"/>
        <color rgb="FF000000"/>
        <rFont val="Calibri"/>
        <family val="2"/>
        <scheme val="minor"/>
      </rPr>
      <t xml:space="preserve">Sistema Eletrônico de Execução Unificado - SEEU </t>
    </r>
    <r>
      <rPr>
        <sz val="11"/>
        <color rgb="FFFF0000"/>
        <rFont val="Calibri"/>
        <family val="2"/>
        <scheme val="minor"/>
      </rPr>
      <t>(sistema penal)</t>
    </r>
  </si>
  <si>
    <t>Expandir e consolidar o SEEU como ferramenta nacional de gestão de execução penal, com novas ações de implantação, melhorias de governança e sustentabilidade, bem como a criação de novas funcionalidades.</t>
  </si>
  <si>
    <r>
      <rPr>
        <sz val="11"/>
        <color theme="5"/>
        <rFont val="Calibri"/>
        <family val="2"/>
        <scheme val="minor"/>
      </rPr>
      <t>(4.4.1) Otimizar o código do SEEU aprimorando os campos de consultas, relatórios e outras funcionalidades</t>
    </r>
    <r>
      <rPr>
        <sz val="11"/>
        <color rgb="FFC00000"/>
        <rFont val="Calibri"/>
        <family val="2"/>
        <scheme val="minor"/>
      </rPr>
      <t xml:space="preserve">
</t>
    </r>
    <r>
      <rPr>
        <sz val="11"/>
        <color rgb="FF00B050"/>
        <rFont val="Calibri"/>
        <family val="2"/>
        <scheme val="minor"/>
      </rPr>
      <t>(4.4.4) Finalizar ajustes na funcionalidade de assinatura simplificada autenticação em dois fatores
(4.4.8) Realizar a integração com BNMP3</t>
    </r>
  </si>
  <si>
    <t>(4.4.4) Finalizar ajustes na funcionalidade de assinatura simplificada autenticação em dois fatores
(4.4.8) Realizar a integração com BNMP3</t>
  </si>
  <si>
    <t>1746612/2024</t>
  </si>
  <si>
    <r>
      <rPr>
        <sz val="11"/>
        <color rgb="FF000000"/>
        <rFont val="Calibri"/>
        <family val="2"/>
        <scheme val="minor"/>
      </rPr>
      <t>Atendimento Inicial e Núcleo de Atendimento Integrado (</t>
    </r>
    <r>
      <rPr>
        <sz val="11"/>
        <color rgb="FFFF0000"/>
        <rFont val="Calibri"/>
        <family val="2"/>
        <scheme val="minor"/>
      </rPr>
      <t>sistema socioeducativo)</t>
    </r>
  </si>
  <si>
    <t>O atendimento inicial e o Núcleo de Atendimento Integrado (NAI) têm o objetivo de garantir a mínima e mais eficaz intervenção possível no primeiro atendimento atendimento a adolescentes a quem se atribua a prática de atos infracionais.</t>
  </si>
  <si>
    <r>
      <rPr>
        <sz val="11"/>
        <color rgb="FF00B050"/>
        <rFont val="Calibri"/>
        <family val="2"/>
        <scheme val="minor"/>
      </rPr>
      <t>(2.1.1) Realização de diagnóstico local qualificado do atendimento inicial em 3 UF</t>
    </r>
    <r>
      <rPr>
        <sz val="11"/>
        <color rgb="FFC00000"/>
        <rFont val="Calibri"/>
        <family val="2"/>
        <scheme val="minor"/>
      </rPr>
      <t xml:space="preserve">
</t>
    </r>
    <r>
      <rPr>
        <sz val="11"/>
        <color theme="5"/>
        <rFont val="Calibri"/>
        <family val="2"/>
        <scheme val="minor"/>
      </rPr>
      <t>(2.1.2) Metodologia territorializada para implementação de fluxo de atendimento inicial em 2 UF</t>
    </r>
  </si>
  <si>
    <t>(2.1.1) Realização de diagnóstico local qualificado do atendimento inicial em 3 UF</t>
  </si>
  <si>
    <t>1746613/2024</t>
  </si>
  <si>
    <r>
      <t>Central de Vagas</t>
    </r>
    <r>
      <rPr>
        <sz val="11"/>
        <color rgb="FFFF0000"/>
        <rFont val="Calibri"/>
        <family val="2"/>
        <scheme val="minor"/>
      </rPr>
      <t xml:space="preserve"> (sistema socioeducativo)</t>
    </r>
  </si>
  <si>
    <t>Qualificar a porta de entrada do meio fechado do Sistema Socioeducativo e para operacionalizar a decisão do HC 143.988, que determina que as unidades não po_x0002_dem mais atuar acima do percentual de 100% de sua capacidade.</t>
  </si>
  <si>
    <t xml:space="preserve">(2.2.2) 2 Estratégias territorializadas  de qualificação das Centrais de Vagas
(2.2.3) 2 Centrais de Vagas implementadas </t>
  </si>
  <si>
    <t>1746614/2024</t>
  </si>
  <si>
    <r>
      <rPr>
        <sz val="11"/>
        <color rgb="FF000000"/>
        <rFont val="Calibri"/>
        <family val="2"/>
        <scheme val="minor"/>
      </rPr>
      <t>Audiência Concentrada</t>
    </r>
    <r>
      <rPr>
        <sz val="11"/>
        <color rgb="FFFF0000"/>
        <rFont val="Calibri"/>
        <family val="2"/>
        <scheme val="minor"/>
      </rPr>
      <t xml:space="preserve"> (sistema socioeducativo)</t>
    </r>
  </si>
  <si>
    <t>Disseminar e qualificar a metodologia das audiências concentradas para reavaliação das medidas socioeducativas, oferta de processos formativos, avaliação e monitoramento da implementação nos estados.</t>
  </si>
  <si>
    <t>(2.8.1) Metodologia nacional DMF/FJ de monitoramento qualificado das audiências concentradas
(2.8.3) Implementação de audiência concentrada em 1 UF</t>
  </si>
  <si>
    <t>1746615/2024</t>
  </si>
  <si>
    <r>
      <rPr>
        <sz val="11"/>
        <color rgb="FF000000"/>
        <rFont val="Calibri"/>
        <family val="2"/>
        <scheme val="minor"/>
      </rPr>
      <t xml:space="preserve">Programa Pós-medida </t>
    </r>
    <r>
      <rPr>
        <sz val="11"/>
        <color rgb="FFFF0000"/>
        <rFont val="Calibri"/>
        <family val="2"/>
        <scheme val="minor"/>
      </rPr>
      <t>(sistema socioeducativo)</t>
    </r>
  </si>
  <si>
    <t>Disseminar a metodologia do Programa de Acompanhamento a Adolescentes Pós-Cumprimento de Medida Socioeducativa, incidindo na implementação, qualificação e monitoramento dos programas nos estados.</t>
  </si>
  <si>
    <t>(2.9.1) 1 Relatório Anual de Monitoramento e Implementação
(2.9.1) 1 Metodologia de Monitoramento e Implementação</t>
  </si>
  <si>
    <t>1746616/2024</t>
  </si>
  <si>
    <r>
      <t>Ação Nacional de Cultura</t>
    </r>
    <r>
      <rPr>
        <sz val="11"/>
        <color rgb="FFFF0000"/>
        <rFont val="Calibri"/>
        <family val="2"/>
        <scheme val="minor"/>
      </rPr>
      <t xml:space="preserve"> (sistema socioeducativo)</t>
    </r>
  </si>
  <si>
    <t xml:space="preserve"> A partir do diagnóstico situacional nacional realizado em 2023, busca-se contribuir com a construção de uma Diretriz Nacional de Fomento à Cultura, bem como com a ampliação e diversificação de práticas culturais ofertadas ao público do socioeducativo. </t>
  </si>
  <si>
    <t xml:space="preserve">(2.7.1) 1 Realização do evento  3ª Edição dos Caminhos Literários 
(2.7.2) 1 Relatório com Diretrizes para Acesso à leitura e literatura no socioeducativo </t>
  </si>
  <si>
    <t>1746617/2024</t>
  </si>
  <si>
    <r>
      <t xml:space="preserve">Aprendizagem </t>
    </r>
    <r>
      <rPr>
        <sz val="11"/>
        <color rgb="FFFF0000"/>
        <rFont val="Calibri"/>
        <family val="2"/>
        <scheme val="minor"/>
      </rPr>
      <t>(sistema socioeducativo)</t>
    </r>
  </si>
  <si>
    <t xml:space="preserve">Impulsionar a ampliação da oferta de oportuni_x0002_dades de aprendizagem e qualificação profissional para adolescentes e jovens em cumprimento e pós-cumprimento de medidas socioeducativas, sob a perspectiva da promoção do acesso a direitos e do fortalecimento do protagonismo desses(as) adolescentes e jovens. </t>
  </si>
  <si>
    <t xml:space="preserve"> (2.6.1) 1 Minuta Recomendação Conjunta elaborada
(2.6.4) Orientação técnica para atuação dos estados na pauta de aprendizagem </t>
  </si>
  <si>
    <t>1746618/2024</t>
  </si>
  <si>
    <r>
      <rPr>
        <sz val="11"/>
        <color rgb="FF000000"/>
        <rFont val="Calibri"/>
        <family val="2"/>
        <scheme val="minor"/>
      </rPr>
      <t>Plataforma Socioeducativa</t>
    </r>
    <r>
      <rPr>
        <sz val="11"/>
        <color rgb="FFFF0000"/>
        <rFont val="Calibri"/>
        <family val="2"/>
        <scheme val="minor"/>
      </rPr>
      <t xml:space="preserve"> (sistema socioeducativo)</t>
    </r>
  </si>
  <si>
    <t>Adaptação do core Processo Judicial Eletrônico (Pje) para viabilizar a integração e a configuração de novos fluxos de processo que atendam as demandas das medidas socioeducativas, tanto para os processos de apuração de ato infracional quanto para os de execução de medidas socioeducativas.</t>
  </si>
  <si>
    <t>(5.9.3) Efetivar PSE na última versão PJe Lagacy CNJ 
(5.9.8) Elaboração do planejamento da expansão da Plataforma Socioeducativa nos tribunais</t>
  </si>
  <si>
    <t>1746619/2024</t>
  </si>
  <si>
    <t>Inspeção Judicial</t>
  </si>
  <si>
    <t>Socioeducativo – Qualificar as inspeções judiciais em unidades socioeducativas e programas de meio aberto por meio do desenvolvimento de novas metodologias e do aprimoramento dos formulários de inspeção.
Penal – Aprimorar instrumentais e normativas, desenvolver manuais técnicos e realizar formações para qualificar as inspeções judiciais nos estabelecimentos penais.</t>
  </si>
  <si>
    <r>
      <rPr>
        <sz val="11"/>
        <color rgb="FF00B050"/>
        <rFont val="Calibri"/>
        <family val="2"/>
        <scheme val="minor"/>
      </rPr>
      <t xml:space="preserve">(2.4.2) Implementação e atualização do website Cniups (sistema socioeducativo)
</t>
    </r>
    <r>
      <rPr>
        <sz val="11"/>
        <color rgb="FFE97132"/>
        <rFont val="Calibri"/>
        <family val="2"/>
        <scheme val="minor"/>
      </rPr>
      <t>(3.3.1) Publicar manual da Resolução sobre Inspeções Judiciais (sistema penal)</t>
    </r>
  </si>
  <si>
    <t>(2.4.2) Implementação e atualização do website Cniups (sistema socioeducativo)</t>
  </si>
  <si>
    <t>174662/2024</t>
  </si>
  <si>
    <r>
      <rPr>
        <sz val="11"/>
        <color rgb="FF000000"/>
        <rFont val="Calibri"/>
        <family val="2"/>
        <scheme val="minor"/>
      </rPr>
      <t xml:space="preserve">Monitoração Eletrônica </t>
    </r>
    <r>
      <rPr>
        <sz val="11"/>
        <color rgb="FFFF0000"/>
        <rFont val="Calibri"/>
        <family val="2"/>
        <scheme val="minor"/>
      </rPr>
      <t>(sistema penal)</t>
    </r>
  </si>
  <si>
    <t>Articular atores estratégicos para a política de monitoração eletrônica e disseminar as diretrizes da Resolução CNJ nº 412/2021, visando a qualificação e o uso racional da medida, de modo a evitar seu crescimento exponencial.</t>
  </si>
  <si>
    <r>
      <rPr>
        <sz val="11"/>
        <color rgb="FF00B050"/>
        <rFont val="Calibri"/>
        <family val="2"/>
        <scheme val="minor"/>
      </rPr>
      <t>(1.1.6) Publicação do Relatório da Conferência de Monitoração Eletrônica 2023</t>
    </r>
    <r>
      <rPr>
        <sz val="11"/>
        <color rgb="FFC00000"/>
        <rFont val="Calibri"/>
        <family val="2"/>
        <scheme val="minor"/>
      </rPr>
      <t xml:space="preserve">
</t>
    </r>
    <r>
      <rPr>
        <sz val="11"/>
        <color theme="5"/>
        <rFont val="Calibri"/>
        <family val="2"/>
        <scheme val="minor"/>
      </rPr>
      <t>(1.1.6) Apoio na elaboração de documentos metodológicos para atuação das equipes multidisciplinares das Centrais de Monitoração Eletrônica</t>
    </r>
  </si>
  <si>
    <t>(1.1.6) Publicação do Relatório da Conferência de Monitoração Eletrônica 2023</t>
  </si>
  <si>
    <t>1746620/2024</t>
  </si>
  <si>
    <t>Enfrentamento da Tortura</t>
  </si>
  <si>
    <t>Socioeducativo – Fortalecer ações judiciais e contribuir para a construção de fluxos de combate à tortura. 
Penal – Qualificar as ações judiciais de prevenção e com_x0002_bate à tortura, maus tratos e outros tratamentos cruéis, desumanos e degradantes no âmbito das audiências de custódia e dos estabelecimentos penais, bem como documentar, monitorar e publicizar dados de registro e apuração de denúncias de tortura e óbitos nos estabelecimentos penais.</t>
  </si>
  <si>
    <r>
      <rPr>
        <sz val="11"/>
        <color rgb="FF00B050"/>
        <rFont val="Calibri"/>
        <family val="2"/>
        <scheme val="minor"/>
      </rPr>
      <t xml:space="preserve">(2.4.1) 1 Guia para Preenchimento do Cniups Meio Aberto (sistema socioeducativo)
</t>
    </r>
    <r>
      <rPr>
        <sz val="11"/>
        <color rgb="FFE97132"/>
        <rFont val="Calibri"/>
        <family val="2"/>
        <scheme val="minor"/>
      </rPr>
      <t xml:space="preserve">
(3.3.4) Implantar cinco grupos de trabalho sobre prevenção e combate à tortura (sistema penal)</t>
    </r>
  </si>
  <si>
    <t>(2.4.1) 1 Guia para Preenchimento do Cniups Meio Aberto (sistema socioeducativo)</t>
  </si>
  <si>
    <t>1746621/2024</t>
  </si>
  <si>
    <t>Populações com Vulnerabilidade Acrescida</t>
  </si>
  <si>
    <t>Qualificar as políticas judiciárias voltadas para populações em contexto de vulnerabilidade acrescida, em especial pessoas negras, LGBTQIAPN+, migrantes, em situação de rua, com deficiência, vivendo com HIV/aids ou doenças infectocontagiosas, povos indígenas e mulheres.</t>
  </si>
  <si>
    <t>(2.13.3) 1 Protocolo orientativo para adolescentes em situação de de rua (sistema socioeducativo)
(5.12.1) Lançamento e disseminação do Caderno temático de relações raciais (sistema penal)</t>
  </si>
  <si>
    <t>1746622/2024</t>
  </si>
  <si>
    <t>Saúde Mental</t>
  </si>
  <si>
    <t>Socioeducativo – Qualificar a atuação do Judiciário na garantia dos cuidados em saúde mental de ado_x0002_lescentes atendidos pelo Sistema Socioeducativo, buscando a atuação conjunta a partir da produção de normativa nacional, de manual sobre o tema e da pactuação de fluxos locais.
Penal – Assegurar o atendimento integral à saúde articulado com o SUS, em harmonia com a Lei n° 10.216/01 e a Convenção Internacional sobre os Direitos das Pessoas com Deficiência, qualificando a atuação do Poder Judiciário nos casos que envolvem pessoas em sofrimento mental em conflito com a lei, bem como com a articulação com as políticas sociais.</t>
  </si>
  <si>
    <t>(2.3.4) 01 metodologia de mapeamento local de saúde mental (sistema socioeducativo)
(3.1.4) Realização de 1º levantamento sobre os processos de desinstitucionalização dos Hospitais de Custódia e Tratamento Psiquiátrico nas 27 unidades da federação (sistema penal)</t>
  </si>
  <si>
    <t>1746623/2024</t>
  </si>
  <si>
    <t>Políticas de Drogas</t>
  </si>
  <si>
    <t>Ampliar o acesso dos públicos dos sistemas de justiça criminal e justiça juvenil aos serviços de atenção às pessoas que usam drogas.</t>
  </si>
  <si>
    <t>(1.4.3) Apoio para atuação dos articuladores locais e formação nacional sobre atenção às pessoas que usam drogas e redução de danos a ser realizada pela SENAD (sistema penal)
(2.14.5) Estratégias de implementação de ações sobre drogas no socioeducativo junto à SENAD (sistema socioeducativo)</t>
  </si>
  <si>
    <t>1746624/2024</t>
  </si>
  <si>
    <t>Documentação Civil</t>
  </si>
  <si>
    <t xml:space="preserve">Socioeducativo – Assegurar o acesso à documentação civil básica a adolescentes e jovens em cumprimento de medida socioeducativa, a partir da construção e definição de estratégias com os Tribunais de Justiça, órgãos emissores e instituições responsáveis pela gestão do sistema onde se inserem.
Penal – Universalizar o acesso a documentos básicos para pessoas privadas de liberdade a partir da adoção de soluções tecnológicas e da capacitação contínua de atores envolvidos na emissão de documentos, certificação e autenticação de dados biométricos. </t>
  </si>
  <si>
    <t>(4.3.1) Articular a formalização da adesão ao fluxo da identificação civil no âmbito da Administração Penitenciária do DF e MG (sistema penal)
(4.3.1) Iniciar a coleta do passivo em até 5 Unidades Penitenciárias Federais (sistema penal)</t>
  </si>
  <si>
    <t>1746625/2024</t>
  </si>
  <si>
    <t>Articulação Internacional e Proteção dos Direitos Humanos</t>
  </si>
  <si>
    <t>Busca assegurar os instrumentos necessários para a difusão de conhecimento especializado em âmbito internacional.</t>
  </si>
  <si>
    <r>
      <rPr>
        <sz val="11"/>
        <color rgb="FF00B050"/>
        <rFont val="Calibri"/>
        <family val="2"/>
        <scheme val="minor"/>
      </rPr>
      <t xml:space="preserve">(5.13.3.1) Revisão de produtos de conhecimento e documentos do Programa traduzidos para o inglês e espanhol (sistemas penal e socioeducativo)
</t>
    </r>
    <r>
      <rPr>
        <sz val="11"/>
        <color rgb="FFE97132"/>
        <rFont val="Calibri"/>
        <family val="2"/>
        <scheme val="minor"/>
      </rPr>
      <t>(5.13.3.2) Disseminação do conteúdo junto a instituições parceiras internacionais (bibliotecas, centros de informação e demais instituições) que mantém bases de dados on-line sobre temas afetos ao Programa (sistemas penal e socioeducativo)</t>
    </r>
  </si>
  <si>
    <t>(5.13.3.1) Revisão de produtos de conhecimento e documentos do Programa traduzidos para o inglês e espanhol (sistemas penal e socioeducativo)</t>
  </si>
  <si>
    <t>1746626/2024</t>
  </si>
  <si>
    <t>Grupo de Monitoramento e Fiscalização - GMF</t>
  </si>
  <si>
    <t>Ofertar diretrizes qualificadas e instrumentalizar os GMFs para atuarem em consonância com as competências definidas pelas normativas do CNJ, de forma cada vez mais parametrizada e pautada em boas práticas.</t>
  </si>
  <si>
    <t>(5.13.2.1) Manual de Diretrizes e Práticas para os GMFs (sistemas penal e socioeducativo)
(5.13.2.2) Realizar Encontro Nacional dos GMFs com o DMF (sistemas penal e socioeducativo)</t>
  </si>
  <si>
    <t>1746627/2024</t>
  </si>
  <si>
    <t>Formação e Cultura Institucional</t>
  </si>
  <si>
    <t>Qualificar a atuação de juízes, juízas e demais profissionais envolvidos nos sistemas penal e socioeducativo, através de formações e capacitações específicas desenvolvidas pelo CNJ e instituições parceiras.</t>
  </si>
  <si>
    <t>(5.8.3) Apoio a implementação do Curso " Protocolos de atuação do Judiciário para execução de políticas públicas em prisões" (sistema penal)
(8.8.3) Apoio para implementação de Curso do Socioeducativo elaborado e disponibilizado para ENFAM (sistema socioeducativo)</t>
  </si>
  <si>
    <t>1746628/2024</t>
  </si>
  <si>
    <t>Adequação à Lei Geral de Proteção de Dados Pessoais</t>
  </si>
  <si>
    <t>Qualificar a gestão de dados pessoais em todas as iniciativas do programa Fazendo Justiça, fortalecendo estratégias de tratamento e proteção de dados do CNJ.</t>
  </si>
  <si>
    <t>(5.6.7) Treinar/capacitar equipes do Programa e do DMF sobre o tema Lei Geral de Proteção de Dados Pessoais (sistemas penal e socioeducativo)</t>
  </si>
  <si>
    <t>1746629/2024</t>
  </si>
  <si>
    <t>Programa Fazendo Justiça - Projeto BRA/23/017</t>
  </si>
  <si>
    <t xml:space="preserve">Fortalecimento e monitoramento das ações de inovação e aperfeiçoamento dos sistemas penal e socioeducativo, em linha com princípios e diretrizes nacionais e internacionais de Direitos Humanos.
</t>
  </si>
  <si>
    <t>Renata Chiarinelli Laurino</t>
  </si>
  <si>
    <t>DMF</t>
  </si>
  <si>
    <t>Benefício 1:
1. Audiência de Custódia
a. Publicação de Orientações Técnicas para as Audiências de Custódia a partir da Resolução n.º 562/2024;
2. Alternativas Penais
a. Publicação de Guia Metodológico para Execução de Grupos de Responsabilização sobre Violência Doméstica;
b. Publicação de Guia Metodológico para Execução de Grupos de Responsabilização sobre Drogas.
3. Monitoração Eletrônica
a. Encontro Nacional com VEPs, VEPMAs e TRFs visando qualificação de dados sobre Monitoração Eletrônica no SEEU.
4. Central de Regulação de Vagas
a. Guia de implementação da Central de Regulação de Vagas publicado.
5. Ação Nacional de Trabalho e Renda
a. Publicar cartilha de inserção sociolaboral.
6. Plano Nacional de Fomento à Leitura
a. Estabelecimento de parcerias com editoras, bibliotecas e outras instituições para doação de livros para o sistema prisional e unidades do Escritório Social.
7. Plano Nacional de Fomento ao Esporte e Lazer
a. Lançamento do Censo Nacional de Esporte.
8. Atenção às Pessoas Egressas e Escritório Social
a. Documento orientativo sobre novo fluxo de implantação das unidades do Escritório Social e novo modelo de ACT a ser adotado pelas UFs.
9. Fortalecimento da Participação Social
a. Elaboração de parâmetros e orientações para atividades de fiscalização realizadas pelos Conselhos da Comunidade.
10. Mutirão Processual Penal
a. Elaboração de minuta de normativa específica para o mutirão 2025.
11. Inspeção Judicial no Sistema Penal
a. Publicação do manual da Resolução sobre Inspeções Judiciais.
12. Enfrentamento à Tortura no Sistema Penal
a. Elaboração de documento orientativo para o uso de instrumentos de monitoramento para o controle de alegações de tortura, maus-tratos ou mortes
Benefício 2:
1. Atendimento Inicial e Núcleo de Atendimento Integrado
a. Metodologia territorializada para implementação de fluxo de Atendimento Inicial em duas UFs.
2. Central de Vagas
a. Painel de BI sobre o Monitoramento da Central de Vagas.
3. Audiência Concentrada
a. Elaboração de proposta de Resolução CNJ sobre Audiências Concentradas.
4. Programa Pós-Medida
a. Relatório de Monitoramento da Implementação do Programa Pós-Medida nos estados.
5. Ação Nacional de Cultura
a. 4ª Edição do evento Caminhos Literários no Socioeducativo: pelo direito à leitura.
6. Aprendizagem
a. Relatório sobre mapeamento das Práticas de Aprendizagem nos estados.
7. Inspeção Judicial no Sistema Socioeducativo
a. Desenvolvimento do Painel de BI do Cniups - Meio Aberto.
8. Enfrentamento à Tortura no Sistema Socioeducativo
a. Elaboração de Orientação Técnica para implementação de fluxo de prevenção e combate à tortura nas UFs.
Benefício 3:
1. Sistema Eletrônico de Execução Unificado (SEEU)
a. Elaborar protocolo para incidentes de segurança;
b. Desenvolver funcionalidades para adequação do SEEU - projeto piloto em SP.
2. Plataforma Socioeducativa (PSE)
a. Implantação da PSE no TJPE;
b. Implantação da PSE no TJPB.
3. Documentação Civil
a. Fomentar a adesão das Secretarias de Administração do Sistema Socioeducativo ao convênio com o Operador Nacional de Registro Civil das Pessoas Naturais (ON-RCPN) para emissão de Certidão de Nascimento (sistema socioeducativo);
b. Desenvolver projeto piloto com o Poder Executivo de uma UF do fluxo integrado de Identificação Civil e Documentação, a partir da utilização dos kits para emissão da CIN, em parceria com o TSE e o MGI (sistema penal).
Benefício 4:
1. Populações com Vulnerabilidade Acrescida
a. Elaborar minuta de Acordo de Cooperação Técnica com MJSP para criação de fluxo facilitado de emissão de RNM e de 2ª via de Certidão de Naturalização para as pessoas privadas de liberdade migrantes.
2. Saúde Mental
a. Manual sobre saúde mental no sistema socioeducativo;
Formalização de Acordo de Cooperação Técnica com Conselho Federal de Psicologia e apoio às inspeções em Direitos Humanos a serem realizadas pelos Conselhos Regionais de Psicologia nos HCTPs e congêneres (sistema penal).
3. Políticas de Drogas
a. Proposta de resolução CNJ sobre regulamentação de posse de cannabis para uso pessoal por adolescentes (sistema socioeducativo);
b. Subsídio técnico à elaboração da resolução que regulamente o procedimento de atuação do poder público nos casos de posse de cannabis para uso pessoal (sistema penal).
Benefício 5:
1. Comitê de Políticas Penais
a. Subsídio técnico para formalização de Comitês de Políticas Penais em 27 Unidades da Federação.
2. Articulação Internacional e Proteção dos Direitos Humanos
a. Disseminação do conteúdo junto às instituições parceiras internacionais (bibliotecas, centros de informação e demais instituições) que mantêm bases de dados on-line sobre temas afetos ao Programa.
3. Grupo de Monitoramento e Fiscalização (GMF)
a. Encontro Nacional com os GMFs.
4. Formação e Cultura Institucional
a. Capacitação para a implantação da PSE no TJPE;
b. Execução da formação de magistrados(as) sobre a nova metodologia de inspeção judicial com base no Manual da Resolução CNJ n.º 593/2024.</t>
  </si>
  <si>
    <t>174663/2024</t>
  </si>
  <si>
    <r>
      <t>Central de Regulação de Vagas</t>
    </r>
    <r>
      <rPr>
        <sz val="11"/>
        <color rgb="FFFF0000"/>
        <rFont val="Calibri"/>
        <family val="2"/>
        <scheme val="minor"/>
      </rPr>
      <t xml:space="preserve"> (sistema penal)</t>
    </r>
  </si>
  <si>
    <t>Contribuir para a racionalização da ocupação de vagas prisionais e enfrentar o estado de coisas inconstitucional das prisões brasileiras (ADPF 347) por meio da definição de parâmetros para a tomada de decisão judicial e promoção de ferramentas de regulação de vagas.</t>
  </si>
  <si>
    <r>
      <rPr>
        <sz val="11"/>
        <color theme="5"/>
        <rFont val="Calibri"/>
        <family val="2"/>
        <scheme val="minor"/>
      </rPr>
      <t>(1.3.1) 01 Guia de implementação da Central de Regulação de Vagas publicado</t>
    </r>
    <r>
      <rPr>
        <sz val="11"/>
        <color rgb="FFC00000"/>
        <rFont val="Calibri"/>
        <family val="2"/>
        <scheme val="minor"/>
      </rPr>
      <t xml:space="preserve">
</t>
    </r>
    <r>
      <rPr>
        <sz val="11"/>
        <color theme="9"/>
        <rFont val="Calibri"/>
        <family val="2"/>
        <scheme val="minor"/>
      </rPr>
      <t>(1.3.1) Plano de implementação de regulação de vagas customizado à realidade local apresentado ao TJPB</t>
    </r>
  </si>
  <si>
    <t>(1.3.1) Plano de implementação de regulação de vagas customizado à realidade local apresentado ao TJPB</t>
  </si>
  <si>
    <t>174664/2024</t>
  </si>
  <si>
    <r>
      <rPr>
        <sz val="11"/>
        <color rgb="FF000000"/>
        <rFont val="Calibri"/>
        <family val="2"/>
        <scheme val="minor"/>
      </rPr>
      <t xml:space="preserve">Ação Nacional de Trabalho e Renda </t>
    </r>
    <r>
      <rPr>
        <sz val="11"/>
        <color rgb="FFFF0000"/>
        <rFont val="Calibri"/>
        <family val="2"/>
        <scheme val="minor"/>
      </rPr>
      <t>(sistema penal)</t>
    </r>
  </si>
  <si>
    <t>Articular atores centrais para a implantação de uma Ação Nacional de Fomento ao Trabalho e Renda para Pessoas Privadas de Liberdade e Egressas do Sistema Prisional.</t>
  </si>
  <si>
    <t>(3.1.2) Publicar cartilha de inserção sociolaboral</t>
  </si>
  <si>
    <t>174665/2024</t>
  </si>
  <si>
    <r>
      <t xml:space="preserve">Plano Nacional de Fomento à Leitura </t>
    </r>
    <r>
      <rPr>
        <sz val="11"/>
        <color rgb="FFFF0000"/>
        <rFont val="Calibri"/>
        <family val="2"/>
        <scheme val="minor"/>
      </rPr>
      <t>(sistema penal)</t>
    </r>
  </si>
  <si>
    <t>Criar uma estratégia nacional de universalização do direito ao livro e à leitura nos estabelecimentos prisionais por meio da consolidação do Plano Nacional de Fomento à Leitura em Ambientes de Privação de Liberdade.</t>
  </si>
  <si>
    <t>(3.1.1) Realizar a V Jornada de Leitura no Cárcere</t>
  </si>
  <si>
    <t>174666/2024</t>
  </si>
  <si>
    <r>
      <t xml:space="preserve">Plano Nacional de Fomento ao Esporte e Lazer </t>
    </r>
    <r>
      <rPr>
        <sz val="11"/>
        <color rgb="FFFF0000"/>
        <rFont val="Calibri"/>
        <family val="2"/>
        <scheme val="minor"/>
      </rPr>
      <t>(sistema penal)</t>
    </r>
  </si>
  <si>
    <t>Qualificar as estruturas do Poder Judiciário com foco na promoção sistemática do esporte e do lazer em unidades de privação de liberdade por meio da atuação integrada entre o Judiciário e parceiros estratégicos.</t>
  </si>
  <si>
    <t>(3.1.1) Lançamento do Censo Nacional de Esporte</t>
  </si>
  <si>
    <t>174667/2024</t>
  </si>
  <si>
    <r>
      <rPr>
        <sz val="11"/>
        <color rgb="FF000000"/>
        <rFont val="Calibri"/>
        <family val="2"/>
        <scheme val="minor"/>
      </rPr>
      <t xml:space="preserve">Atenção às Pessoas Egressas e Escritório Social </t>
    </r>
    <r>
      <rPr>
        <sz val="11"/>
        <color rgb="FFFF0000"/>
        <rFont val="Calibri"/>
        <family val="2"/>
        <scheme val="minor"/>
      </rPr>
      <t>(sistema penal)</t>
    </r>
  </si>
  <si>
    <t>Implementar diretrizes e procedimentos previstos na Política de Atenção às Pessoas Egressas do Sistema Prisional, instituída pela Resolução CNJ nº 307/2019, e que tem o Escritório Social como estratégia central.</t>
  </si>
  <si>
    <t>(3.2.1) Articulação com SENAPPEN para implementação de supervisão metodológica dos Escritórios Sociais
(3.2.3) Escritório Social Virtual: aprimorar versão do aplicativo com novas funcionalidades</t>
  </si>
  <si>
    <t>174668/2024</t>
  </si>
  <si>
    <r>
      <rPr>
        <sz val="11"/>
        <color rgb="FF000000"/>
        <rFont val="Calibri"/>
        <family val="2"/>
        <scheme val="minor"/>
      </rPr>
      <t xml:space="preserve">Fortalecimento </t>
    </r>
    <r>
      <rPr>
        <sz val="11"/>
        <color rgb="FFFF0000"/>
        <rFont val="Calibri"/>
        <family val="2"/>
        <scheme val="minor"/>
      </rPr>
      <t>da</t>
    </r>
    <r>
      <rPr>
        <sz val="11"/>
        <color rgb="FF000000"/>
        <rFont val="Calibri"/>
        <family val="2"/>
        <scheme val="minor"/>
      </rPr>
      <t xml:space="preserve"> Participação Social </t>
    </r>
    <r>
      <rPr>
        <sz val="11"/>
        <color rgb="FFFF0000"/>
        <rFont val="Calibri"/>
        <family val="2"/>
        <scheme val="minor"/>
      </rPr>
      <t>(sistema penal)</t>
    </r>
  </si>
  <si>
    <t>Fortalecer dos Conselhos da Comunidade na execução penal, compreendendo-os como importante mecanismo de participação social e de fiscalização da execução penal e de defesa dos direitos das pessoas privadas de liberdade.</t>
  </si>
  <si>
    <t>(3.4.1) Elaborar estratégias de divulgação e efetivação da Resolução CNJ nº 488/2023, com foco prioritário nas regiões Norte e Sudeste</t>
  </si>
  <si>
    <t>174669/2024</t>
  </si>
  <si>
    <r>
      <rPr>
        <sz val="11"/>
        <color rgb="FF000000"/>
        <rFont val="Calibri"/>
        <family val="2"/>
        <scheme val="minor"/>
      </rPr>
      <t xml:space="preserve">Comitê de Políticas Penais </t>
    </r>
    <r>
      <rPr>
        <sz val="11"/>
        <color rgb="FFFF0000"/>
        <rFont val="Calibri"/>
        <family val="2"/>
        <scheme val="minor"/>
      </rPr>
      <t>(sistema penal)</t>
    </r>
  </si>
  <si>
    <t>Os Comitês de Políticas Penais visam a estruturação de grupos interinstitucionais articulados e aptos a integrar as diversas temáticas afetas às políticas penais, com foco nas alternativas ao encarceramento, assim como na promoção da cidadania das pessoas em espaços de privação de liberdade e dos egressos, pensando-se no ciclo completo da execução penal.</t>
  </si>
  <si>
    <t>Elaboração de Plano de Ação Nacional, com metodologia para instrumentalização dos Plano de Ação Estaduais e os Comitês de Políticas Penais nas UFs
Elaboração de minuta ato normativo do CNJ para a institucionalização de Comitês de Políticas Penais</t>
  </si>
  <si>
    <t>17529/2024</t>
  </si>
  <si>
    <t>e-NatJus 4.0</t>
  </si>
  <si>
    <t>Aperfeiçoamento da plataforma eNatJus para viabilizar sua integração com sistemas processuais eletrônicos, NAT-Jus, além de outras bases de dados, inclusive às inerentes ao sistema da saúde suplementar.</t>
  </si>
  <si>
    <t>09. Fomentar e incrementar a produção de soluções tecnológicas, com foco em inovação e transformação digital;
07. Fomentar e fortalecer a atuação interinstitucional do CNJ para garantir os direitos dos cidadãos.</t>
  </si>
  <si>
    <t>01. Garantia dos direitos fundamentais;
09. Aperfeiçoamento da gestão administrativa e da governança judiciária;
12. Fortalecimento da estratégia nacional de TIC e de proteção de dados</t>
  </si>
  <si>
    <t>Resolução Nº 530 de 10/11/2023, que institui a Política Judiciária de Resolução Adequada das Demandas de Assistência à Saúde e estabelece diretrizes para o planejamento de ações no âmbito do Fórum Nacional do Judiciário para a Saúde (Fonajus) e o seu respectivo Plano Nacional (2024 – 2029)</t>
  </si>
  <si>
    <t>Benefício 1: Aperfeiçoamento da arquitetura e infraestrutura do sistema, baseada nas diretrizes PDPJ
Benefício 2: Implementação de integrações com sistemas áreas da saúde, baseadas nas diretrizes PDPJ
Benefício 3:Aumento do quantitativo de usuários que hoje utilizam outras soluções, que não o e-NatJus</t>
  </si>
  <si>
    <t>Francisco Gonçalves de Araujo Filho</t>
  </si>
  <si>
    <t>19706/2025</t>
  </si>
  <si>
    <t>21 dias de ativismo pelo fim da violência contra mulher - edição 2025</t>
  </si>
  <si>
    <t>Promover a sensibilização da sociedade sobre as diversas formas de violência que afetam meninas e 
mulheres, promovendo a equidade de gênero e os direitos humanos.</t>
  </si>
  <si>
    <t>Dra. Suzana Massako Hirama Loreto de Oliveira</t>
  </si>
  <si>
    <t>01. Garantia dos direitos fundamentais
02. Fortalecimento da Relação Institucional do Judiciário com a Sociedade</t>
  </si>
  <si>
    <t>Resolução CNJ nº 254/2018</t>
  </si>
  <si>
    <t>14/10/2025</t>
  </si>
  <si>
    <t>Entrega 1.1: Webinário Prevenção e Combate à Violência Digital Contra Meninas e Mulheres
Entrega 2.1: Campanha de Comunicação
Entrega 2.2: ACT com a empresa de telefonia VIVO
Entrega 3.1: Lançamento guia FONAR
Entrega 3.2: ACT com Conselho de Presidentes dos TJs
Entrega 3.3: Portaria de instituição do programa “Ação Meninas e Mulheres –por toda parte, por todas 
elas.</t>
  </si>
  <si>
    <t>Benefício 1: Diálogo ampliado sobre violência digital com foco em meninas e mulheres
Benefício 2: Mobilização nacional para enfrentamento da violência de gênero
Benefício 3: Fortalecimento da articulação interinstitucional para proteção de mulheres em vulnerabilidade</t>
  </si>
  <si>
    <t>21959/2025</t>
  </si>
  <si>
    <t>Programa Infância a Priori</t>
  </si>
  <si>
    <t>Organizar e implementar uma agenda nacional integrada para fortalecer a efetividade da prioridade à infância e juventude no Poder Judiciário, por meio da atualização normativa, padronização de práticas e fomento de políticas públicas.</t>
  </si>
  <si>
    <t xml:space="preserve">	
Ministro Luiz Edson Fachin</t>
  </si>
  <si>
    <t>Graziela Milani Leal</t>
  </si>
  <si>
    <t>02. Aperfeiçoar os mecanismos de monitoramento de políticas judiciárias 
07. Fomentar e fortalecer a atuação interinstitucional do CNJ para garantir os direitos dos cidadãos</t>
  </si>
  <si>
    <t>Política Judiciária Nacional para a primeira Infância, nos termos da Resolução N°470/22.
Resolução CNJ nº 94/2009 (Coordenadorias da Infância); Resolução nº 299/2019 (escuta protegida); Resolução nº 289/2019 (SNA); Resolução nº 585/2024 (Plano Nacional da Primeira Infância); e Recomendação Conjunta nº 02/2024 (Acolhimento Familiar)</t>
  </si>
  <si>
    <t>Fortalecimento do diálogo interinstitucional ;
Capacitação ;
Inclusão no Selo CNJ de Qualidade ;
Sumário executivo ;
Normativo órgão macrogestor com definição de estrutura mínima, competências e atribuições</t>
  </si>
  <si>
    <t>Dr. Hugo Gomes Zaher</t>
  </si>
  <si>
    <t xml:space="preserve">Benefício 1: Fortalecimento do acolhimento familiar 
(Maior proporção de crianças acolhidas em famílias acolhedoras, em relação ao total de crianças acolhidas) 
Benefício 2: Uniformização da estrutura mínima dos Órgãos Macrogestores da política da Infância e Juventude 
Benefício 3: Integração nacional dos fluxos de proteção de crianças e adolescentes, sobretudo na garantia do direito à convivência familiar e comunitária.
Benefício 4: Fortalecimento e estruturação das equipes técnicas multiprofissionais no âmbito do Poder Judiciário. 
Benefício 5: Efetividade na implementação da Política Judiciária Nacional para a Primeira Infância </t>
  </si>
  <si>
    <t>01485/2026</t>
  </si>
  <si>
    <t>Subprograma Registre-se: Brasil Parente</t>
  </si>
  <si>
    <t>Projeto institucional vinculado ao Programa Nacional de Erradicação do Sub-registro Civil e Ampliação do Acesso à Documentação Básica – “Registre-se”, com foco na erradicação do sub-registro civil e ampliação do acesso à documentação civil básica entre povos indígenas em todo o território nacional, por meio de ações interinstitucionais articuladas (CNJ, tribunais e corregedorias, cartórios de registro civil, FUNAI, SESAI, ARPEN-Brasil e demais parceiros), incluindo mutirões integrados de documentação, fortalecimento de governança, capacitação de agentes públicos/registradores/lideranças indígenas, produção de materiais interculturais, integração de bases de dados e instrumentos de monitoramento, com destaque ao Painel Nacional da Identificação Civil Indígena – Urucum.</t>
  </si>
  <si>
    <t>Política Judiciária para os Povos Indígenas (FONEPI) (Res. CNJ nº 453/2022) e  Política Nacional do Poder Judiciário para o Clima e o Meio Ambiente (Res. CNJ nº 611/2024).</t>
  </si>
  <si>
    <t>- Preparação e Alinhamento Institucional;
- Concertação Interinstitucional;
- Pactuação de Fluxos e Governança</t>
  </si>
  <si>
    <t>Dr. Rodrigo Gonçalves de Souza</t>
  </si>
  <si>
    <t>Benefício 1: Fortalecimento da relação institucional do Poder Judiciário com os povos indígenas e a sociedade
Benefício 2: Estruturação de capacidades institucionais para enfrentamento sustentável do sub-registro civil indígena
Benefício 3: Melhoria do planejamento, monitoramento e sustentabilidade das ações de documentação civil indígena</t>
  </si>
  <si>
    <t>02797/2026</t>
  </si>
  <si>
    <t>Programa “Por Toda Parte, Por Todas Elas” – Plano 2026 de Enfrentamento da Violência contra Mulheres e Meninas.</t>
  </si>
  <si>
    <t>Organizar, integrar e qualificar a atuação do Poder Judiciário na prevenção da violência, na proteção das mulheres e meninas e na responsabilização de autores de violência, em consonância com a Política Judiciária Nacional de Enfrentamento à Violência contra as Mulheres.</t>
  </si>
  <si>
    <t xml:space="preserve">Dra. Suzana Massako Hirama Loreto de Oliveira. </t>
  </si>
  <si>
    <t>Ceciana Ames Schallenberger</t>
  </si>
  <si>
    <t>Política Judiciária Nacional de Enfrentamento à Violência contra as Mulheres (Resolução CNJ nº 254/2018) e
Política para Adoção de Perspectiva de Gênero no Poder Judiciário (Resolução CNJ nº 492/2023)</t>
  </si>
  <si>
    <t>00037/2026</t>
  </si>
  <si>
    <t>Subprograma Registre-se Pop Rua</t>
  </si>
  <si>
    <t>Projeto institucional vinculado ao Programa Nacional de Erradicação do Sub-registro Civil e Ampliação do Acesso à Documentação Básica – “Registre-se”, com foco na garantia do direito à documentação civil básica à população em situação de rua, por meio de ações articuladas entre serventias extrajudiciais, Defensorias Públicas, Tribunais de Justiça, institutos de identificação e rede socioassistencial, incluindo mutirões, atendimento itinerante, fluxos simplificados de registro tardio, formação de agentes públicos e estruturação de governança interinstitucional com abordagem humanizada e interseccional.</t>
  </si>
  <si>
    <t>Política Nacional Judicial de Atenção a Pessoas em Situação de Rua e suas Interseccionalidades (Resolução CNJ nº 425/2021), bem como ao Provimento CNJ nº 199/2025.</t>
  </si>
  <si>
    <t>- Mapeamento das Necessidades Documentais da População em Situação de Rua;
- Consolidação de Agenda Nacional Integrada de Mutirões de Registro e Documentação;
- Execução da Agenda Nacional de Mutirões e Mobilização Institucional;
- Articulação Técnica para Disponibilização de Módulo Operacional pelo ONRCPN</t>
  </si>
  <si>
    <t>Benefício 1: Garantia de acesso à documentação civil básica à população em situação de rua;
Benefício 2: Estruturação de fluxos operacionais e governança interinstitucional para erradicação do sub-registro.</t>
  </si>
  <si>
    <t>04050/2026</t>
  </si>
  <si>
    <t>Campanha “Maio da Auditoria Interna” – CNJ 2026</t>
  </si>
  <si>
    <t>Desenvolver e executar a campanha institucional “Maio da Auditoria Interna” no âmbito do CNJ, incluindo ações educativas, conteúdos técnicos, eventos estratégicos, divulgação contínua e criação de um FAQ permanente voltado à compreensão do papel da Auditoria Interna.</t>
  </si>
  <si>
    <t>Dr. Felipe Berkenbrock Goulart</t>
  </si>
  <si>
    <t>Giovanna Gamba</t>
  </si>
  <si>
    <t xml:space="preserve">Política de Auditoria Interna do Poder Judiciário (SIAUD-Jud), nos termos da Resolução Nº 308/2020. </t>
  </si>
  <si>
    <t>-Conteúdos Educativos;
- Eventos Institucionais;
- FAQ Permanente;
- Materiais de Apoio</t>
  </si>
  <si>
    <t>Benefício 1 - Cultura institucional fortalecida sobre o papel estratégico da Auditoria Interna.</t>
  </si>
  <si>
    <t>04235/2026</t>
  </si>
  <si>
    <t>Conexão Auditoria</t>
  </si>
  <si>
    <t>Institucionalização do Conexão Auditoria como espaço permanente de integração entre as unidades de auditoria interna do Poder Judiciário, por meio da realização de encontros virtuais síncronos, com foco na troca de experiências e na disseminação de boas práticas, com uma abordagem informal e voltada ao cotidiano.</t>
  </si>
  <si>
    <t>Amanda Côrtes Gomes</t>
  </si>
  <si>
    <t>Política de Auditoria Interna do Poder Judiciário – SIAUD‑Jud, instituída pela Resolução N°308/2020, bem como com as diretrizes complementares estabelecidas pela Resolução CNJ nº 309/2020</t>
  </si>
  <si>
    <t>- Realização regular das edições previstas do Conexão Auditoria;
- Percepção dos participantes sobre a contribuição do evento para integração institucional</t>
  </si>
  <si>
    <t>Benefício 1 - Integração institucional fortalecida entre as unidades de auditoria interna do Poder Judiciário.</t>
  </si>
  <si>
    <t>18150/2025</t>
  </si>
  <si>
    <t>Evolução do Sistema Nacional de Adoção (SNA)</t>
  </si>
  <si>
    <t>Evolução tecnológica e funcional do SNA por meio do desenvolvimento incremental de novos módulos, atualização de componentes existentes, integrações e adequações normativas (Res. CNJ nº 289/2019; Provimento nº 165/2024; Programa Justiça 4.0)</t>
  </si>
  <si>
    <t>Renato Lima de Aguiar Silveira</t>
  </si>
  <si>
    <t>Política Judiciária Nacional para a Primeira Infância, instituída nos termos da Resolução N°470/2022.</t>
  </si>
  <si>
    <t>- Reavaliação do Módulo de Acolhimento e integração com o SERP;
- Módulo Evolucional 1 – Serviços de acolhimento e CADSuas;
- Módulo Evolucional 2 – Nova aba de Consultas;
- Módulo Evolucional 3 – Organismos internacionais e integrações corporativas/MPM;</t>
  </si>
  <si>
    <t>Gestão integrada e interoperável das informações de acolhimento e adoção</t>
  </si>
  <si>
    <t>05947/2026</t>
  </si>
  <si>
    <t>Concilia + Saúde</t>
  </si>
  <si>
    <t>Implantação de um modelo institucional de conciliação em demandas de saúde, com instrumentos normativos, fluxos padronizados e mecanismos de cooperação interinstitucional, aplicável à saúde pública e suplementar.</t>
  </si>
  <si>
    <t>07. Fomentar e fortalecer a atuação interinstitucional do CNJ para garantir os direitos dos cidadãos; e 
08. Fortalecer a política judiciária de soluções alternativas de conflitos e a desjudicialização</t>
  </si>
  <si>
    <t>03. Agilidade e produtividade na prestação jurisdicional; e 
05. Prevenção de litígios e adoção de soluções consensuais para os conflitos</t>
  </si>
  <si>
    <t>Política Judiciária de Resolução Adequada das Demandas de Assistência à Saúde e à Política Judiciária Nacional de Tratamento Adequado dos Conflitos de Interesses no âmbito do Poder Judiciário, respectivamente nos termos da Resolução Nº 530/2023 e da Resolução N°125/2010.</t>
  </si>
  <si>
    <t xml:space="preserve"> KR 1.1 – Modelo institucional de conciliação em saúde estruturado, contemplando diretrizes, critérios e arranjos de atuação consensual.  
 KR 1.2 – Fluxos padronizados de conciliação em demandas de saúde definidos e disseminados, aplicáveis à saúde pública e suplementar.  
 KR 1.3 – Realização da Semana Nacional da Saúde com mutirões de conciliação, com base em processos previamente mapeados como passíveis de acordo.  
 KR 1.4 – Página de conciliação em saúde implantada no Painel de Estatísticas Processuais de Direito à Saúde, com divulgação dos resultados das iniciativas. 
 KR 2.1 – Acordos de Cooperação Técnica firmados entre CNJ, AGU, Ministério da Saúde e operadores de planos de saúde.  
 KR 2.2 – Estratégias interinstitucionais de conciliação em saúde realizadas, com participação dos comitês estaduais e atores do sistema de justiça.  
 KR 2.3 – Capacitações e ações de difusão de boas práticas em conciliação em saúde implementadas, no âmbito do Judiciário e em cooperação com atores externos. </t>
  </si>
  <si>
    <t xml:space="preserve">Dra. Luciana da Veiga Oliveira </t>
  </si>
  <si>
    <t xml:space="preserve">Benefício 1 - Redução da judicialização da saúde por meio de soluções consensuais 
Benefício 2 - Fortalecimento da governança interinstitucional em demandas de saúde </t>
  </si>
  <si>
    <t>18801/2025</t>
  </si>
  <si>
    <t>Cadastro Nacional de Intérpretes e Tradutores de língua Indígenas do Poder Judiciário (CNITI)</t>
  </si>
  <si>
    <t>Implementar um Cadastro Nacional de Intérpretes e Tradutores de Línguas Indígenas do Poder Judiciário (CNITI) disponibilizar intérpretes e tradutores de línguas indígenas para utilização em atos judiciais e correlatos, em todo o território nacional.</t>
  </si>
  <si>
    <t>Dr. José Gomes de Araújo Filho</t>
  </si>
  <si>
    <t>Andréa Brasil</t>
  </si>
  <si>
    <t>07. Fomentar e fortalecer a atuação interinstitucional do CNJ para garantir os direitos dos cidadãos; e 
14. Impulsionar a implantação e a gestão das  Políticas de Sustentabilidade e Acessibilidade</t>
  </si>
  <si>
    <t>Política Judiciária para Monitoramento e Efetividade das Demandas Relacionadas aos Povos Indígenas (FONEPI), nos termos da Resolução Nº 453/2022</t>
  </si>
  <si>
    <t xml:space="preserve">-MVP;
- REGULAMENTAÇÃO ;
- NORMATIVO;
- GUIAS  e MANUAIS (Material Formativo) ;
- FORMAÇÃO TÉCNICA;
- SENSIBILIZAÇÃO </t>
  </si>
  <si>
    <t xml:space="preserve">Dr. José Gomes de Araújo Filho </t>
  </si>
  <si>
    <t xml:space="preserve">Benefício 1 - Disponibilidade de Intérpretes e Tradutores de Línguas Indígenas 
Benefício 2 - Maior efetividade na comunicação entre tribunais e povos originários </t>
  </si>
  <si>
    <t>00050/2026</t>
  </si>
  <si>
    <t>Justiça Itinerante Cooperativa na Amazônia Legal - Edição 2026</t>
  </si>
  <si>
    <t xml:space="preserve">O projeto tem como objeto estruturar, executar e avaliar a edição 2026 do Programa Justiça Itinerante Cooperativa na Amazônia Legal, ação interinstitucional de grande escala voltada ao fortalecimento de direitos fundamentais, à ampliação do acesso à justiça e à oferta integrada de serviços públicos em regiões remotas da Amazônia Legal. </t>
  </si>
  <si>
    <t>Política Nacional do Poder Judiciário para o Clima e o Meio Ambiente, nos termos da Resolução Nº 433/2021, e pela Política Judiciária Nacional de Enfrentamento à Violência contra as Mulheres pelo Poder Judiciário, nos termos da Resolução N° 254/2018.</t>
  </si>
  <si>
    <t>- Articulação Institucional;
- Planejamento Operacional e Integração dos Eixos;
- Comunicação Institucional e Mobilização Social;
- Execução da Itinerância;
- Consolidação dos Dados e Relatório Final</t>
  </si>
  <si>
    <t>Benefício 1 - Disponibilidade de Intérpretes e Tradutores de Línguas Indígenas 
Benefício 2 - Maior efetividade na comunicação entre tribunais e povos originários</t>
  </si>
  <si>
    <t>03868/2026</t>
  </si>
  <si>
    <t>Aliança Lilás</t>
  </si>
  <si>
    <t>Implementar a Aliança Lilás como programa permanente da Política Judiciária Nacional de Enfrentamento à Violência contra a Mulher, instituída por Resolução CNJ, por meio da interoperabilidade nacional entre os sistemas do Poder Judiciário e da Segurança Pública, com ﬂuxo digital e automático das Medidas Protetivas de Urgência via Plataforma Digital do Poder Judiciário Brasileiro (PDPJBr), com estruturação do Painel Nacional de Monitoramento da Violência contra a Mulher e expansão progressiva para demais órgãos do sistema de justiça</t>
  </si>
  <si>
    <t>Conselheira Jaceguara Dantas da Silva</t>
  </si>
  <si>
    <t>Gabinete da Conselheira Jaceguara Dantas da Silva</t>
  </si>
  <si>
    <t>Anne Klean Alexandra Mendes</t>
  </si>
  <si>
    <t>07. Fomentar e fortalecer a atuação interinstitucional do CNJ para garantir os direitos dos cidadãos; e 
13. Estimular a desburocratização no Poder Judiciário</t>
  </si>
  <si>
    <t>01. Garantia dos direitos fundamentais e 08. Aperfeiçoamento da gestão da justiça criminal</t>
  </si>
  <si>
    <t>Política Judiciária Nacional de enfrentamento à violência contra as Mulheres pelo Poder Judiciário, instituída pela Resolução CNJ n. 254/2018</t>
  </si>
  <si>
    <t>- Aliança Lilás instituída como programa da Política Judiciária Nacional de Enfrentamento à Violência contra as Mulheres no âmbito do Poder Judiciário, por Resolução CNJ;
- interoperabilidade das MPUs implementada via PDPJBr;
- Padronização nacionale os fluxos e artefatos da MPU;
- 100% dos 27 Tribunais de Justiça adequados até dez/2027, conforme prazo fixado na Resolução CNJ do programa;
- Ativação do Painel Nacional de Monitoramento com indicadores integrados — incluindo tempo de resposta e tramitação das MPUs, identificação de fatores de risco do FONAR, dados de monitoração eletrônica, cumprimento da Meta 8 e descumprimento de medidas de proteção — consolidando a integração técnica em inteligência institucional até dez/2026;
- integração completa do FONAR Eletrônico, do BNMP 3.0 (repositório nacional que incorpora as MPUs nos termos das Resoluções CNJ nº 417/2021 e nº 577/2024) e dos sistemas de monitoração eletrônica ao Painel Nacional, assegurando qualidade e completude dos dados para fundamentar decisões confiáveis na prevenção de feminicídios;
- governança técnica do programa no Comitê Gestor BNMP 3.0 e no FONAVIM instalada como pauta permanente, garantindo monitoramento contínuo, gestão de riscos e tomada de decisão estratégica, consolidando o Painel como instrumento de gestão e governança nacional</t>
  </si>
  <si>
    <t>Benefício 1: Redução do tempo de resposta das Medidas Protetivas de Urgência em âmbito nacional e fortalecimento da proteção às mulheres em situação de violência.
Benefício 2: Gestão baseada em evidências para o enfrentamento à violência contra a mulher.</t>
  </si>
  <si>
    <t>20137/2025</t>
  </si>
  <si>
    <t>Programa Justiça Carbono Zero no âmbito do CNJ</t>
  </si>
  <si>
    <t>Implementar o Programa Justiça Carbono Zero no âmbito do CNJ, em cumprimento à Resolução CNJ nº 594/2024, com o objetivo principal de alcançar a neutralidade de carbono até o ano de 2030.</t>
  </si>
  <si>
    <t>Dr. Fábio Cesar dos Santos Oliveira</t>
  </si>
  <si>
    <t>Renata Maroja Stochiero</t>
  </si>
  <si>
    <t>07. Promoção da sustentabilidade; e 
02. Fortalecimento da Relação Institucional do Judiciário com a Sociedade</t>
  </si>
  <si>
    <t>Política da Sustentabilidade do Poder Judiciário, nos termos da Resolução CNJ nº 400/2021</t>
  </si>
  <si>
    <t>- Inventários de emissões;
- Estratégias de redução e 
de compensação;
- Registro no RPE.</t>
  </si>
  <si>
    <t>Dr. Maurício Cavallazzi Póvoas</t>
  </si>
  <si>
    <t>Benefício 1 Descarbonização do CNJ até 2030 ;
Benefício 2 Transparência e credibilidade das práticas adotadas para o combate das mudanças 
climáticas</t>
  </si>
  <si>
    <t>20362/2025</t>
  </si>
  <si>
    <t>8ª Edição da Série Justiça Pesquisa</t>
  </si>
  <si>
    <t>Contratação, acompanhamento e publicação de pesquisas sobre problemas estruturais e conjunturais relacionados à implementação da Política Judiciária Nacional da Pessoa Idosa (Resolução CNJ nº 520/2023) e da Política Nacional de Justiça Restaurativa (Resolução CNJ nº 225/2016) nos diversos ramos do Poder Judiciário brasileiro, por meio da Série Justiça Pesquisa.</t>
  </si>
  <si>
    <t>01. Desenvolver políticas judiciárias e outros instrumentos para o aperfeiçoamento das atividades dos órgãos do Poder Judiciário e dos seus serviços auxiliares e dos serviços notariais e de registro, e dos demais órgãos correicionais; e 
02. Aperfeiçoar os mecanismos de monitoramento de políticas judiciárias</t>
  </si>
  <si>
    <t>01. Garantia dos direitos fundamentais; e 
02. Fortalecimento da Relação Institucional do Judiciário com a Sociedade</t>
  </si>
  <si>
    <t xml:space="preserve">Política Judiciária Nacional da Pessoa Idosa, nos termos da Resolução Nº 520/2023; e 
Política Nacional de Justiça Restaurativa, nos termos da  Resolução Nº 225/2016. </t>
  </si>
  <si>
    <t>- Diagnóstico da implementação da Política Judiciária Nacional da Pessoa Idosa;
- Recomendações para aperfeiçoamento da Política Judiciária da Pessoa Idosa ;
- Base de dados padronizada sobre a Política Judiciária da Pessoa Idosa ;
- Relatório Final da pesquisa sobre a Política Judiciária da Pessoa Idosa;
- Diagnóstico da implementação da Política Nacional de Justiça Restaurativa;
- Boas práticas e arranjos institucionais em Justiça Restaurativa ;
- Base de dados padronizada sobre Justiça Restaurativa ;
- Relatório Final da pesquisa sobre Justiça Restaurativa</t>
  </si>
  <si>
    <t>Dra. Ana Lucia Andrade de Aguiar</t>
  </si>
  <si>
    <t>Benefício 1 - Diagnóstico nacional comparado da implementação da Política Judiciária Nacional da Pessoa Idosa no Poder Judiciário.
Benefício 2 - Diagnóstico nacional da implementação da Política Nacional de Justiça Restaurativa no Poder Judiciário.</t>
  </si>
  <si>
    <t>PROCESSO SEI</t>
  </si>
  <si>
    <t>Benefício</t>
  </si>
  <si>
    <t>Descrição</t>
  </si>
  <si>
    <t>Sensibilização de magistrados/as e servidores/as do Poder Judiciário sobre a importância de capacitações na área de Ciência de Dados em nível avançado, a fim de fomentar a cultura de dados no judiciário.</t>
  </si>
  <si>
    <t>O benefício terá como resultado a sensibilização de magistrados/as e servidores/as do Poder Judiciário quanto a importância de se cursar capacitações na área de Ciência de Dados, em nível avançado, visando, com isso, o emprego dos conhecimentos adquiridos em suas atividades profissionais no judiciário.</t>
  </si>
  <si>
    <t>Desenvolvimento de capacidades avançadas, na área de Ciência de Dados, de magistrados/as e servidores/as do Poder Judiciário</t>
  </si>
  <si>
    <t>O benefício terá como resultado a formação na área de Ciência de Dados e em nível avançado de magistrados/as e servidores/as do Poder Judiciário, os quais contarão com a capacidade de implementar os conhecimentos adquiridos em suas rotinas e atividades profissionais junto ao judiciário.</t>
  </si>
  <si>
    <t>Melhoria da estabilidade e Evolução do Sistema BNMP</t>
  </si>
  <si>
    <t>Promover a estabilidade do sistema SNGB e a implementação de melhorias contínuas com base nas demandas operacionais do CNJ</t>
  </si>
  <si>
    <t>Revisão arquitetural do sistema</t>
  </si>
  <si>
    <t>Possibilitar a evolução contínua da aplicação bem como o aumento de segurança com a adoção de versões estruturais mais recentes (como o Java por exemplo) e estruturas mais escaláveis (com a adoção de, por exemplo, “micro serviços”)</t>
  </si>
  <si>
    <t>Aumento da transparência ativa</t>
  </si>
  <si>
    <t>Aumento da transparência ativa dos dados extraídos do Datajud em que a PGFN figure nos polos ativos e passivos do Poder Judiciário. A criação de painéis para monitoramento de processos suspensos ou arquivados garante maior controle e eficiência no fluxo judicial. Oferece racionalização do processo judicial por meio do cruzamento de dados entre as bases do CNJ e da PGFN, permitindo a extinção em bloco de processos de execução fiscal e acelerando a resolução de casos. Priorização de processos com maior perspectiva de recuperação de crédito público, otimizando recursos judiciais e aumentando a eficácia da cobrança – Com o painel os processos em menção poderão ser extraídos de forma transparente.</t>
  </si>
  <si>
    <t>Melhoria da estabilidade e confiabilidade e Evolução do Data Lake</t>
  </si>
  <si>
    <t>MELHORIAS IMPLEMENTADAS</t>
  </si>
  <si>
    <t>O projeto vai entregar benefícios à medida que em cada sprint sejam realizadas melhorias no Data Lake, que deverão ser documentadas cumulativamente</t>
  </si>
  <si>
    <t>Disponibilização de um serviço integrador de dados da CEF na PDPJ-Br para acesso automático de informações do DPVAT.</t>
  </si>
  <si>
    <t>Visa Disponibilização de um serviço integrador de dados da CEF na PDPJ-Br para acesso automático de informações do DPVAT, composto dos dados cadastrais do demandante, do resultado da análise do procedimento do DPVAT na CEF e dos laudos da perícia administrativa.</t>
  </si>
  <si>
    <t>Análise e tramitação com maior agilidade dos processos relativos ao DPVAT.</t>
  </si>
  <si>
    <t>Visa dar maior agilidade na análise e tramitação dos processos relativos ao DPVAT, que será monitorado por meio da disponibilização de métricas do processo de DPVAT, incluindo uma métrica do tempo total de processo com o sistema e sua comparação com o tempo do processo antes do uso do sistema na PDPJ-Br.</t>
  </si>
  <si>
    <t>O fomento de ações formativas, de sensibilização e de inclusão, voltadas ao desenvolvimento funcional e à reflexão dos ocupantes dos cargos de agente e inspetor de Polícia Judicial sobre questões relativas às pessoas com deficiência e seus direitos, sobretudo, no caso do autismo, possibilitará os meios para que os servidores se capacitem e atuem promovendo a inclusão da população com deficiência, em especial dos portadores da síndrome clínica correlacionada ao Transtorno do Espectro Autista – TEA</t>
  </si>
  <si>
    <t>Padronização do envio de remessas digitais</t>
  </si>
  <si>
    <t>Proporcionar aos tribunais a capacidade de envio e recebimento de Cartas Precatórias, 
Declínios de Competência e envios de Ofícios</t>
  </si>
  <si>
    <t>Unificação do local de acesso</t>
  </si>
  <si>
    <t>Reduzir a necessidade de acessar múltiplos sistemas, otimizando o tempo e esforço dedicados à obtenção de informações e andamento processual, promovendo maior transparência no sistema judiciário, permitindo que as partes envolvidas e o público em geral tenham acesso fácil e direto às informações processuais.</t>
  </si>
  <si>
    <t>Redução do tempo de necessário para acesso aos serviços do Judiciário</t>
  </si>
  <si>
    <t>Este benefício de resultado busca a economia de tempo dos usuários de serviços judiciais.  Atualmente, temos cadastradas no Codex 212 fontes de dados distintas no país. Esse seria o  número aproximando de sistemas que o usuário precisaria acessar para consultar a existência de  algum processo em que seu CPF e CNPJ consta como polo ativo ou passivo. O Portal de Serviços  reduzira o a pesquisa para uma só fonte de dados, reduzindo a quantidade de senhas, endereços de internet e fluxos distintos para acesso à informação</t>
  </si>
  <si>
    <t>Mapeamento amplo do processo de adoção e acolhimento</t>
  </si>
  <si>
    <t>Esse benefício é estruturante pois fundamenta a necessidade de compreender o fluxo da adoção e do acolhimento no Brasil. Tende a subsidiar o desenvolvimento do sistema com resultado do avanço da eficácia da entrega do SNA</t>
  </si>
  <si>
    <t>Integração do SNA aos sistemas processuais do Poder Judiciário e Poder Executivo, por meio da PDPJ</t>
  </si>
  <si>
    <t>Esse benefício é estruturante pois relaciona os ganhos de capacidade do Projeto promovendo a melhoria do processo para o Poder Judiciário e demais beneficiários. Fundamenta-se como alicerce de uma base integrada, apta a receber evoluções e melhorias futuras.</t>
  </si>
  <si>
    <t>Melhoria e evolução das demandas identificadas no SNA anterior</t>
  </si>
  <si>
    <t>Esse benefício é estruturante pois relaciona a capacidade de evolução do Novo SNA conforme as necessidades de qualificação e transparência já identificadas ao processo de adoção e acolhimento realizados no território brasileiro.</t>
  </si>
  <si>
    <t>Controle, monitoramento e disseminação das informações, com garantia de padrões éticos e auditáveis</t>
  </si>
  <si>
    <t>Esse benefício é estruturante pois relaciona os ganhos de capacidade do Projeto promovendo a melhoria do processo para o Poder Judiciário e demais beneficiários. Fundamenta-se como fundamento do acesso e transparência da informação aplicada as novas soluções implementadas.</t>
  </si>
  <si>
    <t>Avanço na eficácia do Sistema Nacional de Adoção e Acolhimento.</t>
  </si>
  <si>
    <t>Esse benefício é de resultado pois busca a garantia da proteção integral, enquanto direito fundamental de crianças e adolescentes, especificamente em situação de acolhimento. Corrobora com a garantia de acesso qualificado e facilitação dos processos de adoção no Brasil, ao passo em que o judiciário deve ser o responsável por resguardar o direito à convivência familiar e comunitária de crianças e adolescentes no Brasil.</t>
  </si>
  <si>
    <t>Disponibilizar dados saneados e padronizados</t>
  </si>
  <si>
    <t>Desenvolver tecnologia que servirá como modelo para a atualização de parâmetros vigentes e para o desenvolvimento de outros painéis temáticos do CNJ</t>
  </si>
  <si>
    <t>Reduzir o nível de inconsistência detectado pelo DPJ nos painéis de qualificação dos dados, a partir da qualificação do DataJud.</t>
  </si>
  <si>
    <t>Por meio da identificação do panorama do enfrentamento à litigância de má fé no Poder Judiciário Brasileiro, a capacidade contribuirá para os seguintes objetivos do DPJ:
II - desenvolver pesquisas destinadas ao conhecimento da função jurisdicional brasileira;
III - realizar análise e diagnóstico dos problemas estruturais e conjunturais dos diversos segmentos do Poder Judiciário;
IV - fornecer subsídios técnicos para a formulação de políticas judiciárias</t>
  </si>
  <si>
    <t>Nacionalização de sistemas processuais passíveis de compartilhamento pelos órgãos do Poder Judiciário</t>
  </si>
  <si>
    <t>O processo evolutivo de sistemas legados, assim como o desenvolvimento de novas soluções, deve ser orientado pelo modelo estabelecido pela PDPJ-BR, ou seja, modelo de microsserviços modulares, com padrões técnicos e negociais universais, que permitam sua utilização por todos os Tribunais integrados à plataforma.</t>
  </si>
  <si>
    <t>Simplificar os procedimentos cartorários com novas regras e procedimentos para o funcionamento e compartilhamento de informações em modelo de interoperabilidade em consonância com os requisitos da PDPJ</t>
  </si>
  <si>
    <t>Prover infraestrutura e manutenção adequada ao SERP com a implantação de um fundo arrecadador</t>
  </si>
  <si>
    <t>Modernizar os procedimentos cartorários com a integração dos sistemas de todos os cartórios</t>
  </si>
  <si>
    <t>Ampliação do acesso à comunicação processual</t>
  </si>
  <si>
    <t>Implementação das melhorias</t>
  </si>
  <si>
    <t>Padronização</t>
  </si>
  <si>
    <t>Estabelecer padrões de apresentação e organização de informações, tornando a navegação mais intuitiva</t>
  </si>
  <si>
    <t>Facilidade de acesso</t>
  </si>
  <si>
    <t>Consolidar o acesso a informações de diversos tribunais em um único local, para facilitar o acesso do público interno e externo no âmbito do judiciário</t>
  </si>
  <si>
    <t>Proporcionar a governança das informações, garantindo maior transparência, conformidade e padronização dos dados no ecossistema do sistema judicial, mediante a Resolução nº 335 e normas definidas pelo Conselho Nacional de Justiça (CNJ).</t>
  </si>
  <si>
    <t>Este benefício trará a capacidade ao CNJ de estabelecer a governança das Informações no seu ecossistema de dados processuais. O benefício oferece a capacidade de obter a visão transparente das inconsistências dos dados coletadas e armazenadas no ecossistema no âmbito do CNJ, proporcionando a visibilidade da origem das inconformidades nos dados processuais, o que evidencia a necessidade da correção e tratamento uniforme dos dados.</t>
  </si>
  <si>
    <t>Realização de pesquisas para conhecimento da função jurisdicional brasileira</t>
  </si>
  <si>
    <t>Por meio da realização de pesquisas sobre temas relevantes para o judiciário, a capacidade contribuirá para os seguintes objetivos do DPJ. Desenvolver pesquisas destinadas ao conhecimento da função jurisdicional brasileira. Realizar análise e diagnóstico dos problemas estruturais e conjunturais dos diversos segmentos do Poder Judiciário. Fornecer subsídios técnicos para a formulação de políticas judiciárias</t>
  </si>
  <si>
    <t>Documentação Completa e Sistematizada</t>
  </si>
  <si>
    <t>Desenvolvimento de artefatos iniciais, como questionário e glossário que asseguram a 
base metodológica para o levantamento e análise das iniciativas de IA no Judiciário.</t>
  </si>
  <si>
    <t>Mapeamento Abrangente e Atualizado das Iniciativas</t>
  </si>
  <si>
    <t>Identificar e documentar todas as iniciativas relacionadas ao desenvolvimento de 
projetos de IA em andamento e concluídos nos tribunais e conselhos do Judiciário 
Brasileiro._x000D_</t>
  </si>
  <si>
    <t>Transparência e Comunicação Estratégica</t>
  </si>
  <si>
    <t xml:space="preserve">Elaboração e divulgação de relatórios e estratégias de comunicação para disseminar os 
resultados da pesquisa, promovendo o compartilhamento de informações e boas 
práticas entre os tribunais. </t>
  </si>
  <si>
    <t>Disponibilizar dados saneados e padronizados acerca dos maiores litigantes do país, de maneira rápida, estruturada e transparente</t>
  </si>
  <si>
    <t>Ao disponibilizar os dados de forma ampla e estruturada, permite aos Tribunais trabalharem estrategicamente de forma centralizada e com foco na resolução de grandes volumes de litígio. Todavia, esta característica será percebida apenas a partir do momento em que os tribunais efetivamente começarem a utilizar esses dados</t>
  </si>
  <si>
    <t>Realizar 91 Webnários com todos os tribunais para divulgação do painel e o uso de suas funcionalidades, fomentando o debate qualificado sobre soluções para redução da litigância</t>
  </si>
  <si>
    <t>Ao sensibilizar os tribunais para que utilizem os dados fornecidos pelo painel como subsídios, fomenta o debate qualificado sobre o tema da litigância no país, complementando o benefício 1. Além disso, o efetivo uso do painel já é perceptível como alterador da realidade dos usuários, sendo um benefício de resultado por si só.</t>
  </si>
  <si>
    <t>Centralização, divulgação de informações e disponibilização dos cursos para os servidores do Poder Judiciário</t>
  </si>
  <si>
    <t>A centralização, divulgação de informações e disponibilização dos cursos para os servidores do Poder Judiciário permitirá o acesso igualitário a cursos EAD a todos os servidores do Poder Judiciário, independente do seu órgão e local de lotação. Além disso, permitirá aos servidores saber os cursos que estão previstos para serem realizados presencialmente pelos tribunais, criando oportunidades para o intercâmbio de vagas.</t>
  </si>
  <si>
    <t>Promoção da igualdade de oportunidades de capacitação para os servidores dos diversos órgãos do Poder Judiciário</t>
  </si>
  <si>
    <t>A Promoção da igualdade de oportunidades de capacitação para os servidores dos diversos órgãos do Poder Judiciário permitirá a implementação de uma formação básica dos servidores do Poder Judiciário garantirá com certo grau de padronização e contribuirá com o aumento da qualidade do desempenho dos profissionais em suas funções.</t>
  </si>
  <si>
    <t>Acesso a Dados Estruturados e Organizados de Pessoa_x000D_</t>
  </si>
  <si>
    <t>Implementar padrões claros para estruturação e organização de dados de Pessoa, onde 
Pessoa pode ser uma pessoa física ou uma pessoa jurídica. Os dados de Pessoa serão 
compostos por informações vindas do Codex e enriquecidos com fontes externas, como 
a Receita Federal, BNMP e o SERP. Fornecendo aos clientes maior relevância, 
completude, atualidade e coerência nos dados de Pessoa.</t>
  </si>
  <si>
    <t>Segurança e conformidade dos dados de Pessoa</t>
  </si>
  <si>
    <t xml:space="preserve">Os dados de Pessoa, associados a Processos, serão disponibilizados segundo normas 
estabelecidas pela CNJ de acordo com o grau de permissão do usuário. </t>
  </si>
  <si>
    <t>Realização de pesquisas e diagnósticos do Poder Judiciário</t>
  </si>
  <si>
    <t>Garantir acesso à Justiça e promover cidadania à população da região sede da itinerância</t>
  </si>
  <si>
    <t>Realizar itinerância na Amazônia Legal em formato colaborativo e integrado, garantindo acesso à justiça e promoção de cidadania em localidade com pouca presença do Estado.</t>
  </si>
  <si>
    <t>Documentar os dados da localidade atendida, empiricamente coletados, e as informações 
dos serviços prestados</t>
  </si>
  <si>
    <t>Consolidar dados, avaliar e divulgar os resultados.</t>
  </si>
  <si>
    <t>Disponibilização ampla de ferramenta que possibilita o reconhecimento facial de pessoas em alternativas penais</t>
  </si>
  <si>
    <t>Implementação de modelo de inteligência artificial capaz de identificar precedentes qualificados do STF e STJ</t>
  </si>
  <si>
    <t>Capacitação e criação de manuais e documentações</t>
  </si>
  <si>
    <t xml:space="preserve">Este benefício visa reduzir os riscos e falhas operacionais na transição do projeto para a operação. </t>
  </si>
  <si>
    <t>Melhoria no processo de transição de equipes</t>
  </si>
  <si>
    <t>Este benefício visa trazer facilidade de manutenção e melhorias contínuas, permitindo que eventuais novos integrantes da equipe e operadores entendam rapidamente o sistema, garantindo uma transição suave em qualquer evolução tecnológica ou de processo</t>
  </si>
  <si>
    <t>A apresentação dos dados saneados e parametrizados permitirá a identificação do 
maior litigante do judiciário brasileiro e seus processos mais antigos, por tribunal e 
ramos de justiça, o que contribui para a adoção de ações mais efetivas para a redução 
da judicialização e fomento a conciliação.</t>
  </si>
  <si>
    <t>Aprimoramento da prestação jurisdicional</t>
  </si>
  <si>
    <t>O suporte técnico oferecido aos Tribunais durante a implementação das soluções da PDPJ-Br contribuirá diretamente para o aperfeiçoamento dos processos jurisdicionais. Ao fornecer uma assistência especializada e personalizada, os Tribunais poderão utilizar as novas tecnologias de forma mais eficiente, o que resultará em decisões mais ágeis e uma melhor administração da justiça.</t>
  </si>
  <si>
    <t>Melhoria da estabilidade e Evolução do Codex.</t>
  </si>
  <si>
    <t>Melhoria da estabilidade e Evolução do Sistema SNGB</t>
  </si>
  <si>
    <t>Promover a estabilidade do sistema SNGB e a implementação de melhorias contínuas com base nas demandas operacionais do CNJ.
a) Estabilidade do Sistema (Tempo Médio de Resolução de Incidentes)
Critério de atendimento: Resolver 90% dos incidentes críticos em até 24 horas e 95% dos incidentes não críticos em até 72 horas.
b) Melhorias Implementadas (Quantidade de Melhorias por Sprint)
Critério de atendimento: Implementar pelo menos 2 melhorias significativas por sprint, com a entrega de todas as melhorias priorizadas dentro do prazo do ciclo (24sprints)</t>
  </si>
  <si>
    <t>10/6/20205</t>
  </si>
  <si>
    <t>As informações contidas no laudo em formato eletrônico viabilizarão a automação de tarefas nos sistemas processuais, racionalizando as atividades e garantindo tramitação processual mais célere.</t>
  </si>
  <si>
    <t>Disponibilização de repositório de precedentes qualificados, conhecido como Banco Nacional de Precedentes (BNP)</t>
  </si>
  <si>
    <t>Este benefício trará a capacidade do sistema BNP acessar um conjunto de precedentes 
qualificado.</t>
  </si>
  <si>
    <t>Disponibilização de Ferramenta de consulta ao repositório de precedentes qualificados que possa ser utilizada na PDPJ</t>
  </si>
  <si>
    <t>Este benefício trará a capacidade do usuário final consultar o conjunto de precedentes qualificados por meio da PDPJ.</t>
  </si>
  <si>
    <t>Automatização da integração com os sistemas de processos eletrônicos</t>
  </si>
  <si>
    <t>Este benefício trará a capacidade BNP atualizar sua base de dados de forma automática.</t>
  </si>
  <si>
    <t>Disponibilização de funcionalidade de sugestão automática de precedentes na PDPJ e para a integração dos sistemas processuais.</t>
  </si>
  <si>
    <t>Este benefício trará uma capacidade a mais do usuário nos sistemas processuais e PDPJ, trazendo sugestões automáticas de precedentes.</t>
  </si>
  <si>
    <t>Ampliação do acesso às informações consolidadas da atividade-fim dos órgãos 
do Poder Judiciário aos usuários e beneficiários do projeto._x000D_</t>
  </si>
  <si>
    <t>acesso às informações consolidadas da atividade-fim dos órgãos do Poder Judiciário. Ressalta-se que a atividade-meio é a produção dos dados gerados pelos referidos Órgãos do Poder Judiciário em suas respectivas esferas, de modo a fundamentar a tomada de decisões tanto do CNJ quanto dos próprios Tribunais, considerando também a melhoria na transparência e o acesso a esses dados e informações por meio de Painéis de Business Intelligence e Relatórios Estatísticos referentes à atividade-fim do Poder Judiciário.</t>
  </si>
  <si>
    <t>Melhoria da estabilidade e Evolução dos serviços estruturantes da PDPJ.</t>
  </si>
  <si>
    <t>Aprimoramento da eficiência, estabilidade, expansão das funcionalidades, fortalecimento da segurança, confiabilidade e ampliação do uso do Serviço de Autenticação e Autorização (Single Sign-On - SSO), Notificações, Marketplace por todos os Tribunais.</t>
  </si>
  <si>
    <t>Diagnóstico dos gargalos locais dos processos do tribunal do júri</t>
  </si>
  <si>
    <t>Busca conhecer a realidade do acervo nacional de processos de competência do Tribunal do Júri, identificando localmente as quatro fases processuais, desde a etapa do inquérito policial até eventual fase recursal, de forma a possibilitar a criação de soluções locais que aumentem a velocidade da tramitação processual.</t>
  </si>
  <si>
    <t>Com a entrega pela equipe do DPJ da ferramenta "Mapa do Júri", a qual possibilita a identificação do total de processos de competência do Tribunal do Júri, por localidade, bem como a quantidade de processos que se encontram em cada fase processual e a apresentação dos dados para os tribunais, as duas primeiras fases do projeto foram concluídas com sucesso e o primeiro benefício foi totalmente alcançado. </t>
  </si>
  <si>
    <t>Soluções colaborativas</t>
  </si>
  <si>
    <t>Busca criar soluções especializadas para cada tribunal, focadas em resolver as causas que impedem a finalização do processo de competência do Tribunal do Júri. Cada solução será desenvolvida em parceria com o tribunal onde será implementada, de forma a trabalhar com a realidade local apurada.</t>
  </si>
  <si>
    <t>Na reunião de fevereiro, fomos informados de que estava sendo avaliada a possibilidade de realização de evento para apresentação das informações prestadas pelos Tribunais, estando em avaliação também novas estratégias com base nas respostas recebidas. Na reunião do dia 14 de maio, fomos informados que o evento ocorrerá entre os dias 18 e 21 de agosto e será chamado de "Encontro Nacional dos Juízes do Júri". Na ocasião, pretende-se que algumas iniciativas de sucesso dos tribunais, criadas com base no diagnóstico elaborado na primeira etapa do projeto, sejam apresentadas.</t>
  </si>
  <si>
    <t>Diminuição dos gargalos</t>
  </si>
  <si>
    <t>O principal benefício desejado pelo projeto é acelerar a tramitação dos processos de competência do Tribunal do Júri por meio do enfrentamento de todos os gargalos processuais. Dessa forma, espera-se que o projeto consiga reduzir significativamente a quantidade de processos paralisados em cada etapa identificada no diagnóstico</t>
  </si>
  <si>
    <t>Fomos informados que a quarta etapa do projeto, "Acompanhamento e medição dos resultados das soluções" não mais será executada. A equipe do projeto decidiu finalizar o projeto com a identificação das iniciativas elaboradas pelos Tribunais para seus gargalos específicos, ficando o acompanhamento do resultado da implementação das soluções transferido para o escopo de um segundo projeto, a ser proposto ao término do projeto atual. Com isso, a medição do terceiro benefício será realizada durante a execução do novo projeto.</t>
  </si>
  <si>
    <t>Sem benefício - Projeto na metodologia anterior</t>
  </si>
  <si>
    <t>Sensibilizar os servidores do Poder Judiciário sobre a importância de capacitações vinculadas à PDPJ-Br</t>
  </si>
  <si>
    <t>Promover a qualificação do quadro de servidores do Poder Judiciário nas tecnologias aplicadas à PDPJ‐Br</t>
  </si>
  <si>
    <t>Viabilizar a possibilidade dos tribunais imprimirem maior celeridade e controle aos processos conduzidos pelos gabinetes das varas de justiça dos tribunais do judiciário brasileiro</t>
  </si>
  <si>
    <t>Com a ferramenta, será possível imprimir um fluxo comunicativo e informativo muito mais dinâmico aos processos e, muito mais do que reduzir o tempo de resposta, o sistema garantirá mais regularidade nesse processo. Vale ainda pontuar que essa mesma característica positiva é útil na relação com a sociedade</t>
  </si>
  <si>
    <t>Controle e padronização dos processos de Precatórios e RPVs pelos Tribunais</t>
  </si>
  <si>
    <t xml:space="preserve">Com o desenvolvimento e a adoção de um sistema nacional para controle de precatórios e RPVs, deve-se obter maior padronização nos fluxos utilizados pelos tribunais, contribuindo para adesão e conformidade à Resolução CNJ nº 303/2019, diminuindo erros e trazendo maior organização a esses processos. </t>
  </si>
  <si>
    <t>Geração de informações relevantes para subsidiar tomada de decisão, otimizando 
recursos públicos</t>
  </si>
  <si>
    <t>A partir dos processos inseridos na plataforma, e com a adição de novos módulos negociais, será possível extrair informações e inteligência de negócios sobre o tema, permitindo análise e melhoria dos processos e das políticas públicas como um todo</t>
  </si>
  <si>
    <t>Aumento de velocidade e eficiência no pagamento de precatórios e RPVs</t>
  </si>
  <si>
    <t>Com um sistema padronizado, otimizado e automatizado, os requisitórios tramitarão de forma mais célere, agilizando o pagamento para os credores</t>
  </si>
  <si>
    <t>Garantia da efetividade da jurisdição</t>
  </si>
  <si>
    <t>o cidadão terá o seu processo concluído de forma mais rápida, além de ter garantida maior efetividade da prestação jurisdicional.</t>
  </si>
  <si>
    <t>Disponibilização de ferramenta que possa ser utilizada por todos os sistemas processuais eletrônicos.</t>
  </si>
  <si>
    <t>Acesso automático de informações previdenciárias, insertas no Dossiê Médico, Dossiê Previdenciário e Processo Administrativo Previdenciário;</t>
  </si>
  <si>
    <t>Intimação automatizada de ordem judicial dirigida ao INSS.</t>
  </si>
  <si>
    <t>Padronização do fluxo do monitoramento dos atos normativos.</t>
  </si>
  <si>
    <t>O acompanhamento das informações prestadas pelos órgãos do Poder Judiciário é realizado de forma manual com utilização de planilhas, um procedimento moroso e passível de erros. A padronização visa que o acompanhamento seja realizado pelo CNJ de forma uniforme e célere.</t>
  </si>
  <si>
    <t>Transparência das informações obtidas nos Cumprdec.</t>
  </si>
  <si>
    <t>Disponibilizar as informações para os órgãos do Poder Judiciário e para os cidadãos.</t>
  </si>
  <si>
    <t>Aperfeiçoamento e centralização do monitoramento e avaliação do cumprimento dos Normativos.</t>
  </si>
  <si>
    <t>Transformação do acompanhamento manual em planilhas em diferentes gabinetes e unidades, através do PJe ou outros meios, pela utilização do sistema unificado que permitirá filtros e melhor avaliação do cumprimento dos normativos. Viabilizará a avaliação quantitativa e qualitativa dos atos normativos e das políticas públicas judiciárias em vigor, identificando eventuais dificuldades, lacunas e possibilidades de aprimoramento e melhoria tanto no marco regulatório quanto no apoio para a implementação na ponta.</t>
  </si>
  <si>
    <r>
      <t>Disponibilização dos dados sobre antecedentes criminais de todos os tribunais e da polícia federal em um único local.</t>
    </r>
    <r>
      <rPr>
        <sz val="12"/>
        <color rgb="FF000000"/>
        <rFont val="Times New Roman"/>
        <family val="1"/>
      </rPr>
      <t> </t>
    </r>
  </si>
  <si>
    <t>Disponibilização de todos os antecedentes criminais, utilizando dados de todos os tribunais e da polícia federal, em um só local e prontos para consulta.</t>
  </si>
  <si>
    <t>Ampliação das bases de informação</t>
  </si>
  <si>
    <t>Com a integração das bases do Renajud e, principalmente, dos registros cartoriais, o potencial de constrição de bens para uma execução fiscal se tornará muito mais amplo, permitindo a ação de bloqueio de bens que atualmente representam um desafio significativo em sua identificação e subsequente ação</t>
  </si>
  <si>
    <t>Plataforma integrada de busca e constrição</t>
  </si>
  <si>
    <t>Com o Sniper BC, o judiciário poderá acessar as informações e disparar ações de constrição em uma única plataforma, permitindo um ganho de produtividade muito grande ao evitar o acesso e ações de forma individualizada aos diversos sistemas. Além disto, permitirá uma visão integrada e concisa, facilitando as tomadas de decisão em um contexto complexo para a execução fiscal</t>
  </si>
  <si>
    <t>Promover segurança aos magistrados e equipes ao trabalharem com demandas complexas</t>
  </si>
  <si>
    <t>Percepção da sociedade de que o judiciário está cumprindo seu papel em relação às demandas complexas e que o CNJ é um ator de governança e integração com os demais atores nesse contexto, respondendo diretamente ao objetivo estratégico 07 do Planejamento Estratégico do CNJ</t>
  </si>
  <si>
    <t>Incrementar a eficiência (tempo e custo) no trâmite das demandas complexas, especialmente na fase de execução, respondendo diretamente ao macrodesafios da Estratégia Nacional ao qual o projeto se subscreve, qual seja, agilidade e produtividade na prestação jurisdicional. Em adição, este benefício possui indicador institucionalizado conhecido por Índice de Atendimento à Demanda.</t>
  </si>
  <si>
    <t>Acessibilidade na utilização do sistema</t>
  </si>
  <si>
    <t>Este benefício trará a capacidade ao CNJ de utilizar o sistema dentro dos padrões do manual de acessibilidade do .GOV</t>
  </si>
  <si>
    <t>Sistema amigável com melhorias na navegabilidade</t>
  </si>
  <si>
    <t>Este benefício trará melhorias na navegabilidade e acessibilidade para facilitar e universalizar o uso do sistema, trazendo agilidade e praticidade ao processo nas sessões de julgamento</t>
  </si>
  <si>
    <t>Ajuizamento automatizado de processos de execução fiscal e validação dos dados das CDAs</t>
  </si>
  <si>
    <t>Citação automatizada dos executados em processos de execução fiscal</t>
  </si>
  <si>
    <t>Pedidos de bloqueio e constrição de bens automatizados nos processos de execução fiscal</t>
  </si>
  <si>
    <t>Dashboard capaz de realizar medição do tempo decorrido nas fases dos processos de execução fiscal e verificação de aderência dos tribunais ao Fluxo Nacional, bem como mensuração de eventuais reduções do tempo de tramitação e das taxas de congestionamento dos processos de execução fiscal.</t>
  </si>
  <si>
    <t>Realização de diálogo institucional, acordos de colaboração e capacitações com vistas a reforçar a implementação da Res. 530/2023 e dos planos de ação estaduais por meio da qualificação das decisões judiciais relativas ao direito à saúde e do fortalecimento do diálogo entre o CNJ e os tribunais</t>
  </si>
  <si>
    <t>Valorização das boas práticas referentes a mecanismos nacionais de implementação de decisões estruturais do Sistema Interamericano de Direitos Humanos (SIDH), e consequente cumprimento das decisões do SIDH; e reafirmação do princípio da prevalência da dignidade humana como pilar estruturante do Estado Democrático de Direito, à luz do controle de convencionalidade e da jurisprudência interamericana em matéria de Direitos Humanos</t>
  </si>
  <si>
    <t>Implementação do programa novos caminhos em todos os estados do Brasil.</t>
  </si>
  <si>
    <t>Ao implementar o programa em todos os estados, será possível aumentar seu impacto alcançando maior número de crianças e adolescentes</t>
  </si>
  <si>
    <t>Transparência dos resultados.</t>
  </si>
  <si>
    <t>Ao monitorar e dar transparência aos dados sobre os resultados do programa, avaliamos se as ações tomadas estão resultando no objetivo do programa e do projeto.</t>
  </si>
  <si>
    <t>Educação de servidores(as) quanto às questões relacionadas à inclusão e acessibilidade.</t>
  </si>
  <si>
    <t>Visa tornar a equipe do Conselho ciente sobre as necessidades das pessoas com deficiência ou mobilidade reduzida, receptiva às mudanças necessárias e capacitada com os conhecimentos adequados para implementá-las.</t>
  </si>
  <si>
    <t>Infraestrutura das comunicações do Conselho.</t>
  </si>
  <si>
    <t>Garantir que todas as comunicações e eventos promovidos pelo CNJ sejam acessíveis a todas as pessoas, independentemente de suas limitações físicas, sensoriais ou cognitivas.</t>
  </si>
  <si>
    <t>Fomento à inclusão no ambiente de trabalho.</t>
  </si>
  <si>
    <t>Visa promover a inclusão da pessoa com deficiência, de modo que tenham total acesso aos recursos e oportunidades internas em equivalência com os(as) demais profissionais.</t>
  </si>
  <si>
    <t> Infraestrutura das tecnologias.</t>
  </si>
  <si>
    <t>Garantir que a infraestrutura de Tecnologia da Informação do Conselho, bem como as soluções tecnológicas desenvolvidas ou utilizadas pelo órgão sejam acessíveis a todas as pessoas, independentemente de suas limitações físicas, sensoriais ou cognitivas.</t>
  </si>
  <si>
    <t>Acessibilidade na segurança pública institucional.</t>
  </si>
  <si>
    <t>Implementar alterações no CNJ para torná-lo mais acessível, garantindo a inclusão plena de pessoas com deficiência, em conformidade com as normas de acessibilidade e promovendo um ambiente institucional mais inclusivo e seguro para todos.</t>
  </si>
  <si>
    <t>Sem benefício</t>
  </si>
  <si>
    <t>Tribunais engajados em torno do combate ao racismo e da promoção da equidade racial.</t>
  </si>
  <si>
    <r>
      <t>Ao promover um maior engajamento no Poder Judiciário para que as diversas ações necessárias possam ser realizadas, pavimentam-se condições para o alcance dos outros benefícios</t>
    </r>
    <r>
      <rPr>
        <sz val="12"/>
        <color rgb="FF000000"/>
        <rFont val="Times New Roman"/>
        <family val="1"/>
      </rPr>
      <t>.</t>
    </r>
  </si>
  <si>
    <t>Fomento à implementação de medidas estruturantes antirracistas, de combate ao racismo estrutural e promoção da equidade racial.</t>
  </si>
  <si>
    <t>Lança as bases e implementa medidas que contribuam para que o Poder Judiciário combata o racismo, garantindo os direitos fundamentais, ao tempo que fomenta a promoção da equidade racial e a redução de práticas racistas</t>
  </si>
  <si>
    <t>Aumento da capacidade organizacional quanto ao conhecimento sobre a temática e a obtenção de dados sobre as questões raciais, para o planejamento dos projetos e ações do programa.</t>
  </si>
  <si>
    <r>
      <t>P</t>
    </r>
    <r>
      <rPr>
        <sz val="12"/>
        <color rgb="FF000000"/>
        <rFont val="Calibri"/>
        <family val="2"/>
      </rPr>
      <t>ossibilita o levantamento de dados e habilita os profissionais que atuam no Poder Judiciário a entender o cenário e identificar situações indesejadas, viabilizará o planejamento dos projetos e ações do programa</t>
    </r>
  </si>
  <si>
    <r>
      <t>Diretrizes para uma maior atuação dos órgãos do Poder Judiciário Nacional no combate ao racismo e na promoção da equidade racial.</t>
    </r>
    <r>
      <rPr>
        <sz val="12"/>
        <color rgb="FF000000"/>
        <rFont val="Times New Roman"/>
        <family val="1"/>
      </rPr>
      <t> </t>
    </r>
  </si>
  <si>
    <r>
      <t>A</t>
    </r>
    <r>
      <rPr>
        <sz val="12"/>
        <color rgb="FF000000"/>
        <rFont val="Calibri"/>
        <family val="2"/>
      </rPr>
      <t>s diretrizes oferecerão os subsídios necessários para que os órgãos possam atuar de forma efetiva no combate ao racismo e promoção da equidade racial</t>
    </r>
  </si>
  <si>
    <t>Diagnóstico sobre como o Poder Judiciário desempenha seu papel em relação ao 
Crime organizado.</t>
  </si>
  <si>
    <t>Busca conhecer a realidade do acervo nacional de inquéritos e processos envolvendo 
delitos de organizações criminosas, identificando localmente as fases processuais, desde 
a etapa do inquérito policial até eventual fase recursal, de forma a possibilitar a criação 
de soluções locais que aumentem a velocidade da tramitação processual.
Ademais, busca identificar, por meio de pesquisa qualitativa, as soluções locais 
implementadas pelos diferentes tribunais para tratar o problema, identificando boas 
práticas passíveis de serem replicadas e localidades que precisam de apoio.
Trata-se de ferramenta necessária para que soluções posteriores possam ser elaboradas 
com base em evidências.</t>
  </si>
  <si>
    <t>Diálogo ampliado sobre violência digital com foco em meninas e mulheres</t>
  </si>
  <si>
    <t>Proporcionar espaço de convergência de debate qualificado sobre desafios e possibilidades na prevenção e combate à violência digital com recorte de gênero, ampliando o conhecimento do público e subsidiando o aprimoramento das políticas judiciárias sobre o tema.</t>
  </si>
  <si>
    <t>Mobilização nacional para enfrentamento da violência de gênero</t>
  </si>
  <si>
    <t>Fortalecer a conscientização pública sobre a violência de gênero por meio de campanha nacional articulada entre o CNJ, tribunais e parceiros estratégicos, ampliando o alcance da mensagem e engajando diferentes públicos na prevenção e enfrentamento da violência contra meninas e mulheres.</t>
  </si>
  <si>
    <t>Fortalecimento da articulação interinstitucional para proteção de mulheres em vulnerabilidade</t>
  </si>
  <si>
    <t>Integrar esforços entre instituições do sistema de justiça, segurança pública e rede de proteção para ampliar a efetividade das medidas protetivas, promovendo o uso estratégico do Guia FONAR e institucionalizando o programa “Ação Meninas e Mulheres – Por toda parte, por todas elas”</t>
  </si>
  <si>
    <t xml:space="preserve">Aumento da transparência ativa sobre o tratamento do crime organizado pelo Poder 
Judiciário </t>
  </si>
  <si>
    <t xml:space="preserve">Aumento da transparência ativa dos dados extraídos do Datajud, permitindo o 
mapeamento preciso da atuação do crime organizado. Será possível identificar quais 
crimes estão mais frequentemente associados ao crime organizado, apoiando à 
formulação de políticas públicas mais eficazes, baseadas em evidência e estratégias de 
combate ao crime organizado, tornando público os dados sobre casos novos, julgados, 
pendentes, baixados e suspensos. O painel promove a transparência da atuação do 
Poder Judiciário em relação ao crime organizado e identifica gargalos, como excesso 
de suspensões ou baixa taxa de julgamento de processos ligados ao crime organizado. 
Com o painel os processos em menção poderão ser extraídos de forma transparente. </t>
  </si>
  <si>
    <t>PROJETO2</t>
  </si>
  <si>
    <t>Mês</t>
  </si>
  <si>
    <t>AUX</t>
  </si>
  <si>
    <t>PREVISÃO DE TÉRMINO</t>
  </si>
  <si>
    <t>Explicações</t>
  </si>
  <si>
    <t>Medição de status</t>
  </si>
  <si>
    <t>Coluna3</t>
  </si>
  <si>
    <t>Coluna4</t>
  </si>
  <si>
    <t>AUXILIAR 2</t>
  </si>
  <si>
    <t>AUXILIAR 3</t>
  </si>
  <si>
    <t>AUXILIAR 4</t>
  </si>
  <si>
    <t>Processo Judicial Eletrônico das Corregedorias (PJeCOR)</t>
  </si>
  <si>
    <t>00513/2020</t>
  </si>
  <si>
    <t>1º Ciclo de Capacitações em Ouvidorias Judiciais</t>
  </si>
  <si>
    <t>00312/2023</t>
  </si>
  <si>
    <t>2023 - ANO PELA JUSTIÇA RESTAURATIVA NA EDUCAÇÃO</t>
  </si>
  <si>
    <t>Novo SNA - Fortalecimento da aplicação de mecanismos de inovação no Poder Judiciário com vistas a aprimorar o Sistema Nacional de Adoção e Acolhimento.</t>
  </si>
  <si>
    <t>cancelado</t>
  </si>
  <si>
    <t>houve alteração no PGP</t>
  </si>
  <si>
    <t>Destrava– Obra Paralisada da Futura Sede do Tribunal Regional Federal da 1ª Região</t>
  </si>
  <si>
    <t>XVII Semana Nacional de Conciliação</t>
  </si>
  <si>
    <t>12115/2022</t>
  </si>
  <si>
    <t>Implementação Planos de Ação - Integração plena à PDPJ-Br e ao PJ 4.0</t>
  </si>
  <si>
    <t>Ciclo de Debates da Comissão Permanente de Políticas Sociais e de Desenvolvimento do Cidadão</t>
  </si>
  <si>
    <t xml:space="preserve">Gestão e transparência das Comissões Permanentes e Colegiados. </t>
  </si>
  <si>
    <t>Integração Codex</t>
  </si>
  <si>
    <t>Mineração de Processos do Pje (Projeto iniciou em 2020)</t>
  </si>
  <si>
    <r>
      <t>Painel de Estatística </t>
    </r>
    <r>
      <rPr>
        <sz val="12"/>
        <rFont val="Calibri"/>
        <family val="2"/>
        <scheme val="minor"/>
      </rPr>
      <t> </t>
    </r>
    <r>
      <rPr>
        <sz val="11"/>
        <color theme="1"/>
        <rFont val="Calibri"/>
        <family val="2"/>
        <scheme val="minor"/>
      </rPr>
      <t xml:space="preserve"> - Justiça 4.0</t>
    </r>
  </si>
  <si>
    <t>Pesquisa sobre Percepção e Avaliação do Poder Judiciário Brasileiro</t>
  </si>
  <si>
    <t>PMO Jud - Estruturação do Escritório de Projetos do Conselho Nacional de Justiça  - Justiça 4.0</t>
  </si>
  <si>
    <t>SINAPSES 2 - Agrupamento por similaridade</t>
  </si>
  <si>
    <t>SINAPSES 3 - Jurisprudência</t>
  </si>
  <si>
    <t>SINAPSES I</t>
  </si>
  <si>
    <t>SNGB – Sistema Nacional de Bens Apreendidos</t>
  </si>
  <si>
    <t>08285/2022</t>
  </si>
  <si>
    <t>Regularização de Registros Fundiários e Ambientais</t>
  </si>
  <si>
    <t>Pacto Nacional do Judiciário pelos Direitos Humanos.</t>
  </si>
  <si>
    <t>foram acrescentadas atividades e alterado a data final do projeto por isso o % diminuiu</t>
  </si>
  <si>
    <t>Segunda Edição do Prêmio Prioridade Absoluta</t>
  </si>
  <si>
    <t>Criação e disseminação do Repositório Anticorrupção e Tecnologia do Poder Judiciário</t>
  </si>
  <si>
    <t>Banco Nacional de Medidas Penais e Prisão (BNMP)</t>
  </si>
  <si>
    <t>ajuste de datas finais</t>
  </si>
  <si>
    <t>Foram atualizadas as datas finais do projeto</t>
  </si>
  <si>
    <t>Tep inserido em março</t>
  </si>
  <si>
    <t>Capacitação técnica  para desenvolvedores nas tecnologias da PDPJ - BR</t>
  </si>
  <si>
    <t>Itinerância na amazonia legal</t>
  </si>
  <si>
    <t>Gabinete do juízo</t>
  </si>
  <si>
    <t>houve alteração do prazo final</t>
  </si>
  <si>
    <t>atualização das datas finais</t>
  </si>
  <si>
    <t>datas finais atualizadas</t>
  </si>
  <si>
    <t>DPVAT</t>
  </si>
  <si>
    <t>projeto pausado - Estava sendo contado nos objetivos estratégicos e macrodesafios de 2024 - Corrigido quando da criação do painel de 2025</t>
  </si>
  <si>
    <t>Sinapses 5</t>
  </si>
  <si>
    <t>houve ajuste na medição das etapas e benefício</t>
  </si>
  <si>
    <t>Atualização de dados Étnico-Raciais no Poder Judiciário</t>
  </si>
  <si>
    <t>01508/2022</t>
  </si>
  <si>
    <t>Portal de Serviços do Poder Judiciário</t>
  </si>
  <si>
    <t>Estão sendo feitos workshops para adequação com os laboratórios</t>
  </si>
  <si>
    <t>Aprovar medição parcial das entregas (12,5%) - planilha de benefícios</t>
  </si>
  <si>
    <t>Novo GP: Consultar Gabinete do Conselheiro Mário Goulart Maia/ Rever pesos dos benefícios</t>
  </si>
  <si>
    <t>Mudança de escopo</t>
  </si>
  <si>
    <t>Projeto Finalizado - Aguardando TEP</t>
  </si>
  <si>
    <t>Estava sendo contado nos objetivos estratégicos e macrodesafios de 2024 - Corrigido quando da criação do painel de 2025</t>
  </si>
  <si>
    <t>Inclusão no portfólio de 2024</t>
  </si>
  <si>
    <t>Não houve atuaçização mas o projeto encontra-se finalizado pendente somente do TEP</t>
  </si>
  <si>
    <t>Novo PGP em processo de elaboração para definir as novas datas de término e acréscimos no escopo. Neste momento, a previsao era de término do projeto em 6/2024</t>
  </si>
  <si>
    <t>Os benefícios refletem a execução do projeto. Houve alteração de pesos dos benefícios.</t>
  </si>
  <si>
    <t>Benefícios só serão novamente impactados em 30 dias</t>
  </si>
  <si>
    <t>Continua sendo realizado alinhamento com o supervisor do projeto sobre as mudanças no escopo e no cronograma. Por causa disso, a data de término ainda não foi atualizada</t>
  </si>
  <si>
    <t>Em fase de encerramento</t>
  </si>
  <si>
    <t>O projeto está na fase de ajustes dos tribunais que têm atrasado um pouco o projeto</t>
  </si>
  <si>
    <t>Previsão de Término atualizada para 30/07/2024</t>
  </si>
  <si>
    <t>Previsão de Término atualizada para 15/09/24</t>
  </si>
  <si>
    <t>Atualização da data de encerramento para 29/11/2024.</t>
  </si>
  <si>
    <t>Atualização da data de encerramento para 30/09/2024.</t>
  </si>
  <si>
    <t>Data de encerramento do projeto atualizada para 13/09/2024.</t>
  </si>
  <si>
    <t>Houve um significativo aumento de escopo e identificação de aumento de complexidade nos fluxos propostos inicialmente. Houve replanejamento e reestruturação das entregas de forma que, acompanhado pela área de negócio responsável (DMF) foi realizada a implantação em produção no dia 13 de agosto de 2024.</t>
  </si>
  <si>
    <t>Data de encerramento do projeto atualizada para 28/09/2025</t>
  </si>
  <si>
    <t>O percentual de progresso desceu em comparação à última medição uma vez que ocorreu o crescimento do escopo do projeto.</t>
  </si>
  <si>
    <t>83,9%</t>
  </si>
  <si>
    <t>83,6%</t>
  </si>
  <si>
    <t>73,6%</t>
  </si>
  <si>
    <t>70,1%</t>
  </si>
  <si>
    <t>68,4%</t>
  </si>
  <si>
    <t>97,7%</t>
  </si>
  <si>
    <t>94,8%</t>
  </si>
  <si>
    <t>Dados inseridos no cadastro do projeto, antes da primeira medição.</t>
  </si>
  <si>
    <t xml:space="preserve">A data de conclusão do projeto foi alteradadevido ao tamanho do grupo de trabalho organizado para a elaboração do projeto pedagógico, o qual conta com aproximadamente 140 agentes e 16 magistrados, o que gerou uma complexidade para a coordenação e alinhamento dos trabalhos maior do que o esperado. Além disso, a equipe do projeto encontra-se envolvida na organização de grandes eventos programados para o final do exercício, em especial o Encontro Nacional do Poder Judiciário. </t>
  </si>
  <si>
    <t>Projeto finalizado - As atividades remanescentes e futuras melhorias serão tratadas no âmbito do Projeto “Fluxo Nacional Automatizado de Execuções Fiscais”, do programa Justiça 4.0</t>
  </si>
  <si>
    <t>Data de término atualizada de 30/6/2024 para 29/3/2025. A mudança da data de término se deu pelo compartilhamento da equipe do projeto com o projeto "Gestão de Laudos Periciais (11644/2022), também do Programa Justiça 4.0, o que não estava previsto no cronograma original e acarretou na necessidade de replanejamento das datas do projeto.</t>
  </si>
  <si>
    <t>Data de término atualizada de 22/1/2025 para 24/3/2025</t>
  </si>
  <si>
    <t>Previsão de Término atualizada para 21/12/2024. A mudança da data de término se deu pelo compartilhamento da equipe do projeto com o projeto "Gestão de Laudos Periciais (11644/2022), também do Programa Justiça 4.0, o que não estava previsto no cronograma original e acarretou na necessidade de replanejamento das datas do projeto.</t>
  </si>
  <si>
    <t xml:space="preserve">20/05/24 - 31/05/24
 ENTREGAS:
Treinamento: Novo Módulo no Sistema Nacional de Adoção e Acolhimento - SNA – Pretendentes. 
Ocorreu dia 29/05/2024, com a participação de usuários do SNA, como servidores de unidades judiciárias, magistrados dos Tribunais de Justiça, equipes técnicas, servidores das Comissão Estadual Judiciária de 
Adoção Nacional e Internacional (CEJA e CEJAI), Coordenadoria da Infância e da Juventude (CIJ), equipes que atuam na PDPJ, dentre outros.
 O evento foi transmi do online por plataforma de videoconferência e pelo Youtube, de forma simultânea, alcançando a par cipação simultânea de cerca de 1.500 pessoas.
 EM PROCESSO:
 Etapa de teste e homologação do Novo Módulo no Sistema Nacional de Adoção e Acolhimento - SNA – Pretendentes.
</t>
  </si>
  <si>
    <t>Autorização do projeto</t>
  </si>
  <si>
    <t>Cadastro do projeto. Percentual aferido por meio do cronograma constante no TAP</t>
  </si>
  <si>
    <t>Inclusão no portfólio de 2024 e primeira medição- necessário verificar se será mantido, uma vez que a submissão para aprovação foi feita em dezembro, mas a aprovação do SEP só foi realizada em janeiro de 2025</t>
  </si>
  <si>
    <t>Projeto finalizado e já consta TEP no processo. Todavia, o despacho de encaminhamento para o ECP ainda não foi assinado. Daniel informa que estão esperando o retorno do dr. Dorotheo, no dia 20/1, para assinatura do despacho</t>
  </si>
  <si>
    <t>Projeto concluído. TEP já consta no processo SEI, mas é necessário que o despacho de encaminhamento seja assinado e o processo seja encaminhado para o ECP. Conversamos com Daniel no dia 7/1/2025</t>
  </si>
  <si>
    <t>Data de término do projeto atualizada no cockpit de 31/1/2026 para 2/4/2026. Não há informações no processo quanto à necessidade da mudança</t>
  </si>
  <si>
    <t>Documento 2038065 mudou o nome do projeto "Gestão de Laudos Periciais" para "Sisperjud".
Outra mudança foi a data de término do projeto, que passou do dia 24/3/2025 para 3/7/2025. A mudança foi percebida no cockpit, mas não há explicação no processo.</t>
  </si>
  <si>
    <t>Documento 2058448 informa a extensão do projeto por mais dois meses, passando do dia 21/12/2024 para o dia 28/2/2025. A data exata não foi informada no documento,  mas o relatório semanal do justiça 4.0 enviado no dia 7/1/2025 traz a nova data.</t>
  </si>
  <si>
    <t>Medição duplicada, mudando apenas a data de atualização, para constar nos portfólios de 2024 e 2025</t>
  </si>
  <si>
    <t>Medição duplicada, mudando apenas a data de atualização, para constar no portfólio de 2024</t>
  </si>
  <si>
    <t>Relatório de 3/1/2025. A data foi colocada como 31/12/2024 para constar no portfólio de 2024</t>
  </si>
  <si>
    <t>Foi juntado um novo cockpit no processo SEI, mas as informações foram as mesmas do relatório anterior. Segundo informado pelo Daniel: "Sistema de Apresentação Remota por Reconhecimento Facial (obs.: o projeto está parado desde outubro/2024, aguardando decisão do magistrado referente ao encerramento do projeto e a criação de um novo com outro escopo"</t>
  </si>
  <si>
    <t>Medição duplicada, mudando apenas a data de atualização, para constar no portfólio de 2025</t>
  </si>
  <si>
    <t>Segundo o gerente: "O projeto não teve avanço percentual em relação à ultima reunião por conta de redefinições estratégicas. Será elaborada nova página web para o CEAJUD e uma rede social própria para a EVJ. Haverá apoio do programa Justiça 
plurall ao projeto. Próxima reunião deverá ser realizada somente em fevereiro diante do recesso e da necessidade de mais tempo para a impementação das ações"</t>
  </si>
  <si>
    <t>Data de término do projeto modificada do dia 19 de dezembro de 2024 para o dia 31 de janeiro de 2025. As datas das atividades que ainda precisam ser concluídas foram reprogramadas.</t>
  </si>
  <si>
    <t>Cadastro no portfólio de 2025. Não cadastrado no portfólio de 2024.</t>
  </si>
  <si>
    <t>O atraso se deve porque a integração de dados do datajud e do bnmp ao datalake está sendo reavaliada, uma vez que os dados podem ser obtidos de outra forma.</t>
  </si>
  <si>
    <t>Inclusão no portfólio de 2025</t>
  </si>
  <si>
    <t>Medição duplicada apenas para incluir no portfólio de 2025</t>
  </si>
  <si>
    <t>Medição duplicada para inclusão no portfólio de 2025</t>
  </si>
  <si>
    <t>Registro duplicado para que o projeto conste no portfólio de 2024 e 2025</t>
  </si>
  <si>
    <t>Data de término atualizada de 31/1/2025 para 31/3/2025</t>
  </si>
  <si>
    <t>Data de término atualizada de 30/6/2025 para 31/12/2026</t>
  </si>
  <si>
    <t>Data de término atualizada de 30/6/2025 para 20/6/2025</t>
  </si>
  <si>
    <t>Data de término não ajustada. Segundo informado pelo Daniel: "O SAREF está para terminar, agora em fevereiro, serão feitos ajustes no cockpit final, pois estava aguardando definição desde outubro do ano passado."</t>
  </si>
  <si>
    <t>Inclusão no portfólio de 2025 com a medição de janeiro/25</t>
  </si>
  <si>
    <t>Data de término atualizada de 18/7/2025 para 25/7/2025</t>
  </si>
  <si>
    <t>Inclusão na carteira e primeiro relatório de progresso</t>
  </si>
  <si>
    <t>Inclusão no portfólio de 2025 com a primeira medição.</t>
  </si>
  <si>
    <t>Inclusão no portfólio de 2025 utilizando o progresso de julho de 2024, último cockpit anexado ao processo antes da formalização do TAP</t>
  </si>
  <si>
    <t>Percentual de progresso diminuiu pela inclusão de três novas etapas.</t>
  </si>
  <si>
    <t>Data de término atualizada de 31/7/2025 para 2/3/2026. Aguardando a formalização do PGP do projeto. Já há uma versão em elaboração (2113268), mas ainda não assinada.</t>
  </si>
  <si>
    <t>Data de término atualizada de 4/4/2025 para 5/6/2025</t>
  </si>
  <si>
    <t>Projeto concluído com a entrega do TEP. Resultados da itinerância disponíveis no relatório 2101807, páginas 63 a 138</t>
  </si>
  <si>
    <t>Ligeiro atraso decorrente da necessidade de tomada de decisão, pela alta administração, sobre a realização de evento para divulgar as medidas adotadas pelos Tribunais, bem como sobre os próximos passos para o projeto.</t>
  </si>
  <si>
    <t>A previsão de finalização do projeto foi ajustada para 30 de maio de 2025,   conforme especificado no email 2108566 e também no PGP 2110313.
No dia 04.02.2025 a UNIFOR solicitou ao PNUD a confecção de um aditivo de prazo contratual, com data 
final de 30.05.2025, visando a entrega dos Produtos 6 e 8, que se encontram pendentes. Após aprovação do 
gestor negocial do projeto, o PNUD iniciou a tramitação da documentação.</t>
  </si>
  <si>
    <t>Projeto finalizado, estando o PGP em elaboração</t>
  </si>
  <si>
    <t>Com a definição da data de lançamento do sistema para o dia 3/6/2025, a data de término do projeto foi atualizada de 31/1/2025 para 3/6/2025. Essa atualização não configura atraso do projeto ou falha na gestão, indicando apenas o aprofundamento do planejamento, uma vez que as atividades necessárias para última etapa do projeto ainda não haviam sido definidas.</t>
  </si>
  <si>
    <t>Projeto finalizado. O gerente está providenciando o Termo de Encerramento.</t>
  </si>
  <si>
    <t>Data de conclusão atualizada de 31/1/2025 para 19/3/2025</t>
  </si>
  <si>
    <t>Projeto dado como "Suspenso". Conversei com Fábio e ele está avaliando se abre um novo projeto ou se replaneja o atual.</t>
  </si>
  <si>
    <t>Suspenso</t>
  </si>
  <si>
    <t>O percentual do projeto diminuiu 1% devido à inclusão de novas atividades no cronograma, em especial as novas capacitações para 2025. Dessa forma, o projeto segue andando bem mesmo com a diminuição do percentual.</t>
  </si>
  <si>
    <t>Data de término antecipada de 31/5/2025 para 30/4/2025</t>
  </si>
  <si>
    <t>12/03/25 - 17/03/25
ENTREGAS:
DOMICILIO-2584 
HOTFIX-PRD-Filial não é apresentada na tela de cadastro de filiais 
DOMICILIO-2703 
HOTFIX-PRD-Erro JDBC 13/03 
DOMICILIO-2449 
Hoƞix-PRD-Erro ao vincular CNPJs em produção
Em processo:
DOMICILIO-2636 
Hoƞix-HML-Erro ao ler inteiro teor (erro técnico) 
DOMICILIO-2646 
Query para cadastramento de administrador (empresa inaƟvada) 
DOMICILIO-2711 
Alteração na tabela bcnpj</t>
  </si>
  <si>
    <t>Está em análise a possibilidade de prorrogação do projeto ou sua conclusão sem a implementação das melhorias constantes no backlog.</t>
  </si>
  <si>
    <t>14/03/2025 - 31/03/2025
 ENTREGAS:
 SPVATJud: documentação parcial recebida e já avaliada. Aguarda o envio dos demais documentos.
 Realizados os atendimentos dos chamados junto aos tribunais.
 Realizadas as reuniões posicionamento com o corpo de gestão e também com os GP dos microtimes para alinhamento dos atendimentos e melhoria do processo.
EM PROCESSO:
Realizada a reunião com os GP para utilização da nova metodologia de phase-out. Aguarda o encaminhamento dos documentos dos projetos CONECTA, SNA, CODEX, Serviços Estruturantes, AnacJud, Ia para Precedentes, PrevJud e SPVATJud.</t>
  </si>
  <si>
    <t>Data ajustada de 31/7/2025 para 17/12/2025. O ajuste se deu pela inclusão de datas previstas para início e término dos trabalhos dos seguintes itens:
Módulo de Consulta Avançada à Jurisprudência e Precedentes implantado;
Ajustes arquiteturais para adequação à PDPJ-Br</t>
  </si>
  <si>
    <t>14/03/2025 - 31/03/2025
 ENTREGAS:
 Metodologia entregue com os templates validados pela GC.
 Lista dos projetos que foram priorizados.
EM PROCESSO:
Alinhamento com os GP para internalização e utilização da metodologia,</t>
  </si>
  <si>
    <t>Daniel informa que o projeto finalizou no Programa Justiça 4.0 e será transferido para o Fazendo Justiça.
Foi solicitado ao gerente do projeto colocar essa informação no TEP, que se encontra em elaboração.</t>
  </si>
  <si>
    <t>15/04/2025
 ENTREGAS:
 Rotinas de limpeza de dados históricos no orquestrador.
 Refatorações para uso do DuckDB.
 Revisão negocial das pipelines Número de Processo, OAB.
 Busca por potenciais anomalias para oficiar os tribunais, a partir dos relatórios gerados nas sprints 8, 9 e 10.
 Análise de 7 relatórios de anomalias com potencial para oficiar os tribunais.
 Ajuste na função de conversão JSON Codex para JSON DL.
 Redefinida data para realização de webinar sobre Qualificação de Dados com todos os tribunais para segunda semana de agosto/2025. Redefinição determinada pelo Dr. João Thiago durante ponto de controle em 
08/abr/2025.
 EM PROCESSO:
Integração Felipe e Patrícia.
 Escalonamento das pipelines Grupo 2 (2/9).
 Refatoração nas pipelines de monitoramento.
 Pipelines de tipos de documentos.
 Pipelines de tipos de movimento.
 Integração da pipeline de sobrestamento que alimenta o painel de BI.
 Análise exploratória da inconsistência da fase processual do Codex.
 Revisão negocial da pipeline Outros Nomes.
 Ampliação das análises contidas nos relatórios da equipe de direito.
 Ofício referente a processos de execução fiscal com natureza diferente de fiscal.</t>
  </si>
  <si>
    <t xml:space="preserve"> Aguarda o encaminhamento dos documentos dos projetos CONECTA, SNA, CODEX, Serviços Estruturantes, AnacJud, Ia para Precedentes, PrevJud e SPVATJud.</t>
  </si>
  <si>
    <t>Diminuição do percentual de execução em relação à última medição se deve á inclusão no cronograma das implantações no TJRR, TJMSP e TJMT. Dessa forma, o projeto segue avançando, mas houve maior detalhamento no cronograma.</t>
  </si>
  <si>
    <t xml:space="preserve"> 01/04/2025 - 24/04/2025
 ENTREGAS:
 Metodologia entregue com os templates validados pela GC.
 Lista dos projetos que foram priorizados.
 Reunião de apresentação da metodologia para os projetos que forma priorizados.
EM PROCESSO:
 Elanboração dos documentos/templates da metodologia para os projetos priorizados.</t>
  </si>
  <si>
    <t>21/04/25 - 29/04/25
 ENTREGAS:
 DOMICILIO-2808 
Criação de comunicações em STG (Apoio a integrações) 
DOMICILIO-2456 
Cadastro compulsório de empresas de pequeno porte e Microempreendedor Individual (MEI) 
DOMICILIO-2595 
Pe cionamento: Incluir parâmetro idAvisoExpediente na chamada do pe cionamento no Portal 
EM PROCESSO:
DOMICILIO-2842 
HOTFIX-PRD-Preposto não visualiza as comunicações mesmo marcando a opção de visualizar no cadastro 
DOMICILIO-2700 
HOTFIX-HML-Após exclusão de parte, as comunicações novas ainda exibem parte excluída 
DOMICILIO-2803 
Ho ix PRD - Verificar o porque o usuário seleciona um determinado e-CNPJ para logar no sistema e quando loga aparece outro e-CNPJ. Chamado 46029.</t>
  </si>
  <si>
    <t>Primeira medição;</t>
  </si>
  <si>
    <t>Incluída a Call-off 010 após a sprint 15. A Call-off terá 6 sprints mais a passagem de conhecimento, mudando a data de término do projeto do dia 7/3/2025 para 25/7/2025.
Com o acréscimo das novas sprints e da passagem de conhecimento, o percentual de progresso diminuiu em relação à medição anterior.</t>
  </si>
  <si>
    <t>Incluída fase de phase-out no projeto, mudando a data de término de 30/4/2025 para 31/5/2025</t>
  </si>
  <si>
    <t>O grande avanço em relação à medição anterior deve-se à exclusão da quarta etapa do escopo do projeto.</t>
  </si>
  <si>
    <t>ENTREGAS:
Realiazada reunião para repriorização dos projetos a serem embarcados e posteriormente repassado para o CNJ, seguindo a metodologia de Phaseout. Segue a lista priorizada:
AnacJud - 1
SPVATJUD - 1
Portal de Serviços (Peticionamento Intercorrente) - 1
Portal de Serviços (Envio de Ofícios) - 1
Portal de Serviços (Declínio Competências) - 1
Portal de Serviços (Remessa Digital) - 1
Portal de Serviços (Peticionamento Inicial) - 1
Conecta (Apoia) - 1
EM PROCESSO:
Aguarda o encaminhamento dos documentos dos projetos repriorizados.</t>
  </si>
  <si>
    <t>Data de término atualizada de 5/6/2025 para 29/10/2025</t>
  </si>
  <si>
    <t>Solicitada atualização do cockpit para o time alpha, tendo em vista o projeto ter ultrapassado a data prevista para término.</t>
  </si>
  <si>
    <t>ENTREGAS:
Recebimento de alguns arquivos da metodologia para os projetos que foram priorizados, sejam eles:.
Conecta (AKaIA) - Manual do Usuário , Manual de Operações e Guia FAQ 
Conecta (Apoia) - Manual do Usuário , Manual de Operações e Guia FAQ 
Conecta (Promptus) - Manual do Usuário , Manual de Operações e Guia FAQ 
SPVATJUD - Manual do Usuário , Manual de Operações , Guia FAQ e Plano de Comunicação .
Realziada reunião em 26/05/2025 com os magistrados para apresentar as dificuldades e necessidade de revisão do tratamento por exceção para os projetos que já estão em produção e não tiveram o phaseout 
realizado para o CNJ. Foi resultado dessa reunião que o projeto IA para Precedenres, dentro do projeto Gabinete do Juízo deve ser mantido como projeto encerrado, não havendo a necessidade de phaseout.
EM PROCESSO:
Aguardamos a entrega da documentação dos projetos que foram priorizados.
Aguarda o phaseout do projeto Gabinete do Juízo que englobará a funcionalidade de IA para Precedentes.</t>
  </si>
  <si>
    <t>Data de encerramento do projeto ainda não atualizada. Rachel mandou a seguinte mensagem no dia 28/5: "Oi Antonio! Terei reunião com o gerente amanhã sobre isso! (Está mesmo super atarasada essa atualização, sinto muito). Na 6a terei uma conversa com a DPJ para alinhar entendimentos. Imagino q teremos o cockpit atualizado na semana q vem!"
No dia 5/6, Daniel informou: "Boa tarde ANTONIO FERREIRA DE MELO FILHO,
semana passada tivemos uma reunião com o gerente e ele nos apresentou um novo cronograma.
Pedimos algumas alterações e tínhamos estipulado uma nova revisão ontem, porém o gerente entrou de licença médica.
Espero que nas próximas já tenhamos um novo cronograma publicado."</t>
  </si>
  <si>
    <t>Inclusão no portfólio - Percentual de execução da reunião semanal utilizado. Documento 2208804, última página.</t>
  </si>
  <si>
    <t>Inclusão no portfólio</t>
  </si>
  <si>
    <t>ENTREGAS:
Ofícios sobre natureza civil em processos de execução fiscal para 30 tribunais submetido no SEI para despacho do Dr. João Thiago.
IA Precedentes – implementar um sistema de matching entre as referências extraídas e as bases oficiais do STF e STJ.
Aprimorar arquitetura de integração das pipelines no motor de ingestão do DL.
Refatoramento das pipelines endereço, oab, tipo pessoa, sexo, movimentos.
Apresentação sobre fluxo investigatório, conhecimento e execução de ações penais para equipe API Pessoas.
Sprint 12 Review
Sprint 13 Planning
EM PROCESSO:
Preparação de ofícios para criação de processos no SEI: justiça especial.
Elaborar relatório executivo sobre achados relacionados a sobrestamento.
Escalonar para todos os tribunais as pipelines em execução no orquestrador (DevOps).
Criação de ambiente STG 2 buscando solucionar a instabilidade do STG atual. Manter o STG atual como laboratório para identificar a causa-raiz do problema (DevOps).
Revisão do dicionário de dados da API Datalake.
Busca ativa de potenciais anomalias.
Desenvolvimento do monitoramento das esteiras natureza e endereço.
Análise exploratória sobre evolução de classe de inquérito policial a ação penal
Fontes de dados ouro de petições iniciais e sentenças e validação amostral dos rótulos STF/STJ.</t>
  </si>
  <si>
    <t>Data de término atualizada de 2/3/2026 para 37/3/2026</t>
  </si>
  <si>
    <t>Data de término alterada de 3/6/2025 para 29/9/2025. A Polícia Federal já com acesso aos dados do Poder Judiciário e o CNJ está recebendo as informações da FAC Nacional em PDF. Todavia, ainda é necessário finalizar o serviço de notificações para a Polícia Federal e o recebimento, pelo poder judiciário, dos dados da FAC Nacional no formato estruturado.</t>
  </si>
  <si>
    <t>Foi solicitado à equipe alpha a atualização das datas do cockpit. Observamos que o cronograma vai apenas até dezembro de 2024, não havendo novas datas para as atividades que ainda não foram finalizadas.</t>
  </si>
  <si>
    <t>Em reunião no dia 5/6, fomos informados de que o projeto foi cancelado. TEP encaminhado via documento 2177973.</t>
  </si>
  <si>
    <t>Data de encerramento atualizada, de 31/5/2025 para 30/6/2025. A atividade pendente de conclusão é o phase-out.</t>
  </si>
  <si>
    <t>Data final do projeto modificada de 30/5/2025 para 28/7/2025</t>
  </si>
  <si>
    <t>ENTREGAS:
Ajuste no cronograma, postergando o webinar com os tribunais para set/out de 2025.
SG enviar 30 ofícios sobre anomalia na natureza (SEI 08485/2025).
Implementar função de validação bCPF/bCNPJ nas pipelines no. documento e endereço.
Relatório sobre classes inconsistentes, oriundas do EPROC, por falha no mapeamento interno entre sistema processual e TPU de classes.
Refatorar pipeline de petição inicial e sentenças.
Ampliação de relatório de anomalia em processos sobre crime de preconceito racial.
EM PROCESSO:
Busca ativa de anomalias pelas associadas de direito.
Dr. JT aprovar os modelos de minuta sobre anomalia de tipo de Justiça.
Preparação de minuta de ofício sobre classes inconsistentes no EPROC.
Análise exploratória sobre evolução de classe de inquérito policial a ação penal.
PoC API OAB.
Implementar uso da API OAB na pipeline OAB.
PoC melhoria de performance das pipelines e do Prefect.
Ajustar regras da pipeline sexo.
Desenvolver monitoramento das pipelines petição inicial e sentença, classe).
Adaptar pipeline sexo para inclusão no motor de qualificação de dados dentro do ecossistema de ingestão do DL.</t>
  </si>
  <si>
    <t>ENTREGAS:
Atendimento no periodo de 884 tarefas pelo time de apoio no suporte N2 (criadas 847 no periodo);
Realiazada reunião para repriorização dos projetos a serem embarcados e posteriormente repassado para o CNJ, seguindo a metodologia de Phaseout. Segue a lista priorizada:
AnacJud - 1
Portal de Serviços (Peticionamento Intercorrente) - 1
Portal de Serviços (Envio de Ofícios) - 1
Portal de Serviços (Declínio Competências) - 1
Portal de Serviços (Remessa Digital) - 1
EM PROCESSO:
Tarefas pendentes em atendimento com time de apoio N2 em 24/06 - 125 tarefas.
SPVATJUD - Manual do Usuário , Manual de Operações , Guia FAQ e Plano de Comunicação (Artefatos validados pelo DTI). Agendada a reunião para 26/06/2025 com a DTI para o phase-out do projeto.
Conecta (Apoia) - Manual do Usuário , Manual de Operações e Guia FAQ (artefatos em validação com a DTI).
Conecta (Promptus) - Manual do Usuário , Manual de Operações e Guia FAQ (Artefatos validados pelo DTI). Realizada reunião em 16/06/2025 com a DTI para o phase-out do projeto.
ANACJud - Análise da documentação de phase-out disponibilizada pelo GP em 24/06/25;</t>
  </si>
  <si>
    <t>ENTREGAS:
Articulação para validação pelo DTI (Rodolfo) de alguns arquivos da metodologia para os projetos que foram priorizados, sejam eles:.
Conecta (DiKaIA) - Manual do Usuário , Manual de Operações e Guia FAQ (artefatos em ajustes pelo GP);
Conecta (Apoia) - Manual do Usuário , Manual de Operações e Guia FAQ (artefatos em validação com a DTI);
Conecta (Promptus) - Manual do Usuário , Manual de Operações, Plano de Contingência, Relatório de Migração, Relatório Teste de Capacidade e Guia FAQ (Artefatos validados pelo DTI);
 - Realizada 1ª reunião de phase-out do SPVATJUD em 16/06/25;
SPVATJUD - Manual do Usuário , Manual de Operações , Guia FAQ e Plano de Comunicação (Artefatos validados pelo DTI);
 -1ª reunião de phase-out do SPVATJUD agendada para 26/06/25 junto ao DTI;
ANACJUD - Realizada em 25/06 reunião de alinhamento e tratativas sobre a metodologia/documentação de phase-out com o gerente do projeto; 
EM PROCESSO:
Aguardando a entrega da documentação dos projetos que foram priorizados.
Agendas individuais com os GPs para tratar do processo de Phase-Out;
Ciclo de Monitoramento junto aos Tribunais no Integra, considerando a Portaria Presidência nº 166, de 30 de maio de 2025, do Conselho Nacional de Justiça (CNJ).
Aguarda o phaseout do projeto Gabinete do Juízo que englobará a funcionalidade de IA para Precedentes.</t>
  </si>
  <si>
    <t>Data atualizada de 29/3/2025 para 20/12/2025. Já há um novo PGP em análise formalizando a prorrogração do prazo do projeto</t>
  </si>
  <si>
    <t>Não houve atualização da data de término do projeto</t>
  </si>
  <si>
    <t>Data alterada de 24/7/2025 para 17/10/2025, conforme E-mail Alteração de Cronograma do Projeto (2244743).
Essa prorrogação foi necessária para permitir ao projeto maior margem de execução frente ao
volume de atividades pendentes e à criticidade das entregas. Destacam-se entre elas:
A integração com o DataLake, que permitirá ao SNGB consumir informações processuais com
maior fluidez e segurança;
O desenvolvimento da integração assíncrona para recebimento de dados de bens apreendidos,
oriundos de tribunais e órgãos externos, especialmente polícias estaduais e federal.
Melhorias da funcionalidade de relatórios, adequando o cruzamento de dados de bens
apreendidos aos novos status de bens criados dentro do novo contexto de cadastro de bens
por apreensão.</t>
  </si>
  <si>
    <t>Não foi definida uma nova data no cockpit.</t>
  </si>
  <si>
    <t>Cadastrado após aprovação</t>
  </si>
  <si>
    <t>a equipe da UFPE finalizou a meta 22 e o prazo da meta 23 foi ajustado para julho, pois a meta 24 foi antecipada de julho/25 para abril/25, por uma questão de prioridade de Dr. João Thiago.</t>
  </si>
  <si>
    <t>Medição retirada diretamente do PWA.</t>
  </si>
  <si>
    <t>O percentual de progresso do projeto recuou de  87% para 83%. A diminuição do percentual de progresso não se deve a problemas no projeto, mas à inclusão, no cronograma, de visitas a mais três estados, os quais ainda nãos estavam planejados na medição anterior.</t>
  </si>
  <si>
    <t>Data de término alterada do dia 27/8/2025 para 5/9/2025. A mudança da data de término se deu pela marcação de encontro nacional do programa "Novos Caminhos", que ocorrerá nos dia 4 e 5 de setembro.</t>
  </si>
  <si>
    <t xml:space="preserve">Com o acréscimo da Calloff-11, a previsão para entrega da solução passou do dia 25 de julho para 26 de setembro de 2025. </t>
  </si>
  <si>
    <t xml:space="preserve">O grande avanço em relação à medição anterior deve-se à exclusão do Encontro Nacional dos Juízes do Júri e da revisão, pela Secretaria de Comunicação Social, do relatório de entregas. Com isso, a execução do projeto encontra-se adiantada em relação ao que foi previsto para o período, mantendo a previsão para a conclusão das atividades previstas para esta gestão em 28 de setembro de 2025. </t>
  </si>
  <si>
    <t xml:space="preserve"> ENTREGAS:
Realizadas reuniões de apresentação da metodologia de phase-out e documentação necessária para elaboração pelos times para os seguintes projetos:- JUS.BR - 30/06/2025;- SISPREQ - 02/07/2025;- FNA-exec - 02/07/2025;- API Pessoas - 02/07/2025;- Módulo Sessão de Julgamento - 03/07/2025;- Gestão de Clientes - 03/07/2025;- Conecta - 11/07/2025;- SisperJud - 16/07/2025;- Domicilio Judicial Eletrônico - 16/07/2025;- SNGB - 17/07/2025;- SNIPER DC - 18/07/2025;
 Análise e validação (completa ou parcial) pela equipe de phase-out da documentação dos projetos relacionados abaixo:- ANACJUD;- Conecta APOIA;- Conecta Bastião;
 Outras atividades/entregas:
 - Articulação para validação pelo DTI (Rodolfo) de documentação da metodologia de phase-out para os projetos;-  Integra - Acompanhamento do novo ciclo de monitoramento junto aos Tribunais em 10/06/2025, considerando a Portaria Presidência nº 166, de 30 de maio de 2025, do Conselho Nacional de Justiça (CNJ). O Time 
de phase-out também presta atendimento via e-mail às dúvidas dos Tribunais participantes.- Elaboração de relatórios de status das integrações à PDPJ / Portal de Serviços aos magistrados
EM PROCESSO:
Aguardando a entrega da documentação dos projetos que foram priorizados para validação;
 Agendas individuais com os GPs para tratar do processo de Phase-Out;
 Acompanhamento e orientações aos times dos projetos em relação ao processo de phase-out;
 Ciclo de Monitoramento junto aos Tribunais no Integra, considerando a Portaria Presidência nº 166, de 30 de maio de 2025, do Conselho Nacional de Justiça (CNJ).</t>
  </si>
  <si>
    <t xml:space="preserve"> ENTREGAS:
 Atendimento no periodo de 868 tarefas pelo time de apoio no suporte N2 (criadas 860 tarefas no periodo);
 Realização de reuniões diárias com suporte N1, N3, usuários e outros para apoio e direcionamentos;
 Apoio na implementação do Painel de BI do GLPI;
 Estudo das filas de atendimento N2 para otimização do fluxo de trabalho;
 Apoio aos tribunais para integrações à PDPJ.
 EM PROCESSO:
Tarefas pendentes em atendimento com time de apoio N2 em 27/07 - 120 tarefas.
 Levantamento do status da documentação de soluções já em produção visando otimizar o fluxo no atendimento pelo suporte N1, N2 e N3;
 Reestruturação das filas de atendimento N2 no GLPI;</t>
  </si>
  <si>
    <t>Informações retiradas da apresentação semanal do PNUD para os magistrados. Documento 2279121</t>
  </si>
  <si>
    <t xml:space="preserve"> ENTREGAS:
 Validação de dataset ouro de petições iniciais – Etapa 1.
 Deployment do motor de qualificação no ambiente STG.
 Otimização das pipelines para funcionamento com 95 tribunais (Outros Nomes, Movimentos, Assuntos, tipo de pessoa, endereço, classe).
 Desenvolver pipeline de monitoramento [Petição inicial e sentença].
 Treinamento de primeira versão de modelo de identificação de Petição Inicial
 Otimização das função de importação, exportação e atualização do catálogo
 Desenvolver tasks e flows para pipeline [Órgão Julgador Local].
 EM PROCESSO:
Dr. JT aprovar os modelos de minuta sobre anomalia de tipo de Justiça e despacho minutas sobre movimentos com ID errados no EPROC.
 Validação de dataset ouro de petições iniciais – Etapa 2
 Criar novo ambiente para teste do Prefect na versão 3.4.7.
 Criação de change logs das pipelines
 Análise exploratória nome das partes
 Suporte time Conecta (férias da Gisela)</t>
  </si>
  <si>
    <t>Data atualizada de 20/6/2025 para 20/12/2025</t>
  </si>
  <si>
    <t>Data de término atualizada de 3/7/2025 para 19/12/2025</t>
  </si>
  <si>
    <t>Data atualizada de 29/10/2025 para 19/12/2025. A etapa de phase-out sofreu maior detalhamento.</t>
  </si>
  <si>
    <t>O percentual reduziu de 75% na última medição para 50%.</t>
  </si>
  <si>
    <t>Relatório final 80% concluído. Data final não alterada.</t>
  </si>
  <si>
    <t>Novo PGP em elaboração para inclusão de novo PGP e pilotos</t>
  </si>
  <si>
    <t>Data de término atualizada de 31/7/2025 para 31/12/2025</t>
  </si>
  <si>
    <t>Cadastro do projeto após aprovação.</t>
  </si>
  <si>
    <t xml:space="preserve">12/08/24 - 19/08/24
 ENTREGAS:
 ENCERRAMENTO DOS EPICOS:  
 •P48 - Integração com Datajud 
 •P45 - Melhorias de Segurança  
 •P44 - Integração do Portal de Serviço 
 •P34 – Latência 
 •P41 - Manutenção/Correção de Bugs 
 •P21 - Esta s ca e Monitoramento 
 •P23 – Observabilidade 
 •P42 - Indicadores 
EM PROCESSO:
Estamos atuando em   tarefas em progresso 
Documentação  
Documentação das APIs - CODEX 
Refinamento dos CARDS para a Sprint 62 
Baseline 
Issues Baseline - </t>
  </si>
  <si>
    <t>Documento 2285855</t>
  </si>
  <si>
    <t>Projeto formalizado já concluído, conforme indicado no parecer 2283891</t>
  </si>
  <si>
    <t>Percentual de progresso previsto diminuiu devido à mudança da medição do cockpit para o pwa</t>
  </si>
  <si>
    <t>Os percentuais previsto e executado do projeto são menores do que os da última medição devido à mudança da medição do cockpit para o pwa</t>
  </si>
  <si>
    <t>percentuais de progresso previsto e executado menores do que os da última medição devido à mudança do acompanhamento via cockpit para pwa</t>
  </si>
  <si>
    <t>Data de  término atualizada de 17/12/2025 para 30/12/2025. O percentual reduziu devido à mudança da medição do percentual de execução diretamente no pwa.</t>
  </si>
  <si>
    <t>Data de término do projeto atualizada de 31/5/2025 para 15/12/2025. A mudança no cronograma e migração do acompanhamento do cockpit para o pwa resultaram na diminuição dos percentuais de progresso previsto e executado.</t>
  </si>
  <si>
    <t>Data de término atualizada de 31/7/2025 para 30/6/2026. A atualização do cronograma e mudança do acompanhamento do cockpit para o pwa resultaram na diminuição dos percentuais de progresso previsto e realizado</t>
  </si>
  <si>
    <t>Data de término atualizada de 31/7/2025 para 31/3/2026. A mudança no cronograma e a mudança do acompanhamento do cockpit para o pwa resultaram na diminuição do percentual de progresso previsto e executado.</t>
  </si>
  <si>
    <t>Mudança do acompanhamento do cockpit para o pwa ocasionou a redução dos percentuais previsto e executado em comparação com a medição do mês anterior.</t>
  </si>
  <si>
    <t>Data de término atualizada de 19/12/2025 para 29/12/2025</t>
  </si>
  <si>
    <t>Data de  término atualizada de 31/12/2025 para 10/12/2026. O percentual reduziu devido à mudança da medição do percentual de execução diretamente no pwa e à inclusão de mais um ano ao cronograma do projeto</t>
  </si>
  <si>
    <t>Data de término atualizada de 20/12/2025 para 19/6/2026. O percentual previsto diminuiu devido à mudança no cronograma e do cockpit para o pwa.</t>
  </si>
  <si>
    <t>Data de término atualizada de 30/7/2025 para 31/12/2026. A mudança do cronograma e da medição do cockpit para o pwa acarretou na diminuição dos percentuais de progresso previsto e executado</t>
  </si>
  <si>
    <t>Data de término atualizada do dia 26/9/2025 para 10/10/2025. Com a atualização da data e mudança do acompanhamento do cockpit para o pwa, o percentual do progresso previsto diminuiu.</t>
  </si>
  <si>
    <t>Data de término atualizada de 31/7/2025 para 17/10/2025. Com a atualização do cronograma e a mudança do monitoramento do cockpit para o pwa, os percentuais de progresso previsto e executados foram reduzidos.</t>
  </si>
  <si>
    <t>Data de término atualizada de 31/7/2025 para 31/12/2026. Com a mudança do cronograma e do acompanhamento do cockpit para o pwa, os percentuais de progresso previsto e executado foram reduzidos</t>
  </si>
  <si>
    <t>A mudança do acompanhamento do cockpit para o pwa reduziu o percentual de execução previsto para o período em comparação à medição anterior.</t>
  </si>
  <si>
    <t>Data de encerramento atualizada, de 30/6/2025 para 30/8/2025. A mudança da data de término e mudança do acompanhamento do cockpit para o pwa diminuiram os percentuais previstos e executados.</t>
  </si>
  <si>
    <t>Os percentuais de progresso previsto e executado diminuíram em comparação com a medição anterior devido à mudança do acompanhamento pelo cockpit para o pwa.</t>
  </si>
  <si>
    <t>Os percentuais previsto e executado diminuíram em comparação com a medição anterior devido à mudança do acompanhamento do cockpit para o pwa.</t>
  </si>
  <si>
    <t>A mudança do acompanhamento do cockpit para o pwa resultou na diminuição dos percentuais de progresso previsto e executado.</t>
  </si>
  <si>
    <t>A mudança do acompanhamento do cockpit para o pwa resultou na diminuição do percentual previsto em comparação com a medição anterior.</t>
  </si>
  <si>
    <t>Data atualizada de 31/12/2026 para 1/6/2026.</t>
  </si>
  <si>
    <t>TEP formalizado no dia 26/8/2025 por meio do documento 2300117</t>
  </si>
  <si>
    <t>Lançamento não ocorreu em junho de 2025, tendo sido reprogramado para 2 de dezembro de 2025, durante o encontro nacional. Com isso, a data prevista para o término do projeto passou do dia 29/9/2025 para 2/12/2025.</t>
  </si>
  <si>
    <t>A diminuição do percentual de execução do projeto se deve à migração do acompanhamento do cockpit para o project, que calcula os pesos das atividades de forma diferente.</t>
  </si>
  <si>
    <t>Projeto dado como finalizado parcialmente. O resto do escopo será concluído no projeto "API de Pessoas", em execução no programa justiça 4.0. Necessário que o TEP deste projeto tenha essa informação.</t>
  </si>
  <si>
    <t>Pendente apenas o TEP</t>
  </si>
  <si>
    <t>Cadastro no portfólio e primeiro cockpit</t>
  </si>
  <si>
    <t>TEP recebido.</t>
  </si>
  <si>
    <t>Até o momento, foram visitados 12 dos 27 estados e capacitadas 2.648 pessoas. O projeto ficará em pausa até a definição sobre a recondução da Conselheira Daiane Nogueira de Lira. Tendo-se acordado entrar em contato novamente em abril de 2026, a data de término do projeto foi prorrogada para 30 de abril de 2026</t>
  </si>
  <si>
    <t>Data de término atualizada de 30/9/2025 para 15/12/2025</t>
  </si>
  <si>
    <t>Cadastro no portfólio</t>
  </si>
  <si>
    <t>42,5%</t>
  </si>
  <si>
    <t>Finalização do projeto, nos termos da informação 2357739</t>
  </si>
  <si>
    <t>Conforme informação 2391293:
Durante reunião realizada em 29 de outubro, foi informado que o projeto precisará passar por grande reestruturação, em razão da Emenda Constitucional nº 136/2025, que alterou as regras de atualização dos valores monetários. Essa mudança impactou diretamente a lógica do sistema, exigindo ajustes significativos.
Além disso, houve descontinuidade do piloto de cadastramento no TJAP, em virtude da mudança de desembargador responsável, e alguns tribunais manifestaram a decisão de não adotar o Sispreq, o que compromete o atingimento da meta de 100% do Benefício 1.
Por esses motivos o projeto está atrasado e o cronograma foi revisto, com extensão até março de 2026.</t>
  </si>
  <si>
    <t>Data de término atualizada de 10/10/2025 para 6/2/2026</t>
  </si>
  <si>
    <t>Data de término atualizada de 17/10/2025 para 31/12/2025.
Foram incluídos no cronograma as entregas 12. Diagnóstico técnico e Planejamento das Ações de Melhoria, e 13. Aprimoramento da Eficiência, Estabilidade e Funcionalidades, ambas começando em 1/8/2025 e terminando em 31/12/2026.</t>
  </si>
  <si>
    <t>Conforme documento 2389645, o projeto foi estendido de 31/12/2025 para junho/2026</t>
  </si>
  <si>
    <t>Data de término atualizada de 31/12/2025 para 31/12/2026.</t>
  </si>
  <si>
    <t>Data de término modificada de 15/12/2025 para 2/3/2026</t>
  </si>
  <si>
    <t>Data de término modificada de 5/6/2026 para 6/10/2026</t>
  </si>
  <si>
    <t>A previsão para conclusão do projeto foi alterada de dezembro de 2025 para 30 de julho de 2026. A mudança na duração do projeto já era esperada, uma vez que, na medição anterior, o projeto não havia iniciado o planejamento do trabalho necessário para a sua sexta etapa, disponibilizar as informações coletadas nos cumprdecs.</t>
  </si>
  <si>
    <t>Projeto finalizado por meio do Relatório TEP (2437046)</t>
  </si>
  <si>
    <t xml:space="preserve">O projeto foi encerrado formalmente antes do horizonte inicialmente previsto de 2 anos, para viabilizar o lançamento e a migração ordenada à 3ª fase do Pacto, de escopo mais amplo e caráter continuado. A decisão evita sobreposição de frentes, alinha recursos e preserva o que já foi entregue, mantendo a coerência com o caráter de política pública judiciária que o Pacto passou a representar. Conclui-se que o projeto alcançou, de forma substancial, o benefício estruturante definido no TAP, com índice de realização de 81%, evidenciando a efetividade das ações empreendidas. </t>
  </si>
  <si>
    <t>Em conversa com a Dani no dia 14/1, fui informado de que o projeto foi concluído com sucesso no dia 18/12. Combinei com ela que o projeto seria finalizado na nossa base, mas ficamos no aguardo do TEP.</t>
  </si>
  <si>
    <t>Medição duplicada para constar no portfólio de 2025</t>
  </si>
  <si>
    <t>Medição duplicada para inserir os dados no portfólio de 2025 e incluir os dados da medição do documento 2389513</t>
  </si>
  <si>
    <t>Cadastro do projeto e primeira medição</t>
  </si>
  <si>
    <t>Cadastro do projeto e inclusão da primeira medição.</t>
  </si>
  <si>
    <t xml:space="preserve">Data de término atualizada de 30/7/2025 para 31/8/2026. O percentual de progresso diminuiu desde a última medição devido ao acréscimo no escopo do projeto resultante da última prorrogação do projeto. Está sendo elaborado PGP para o projeto para registrar as metas da nova etapa, que são:
Meta 1: Disponibilização do JuMP como serviço para integração e uso de outros sistemas;
Meta 2:  Aprimoramento da qualidade e conformidade processual;
Meta 3: Análise de atividades com inteligência artificial;
Meta 4: Extração e uso de dados de atividades dos sistemas judiciais;
Meta 5: Adaptação da análise e funcionalidades do JuMP para dados de atividades;
Meta 6: Análise de dados de atividades oriundas de sistemas judiciais não orientados a fluxo (eProc e ProJud);
Meta 7: Capacitação e instrumentalização
</t>
  </si>
  <si>
    <t>Medição duplicada apenas para incluir no portfólio de 2026</t>
  </si>
  <si>
    <t>Medição duplicada para inserir os dados no portfólio de 2026</t>
  </si>
  <si>
    <t>Data de término atualizada para 28/9/2026. Desde a última reunião, foram realizadas as seguintes entregas de valor:
- todos os estados assinaram o ACT;
- primeiro encontro nacional do programa realizado;
- publicado livro sobre o programa;
- marcado o segundo encontro nacional.</t>
  </si>
  <si>
    <t>dados da medição do documento 2389513</t>
  </si>
  <si>
    <t>Atualização da data de término de 31/12/2025 para 31/12/2026</t>
  </si>
  <si>
    <t>Data de término atualizada de 20/12/2025 para julho de 2026</t>
  </si>
  <si>
    <t>Medição duplicada para inclusão no portfólio de 2026</t>
  </si>
  <si>
    <t>Cadastro do projeto</t>
  </si>
  <si>
    <t>Cadastro do programa</t>
  </si>
  <si>
    <t>Percentual de progresso previsto diminuiu devido ao replanejamento do projeto.
Foram realizadas as seguintes entregas até o momento:
• Módulo em ambiente de produção - março de 2024 
• Lançamento Nacional do Gabinete em 25/03/2025 
• Módulo em ambiente de produção no TJAP – setembro de 2025 
• Realease 4 – fevereiro de 2026 
• Realese 5 
• Realese 6 
• Entrega do novo editor de texto Badon 
Para o próximo mês, estão previstas as seguintes entregas:
• Finalização do novo editor de texto 
• Variáveis e tópico síntese
No que diz respeito ao atraso, foram elencados dois pontos de atenção:
1- "Ciclo de desenvolvimento em velocidade menor do que o esperado. Estamos ajustando internamente para liberarmos mais funcionalidades em menos tempo e dividindo mais as entregas para aumentar a velocidade adoção de sprints internas para melhor acompanhamento e divisão das entregas"
2- "O processo de implantação dentro dos Tribunais está mais lento do que o esperado e pode comprometer a meta de 7 Tribunais com o Módulo até o final do ano (risco baixo, dada a quantidade de Tribunais em Homologação no momento, mas vale o registro). Estamos implementando um processo de Governança (sugestão de nosso Tech Lead) em conjunto com o processos de Phase-Out para tentar acelerar essa questão"</t>
  </si>
  <si>
    <r>
      <t xml:space="preserve">Data de término atualizada para 31/12/2026
</t>
    </r>
    <r>
      <rPr>
        <b/>
        <sz val="11"/>
        <color theme="1"/>
        <rFont val="Calibri"/>
        <family val="2"/>
        <scheme val="minor"/>
      </rPr>
      <t>Atividades realizadas</t>
    </r>
    <r>
      <rPr>
        <sz val="11"/>
        <color theme="1"/>
        <rFont val="Calibri"/>
        <family val="2"/>
        <scheme val="minor"/>
      </rPr>
      <t xml:space="preserve">
* Painel Publicado em PROD no dia 20/01 com dados de DEZ/25;
* O processamento dos testes dinâmicos está com lentidão, otimizada nos processos e alterado de .csv para 
.parquet, o que refletiu num ganho de tempo de processamento e resposta para o time negocial;
* Houve uma nova extração da tabela com correção na aba de assuntos, erros corrigidos pelo DPJ/CNJ e publicado pela equipe em Produção novamente;
* Respostas as demandas negociais recebidas pela equipe e pelo DPJ/CNJ;
</t>
    </r>
    <r>
      <rPr>
        <b/>
        <sz val="11"/>
        <color theme="1"/>
        <rFont val="Calibri"/>
        <family val="2"/>
        <scheme val="minor"/>
      </rPr>
      <t>Atividades em andamento:</t>
    </r>
    <r>
      <rPr>
        <sz val="11"/>
        <color theme="1"/>
        <rFont val="Calibri"/>
        <family val="2"/>
        <scheme val="minor"/>
      </rPr>
      <t xml:space="preserve">
* Seguem as indexações dos dados de JAN/25 acompanhamento pela equipe Elastice monitoramento em tempo real pelos painéis internos de indexação e processamento;
* Recebimento do TJSP, priorização com mais de 8 milhões de protocolos ao longo do fim de semana;
* Estudo para melhoria do Processamento do Painel de Estatísticas e dos Testes novos testes no Power_automatee sua funcionalidade de fazer downloads do PBI, testes na velocidade;
</t>
    </r>
    <r>
      <rPr>
        <b/>
        <sz val="11"/>
        <color theme="1"/>
        <rFont val="Calibri"/>
        <family val="2"/>
        <scheme val="minor"/>
      </rPr>
      <t>Outros painéis derivados do Painel de Estatística:</t>
    </r>
    <r>
      <rPr>
        <sz val="11"/>
        <color theme="1"/>
        <rFont val="Calibri"/>
        <family val="2"/>
        <scheme val="minor"/>
      </rPr>
      <t xml:space="preserve">
* Cacol- Publicado em PROD 04/02;
* METAS 2025 - Atualizado em PRD com dados de dezembro/25 no dia 21/01 sem atualização na semana;
* Violência contra a Mulher - Publicado em PROD novamente no dia 28/01 sem atualização ao longo da semana.</t>
    </r>
  </si>
  <si>
    <r>
      <rPr>
        <b/>
        <sz val="11"/>
        <color theme="1"/>
        <rFont val="Calibri"/>
        <family val="2"/>
        <scheme val="minor"/>
      </rPr>
      <t>Processo de phaseout:</t>
    </r>
    <r>
      <rPr>
        <sz val="11"/>
        <color theme="1"/>
        <rFont val="Calibri"/>
        <family val="2"/>
        <scheme val="minor"/>
      </rPr>
      <t xml:space="preserve">
* Vídeos institucionaisenviados para Angela
* Deverá chegar mais 1Dev da Basis para sustentação
* KT de repasse técnico agendado para sexta dia 20/02
</t>
    </r>
    <r>
      <rPr>
        <b/>
        <sz val="11"/>
        <color theme="1"/>
        <rFont val="Calibri"/>
        <family val="2"/>
        <scheme val="minor"/>
      </rPr>
      <t>Transição CNJ/DTI:</t>
    </r>
    <r>
      <rPr>
        <sz val="11"/>
        <color theme="1"/>
        <rFont val="Calibri"/>
        <family val="2"/>
        <scheme val="minor"/>
      </rPr>
      <t xml:space="preserve">
Previsto</t>
    </r>
  </si>
  <si>
    <r>
      <rPr>
        <b/>
        <sz val="11"/>
        <color theme="1"/>
        <rFont val="Calibri"/>
        <family val="2"/>
        <scheme val="minor"/>
      </rPr>
      <t>Pontos de Atenção:</t>
    </r>
    <r>
      <rPr>
        <sz val="11"/>
        <color theme="1"/>
        <rFont val="Calibri"/>
        <family val="2"/>
        <scheme val="minor"/>
      </rPr>
      <t xml:space="preserve">
* Comunicação, divulgação, governança e visibilidade do projeto.
</t>
    </r>
    <r>
      <rPr>
        <b/>
        <sz val="11"/>
        <color theme="1"/>
        <rFont val="Calibri"/>
        <family val="2"/>
        <scheme val="minor"/>
      </rPr>
      <t>Solicitações (PNUD ou CNJ):</t>
    </r>
    <r>
      <rPr>
        <sz val="11"/>
        <color theme="1"/>
        <rFont val="Calibri"/>
        <family val="2"/>
        <scheme val="minor"/>
      </rPr>
      <t xml:space="preserve">
* Edital de publicação de captação de novos projetos (em aprovação);
* Fluxos do processo do Conecta;
* Festlabsd regionais.</t>
    </r>
  </si>
  <si>
    <r>
      <rPr>
        <b/>
        <sz val="11"/>
        <color theme="1"/>
        <rFont val="Calibri"/>
        <family val="2"/>
        <scheme val="minor"/>
      </rPr>
      <t>Entregas Realizadas:</t>
    </r>
    <r>
      <rPr>
        <sz val="11"/>
        <color theme="1"/>
        <rFont val="Calibri"/>
        <family val="2"/>
        <scheme val="minor"/>
      </rPr>
      <t xml:space="preserve">
• Evolução do Assinador com melhorias funcionais implementadas. 
• Avanço nas funcionalidades de Precatório com valor incontroverso. 
• Implementação inicial das adequações previstas na Emenda Constitucional nº 136/2025. 
• Progresso significativo na Gestão de Listas de Precatórios (Importação Simplificada). 
• Conclusão de sprints planejadas, resultando em progresso acumulado de aproximadamente 89%. 
</t>
    </r>
    <r>
      <rPr>
        <b/>
        <sz val="11"/>
        <color theme="1"/>
        <rFont val="Calibri"/>
        <family val="2"/>
        <scheme val="minor"/>
      </rPr>
      <t>Entregas planejadas para o próximo mês:</t>
    </r>
    <r>
      <rPr>
        <sz val="11"/>
        <color theme="1"/>
        <rFont val="Calibri"/>
        <family val="2"/>
        <scheme val="minor"/>
      </rPr>
      <t xml:space="preserve">
• Conclusão das evoluções pendentes do Assinador. 
• Finalização das funcionalidades de Precatório complementar ou suplementar abaixo do teto do RPV. 
• Avanço na Gestão de Listas de Precatórios, com consolidação da Importação Simplificada. 
• Ajustes no plano de capacitação e atualização do Manual do Usuário. 
• Suporte à entrada de novos tribunais no sistema. 
</t>
    </r>
    <r>
      <rPr>
        <b/>
        <sz val="11"/>
        <color theme="1"/>
        <rFont val="Calibri"/>
        <family val="2"/>
        <scheme val="minor"/>
      </rPr>
      <t>Fatos relevantes a registrar:</t>
    </r>
    <r>
      <rPr>
        <sz val="11"/>
        <color theme="1"/>
        <rFont val="Calibri"/>
        <family val="2"/>
        <scheme val="minor"/>
      </rPr>
      <t xml:space="preserve">
• Projeto executado com equipe reduzida (½ squad), com estimativas de esforço já apresentadas à gestão. 
• Planejamento estratégico em andamento com foco nas equipes do TJSP e TJPR. 
• Risco de transbordo considerado não aplicável no período. 
• Projeto segue alinhado à Resolução CNJ nº 303/2019, com controle de cronograma e escopo. </t>
    </r>
  </si>
  <si>
    <r>
      <rPr>
        <b/>
        <sz val="11"/>
        <color theme="1"/>
        <rFont val="Calibri"/>
        <family val="2"/>
        <scheme val="minor"/>
      </rPr>
      <t xml:space="preserve">Pontos de atenção
Processo de phaseout:
</t>
    </r>
    <r>
      <rPr>
        <sz val="11"/>
        <color theme="1"/>
        <rFont val="Calibri"/>
        <family val="2"/>
        <scheme val="minor"/>
      </rPr>
      <t xml:space="preserve">* Manual de operação - dados inseridos pelos Devs
* Chegada na semana que vem de mais umr ecurso da BASIS
</t>
    </r>
    <r>
      <rPr>
        <b/>
        <sz val="11"/>
        <color theme="1"/>
        <rFont val="Calibri"/>
        <family val="2"/>
        <scheme val="minor"/>
      </rPr>
      <t>Transição CNJ/DTI:</t>
    </r>
    <r>
      <rPr>
        <sz val="11"/>
        <color theme="1"/>
        <rFont val="Calibri"/>
        <family val="2"/>
        <scheme val="minor"/>
      </rPr>
      <t xml:space="preserve">
*Ainda não iniciado</t>
    </r>
  </si>
  <si>
    <r>
      <t xml:space="preserve">Diminuição do percentual previsto se deve à atualização das atividades do projeto.
</t>
    </r>
    <r>
      <rPr>
        <b/>
        <sz val="11"/>
        <color theme="1"/>
        <rFont val="Calibri"/>
        <family val="2"/>
        <scheme val="minor"/>
      </rPr>
      <t xml:space="preserve">
Atividades realizadas</t>
    </r>
    <r>
      <rPr>
        <sz val="11"/>
        <color theme="1"/>
        <rFont val="Calibri"/>
        <family val="2"/>
        <scheme val="minor"/>
      </rPr>
      <t xml:space="preserve">
* Painel publicado em DEV com dados de DEZ/25;
</t>
    </r>
    <r>
      <rPr>
        <b/>
        <sz val="11"/>
        <color theme="1"/>
        <rFont val="Calibri"/>
        <family val="2"/>
        <scheme val="minor"/>
      </rPr>
      <t>Atividades planejadas</t>
    </r>
    <r>
      <rPr>
        <sz val="11"/>
        <color theme="1"/>
        <rFont val="Calibri"/>
        <family val="2"/>
        <scheme val="minor"/>
      </rPr>
      <t xml:space="preserve">
* Atualização em PROD dos dados de JAN/25;</t>
    </r>
  </si>
  <si>
    <r>
      <rPr>
        <b/>
        <sz val="11"/>
        <color theme="1"/>
        <rFont val="Calibri"/>
        <family val="2"/>
        <scheme val="minor"/>
      </rPr>
      <t>Entregas realizadas:</t>
    </r>
    <r>
      <rPr>
        <sz val="11"/>
        <color theme="1"/>
        <rFont val="Calibri"/>
        <family val="2"/>
        <scheme val="minor"/>
      </rPr>
      <t xml:space="preserve">
• Conclusão dos testes de integração com o RENAJUD com resultados positivos. 
• Definição pela remoção da exibição de contas inativas no SISBAJUD. 
• Alteração conceitual da nomenclatura de 'cancelar' para 'retirar a restrição' no RENAJUD. 
• Decisão de retirar a exibição do valor total do bloqueio no sistema. 
• Alinhamento para simplificação do formulário de bloqueio. 
</t>
    </r>
    <r>
      <rPr>
        <b/>
        <sz val="11"/>
        <color theme="1"/>
        <rFont val="Calibri"/>
        <family val="2"/>
        <scheme val="minor"/>
      </rPr>
      <t>Entregas planejadas para o próximo mês:</t>
    </r>
    <r>
      <rPr>
        <sz val="11"/>
        <color theme="1"/>
        <rFont val="Calibri"/>
        <family val="2"/>
        <scheme val="minor"/>
      </rPr>
      <t xml:space="preserve">
• Ajustes no fluxo e formulário de bloqueio para ganho de usabilidade. 
• Avaliação do uso de Token de Serviço para melhorar a integração. 
• Análise de exibição controlada do valor de execução no formulário. 
• Planejamento de melhoria futura para restrição de CNH. 
• Sistema de Notificação em homologação 
• Adaptação dos avisos de notificação para o atender demanda do sistema EFIN
</t>
    </r>
    <r>
      <rPr>
        <b/>
        <sz val="11"/>
        <color theme="1"/>
        <rFont val="Calibri"/>
        <family val="2"/>
        <scheme val="minor"/>
      </rPr>
      <t xml:space="preserve">Outros fatos relevantes a registrar: </t>
    </r>
    <r>
      <rPr>
        <sz val="11"/>
        <color theme="1"/>
        <rFont val="Calibri"/>
        <family val="2"/>
        <scheme val="minor"/>
      </rPr>
      <t xml:space="preserve">
• Discussão sobre modelo de bloqueio por parte ou por conta. 
• Avaliação de exibir apenas o número de instituições com contas encontradas. 
• Possível uso da API de pessoa do Data Lake para enriquecimento de dados. 
• Decisões orientadas por testes práticos com usuários finais. </t>
    </r>
  </si>
  <si>
    <r>
      <t xml:space="preserve">Houve mudança no gestor do projeto, o que acarretou na revisão do cronograma e atividades a serem realizadas. Essa revisão resultou no ajuste dos percentuais previstos e executados para melhor refletir o andamento do projeto em comparação com o que foi planejado.
</t>
    </r>
    <r>
      <rPr>
        <b/>
        <sz val="11"/>
        <color theme="1"/>
        <rFont val="Calibri"/>
        <family val="2"/>
        <scheme val="minor"/>
      </rPr>
      <t xml:space="preserve">Entregas realizadas </t>
    </r>
    <r>
      <rPr>
        <sz val="11"/>
        <color theme="1"/>
        <rFont val="Calibri"/>
        <family val="2"/>
        <scheme val="minor"/>
      </rPr>
      <t xml:space="preserve">
No período correspondente às sprints 34 e 35 foram concluídas entregas relevantes de melhoria 
funcional, correções e evolução das integrações do sistema EFIN. 
Destacam-se 
• Implementação de melhorias em validações, permissões e exibição de informações no sistema, com ajustes em paginação, filtros e tratamento de expiração de validações. 
• Evoluções no fluxo de certidões, incluindo: 
o Atualização de templates; 
o Inclusão de campos e informações relevantes na certidão de validação; 
o Ajustes no comportamento de envio e assinatura. 
• Implementação de melhorias de usabilidade e navegação nas telas de acompanhamento de casos. 
• Correções de inconsistências em funcionalidades críticas (filtros, timeout de sessão, tratamento de executados e criação de CDA). 
• Evolução das funcionalidades relacionadas ao fluxo de investigação e integração com o SNIPER (abertura de investigação e retorno de status). 
• Avanço da integração com o Portal de Serviços do Judiciário, com melhorias na comunicação de certidões e arquivos. 
• As sprints também consolidaram ajustes pós-testes e estabilização de funcionalidades já entregues em ciclos anteriores. 
</t>
    </r>
    <r>
      <rPr>
        <b/>
        <sz val="11"/>
        <color theme="1"/>
        <rFont val="Calibri"/>
        <family val="2"/>
        <scheme val="minor"/>
      </rPr>
      <t xml:space="preserve">Entregas planejadas para o próximo mês </t>
    </r>
    <r>
      <rPr>
        <sz val="11"/>
        <color theme="1"/>
        <rFont val="Calibri"/>
        <family val="2"/>
        <scheme val="minor"/>
      </rPr>
      <t xml:space="preserve">
Permanecerão em andamento em março: 
• Evolução do fluxo de investigação com SNIPER (backend e retorno de status). 
• Submissão e comunicação de certidões ao Portal de Serviços do Judiciário. 
• Funcionalidade de duplicação de CDA (em testes). 
• Padronização de identificadores e ajustes técnicos de integração. 
• Revisão do manual de operações e aprimoramentos de usabilidade. 
</t>
    </r>
    <r>
      <rPr>
        <b/>
        <sz val="11"/>
        <color theme="1"/>
        <rFont val="Calibri"/>
        <family val="2"/>
        <scheme val="minor"/>
      </rPr>
      <t xml:space="preserve">Outros fatos relevantes a registrar </t>
    </r>
    <r>
      <rPr>
        <sz val="11"/>
        <color theme="1"/>
        <rFont val="Calibri"/>
        <family val="2"/>
        <scheme val="minor"/>
      </rPr>
      <t xml:space="preserve">
• Agendamento de reunião de alinhamento para 26/02 envolvendo os mentores negociais dos time do EFIN e SNIPER. 
• Monitoramento contínuo das integrações críticas. Priorização de ajustes pós-teste e estabilização de funcionalidades. 
• Alinhamento com equipes técnicas e negociais para garantir a evolução das integrações externas. </t>
    </r>
  </si>
  <si>
    <r>
      <rPr>
        <b/>
        <sz val="11"/>
        <color theme="1"/>
        <rFont val="Calibri"/>
        <family val="2"/>
        <scheme val="minor"/>
      </rPr>
      <t xml:space="preserve">Entregas realizadas </t>
    </r>
    <r>
      <rPr>
        <sz val="11"/>
        <color theme="1"/>
        <rFont val="Calibri"/>
        <family val="2"/>
        <scheme val="minor"/>
      </rPr>
      <t xml:space="preserve">
▪ Fase: Planejamento 
• P1 – Elaboração Canvas  
• P2 -Planejamento do projeto 
• P3 - Elaboração Plano de Gestão do Projeto (PGP) 
▪ Fase: Execução 
• P1 Modelagem e criação do Banco de Dados de Precedentes / modelo de dados e endpoint para envio de precedentes 
• P2 - Criação da Pesquisa textual (Pangea) / consulta por parâmetros 
• P4 - Serviços de envio dos tipos processuais abrangidos no Art. 927 do CPC 
▪ Fase: Entrada em produção / P2 Confecção de artefatos prioritários: 
• 2.1 Manual do Usuário 
• 2.3 Guia de FAQ 
▪ Fase: Encerramento 
• P1 Documentação Final e phase out / 1.1 Reunião de alinhamento inicial - Equipe PhaseOut
</t>
    </r>
    <r>
      <rPr>
        <b/>
        <sz val="11"/>
        <color theme="1"/>
        <rFont val="Calibri"/>
        <family val="2"/>
        <scheme val="minor"/>
      </rPr>
      <t xml:space="preserve">Entregas planejadas para o próximo mês </t>
    </r>
    <r>
      <rPr>
        <sz val="11"/>
        <color theme="1"/>
        <rFont val="Calibri"/>
        <family val="2"/>
        <scheme val="minor"/>
      </rPr>
      <t xml:space="preserve">
▪ Fase: Execução  
• P3 - Integração com sistemas de processo eletrônico via base de dados de movimentação processual 
• P5 construção de interface para notas técnicas 
• P6 Identificação de processos relacionados a precedentes 
• P8 Cadastro de sobrestados por Controle concentrado 
• P13 Notificações ativas de andamentos e sugestões processuais 
▪ Fase: Entrada em produção: 
• P2 Confecção de artefatos prioritários / 2.2 Manual de Operação 
• P5 Checklis documentação Portal JusBr / 5.2 1ª validação equipe checkout 
</t>
    </r>
    <r>
      <rPr>
        <b/>
        <sz val="11"/>
        <color theme="1"/>
        <rFont val="Calibri"/>
        <family val="2"/>
        <scheme val="minor"/>
      </rPr>
      <t xml:space="preserve">Outros fatos relevantes a registrar </t>
    </r>
    <r>
      <rPr>
        <sz val="11"/>
        <color theme="1"/>
        <rFont val="Calibri"/>
        <family val="2"/>
        <scheme val="minor"/>
      </rPr>
      <t xml:space="preserve">
▪ Etapa Atual: Notificações ativas de andamentos. 
▪ Sprint 01 2026 – 02 a 17/02/26. 
▪ Release atual: BNP Api -1.9.2 / Pangea Api - v1.1.14 / Pangea Jobs -v1.0.11. 
▪ Relatório de Migração e Configurações em andamento. 
▪ Crescimento Vegetativo da Base - Carga BNP:  
• 9.222 precedente; 
• 4.005.315 sobrestado. 
▪ Projeto não teve reunião de Ponto de Controle no período. </t>
    </r>
  </si>
  <si>
    <r>
      <t xml:space="preserve">Entregas realizadas 
▪ Planejamento 
▪ PoC 
▪ Transição PoC para MVP 
▪ MVP 
Entregas planejadas para o próximo mês 
▪ ECOSSITEMA - Qualificação de Dados (QDD) 
▪ Encerramento 
</t>
    </r>
    <r>
      <rPr>
        <b/>
        <sz val="11"/>
        <color theme="1"/>
        <rFont val="Calibri"/>
        <family val="2"/>
        <scheme val="minor"/>
      </rPr>
      <t xml:space="preserve">Outros fatos relevantes a registrar </t>
    </r>
    <r>
      <rPr>
        <sz val="11"/>
        <color theme="1"/>
        <rFont val="Calibri"/>
        <family val="2"/>
        <scheme val="minor"/>
      </rPr>
      <t xml:space="preserve">
▪ Etapa atual: Ecossistema. 
▪ Sprint 25 – iniciada em 13/02/2026. 
▪ Confirmada a realização de Webinar sobre Qualificação de Dados para os tribunais. Sugestão dos magistrados é que seja realizado em agosto de 2026, conforme alinhamento ocorrido na reunião semanal de reporte do Programa Justiça 4.0. 
▪ Solicitação de cluster dedicado para o QDD – atualmente está compartilhando recursos com o Data Lake. 
▪ </t>
    </r>
    <r>
      <rPr>
        <b/>
        <sz val="11"/>
        <color theme="1"/>
        <rFont val="Calibri"/>
        <family val="2"/>
        <scheme val="minor"/>
      </rPr>
      <t>O “%Concluído: 90%” informado neste relatório não reflete a inclusão de escopo do Backlog</t>
    </r>
    <r>
      <rPr>
        <sz val="11"/>
        <color theme="1"/>
        <rFont val="Calibri"/>
        <family val="2"/>
        <scheme val="minor"/>
      </rPr>
      <t xml:space="preserve">, apresentado e aprovado pelo Dr. João Thiago Guerra, em 27/01/2026
▪ Nova previsão orçamentária, considerando a alocação do time do projeto até dezembro de 2026, a ser apresenta ao CNJ para análise e aprovação. 
</t>
    </r>
    <r>
      <rPr>
        <b/>
        <sz val="11"/>
        <color theme="1"/>
        <rFont val="Calibri"/>
        <family val="2"/>
        <scheme val="minor"/>
      </rPr>
      <t>▪ PGP em elaboração, espera-se que a apresentação ao ECP acontecerá em março de 2026.</t>
    </r>
  </si>
  <si>
    <r>
      <rPr>
        <b/>
        <sz val="11"/>
        <color theme="1"/>
        <rFont val="Calibri"/>
        <family val="2"/>
        <scheme val="minor"/>
      </rPr>
      <t>Entregas realizadas:</t>
    </r>
    <r>
      <rPr>
        <sz val="11"/>
        <color theme="1"/>
        <rFont val="Calibri"/>
        <family val="2"/>
        <scheme val="minor"/>
      </rPr>
      <t xml:space="preserve">
▪ Etapa 1 – Planejamento do projeto  
▪ Etapa 2 – Planejamento da Operação, Mapeamento e Capacitação / Criar as novas filas de atendimento conforme necessidade / Realizar a capacitação do time de suporte N2 
• Serviços Estruturantes 
• CODEX 
• Domicílio Judicial Eletrônico 
• SNGB 
• BNMP 
• SNA 
• INTEGRA 
• PREVJUD 
• SISPERJUD 
• SPVATJUD 
• Portal JUS.BR 
• Consulta Nacional de Pessoas (API Pessoas) 
• Gestão de Clientes 
▪ Etapa 3 -Triagem e atendimento técnico N2 / Realizar a atendimento dos chamados/tarefas Nivel 2: 
• Gestão de Clientes 
• Portal Jus.Br 
</t>
    </r>
    <r>
      <rPr>
        <b/>
        <sz val="11"/>
        <color theme="1"/>
        <rFont val="Calibri"/>
        <family val="2"/>
        <scheme val="minor"/>
      </rPr>
      <t xml:space="preserve">Entregas planejadas para o próximo mês: </t>
    </r>
    <r>
      <rPr>
        <sz val="11"/>
        <color theme="1"/>
        <rFont val="Calibri"/>
        <family val="2"/>
        <scheme val="minor"/>
      </rPr>
      <t xml:space="preserve">
(Atividades recorrentes / evolutivas) 
▪ Etapa 2 – Planejamento da Operação, Mapeamento e Capacitação:  
• Realizar o mapeamento dos sistemas legados sem fila de atendimento no GLPI ou filas sem atendimento 
• Reestruturar as filas de atendimento no GLPI conforme necessidade 
▪ Etapa 3 -Triagem e atendimento técnico N2  
• Realizar a triagem dos chamados/tarefas direcionados pelo N1 para atendimento 
• Realizar a atendimento dos chamados/tarefas Nivel 2 
▪ Etapa 4 – Escalação, Documentação e Comunicação 
▪ Etapa 5 – Apoio às soluções PDPJ e Monitoramento 
</t>
    </r>
    <r>
      <rPr>
        <b/>
        <sz val="11"/>
        <color theme="1"/>
        <rFont val="Calibri"/>
        <family val="2"/>
        <scheme val="minor"/>
      </rPr>
      <t>Outros fatos relevantes a registrar:</t>
    </r>
    <r>
      <rPr>
        <sz val="11"/>
        <color theme="1"/>
        <rFont val="Calibri"/>
        <family val="2"/>
        <scheme val="minor"/>
      </rPr>
      <t xml:space="preserve">
▪ Etapa atual: Atendimento N2 e Apoio técnico. 
▪ Iniciado atendimento N2 para fila SisPreq. Repasse de conhecimento para N1 e N2 a iniciar 
▪ Demanda / Indicadores N2 - Time de Apoio*: 
• 278 tarefas criadas de 05 a 11/02/2026; 
• 220 tarefas atendidas de 05 a 11/02/2026; 
• 81 tarefas pendentes em 11/02/2026. 
▪ Reportado aumento de chamados do BNMP, por não entendimento das regras de negócio/uso por parte dos usuários. Cenários de problemas dos chamados do BNMP reportados pela equipe: 
• Chamados reabertos porque solução encaminhada não atendeu a solicitação. 
• Chamado tem resposta, mas usuário não compreende o processo (não sabe usar o sistema). 
• Resposta do chamado contempla N1. 
• Chamado reaberto porque previsão de solução implantada não ocorre. 
• Chamado aberto porque o sistema permite realizar ações que compromete os status ou as peças já emitidas. 
• Usuário não procura o Administrador Regional para sanar dúvidas antes de abrir o chamado. 
▪ Elaborado relatório gráfico sobre chamados pendentes na fila Sniper BC N3.  
▪ Relatórios previstos para o próximo ciclo: 
• Relatório de Atendimento BNMP; 
• Relatório Gráfico Chamados X Problemas SNA, SNGB, CODEX – Base GLPI – último trimestre; 
• Relatórios atualizados sobre os chamados do BNMP e DJE (solicitação Ana Vitiello). </t>
    </r>
  </si>
  <si>
    <t>A redução do percentual previsto e executado do projeto se deve à redução do percentual executado nas atividades relativas à adequação da base DATAJUD ao Sistema SEEU e mudança da data prevista para finalização do projeto do dia 30/6/2026 para 31/12/2026</t>
  </si>
  <si>
    <r>
      <t xml:space="preserve">Processo de phaseout:
*Revisão de dimensionamento da equipe pós-phaseout,com base no backlog remanescente
*Manual de usuário, Manual de Operação do Sistema, Formulário de Gestão Negocial e FAQ em revisão
*N1, N2 e N3 completamente estruturadas e fluxo de informações estabelecido
*Apenas 1 dev da Basis em processo de repasse de conhecimento
*Documentação de Backlog em desenvolvimento
</t>
    </r>
    <r>
      <rPr>
        <b/>
        <sz val="11"/>
        <color theme="1"/>
        <rFont val="Calibri"/>
        <family val="2"/>
        <scheme val="minor"/>
      </rPr>
      <t>TransiçãoCNJ/DTI:</t>
    </r>
    <r>
      <rPr>
        <sz val="11"/>
        <color theme="1"/>
        <rFont val="Calibri"/>
        <family val="2"/>
        <scheme val="minor"/>
      </rPr>
      <t xml:space="preserve">
*Dimensionamento CNJ em revisão. Necessidade de alinhamento de expectativas pós phaseout</t>
    </r>
  </si>
  <si>
    <r>
      <t xml:space="preserve">Data de  término do projeto ajustada de 19/6/2026 para 31/12/2026
</t>
    </r>
    <r>
      <rPr>
        <b/>
        <sz val="11"/>
        <color theme="1"/>
        <rFont val="Calibri"/>
        <family val="2"/>
        <scheme val="minor"/>
      </rPr>
      <t>Atividades realizadas</t>
    </r>
    <r>
      <rPr>
        <sz val="11"/>
        <color theme="1"/>
        <rFont val="Calibri"/>
        <family val="2"/>
        <scheme val="minor"/>
      </rPr>
      <t xml:space="preserve">
Painel publicado em PROD com dados de DEZ/25;
</t>
    </r>
    <r>
      <rPr>
        <b/>
        <sz val="11"/>
        <color theme="1"/>
        <rFont val="Calibri"/>
        <family val="2"/>
        <scheme val="minor"/>
      </rPr>
      <t>Atividades planejadas:</t>
    </r>
    <r>
      <rPr>
        <sz val="11"/>
        <color theme="1"/>
        <rFont val="Calibri"/>
        <family val="2"/>
        <scheme val="minor"/>
      </rPr>
      <t xml:space="preserve">
Atualização com dados de JAN/25.</t>
    </r>
  </si>
  <si>
    <r>
      <rPr>
        <b/>
        <sz val="11"/>
        <color theme="1"/>
        <rFont val="Calibri"/>
        <family val="2"/>
        <scheme val="minor"/>
      </rPr>
      <t xml:space="preserve">Entregas realizadas </t>
    </r>
    <r>
      <rPr>
        <sz val="11"/>
        <color theme="1"/>
        <rFont val="Calibri"/>
        <family val="2"/>
        <scheme val="minor"/>
      </rPr>
      <t xml:space="preserve">
▪ Iniciação do Projeto: TAP / PGP / Preparação do Cockpit / Definição da arquitetura / Criação de Ambientes  
▪ Funcionalidades para a Justiça 
• Carta Precatória 
• Resposta à Carta precatória 
• Encaminhamento de ofícios 
• Declínio de Competência 
▪ Funcionalidades para o público em geral 
• Consultar Processos 
• Peticionamento Intercorrente 
• Minhas Petições 
• Autos Digitais 
• Integração ao Domicílio Eletrônico 
• Integração ao Diário da Justiça 
• Integração Peticionamento Intercorrente 
• Funcionalidade de formulário adicional/integração 
• Peticionamento Inicial 
• Integração Peticionamento Inicial 
▪ Tratamentos de cenários críticos: 
• Limitar Declínio e Petição Inicial para classes escolhidas
</t>
    </r>
    <r>
      <rPr>
        <b/>
        <sz val="11"/>
        <color theme="1"/>
        <rFont val="Calibri"/>
        <family val="2"/>
        <scheme val="minor"/>
      </rPr>
      <t xml:space="preserve">Entregas planejadas para o próximo mês </t>
    </r>
    <r>
      <rPr>
        <sz val="11"/>
        <color theme="1"/>
        <rFont val="Calibri"/>
        <family val="2"/>
        <scheme val="minor"/>
      </rPr>
      <t xml:space="preserve">
(Atividades recorrentes / evolutivas) 
▪ Funcionalidades para a Justiça 
• Ajustes em Carta Precatória/Resposta 
• Ajustes Ofícios 
• Ajustes Declínio de Competência Serviços Estruturantes 
▪ Funcionalidades para o público em geral 
• Ajustes das funcionalidades do Portal Interno 
• Integração com sistema de Execução Fiscal (EFIN) 
▪ Backlog 2026  
Outros fatos relevantes a registrar 
▪ Etapa atual: Funcionalidades para a Justiça e Público 
▪ Backlog 2026:  
• Enviado e-mail para o Dr. Dorotheo, Dr. João Felipe e demais interessados, solicitando análise da lista do Backlog, em 09/12/2025. 
• Equipe PNUD elaborou estudo de priorização, a ser apresentado na reunião de Ponto de Controle do projeto, em 02/03/2026. 
• O replanejamento do projeto considera: inclusão de escopo, aumento da duração do projeto e revisão orçamentária. 
</t>
    </r>
    <r>
      <rPr>
        <b/>
        <sz val="11"/>
        <color theme="1"/>
        <rFont val="Calibri"/>
        <family val="2"/>
        <scheme val="minor"/>
      </rPr>
      <t xml:space="preserve">▪ O “%Concluído: 90%” informado neste relatório não reflete a inclusão de escopo a ser formalizada no PGP. </t>
    </r>
    <r>
      <rPr>
        <sz val="11"/>
        <color theme="1"/>
        <rFont val="Calibri"/>
        <family val="2"/>
        <scheme val="minor"/>
      </rPr>
      <t xml:space="preserve">
▪ Força tarefa constituída de representantes das equipes Portal de Serviços, Data Lake e Codex, segue com agenda de reuniões periódicas para tratativas dos impedimentos mapeados no projeto. A situação dos impedimentos CODEX/DL para a retomada das homologações com tribunais, segue conforme:  
• 34 impedimentos mapeados; 
• 6 resolvidos, 10 em andamento, 15 não iniciados, 2 bloqueados pelo CNJ, 1 cancelado; 
• Dados coletados da apresentação do reporte semanal do Programa Justiça 4.0, de 18/02/2029. 
▪ Realizada reunião, em 03/02/2026, para entendimento e definição de uso da versão Java 21 para o portal de serviços, conforme alertado pela equipe do Data Lake em janeiro de 2026. 
▪ Autorizado o desenvolvimento de conteúdo para a capacitação de usuários do Portal de Serviços, demonstrando funcionalidades em uso, nos temas: Ofício, Carta Precatória, Declínio e Petição Inicial. A entrega dos roteiros e vídeos de capacitação está prevista para até 15/03/2026.  </t>
    </r>
  </si>
  <si>
    <r>
      <t xml:space="preserve">Data de término do projeto atualizada de 6/2/2026 para 31/12/2026. Com a atualização da data de término e do cronograma do projeto, os percentuais previstos e executados diminuíram.
</t>
    </r>
    <r>
      <rPr>
        <b/>
        <sz val="11"/>
        <color theme="1"/>
        <rFont val="Calibri"/>
        <family val="2"/>
        <scheme val="minor"/>
      </rPr>
      <t xml:space="preserve">Entregas realizadas </t>
    </r>
    <r>
      <rPr>
        <sz val="11"/>
        <color theme="1"/>
        <rFont val="Calibri"/>
        <family val="2"/>
        <scheme val="minor"/>
      </rPr>
      <t xml:space="preserve">
• Repasse de arquitetura pela DB para a equipe PNUD. 
• Envio da Nota Técnica da Release 2 para validação. 
• Envio da Release 1 para pagamento. 
• Início das dailys da equipe PNUD e liberação de acessos. 
• Repasse do editor de texto TRF3 e revisão do Manual do Usuário. 
• Carga de processos do TJMT executada. 
</t>
    </r>
    <r>
      <rPr>
        <b/>
        <sz val="11"/>
        <color theme="1"/>
        <rFont val="Calibri"/>
        <family val="2"/>
        <scheme val="minor"/>
      </rPr>
      <t xml:space="preserve">Entregas planejadas para o próximo mês </t>
    </r>
    <r>
      <rPr>
        <sz val="11"/>
        <color theme="1"/>
        <rFont val="Calibri"/>
        <family val="2"/>
        <scheme val="minor"/>
      </rPr>
      <t xml:space="preserve">
• Início da primeira sprint oficial da equipe PNUD. 
• Despacho da Release 2 para o gestor negocial. 
• Pagamento do relatório da Release 1 (Call-off 13). 
• Categorização e apresentação do backlog aos tribunais de homologação. 
• Alocação de desenvolvedor front-end, analista de testes e arquiteto. 
</t>
    </r>
    <r>
      <rPr>
        <b/>
        <sz val="11"/>
        <color theme="1"/>
        <rFont val="Calibri"/>
        <family val="2"/>
        <scheme val="minor"/>
      </rPr>
      <t xml:space="preserve">Outros fatos relevantes a registrar </t>
    </r>
    <r>
      <rPr>
        <sz val="11"/>
        <color theme="1"/>
        <rFont val="Calibri"/>
        <family val="2"/>
        <scheme val="minor"/>
      </rPr>
      <t xml:space="preserve">
• Progresso geral do projeto em 54%, com prazo final previsto para dezembro de 2026. 
• Sprint atual focada em editor TRF3 e ações em lote para gabinete. 
• Risco de transbordo avaliado como inexistente no período. 
• Reforço da equipe PNUD em andamento para evolução e sustentação do módulo. 
</t>
    </r>
  </si>
  <si>
    <r>
      <rPr>
        <b/>
        <sz val="11"/>
        <color theme="1"/>
        <rFont val="Calibri"/>
        <family val="2"/>
        <scheme val="minor"/>
      </rPr>
      <t>Entregas realizadas</t>
    </r>
    <r>
      <rPr>
        <sz val="11"/>
        <color theme="1"/>
        <rFont val="Calibri"/>
        <family val="2"/>
        <scheme val="minor"/>
      </rPr>
      <t xml:space="preserve"> 
▪ Planejamento do projeto 
▪ Apoio aos Tribunais, correções e bugs dos Serviços Estruturantes 
• Apoio aos Tribunais, correções e bugs nos serviços estruturantes - 1o trimestre 2024 
• Apoio aos Tribunais, correções e bugs nos serviços estruturantes - 2o trimestre 2024 
• Apoio aos Tribunais, correções e bugs nos serviços estruturantes - 3o trimestre 2024 
• Apoio aos Tribunais, correções e bugs nos serviços estruturantes - 4o trimestre 2024 
• Apoio aos Tribunais, correções e bugs nos serviços estruturantes - 1o trimestre 2025 
• Apoio aos Tribunais, correções e bugs nos serviços estruturantes - 2o trimestre 2025 
▪ Organizacional 
▪ Marketplace 
▪ Serviços Estruturantes – Geral 
▪ SSO 
▪ Cabeçalho Processual 
• Revisão do conceito de fases do cabeçalho processual 
• Integração com o Datalake 
▪ Log
</t>
    </r>
    <r>
      <rPr>
        <b/>
        <sz val="11"/>
        <color theme="1"/>
        <rFont val="Calibri"/>
        <family val="2"/>
        <scheme val="minor"/>
      </rPr>
      <t xml:space="preserve">Entregas planejadas para o próximo mês </t>
    </r>
    <r>
      <rPr>
        <sz val="11"/>
        <color theme="1"/>
        <rFont val="Calibri"/>
        <family val="2"/>
        <scheme val="minor"/>
      </rPr>
      <t xml:space="preserve">
(Atividades recorrentes / evolutivas) 
▪ Apoio aos Tribunais, correções e bugs dos Serviços Estruturantes 
• Apoio aos Tribunais, correções e bugs nos serviços estruturantes - 2o semestre 2025 
• Apoio aos Tribunais, correções e bugs nos serviços estruturantes – 2026 
▪ Notificações 
▪ Cabeçalho Processual 
• Atividades para migração dos clientes do Cabeçalho Processual para o Data Lake 
▪ Benefício 1 - Melhoria da estabilidade e Evolução dos serviços estruturantes da PDPJ. 
▪ Diagnóstico Técnico e Planejamento das Ações de Melhoria 
▪ Aprimoramento da Eficiência, Estabilidade e Funcionalidades 
▪ Ampliação da Adoção do SSO e Notificações pelos Tribunais e Sistemas 
▪ Implementação do SIRF 
</t>
    </r>
    <r>
      <rPr>
        <b/>
        <sz val="11"/>
        <color theme="1"/>
        <rFont val="Calibri"/>
        <family val="2"/>
        <scheme val="minor"/>
      </rPr>
      <t xml:space="preserve">Outros fatos relevantes a registrar </t>
    </r>
    <r>
      <rPr>
        <sz val="11"/>
        <color theme="1"/>
        <rFont val="Calibri"/>
        <family val="2"/>
        <scheme val="minor"/>
      </rPr>
      <t xml:space="preserve">
▪ Sem reporte do projeto no período, mantido reporte anterior. 
▪ Etapa atual: Melhorias evolutivas e corretivas – Implementar melhorias no SSO, Notificações, Cabeçalho 
Processual e demais ferramentas estruturantes do CNJ. 
▪ Em Produção: 
• Delegação de perfil: Release atual 2.0.6-B e 2.0.5-F - Listar sistemas em que usuário pode ser 
delegado; 
• Corporativo Proxy: Release atual 1.1.25 - Criar endpoint para recuperar lista de usuário por 
sistemas (Demanda SIDEJUD); 
• Avisos PDPJ -Documentação DocsPDPJ. 
▪ Avisos Externos PDPJ: componente necessário para uso em aplicações ou sistemas que consumirão o 
serviço de Avisos, em homologação. 
▪ Alertas: componente para visualização de alertas que serão enviados aos usuários via Serviço de 
Notificações, em etapa de teste. 
▪ SIRF -Sistema de Recuperação Judicial e Falências: 
• Em homologação pelo CNJ; 
• Solicitado análise do FONAREF - sem retorno do Leonardo Fogaça. </t>
    </r>
  </si>
  <si>
    <r>
      <rPr>
        <b/>
        <sz val="11"/>
        <color theme="1"/>
        <rFont val="Calibri"/>
        <family val="2"/>
        <scheme val="minor"/>
      </rPr>
      <t>TransiçãoCNJ/DTI:</t>
    </r>
    <r>
      <rPr>
        <sz val="11"/>
        <color theme="1"/>
        <rFont val="Calibri"/>
        <family val="2"/>
        <scheme val="minor"/>
      </rPr>
      <t xml:space="preserve">
*Phase-out pausado
</t>
    </r>
    <r>
      <rPr>
        <b/>
        <sz val="11"/>
        <color theme="1"/>
        <rFont val="Calibri"/>
        <family val="2"/>
        <scheme val="minor"/>
      </rPr>
      <t>Processo de Phase-Out:</t>
    </r>
    <r>
      <rPr>
        <sz val="11"/>
        <color theme="1"/>
        <rFont val="Calibri"/>
        <family val="2"/>
        <scheme val="minor"/>
      </rPr>
      <t xml:space="preserve">
* Sugestão que o time atual PNUD permaneça no pós Phase-Out (AtendimentoN3) com liberação pontual
* Revisão Atendimento N1/N2/N3 (em andamento)</t>
    </r>
  </si>
  <si>
    <r>
      <rPr>
        <b/>
        <sz val="11"/>
        <color theme="1"/>
        <rFont val="Calibri"/>
        <family val="2"/>
        <scheme val="minor"/>
      </rPr>
      <t xml:space="preserve">Entregas realizadas </t>
    </r>
    <r>
      <rPr>
        <sz val="11"/>
        <color theme="1"/>
        <rFont val="Calibri"/>
        <family val="2"/>
        <scheme val="minor"/>
      </rPr>
      <t xml:space="preserve">
• Redução significativa do backlog de mensagens (de ~130 milhões para menos de 50% do volume inicial). 
• Ajuste de infraestrutura (pods e escalabilidade) nas principais filas de processamento. 
• Correções e melhorias no processamento de movimentação e documentos de processos. 
• Conclusão do manual de procedimento de atualização do Conversor e Extrator. 
• Implementação da exibição da data de sincronização para jurisdição e competência. 
• Apresentação dos 16 novos atributos de classe da competência (pronto para produção). 
• Remoção da dependência do Bifrost pelo Codex. 
</t>
    </r>
    <r>
      <rPr>
        <b/>
        <sz val="11"/>
        <color theme="1"/>
        <rFont val="Calibri"/>
        <family val="2"/>
        <scheme val="minor"/>
      </rPr>
      <t xml:space="preserve">Entregas planejadas para o próximo mês </t>
    </r>
    <r>
      <rPr>
        <sz val="11"/>
        <color theme="1"/>
        <rFont val="Calibri"/>
        <family val="2"/>
        <scheme val="minor"/>
      </rPr>
      <t xml:space="preserve">
• Deploy completo das funcionalidades de front-end pendentes. 
• Conclusão dos ajustes de sigilo no Conversor e testes em STG. 
• Validação e disponibilização da documentação do conversor customizado aos tribunais. 
• Finalização do FAQ de Jurisdição e Competência e FAQ de Utilização do Codex. 
• Ajustes relacionados aos atributos de raça e etnia em alinhamento com o PJe. 
• Evolução da estabilidade e escalabilidade visando o período do Prêmio de Qualidade. 
</t>
    </r>
    <r>
      <rPr>
        <b/>
        <sz val="11"/>
        <color theme="1"/>
        <rFont val="Calibri"/>
        <family val="2"/>
        <scheme val="minor"/>
      </rPr>
      <t xml:space="preserve">Outros fatos relevantes a registrar </t>
    </r>
    <r>
      <rPr>
        <sz val="11"/>
        <color theme="1"/>
        <rFont val="Calibri"/>
        <family val="2"/>
        <scheme val="minor"/>
      </rPr>
      <t xml:space="preserve">
• Criação de fluxo prioritário de atendimento para demandas oriundas do Portal de Serviços. 
• Integração contínua com Data Lake para tratamento de incidentes transversais. 
• Previsão de avaliação de migração tecnológica para Java 21. 
• Projeto segue com foco em estabilidade operacional e mitigação preventiva de riscos. </t>
    </r>
  </si>
  <si>
    <r>
      <rPr>
        <b/>
        <sz val="11"/>
        <color theme="1"/>
        <rFont val="Calibri"/>
        <family val="2"/>
        <scheme val="minor"/>
      </rPr>
      <t>Atividades realizadas</t>
    </r>
    <r>
      <rPr>
        <sz val="11"/>
        <color theme="1"/>
        <rFont val="Calibri"/>
        <family val="2"/>
        <scheme val="minor"/>
      </rPr>
      <t xml:space="preserve">
Correções solicitadas na reunião de ponto de controle pela mentora negocial: 
-Modificação da navegação do mapa retirados os centróides
</t>
    </r>
    <r>
      <rPr>
        <b/>
        <sz val="11"/>
        <color theme="1"/>
        <rFont val="Calibri"/>
        <family val="2"/>
        <scheme val="minor"/>
      </rPr>
      <t>Atividades planejadas</t>
    </r>
    <r>
      <rPr>
        <sz val="11"/>
        <color theme="1"/>
        <rFont val="Calibri"/>
        <family val="2"/>
        <scheme val="minor"/>
      </rPr>
      <t xml:space="preserve">
Publicação dos dados de JAN/26;</t>
    </r>
  </si>
  <si>
    <r>
      <t xml:space="preserve">Data de término atualizada de 31/3/2026 para 27/4/2026
</t>
    </r>
    <r>
      <rPr>
        <b/>
        <sz val="11"/>
        <color theme="1"/>
        <rFont val="Calibri"/>
        <family val="2"/>
        <scheme val="minor"/>
      </rPr>
      <t xml:space="preserve">Entregas realizadas </t>
    </r>
    <r>
      <rPr>
        <sz val="11"/>
        <color theme="1"/>
        <rFont val="Calibri"/>
        <family val="2"/>
        <scheme val="minor"/>
      </rPr>
      <t xml:space="preserve">
▪ Fase: Planejamento 
• P1 - Criação do Canvas 
• P2 - Criação do TAP 
• P3 - Criação do CockPit 
• P4 - Criação do PGP 
▪ Fase: Execução 
• P1 - Preparação do Ambiente de Desenvolvimento/Teste 
• P2 - Preparação de uma PoC 
• P3 - Implementação de um MVP 
• P4 - Reconstrução da Consulta de Processos &amp; Melhorias Backend 
• P5 - Construção do FrontEnd 
• P6 - Montagem do Ambiente de Produção 
• P7 - Propor arquitetura para Controle de Versão do JSON 
• P8 - Disponibilizar acesso à Folha de Antecedentes Criminais (PF) 
• P9 - Melhorias de responsividade e usabilidade 
• P10 - Liberar release 0.8.0.0 (Motor ingestão, API e Frontend) 
• P11 - Evoluir a estrutura de dados (JSON Opensearch e S3) de pessoa 
• P12 - Liberar release 0.9.0.0 (Motor ingestão, API e Frontend) 
• P13 - Disponibilizar acesso à informação de execução penal (SEEU) 
• P14 - Evoluir endpoints para consumo da Polícia Federal 
• P15 - Liberar release 1.0.0.0 (Motor ingestão, API e Frontend) 
• P16 - Lançamento nacional da interface de busca unificada e API Pessoas 
• P20 - Versionamento DL Pessoas 
▪ Fase: Entrada em produção 
• P1 - Planejamento 
• P2 - Confecção de artefatos prioritários:  Manual de usuário / Guia de FAQ / Manual de operações / Relatório Pentest / Relatório JMeter 
• P3 - Estruturação de atendimento N1-N3 
</t>
    </r>
    <r>
      <rPr>
        <b/>
        <sz val="11"/>
        <color theme="1"/>
        <rFont val="Calibri"/>
        <family val="2"/>
        <scheme val="minor"/>
      </rPr>
      <t xml:space="preserve">Entregas planejadas para o próximo mês </t>
    </r>
    <r>
      <rPr>
        <sz val="11"/>
        <color theme="1"/>
        <rFont val="Calibri"/>
        <family val="2"/>
        <scheme val="minor"/>
      </rPr>
      <t xml:space="preserve">
▪ Fase: Execução 
• P17 – Deduplicação de registro de pessoas 
• P18 – Prospectar novas funcionalidades e integrações 
▪ Fase: Encerramento 
• P1 - Kick off do phase out:  Reunião de alinhamento inicial  
• P2 - Revisão dos artefatos prioritários:  Manual do Usuário / Manual de Operação / Guia de FAQ  
• P4 – Repasse final para DTI/CNJ 
</t>
    </r>
    <r>
      <rPr>
        <b/>
        <sz val="11"/>
        <color theme="1"/>
        <rFont val="Calibri"/>
        <family val="2"/>
        <scheme val="minor"/>
      </rPr>
      <t xml:space="preserve">Outros fatos relevantes a registrar </t>
    </r>
    <r>
      <rPr>
        <sz val="11"/>
        <color theme="1"/>
        <rFont val="Calibri"/>
        <family val="2"/>
        <scheme val="minor"/>
      </rPr>
      <t xml:space="preserve">
▪ Etapa atual: Consulta Nacional 1.0.  
▪ Sprint 21 – 29/01/2026 a 2302/2026. Release atual 1.0.0.0/1.0.0. 
▪ Frente de trabalho para consulta de empresas em andamento.  
▪ Realizada reunião de apresentação de soluções CBJ à Polícia Federal, em 11/02/2026, a considerar: 
• Serviço de mensageria do Data Lake – iMensagem; 
• Consulta Nacional de Pessoas.  
</t>
    </r>
    <r>
      <rPr>
        <b/>
        <sz val="11"/>
        <color theme="1"/>
        <rFont val="Calibri"/>
        <family val="2"/>
        <scheme val="minor"/>
      </rPr>
      <t>▪ O “%Concluído: 77%” informado neste relatório não reflete a inclusão de escopo do Backlog,  apresentado e aprovado pelo Dr. João Thiago Guerra, em 27/01/2026</t>
    </r>
  </si>
  <si>
    <r>
      <t xml:space="preserve">Entregas realizadas 
• Estabilização do Sistema  
• Correções em produção: Problemas de assinatura Identificação dos órgãos  
• Substituição Iak x Wesley 
• Prioridades: Testes e Correções  
• Histórico Unificação do RJI  
• Melhorias no Saída Temporária em Lote  
• Refatoração dos Relatórios  
• Estabilização do Sistema Acompanham 
• Acompanhamento Assinatura de Peças  
• Melhorias nas regras negociais ref. a segurança do sistema.  
• Implantação RJI 
</t>
    </r>
    <r>
      <rPr>
        <b/>
        <sz val="11"/>
        <color theme="1"/>
        <rFont val="Calibri"/>
        <family val="2"/>
        <scheme val="minor"/>
      </rPr>
      <t xml:space="preserve">Entregas planejadas para o próximo mês </t>
    </r>
    <r>
      <rPr>
        <sz val="11"/>
        <color theme="1"/>
        <rFont val="Calibri"/>
        <family val="2"/>
        <scheme val="minor"/>
      </rPr>
      <t xml:space="preserve">
• Mapeamento dos grandes blocos para priorização pelo DMF:  
• Refatoração dos Relatórios  
• Substituição do ElasticSearch 
• Refatoração do Batches 
• Refatoração de front 
</t>
    </r>
    <r>
      <rPr>
        <b/>
        <sz val="11"/>
        <color theme="1"/>
        <rFont val="Calibri"/>
        <family val="2"/>
        <scheme val="minor"/>
      </rPr>
      <t xml:space="preserve">Outros fatos relevantes a registrar </t>
    </r>
    <r>
      <rPr>
        <sz val="11"/>
        <color theme="1"/>
        <rFont val="Calibri"/>
        <family val="2"/>
        <scheme val="minor"/>
      </rPr>
      <t xml:space="preserve">
• Manutenção do foco na estabilização do ambiente produtivo, com monitoramento contínuo após as correções aplicadas, especialmente nos processos de login e assinatura de peças. 
• Execução das atividades em paralelo a outras iniciativas estratégicas, demandando gestão rigorosa de prioridades e recursos. 
• Necessidade contínua de evolução arquitetural, incluindo retirada de componentes legados e refatoração de módulos estruturantes, visando maior estabilidade e sustentabilidade da solução. 
• Avaliação do modelo de atendimento e suporte, com discussão sobre definição de janela de atendimento e eventual implantação de plantões, diante do risco de transbordo operacional. 
• Atenção permanente à governança técnica, com foco em documentação, aprovações institucionais e priorização estruturada das entregas. </t>
    </r>
  </si>
  <si>
    <t>Atividades realizadas
Painel publicado em PROD com dados de DEZ/25 em 04/02;
Atividades planejadas
Atualizar com dados de JAN/25;</t>
  </si>
  <si>
    <r>
      <rPr>
        <b/>
        <sz val="11"/>
        <color theme="1"/>
        <rFont val="Calibri"/>
        <family val="2"/>
        <scheme val="minor"/>
      </rPr>
      <t xml:space="preserve">Entregas realizadas </t>
    </r>
    <r>
      <rPr>
        <sz val="11"/>
        <color theme="1"/>
        <rFont val="Calibri"/>
        <family val="2"/>
        <scheme val="minor"/>
      </rPr>
      <t xml:space="preserve">
▪ P1 – Planejamento: Termo de Abertura de Projeto. 
▪ P7 - Novas Funcionalidades e Melhorias Evolutivas 
• Implementação de situação processual e fase dos processos 
</t>
    </r>
    <r>
      <rPr>
        <b/>
        <sz val="11"/>
        <color theme="1"/>
        <rFont val="Calibri"/>
        <family val="2"/>
        <scheme val="minor"/>
      </rPr>
      <t xml:space="preserve">Entregas planejadas para o próximo mês </t>
    </r>
    <r>
      <rPr>
        <sz val="11"/>
        <color theme="1"/>
        <rFont val="Calibri"/>
        <family val="2"/>
        <scheme val="minor"/>
      </rPr>
      <t xml:space="preserve">
(Atividades recorrentes / evolutivas) 
▪ P2 - Desempenho e Eficiência: Melhorias na performance do sistema e Garantia de alta disponibilidade 
▪ P3 – Segurança: Aprimoramento contínuo da segurança 
▪ P4 - Estabilidade e Confiabilidade: Correção de bugs 
▪ P5 – Qualidade: Aumento da cobertura de testes e automatização de testes 
▪ P6 - Documentação 
• Regras de negócio, requisitos, refinamentos e arquitetura do sistema 
• Gestão de Releases 
• Criação e atualização de FAQs 
• Criação e atualização de página no docs.pdpj 
▪ P7 - Novas Funcionalidades e Melhorias EvolutivasMelhorias na Ingestão de Dados. 
• Apoio a IA dos Tribunais e outros órgãos; 
• Suporte externo a Órgãos públicos, Entidades e Empresas privadas 
• Integração com a API de Pessoas 
• Melhorias de Integração com a API do Codex 
• Migração das aplicações que utilizam o Cabeçalho Processual 
• Melhorias na integração com o Portal de Serviços 
• Criação da Mensageria Data Lake (iMensagem) 
• Observabilidade e painéis de indicadores 
• Melhorias da API de Processos 
• Melhorias na Ingestão de Dados 
• Implementação do GraphQL. 
</t>
    </r>
    <r>
      <rPr>
        <b/>
        <sz val="11"/>
        <color theme="1"/>
        <rFont val="Calibri"/>
        <family val="2"/>
        <scheme val="minor"/>
      </rPr>
      <t xml:space="preserve">Outros fatos relevantes a registrar </t>
    </r>
    <r>
      <rPr>
        <sz val="11"/>
        <color theme="1"/>
        <rFont val="Calibri"/>
        <family val="2"/>
        <scheme val="minor"/>
      </rPr>
      <t xml:space="preserve">
▪ Release atual: 1.7.3 – em produção em 23/02/2026. 
▪ SIGA - Sistema Integrado de Gestão de Acesso à Informação: solução para S3 pronto, em produção em 09/02/2026. Solução para OpenSeearch em desenvolvimento. 
▪ Realizada reunião de apresentação de soluções CNJ à Polícia Federal, em 11/02/2026, considerando: 
• Serviço de mensageria do Data Lake – iMensagem; 
• Consulta Nacional de Pessoas.  
▪ Migração do S3 para JAVA 21 concluída.  
▪ Codex - Demanda Portal de Serviços:  
• concluído o desenvolvimento da solução definitiva para atualização de órgãos julgadores locais, assuntos locais, jurisdições e competências. Última etapa foi lançada na versão 1.31.0 do Conversor em 21/01/2026. 
• Atualização de versão dos conversores pelos tribunais em andamento. 
▪ Atendendo ao pedido do gestor negocial, a equipe identificou as aplicações que ainda consomem dados do CODEX via API, não atendendo à regra do CNJ em consumir dados somente via Data Lake. A lista será formalizada no SEI para que o gestor negocial emita ofício solicitando adequação. São eles: 
• SisPreq – Sistema de Precatórios e Requisições de Valor; 
• EFIN – Execução Fiscal Inteligente; 
• PDPJ CONECTA – Berna; 
• PDPJ CONECTA – Dikaia (TJBA); 
• BNMP – Banco Nacional de Medidas Penais e Prisões; 
• Gabinete do Juízo; 
• JuMP – Mineração de Processos PJe. </t>
    </r>
  </si>
  <si>
    <r>
      <rPr>
        <b/>
        <sz val="11"/>
        <color theme="1"/>
        <rFont val="Calibri"/>
        <family val="2"/>
        <scheme val="minor"/>
      </rPr>
      <t>Entregas realizadas</t>
    </r>
    <r>
      <rPr>
        <sz val="11"/>
        <color theme="1"/>
        <rFont val="Calibri"/>
        <family val="2"/>
        <scheme val="minor"/>
      </rPr>
      <t xml:space="preserve"> 
• Etapa 1 – Entrada em produção do MVP em 07/08/2025 - Formulários FONAR e Rogeria 
• Realização de webnário do FONAR 
• Lançamento do Guia Interinstitucional de Avaliação de Risco para Aplicação do Formulário Nacional de Avaliação de Risco (Fonar) 
• Lançamento do Guia Interinstitucional para Aplicação do Formulário Rogéria 
• Etapa 2 – Mobile e integração com o Data Lake 
</t>
    </r>
    <r>
      <rPr>
        <b/>
        <sz val="11"/>
        <color theme="1"/>
        <rFont val="Calibri"/>
        <family val="2"/>
        <scheme val="minor"/>
      </rPr>
      <t xml:space="preserve">Entregas planejadas para o próximo mês </t>
    </r>
    <r>
      <rPr>
        <sz val="11"/>
        <color theme="1"/>
        <rFont val="Calibri"/>
        <family val="2"/>
        <scheme val="minor"/>
      </rPr>
      <t xml:space="preserve">
• Desenvolvimento de Relatórios 
• Início do Desenvolvimento de Dashboards </t>
    </r>
  </si>
  <si>
    <r>
      <rPr>
        <b/>
        <sz val="11"/>
        <color theme="1"/>
        <rFont val="Calibri"/>
        <family val="2"/>
        <scheme val="minor"/>
      </rPr>
      <t>Atividades realizadas</t>
    </r>
    <r>
      <rPr>
        <sz val="11"/>
        <color theme="1"/>
        <rFont val="Calibri"/>
        <family val="2"/>
        <scheme val="minor"/>
      </rPr>
      <t xml:space="preserve">
'-Apresentação do planejamento de entrega dos ajustes finais do MVP para entrada em produção. Previsão: 09/02;
-Entrega dos requisitos relacionados ao módulo de Saúde Suplementar.
-Prototipação da funcionalidade de Saúde Suplementar entregue para homologação.
</t>
    </r>
    <r>
      <rPr>
        <b/>
        <sz val="11"/>
        <color theme="1"/>
        <rFont val="Calibri"/>
        <family val="2"/>
        <scheme val="minor"/>
      </rPr>
      <t>Atividades planejadas</t>
    </r>
    <r>
      <rPr>
        <sz val="11"/>
        <color theme="1"/>
        <rFont val="Calibri"/>
        <family val="2"/>
        <scheme val="minor"/>
      </rPr>
      <t xml:space="preserve">
- "Virada de chave" entre os sistemas atual e de produção e novo sistema
- Especificação e Prototipação:
-Melhoria no Processo de retorno das NTs; 
-Dashboards e Painéis de dados; 
-Implementação da integração com o Jus.br
-Reunião com o Conselho do e-NatJus para nova rodada de homologações do MVP: 12/02 às 16:30hs</t>
    </r>
  </si>
  <si>
    <t>Data atualizada para 31/12/2026. Escopo e cronograma do projeto atualizados, motivo pelo qual os percentuais previstos e executados diminuíram em comparação com a última medição.</t>
  </si>
  <si>
    <r>
      <rPr>
        <b/>
        <sz val="11"/>
        <color theme="1"/>
        <rFont val="Calibri"/>
        <family val="2"/>
        <scheme val="minor"/>
      </rPr>
      <t xml:space="preserve">Entregas realizadas </t>
    </r>
    <r>
      <rPr>
        <sz val="11"/>
        <color theme="1"/>
        <rFont val="Calibri"/>
        <family val="2"/>
        <scheme val="minor"/>
      </rPr>
      <t xml:space="preserve">
▪ Fase: Planejamento 
• P1 – Elaboração Canvas 
• P2 – Elaboração Termo de Abertura do Projeto (TAP) 
• P3 - Elaboração Plano de Gestão do Projeto (PGP) / 1.1 Elaboração 
▪ Fase: Execução / P1 - Relatório de Diagnóstico e Proposta de Trabalho 
▪ Fase: Execução / P2 - Implementação da Proposta de Trabalho: 
• Sprint 0 - Onboarding FAJU X Justiça 4.0 
• Sprint 1 - SDK AWS 
• Sprint 2 - Entregar a Prova de Conceito do Upload S3-SDK 
• Sprint 3 - Análise dos Padrões, Transfer e Accelerator - SDK 
• Sprint 4 - MicroService - Adicionar S3 ao Novo Projeto 
• Sprint 5 - SEEU Utilizar as APIs de Arquivo do microsserviço 
• Sprint 6 - Remover Dependências de S3 do SEEU e liberar Versão do microsserviço de Arquivo 
• Sprint 7 - Consumir microsserviço de Arquivo Carimbado 
• Sprint 8 - Juntar Documentos - Consumir MS de Assinatura Simples e Completa 
• Sprint 9 - Preparação e entrega do microserviço de arquivos (download, upload, carimbo, assinatura) 
• Sprint 10 - Consumir URL de Assinatura nas Funcionalidades do SEEU 
• Sprint 11 - Entregar para esteira de Produção a Versão Validada para URL Pré Assinada 
▪ Medição dos benefícios do Projeto 
• Marco 1 - Medição dos benefícios (Técnico e financeiro) - Antes e Depois sempre mesmo dia da semana e horário 
</t>
    </r>
    <r>
      <rPr>
        <b/>
        <sz val="11"/>
        <color theme="1"/>
        <rFont val="Calibri"/>
        <family val="2"/>
        <scheme val="minor"/>
      </rPr>
      <t xml:space="preserve">Entregas planejadas para o próximo mês </t>
    </r>
    <r>
      <rPr>
        <sz val="11"/>
        <color theme="1"/>
        <rFont val="Calibri"/>
        <family val="2"/>
        <scheme val="minor"/>
      </rPr>
      <t xml:space="preserve">
▪ Sprint 12 – Otimização de Queries com a Master Release 19.1.10. (iniciada em 12/02/2026) 
</t>
    </r>
    <r>
      <rPr>
        <b/>
        <sz val="11"/>
        <color theme="1"/>
        <rFont val="Calibri"/>
        <family val="2"/>
        <scheme val="minor"/>
      </rPr>
      <t xml:space="preserve">Outros fatos relevantes a registrar </t>
    </r>
    <r>
      <rPr>
        <sz val="11"/>
        <color theme="1"/>
        <rFont val="Calibri"/>
        <family val="2"/>
        <scheme val="minor"/>
      </rPr>
      <t xml:space="preserve">
▪ Reunião com AWS realizada em 26/02/2026, conforme pauta: 
• Apresentação do relatório de entrega referente a entrega “SEEU - Externalização de Sessão” – encerramento de OS (análise da arquitetura e código); 
• Solicitação de adequação do relatório enviado por e-mail pela AWS – o documento é uma evidência/produto da gestão do projeto, foi entregue sem formatação adequada, sem identidade visual da AWS e CNJ, sem mencionar dados de referência de contrato.  
▪ Reunião de Assessment agendada para 05/03/2026, conforme estratégia para os próximos proposta pela AWS, aprovada pela equipe do projeto, a considerar: 
• Estudo em conjunto para identificação do escopo completo; 
• Elaboração do Road Map, considerando faseamento e alocação de recursos adequada; 
• Reunião será conduzida pela AWS. </t>
    </r>
  </si>
  <si>
    <t>Medição realizada pelo teams com a Juli. Não foi colocado no SEI</t>
  </si>
  <si>
    <t>5ª medição do projeto.  A equipe do projeto avaliou que o PNC Digital oferece maior capacidade de consolidação, análise e divulgação das informações, motivo pelo qual passou a ser considerado o principal instrumento para a transparência dos resultados. A expectativa é que os dados estejam disponibilizados por ocasião do segundo Encontro Nacional do Programa Novos Caminhos, a ser realizado nos dias 5, 6 e 7 de agosto, em Manaus.</t>
  </si>
  <si>
    <t>Cadastro na base e registro da primeira medição</t>
  </si>
  <si>
    <t>Cadastro na base. O cronograma vai até o dia 31/3/2026, mas a data final foi considerar 20/12/2026 porque existe a previsão textual no TAP de execução da segunda etapa do projeto durante todo o ano de 2026.</t>
  </si>
  <si>
    <t>Cadastro na base</t>
  </si>
  <si>
    <t>Entregas realizadas 
• Módulo em ambiente de produção - março de 2024 
• Lançamento nacional do Gabinete em 25/03/2025 
• Módulo em ambiente de produção no TJAP – setembro de 2025 
• Realease 4 – fevereiro de 2026 
• Realese 5 
• Realese 6 
• Entrega do novo editor de texto Badon 
• Variáveis de fluxo automatizado  
Entregas planejadas para o próximo mês 
• Desenvolvimento do tópico síntese 
• Início do desenvolvimento do novo processo de assinaturas</t>
  </si>
  <si>
    <t>Projeto finalizado, tendo sido realizada cerimônia de encerramento, conforme documento "Relatório cerimônia de encerramento do PREVJUD (2543605)"
TEP em elaboração.</t>
  </si>
  <si>
    <t xml:space="preserve">Entregas realizadas 
• Entrada do TJES em produção no sistema Sispreq (com registro de elogios à celeridade da equipe). 
• Finalização dos Casos de Uso (UCs) referentes ao módulo de Penhora. 
•  Realização de capacitação do sistema com forte engajamento (450 inscritos).
Entregas planejadas para o próximo mês 
• Implementação técnica das Histórias de Usuário do Módulo Calculadora. 
• Apresentação do escopo detalhado de Penhora e Sequestro para a squad do TJPR. 
• Estruturação e apresentação do projeto do Painel de BI para o TJSP (baseado nos arquivos .QVF). 
• Pagamento da Release 2 (Call-off 12) e recolhimento de assinaturas para início da Release 3. 
Outros fatos relevantes a registrar 
• Fase Atual: Evoluções apontadas nas homologações dos tribunais. 
• Atenção crítica necessária à arquitetura de migração de dados do sistema Codex para o Data lake para garantir a consistência analítica. 
• Necessidade de acionar a equipe de comunicação para atualizar a página pública de Precatórios no Portal do CNJ. </t>
  </si>
  <si>
    <t xml:space="preserve">Entregas realizadas 
• Identificação de ponto crítico estrutural na integração do SNIPER com SISBAJUD/RENAJUD durante testes operacionais. 
• Conclusão técnica do código de integração com o EFIM. 
• Funcionalidades do Produto 8 (P8) já tecnicamente prontas, aguardando liberação para deploy e testes. 
• Evolução consistente do backlog, com o Produto 10 atingindo ~70% do backend concluído e o Produto 11 em fase de levantamento. 
Entregas planejadas para o próximo mês 
• Implementação de execução operacional em lote por grupo no SNIPER, visando contornar a limitação de resposta do SISBAJUD. 
• Desenvolvimento de nova tela de histórico consolidado com rastreabilidade completa por grupo de bloqueio. 
•  Padronização de interface e ajustes de UX entre o fluxo do SISBAJUD e RENAJUD. 
• Consolidação e apresentação de um novo planejamento de prazos, após a validação dos ajustes recentes. 
Outros fatos relevantes a registrar 
• Avanço em UX: A equipe demonstra maturidade ao incluir discussões proativas de interface e melhorias funcionais (UX/UI) nas adaptações necessárias para as operações agrupadas. 
• Estratégia de Testes: Ainda há indefinição sobre a estratégia de "beta testing" (se será liberado via lista de CPFs ou por tribunais específicos), o que precisa ser pacificado. 
• Transparência: A equipe já iniciou a comunicação clara com os stakeholders a respeito dos impedimentos externos que estão travando a entrega. </t>
  </si>
  <si>
    <t xml:space="preserve">Entregas realizadas 
• Definição de que o EFIN utilizará as APIs já existentes, evitando necessidade de mudanças imediatas na arquitetura. 
• As frentes técnicas remanescentes de desenvolvimento próprio já foram praticamente esgotadas. 
• Definição da estratégia de comunicação coordenada das ferramentas (EFIN, SISBAJUD e RENAJUD) em ciclos trimestrais. 
Entregas planejadas para o próximo mês 
• Formalizar a repactuação do cronograma, oficializando o adiamento da entrega prevista. 
• Solicitar documentação técnica completa ao time do Sniper para destravar integrações. 
• Alinhar a priorização da petição inicial com a equipe do Portal. 
• Atualizar status no PWA destacando os impedimentos e riscos mapeados. 
Outros fatos relevantes a registrar 
• Viabilidade de Piloto: Não há viabilidade atual para a execução de um projeto piloto. 
• Integrações Legadas: Há um alerta sobre a possível existência de integrações legadas não mapeadas (relacionadas ao Codex) que exigem atenção. 
• Abordagem Técnica: A integração via API foi ratificada como o modelo preferencial e habilitador pelos stakeholders. </t>
  </si>
  <si>
    <t xml:space="preserve">Entregas realizadas 
• Conclusão e liberação de Release prevista para 20/03. 
• Verificação da sincronia de assuntos (CN-2763) e ajustes de retorno de partes inativas no Processo Compilado (CN-2766). 
• Resolução de problemas no Conversor (CN-2767). 
•  Suporte bem-sucedido ao processamento de mensagens após o evento de sobrecarga sistêmica (CN-2726, CN-2746, CN-2735). 
• Atualização do conversor e extrator para adequação dos níveis de sigilo conforme a tabela do PJe (CN-2571). 
• Correções e melhorias no endpoint de jurisdição (CN-2748, CN-2755) e ajuste de latência no tópico "PROCESSAR DOCUMENTO ESTRUTURA" (CN-2733). 
Entregas planejadas para o próximo mês 
• TJMS (SAJ): Carga do arquivo de competência, classe, assunto e órgão julgador (CN-2572). 
• Infraestrutura: Migração do airflow de máquina local do CNJ (CN-2699) e aplicação das configurações do OTEL ao CODEX Backend (CN-2732). 
• Integrações: Correção de inconsistência na integração entre CODEX e SISPREQ (CN-2740). 
• Qualidade/Segurança: Verificação de vulnerabilidade no Extrator (CN-2764) e recompilação de processos sem jurisdição local (CN-2704). 
Outros fatos relevantes a registrar 
• Fase Atual: O projeto concentra-se em "Melhorias evolutivas e corretivas", tendo como base estratégica a Integração DATAJUD, os requisitos para o Prêmio 2025 e o Monitoramento de fonte de dados.
• Recursos Humanos: Atualmente, o quadro encontra-se estável em contratações — não há solicitações pendentes de preenchimento de vagas (PNUD ou CNJ) no projeto para este ciclo. </t>
  </si>
  <si>
    <t xml:space="preserve">Entregas realizadas 
 P1 – Planejamento: Termo de Abertura de Projeto. 
 P7 - Novas Funcionalidades e Melhorias Evolutivas 
• Implementação de situação processual e fase dos processos 
Entregas planejadas para o próximo mês 
(Atividades recorrentes / evolutivas) 
 P2 - Desempenho e Eficiência: Melhorias na performance do sistema e Garantia de alta disponibilidade 
 P3 – Segurança: Aprimoramento contínuo da segurança 
 P4 - Estabilidade e Confiabilidade: Correção de bugs 
 P5 – Qualidade: Aumento da cobertura de testes e automatização de testes 
 P6 - Documentação 
 P7 - Novas Funcionalidades e Melhorias Evolutivas 
• Refatoração da ingestão de dados 
• Implementação de todos os níveis de sigilo 
• Apoio a IA dos Tribunais e outros órgãos; 
• Suporte externo a Órgãos públicos, Entidades e Empresas privadas 
• Integração com a API de Pessoas 
• Melhorias de Integração com a API do Codex 
• Migração das aplicações que utilizam o Cabeçalho Processual 
• Melhorias na integração com o Portal de Serviços 
• Observabilidade e painéis de indicadores 
• Melhorias da API de Processos 
• Melhorias na Ingestão de Dados 
• Implementação do GraphQL 
Outros fatos relevantes a registrar 
 Release atual: 1.7.5 – em produção em 18/03/2026. 
 SIGA - Sistema Integrado de Gestão de Acesso à Informação:  
• Finalizado o teste integrado da regra de acesso ao processo sigiloso pelo magistrado relator do projeto (demanda do Sniper BC). Equipe realizando “review” para entrega da solução; 
• Estudo sobre alinhamento da arquitetura de integração com o Data Lake (APIs de consulta), a iniciar; 
• Necessário estudo detalhado sobre a governança da solução; 
• Cronograma para carga do índice e entrada em produção a ser apresentado. 
 Aplicações que ainda consomem dados do CODEX via API  
• JUMP – disponibilizadas as credenciais para uso do Data Lake, informando que em 30 dias os acessos ao CODEX serão desativados. 
• Risco de acessos indevidos às BDs do Data Lake e Codex:  evidências coletadas foram envidas à DISI, com proposta de encaminhamento. </t>
  </si>
  <si>
    <t xml:space="preserve">Entregas realizadas 
 Fase: Planejamento 
• P1 - Criação do Canvas 
• P2 - Criação do TAP 
• P3 - Criação do CockPit 
• P4 - Criação do PGP 
 Fase: Execução 
• P1 - Preparação do Ambiente de Desenvolvimento/Teste 
• P2 - Preparação de uma PoC 
• P3 - Implementação de um MVP 
• P4 - Reconstrução da Consulta de Processos &amp; Melhorias Backend 
• P5 - Construção do FrontEnd 
• P6 - Montagem do Ambiente de Produção 
• P7 - Propor arquitetura para Controle de Versão do JSON 
• P8 - Disponibilizar acesso à Folha de Antecedentes Criminais (PF) 
• P9 - Melhorias de responsividade e usabilidade 
• P10 - Liberar release 0.8.0.0 (Motor ingestão, API e Frontend) 
• P11 - Evoluir a estrutura de dados (JSON Opensearch e S3) de pessoa 
• P12 - Liberar release 0.9.0.0 (Motor ingestão, API e Frontend) 
• P13 - Disponibilizar acesso à informação de execução penal (SEEU) 
• P14 - Evoluir endpoints para consumo da Polícia Federal 
• P15 - Liberar release 1.0.0.0 (Motor ingestão, API e Frontend) 
• P16 - Lançamento nacional da interface de busca unificada e API Pessoas 
• P20 - Versionamento DL Pessoas 
 Fase: Entrada em produção 
• P1 - Planejamento 
• P2 - Confecção de artefatos prioritários:  Manual de usuário / Guia de FAQ / Manual de operações / Relatório Pentest / Relatório JMeter 
• P3 - Estruturação de atendimento N1-N3 
Entregas planejadas para o próximo mês 
 Fase: Execução 
• P17 – Deduplicação de registro de pessoas 
• P18 – Prospectar novas funcionalidades e integrações 
 Fase: Encerramento 
• P1 - Kick off do phase out:  Reunião de alinhamento inicial  
• P2 - Revisão dos artefatos prioritários:  Manual do Usuário / Manual de Operação / Guia de FAQ  
• P4 – Repasse final para DTI/CNJ 
Outros fatos relevantes a registrar 
 Etapa atual: Consulta Nacional 1.0.  
 Sprint 23 – 17/03/2026 a 09/04/2026.  
 Release atual: Motor 1.0.2.0; API 1.2.1.0; Frontend 1.4.10.0; JSON 1.0.0. 
 O “%Concluído: 79%” informado neste relatório não reflete o replanejamento do projeto, conforme PGP aprovado pelo ECP em 09/03/2026. Cronograma do projeto em ajustes para publicação da nova linha de base. 
 Nova funcionalidade “Domicílio” aprovada pelo Gestor Negocial, liberado para entrada em produção. A funcionalidade terá divulgação para apresentação pública. 
 Atividades de tratamento da deduplicação de pessoas jurídicas em andamento, com ocorrência de muitas duplicatas (ex. bancos). 
 Manual de Usuário e FAQ atualizados estão disponíveis no portal JusBr. A publicação ocorreu conforme processo definido para atualização de documentos no portal, sob a responsabilidade da equipe do CNJ. </t>
  </si>
  <si>
    <t xml:space="preserve">Entregas realizadas 
 Planejamento do projeto 
 Apoio aos Tribunais, correções e bugs dos Serviços Estruturantes 
• Apoio aos Tribunais, correções e bugs nos serviços estruturantes - 1o trimestre 2024 
• Apoio aos Tribunais, correções e bugs nos serviços estruturantes - 2o trimestre 2024 
• Apoio aos Tribunais, correções e bugs nos serviços estruturantes - 3o trimestre 2024 
• Apoio aos Tribunais, correções e bugs nos serviços estruturantes - 4o trimestre 2024 
• Apoio aos Tribunais, correções e bugs nos serviços estruturantes - 1o trimestre 2025 
• Apoio aos Tribunais, correções e bugs nos serviços estruturantes - 2o trimestre 2025 
 Organizacional 
 Marketplace 
 Serviços Estruturantes – Geral 
 SSO 
 Cabeçalho Processual 
• Revisão do conceito de fases do cabeçalho processual 
• Integração com o Datalake 
 Log 
 Execução 2026 - Kanban 
• Ciclo Jan/2026 
• Ciclo Fev/2026 
Entregas planejadas para o próximo mês 
(Atividades recorrentes / evolutivas) 
 Apoio aos Tribunais, correções e bugs dos Serviços Estruturantes 
• Apoio aos Tribunais, correções e bugs nos serviços estruturantes - 2o semestre 2025 
• Apoio aos Tribunais, correções e bugs nos serviços estruturantes – 2026 
 Notificações 
 Cabeçalho Processual 
• Atividades para migração dos clientes do Cabeçalho Processual para o Data Lake 
 Execução 2026 - Kanban 
• Ciclo Mar/2026 
 Benefício 1 - Melhoria da estabilidade e Evolução dos serviços estruturantes da PDPJ. 
 Diagnóstico Técnico e Planejamento das Ações de Melhoria 
 Aprimoramento da Eficiência, Estabilidade e Funcionalidades 
 Ampliação da Adoção do SSO e Notificações pelos Tribunais e Sistemas 
 Implementação do SIRF 
 Implementação de aplicação de gestão de avisos de alertas 
Outros fatos relevantes a registrar 
 Etapa atual: Melhorias evolutivas e corretivas – Implementar melhorias no SSO, Notificações, Cabeçalho Processual e demais ferramentas estruturantes do CNJ. 
 Em Produção: 
• Delegação de perfil: Release atual 2.0.6-B e 2.0.5-F - Listar sistemas em que usuário pode ser delegado; 
• Corporativo Proxy: Release atual 1.1.25 - Criar endpoint para recuperar lista de usuário por sistemas (Demanda SIDEJUD); 
• Avisos PDPJ -Documentação DocsPDPJ. 
 O “%Concluído: 56%” informado neste relatório não reflete o replanejamento do projeto. PGP em validação interna, junto ao PNUD. Apos, será encaminhado ao ECP do CNJ, para análise a aprovação.  
 O cronograma do projeto refletindo a ampliação de escopo e duração, conforme o PGP, está em elaboração do PWA. 
 Desenvolvimento do SIRF -Sistema de Recuperação Judicial e Falências: 
• Solução pronta, em homologação pelo CNJ. 
• Quando da homologação, CNJ demandou análise pelo FONAREF. Solicitação de análise ocorrida 
em 12/02/2026, até o momento segue sem retorno - Leonardo Fogaça acionado pelo teams. </t>
  </si>
  <si>
    <t xml:space="preserve">Entregas realizadas 
• Infra e Banco: Atuação no ElasticSearch (BNMPII-4806 e 4807) para melhorar resiliência, logs e indexação legada. 
• Publicação em Pré-Prod: POC da refatoração dos relatórios, API do Gateway do Jhispert e novo Cadastro de Pessoas. 
• Evoluções de Interface: Implementação de regras de Certidão de Extinção por Morte no frontend, refatoração de front e inclusão de filtros no Relatório de Pessoas. 
• Homologação: Liberação do evento de Audiência de Custódia (BNMPII-4709 - Mandados pendentes de cumprimento). 
Entregas planejadas para o próximo mês 
• Cronograma: Revisão do planejamento/cronograma a partir das conclusões do estudo técnico do ElasticSearch. 
• Status de Peças: Iniciar a implementação do Motor de Status de Peças Unificadas (mapeado e definido para a Sprint 35, aguardando regras da governança). 
• Deploy Estratégico: Planejar a publicação oficial em produção da Unificação RJI e do novo Cadastro de Pessoas. 
• Front-end: Executar a refatoração do Front-end (já aprovada pela DTI). 
•  Suporte: Criação de Grupo MS Teams integrando os níveis N2 e N3 para resposta rápida a incidentes do BNMP 
Outros fatos relevantes a registrar 
• Alteração de SSO: A equipe está unificando o Token de login do BNMP ao sistema de Single Sign-On (SSO), com testes do código disponibilizado em andamento. 
• Governança: Há dependência de definições de regras pela governança para avançar na alteração de status de peças unificadas. </t>
  </si>
  <si>
    <t>Entregas realizadas 
 Fase: Planejamento 
• P1 – Elaboração Canvas  
• P2 -Planejamento do projeto 
• P3 - Elaboração Plano de Gestão do Projeto (PGP) 
 Fase: Execução 
• P1 Modelagem e criação do Banco de Dados de Precedentes / modelo de dados e endpoint para envio de precedentes 
• P2 - Criação da Pesquisa textual (Pangea) / consulta por parâmetros 
• P4 - Serviços de envio dos tipos processuais abrangidos no Art. 927 do CPC 
• P8 Cadastro de sobrestados por Controle concentrado 
 Fase: Entrada em produção / P2 Confecção de artefatos prioritários: 
• 2.1 Manual do Usuário 
• 2.3 Guia de FAQ 
 Fase: Encerramento 
• P1 Documentação Final e phase out / 1.1 Reunião de alinhamento inicial - Equipe PhaseOut 
Entregas planejadas para o próximo mês 
 Fase: Execução  
• P3 - Integração com sistemas de processo eletrônico via base de dados de movimentação processual 
• P5 construção de interface para notas técnicas 
• P6 Identificação de processos relacionados a precedentes 
• P7 Refatoração para inclusão de camada BFF e orquestrador 
• P10 Sugestão de precendentes (sem IA) e clasificação de precedentes 
• P13 Notificações ativas de andamentos e sugestões processuais 
• P14 Linha do tempo de andamento processual 
 Fase: Entrada em produção: 
• P2 Confecção de artefatos prioritários / 2.2 Manual de Operação 
• P5 Checklis documentação Portal JusBr / 5.2 1ª validação equipe checkout 
Outros fatos relevantes a registrar 
 Etapa Atual: Notificações ativas de andamentos / Linha do tempo de andamento processual / Implementação de camada BFF - Sprint 03 2026 – 10 a 24/03/2026. 
 Release atual: BNP Api -1.9.4 / Pangea Api - v1.1.15 / Pangea Jobs -v1.0.12. 
 Concluída a entrega “Exibição de Notas Técnicas no Pangea”. 
 Apresentada proposta da Linha de Tempo de Precedentes durante a reunião de Ponto de Controle, em 02/03/2026, que é a representação visual do tempo de vida do precedente,</t>
  </si>
  <si>
    <t xml:space="preserve">Entregas realizadas 
• Avanço do Release 2/2 com salto de progresso (61% → 100%)  
• Evoluções focadas em assinatura/votação em lote e evolução para adiamento/acórdão em lote  
• Preparação e início de testes de carga com JMeter 
• Planejamento formal de transição e avaliação de contratação do arquiteto da DB Server  
• Documentação técnica e sessões de transferência de conhecimento para mitigar gargalos  
• Reposição de perfil técnico e redistribuição temporária de demandas (foco no gargalo de QA)  
• Planejamento de retomada pós-recesso e alinhamento com tribunais piloto sobre o Editor TRF3  
• Antecipação de documentação técnica, alinhamento de expectativas e reuniões estruturadas de repasse de arquitetura com validação forma 
Entregas planejadas para o próximo mês 
• Concluir reverter pedido de adiamento em lote  
• Concluir assinatura em lote do inteiro teor do acórdão  
• Finalizar Histórias de Usuário (HUs) pendentes  
• Estabilizar execução de testes de carga sem degradar ambiente de QA  
• Resolver dependência de Dev Front-end (Editor de texto TRF3) 
Outros fatos relevantes a registrar 
• Plano de trabalho DB e Auditoria – POC (Cadastro de Clientes)  
• Solicitações PNUD ou CNJ e Manual de Operação  
• Dependência de Dev Front-end (Editor de texto TRF3) gerando trava de entrega e qualidade  
• Testes de carga sobrecarregaram o ambiente de QA (instabilidade, atrasos em homologação e retrabalho)  
• Equipe reduzida em QA (apenas um recurso), gerando gargalo de validação, regressão e qualidade  
• Dificuldade no repasse de arquitetura, com risco de queda de capacidade e continuidade  
• Termo de responsabilização dos tribunais e risco de bloqueio institucional/adesão </t>
  </si>
  <si>
    <t xml:space="preserve">PGP 2545053 extendeu a duração do projeto de 2/4/2026 para 30/12/2026. Essa mudança ainda não foi refletida no cronograma, tendo o relatório de março tratado do cronograma antes do PGP
Entregas realizadas 
 Planejamento 
 PoC 
 Transição PoC para MVP 
 MVP 
Entregas planejadas para o próximo mês 
 ECOSSITEMA - Qualificação de Dados (QDD) 
 Encerramento 
Outros fatos relevantes a registrar 
 Etapa atual: Ecossistema. 
 Sprint 26 – iniciada em 11 a 31/03/2026. 
 O “%Concluído: 93%” informado neste relatório não reflete o replanejamento do projeto, conforme PGP aprovado pelo ECP em 24/03/2026. Cronograma do projeto em ajustes para publicação da nova linha de base. 
 Solicitada criação de namespace dedicado para o QDD (cluster dedicado) no EKS do Data Lake após aumento de recursos adicionais (atualmente está compartilhando recursos com o Data Lake). 
 Webinar sobre Qualificação de Dados para os tribunais previsto para agosto de 2026. 
</t>
  </si>
  <si>
    <t>Atualização da data de término do projeto para 31/12/2026</t>
  </si>
  <si>
    <t xml:space="preserve">Entregas realizadas 
• Entrada do TJES em produção no sistema Sispreq (com registro de elogios à celeridade da 
equipe). 
• Finalização dos Casos de Uso (UCs) referentes ao módulo de Penhora. 
•  Realização de capacitação do sistema com forte engajamento (450 inscritos). 
Entregas planejadas para o próximo mês 
• Implementação técnica das Histórias de Usuário do Módulo Calculadora. 
• Apresentação do escopo detalhado de Penhora e Sequestro para a squad do TJPR. 
• Estruturação e apresentação do projeto do Painel de BI para o TJSP (baseado nos arquivos .QVF). 
• Pagamento da Release 2 (Call-off 12) e recolhimento de assinaturas para início da Release 3
Outros fatos relevantes a registrar 
• Fase Atual: Evoluções apontadas nas homologações dos tribunais. 
• Atenção crítica necessária à arquitetura de migração de dados do sistema Codex para o Datalake para garantir a consistência analítica. 
• Necessidade de acionar a equipe de comunicação para atualizar a página pública de Precatórios no Portal do CNJ. </t>
  </si>
  <si>
    <t xml:space="preserve">Entregas realizadas 
 Fase: Planejamento 
• P1 – Elaboração Canvas 
• P2 – Elaboração Termo de Abertura do Projeto (TAP) 
• P3 - Elaboração Plano de Gestão do Projeto (PGP) / 1.1 Elaboração 
 Fase: Execução / P1 - Relatório de Diagnóstico e Proposta de Trabalho 
 Fase: Execução / P2 - Implementação da Proposta de Trabalho: 
• Sprint 0 - Onboarding FAJU X Justiça 4.0 
• Sprint 1 - SDK AWS 
• Sprint 2 - Entregar a Prova de Conceito do Upload S3-SDK 
• Sprint 3 - Análise dos Padrões, Transfer e Accelerator - SDK 
• Sprint 4 - MicroService - Adicionar S3 ao Novo Projeto 
• Sprint 5 - SEEU Utilizar as APIs de Arquivo do microsserviço 
• Sprint 6 - Remover Dependências de S3 do SEEU e liberar Versão do microsserviço de Arquivo 
• Sprint 7 - Consumir microsserviço de Arquivo Carimbado 
• Sprint 8 - Juntar Documentos - Consumir MS de Assinatura Simples e Completa 
• Sprint 9 - Preparação e entrega do microserviço de arquivos (download, upload, carimbo, assinatura) 
• Sprint 10 - Consumir URL de Assinatura nas Funcionalidades do SEEU 
• Sprint 11 - Entregar para esteira de Produção a Versão Validada para URL Pré Assinada 
• Sprint 12 – Otimização de Queries com a Master Release 19.1.10. 
• Sprint 13 - SEEU integrado a Arquivos utilizando bucket temporário e variáveis de ambiente aplicadas 
 Medição dos benefícios do Projeto 
• Marco 1 - Medição dos benefícios (Técnico e financeiro) - Antes e Depois sempre mesmo dia da semana e horário 
Entregas planejadas para o próximo mês 
 Sprint 14 - Finalizar Épico de Otimização de Queries (iniciada em 16/03/2026) 
 Medição dos benefícios do Projeto 
Marco 2 - Medição dos benefícios (Técnico e financeiro) - Antes e Depois sempre mesmo dia da semana e horário 
Outros fatos relevantes a registrar 
 Sprint 14 – de 16 a 31/03/2026. 
 Release 19.3.0: medição dos resultados e relatório técnico, em elaboração. 
 AWS: 
• Recebida a OS de serviços da AWS revisada, em 18/03/2026. 
• Realizada reunião de análise da OS, foram retirados 3 itens propostos e incluídos 5 itens (do backlog) voltados ao gerenciamento de seção (prioridade para o projeto). 
 Cronograma do projeto passou por correção, pois alguns itens previstos no backlog foram executados por frentes externas ao projeto - equipes do projeto (justiça 4.0) e/ou Faju. Itens retirados do escopo: 
• OTIMIZAR FAMÍLIA DE INSTÂNCIAS EC2; 
• OTIMIZAR ARMAZENAMENTO (INSTÂNCIAS / PODs); 
• ATUALIZAR VERSÃO DO SISTEMA OPERACIONAL; 
• AVALIAR USO DE NFS / EFS; 
• OTIMIZAR GESTÃO DE SECRETS; 
• OTIMIZAR DATA TRANSFER (DTO); 
• REDUZIR QUANTIDADE DE ALBs; 
• AVALIAR MIGRAÇÃO PARA AURORA IO OPTIMIZED. </t>
  </si>
  <si>
    <t>Data de término do projeto atualizada de 30/6/2026 para 31/12/2026. A nova data se deve ao acréscimo das etapas 6 a 9 no projeto e revisão das datas de término da etapa 5</t>
  </si>
  <si>
    <t>O cronograma foi atualizado conforme e-documento Relatório Phaseout Cronograma - nova estrutura (2542690).
Segundo o documento, foram retiradas do projeto as atividades de operação do phaseout dos projetos específicos.</t>
  </si>
  <si>
    <t xml:space="preserve">Entregas realizadas 
 Iniciação do Projeto: TAP / PGP / Preparação do Cockpit / Definição da arquitetura / Criação de Ambientes  
 Funcionalidades para a Justiça 
• Carta Precatória 
• Resposta à Carta precatória 
• Encaminhamento de ofícios 
• Declínio de Competência 
 Funcionalidades para o público em geral 
• Consultar Processos 
• Peticionamento Intercorrente 
• Minhas Petições 
• Autos Digitais 
• Integração ao Domicílio Eletrônico 
• Integração ao Diário da Justiça 
• Integração Peticionamento Intercorrente 
• Funcionalidade de formulário adicional/integração 
• Peticionamento Inicial 
• Integração Peticionamento Inicial 
 Tratamentos de cenários críticos: 
• Limitar Declínio e Petição Inicial para classes escolhidas 
Entregas planejadas para o próximo mês 
(Atividades recorrentes / evolutivas) 
 Funcionalidades para a Justiça 
• Ajustes em Carta Precatória/Resposta 
• Ajustes Ofícios 
• Ajustes Declínio de Competência Serviços Estruturantes 
 Funcionalidades para o público em geral 
• Ajustes das funcionalidades do Portal Interno 
• Integração com sistema de Execução Fiscal (EFIN) 
 Backlog 2026 
Outros fatos relevantes a registrar 
 Etapa atual: Funcionalidades para a Justiça e Público 
 Backlog 2026:  
• Enviado e-mail para o Dr. Dorotheo, Dr. João Felipe e demais interessados, solicitando análise da lista do backlog, em 09/12/2025. 
• Equipe PNUD elaborou estudo de priorização, apresentado na reunião de Ponto de Controle do projeto, em 02/03/2026.  
• Envio da atualização do estudo de priorização do backlog ao Gestor Negical, por e-mail, durante reunião de ponto de controle do dia 16/03/2026, para que seja refletido o estudo de prioridade negocial realizado entre magistrados.  
 Iniciada a elaboração do PGP, considerando inclusão de escopo (backlog), aumento da duração do projeto e revisão orçamentária. O cronograma será ajustado após a aprovação do PGP pelo ECP do CNJ. 
 O “%Concluído: 90%” informado neste relatório não reflete a inclusão de escopo a ser formalizada no PGP. 
 Força tarefa constituída de representantes das equipes Portal de Serviços, Data Lake e Codex, segue com agenda de reuniões periódicas para tratativas dos impedimentos mapeados no projeto. Divulgado aos tribunais, via Rocket em 12/03/2026, documentação lançada pelo CNJ contendo orientações sobre o desenvolvimento de conversor para os sistemas processuais. 
 Acerto da base de Dados de Ofícios em andamento, a considerar: 
• Do total de 334 ofícios, 305 estão prontos para atualização (91,3%); 
• 59 ofícios apresentando inconsistência, status “PROTOCOLADO ENVIO”, não chegaram ao tribunal destino, a considerar: 
o 30 ofícios, o processo remetente ou destinatário possui nome da jurisdição igual ao nome do tribunal na API do Data Lake;  
o 24 ofícios sem jurisdiçãoLocal (7,2%):  - 17 ofícios são do SEEU: acertos serão desconsiderados por hora, pois depende de atualização do SEEU (ação futura tratada por outra frente). Será solicitado ajustes dos dados à equipe do SEEU, via SEI, de forma a refletir no ambiente de produção.  - 7 ofícios de outros tribunais (não PJE): tratados caso a caso pelos times Data Lake e Codex; o 5 ofícios em que ao menos um dos processos é sigiloso (1,5%) 
• Após ajustes/correções dos ofícios que apresentam inconsistência, a funcionalidade de ofícios será disponibilizada no ambiente de produção. </t>
  </si>
  <si>
    <t xml:space="preserve">Entregas realizadas 
• Alterar nível de sigilo do conversor. 
• Verificação da sincronia de assuntos (CN-2763) e ajustes de retorno de partes inativas no Processo Compilado (CN-2766). 
• Resolução de problemas no Conversor (CN-2767). 
• Verificar sincronia de assuntos. 
•  Suporte bem-sucedido ao processamento de mensagens após o evento de sobrecarga sistêmica (CN-2726, CN-2746, CN-2735). 
• Atualização do conversor e extrator para adequação dos níveis de sigilo conforme a tabela do PJe (CN-2571). 
• Correções e melhorias no endpoint de recuperaConteudoPortld (CN-2748, CN-2755) e ajuste de latência no tópico "PROCESSAR DOCUMENTO ESTRUTURA" (CN-2733). 
• Processo compilado retornando partes inativas 
Entregas planejadas para o próximo mês 
• Correção de Inconsistências na integração CODEX x SISPREQ. 
• Problema ao carregar Orgão Julgador Colegiado. 
• Liberar acesso ao recurso “Visualizar Competência” para perfil “administrador fonte de dados” 
• TJMS(SAJ) – Carregar arquivo de Competência-classe-assunto e Orgão Julgador 
• Desenvolver funcionalidades de visualização de classes e Assuntos Inerentes à jurisdição local </t>
  </si>
  <si>
    <t>Data de término do projeto ajustada de 27/4/2026 para 15/12/2026. Com a extensão do projeto e aumento do escopo, houve a diminuição dos percentuais previstos e executados em relação à medição anterior.</t>
  </si>
  <si>
    <t>Data de término do projeto ajustada de 10/6/2026 para 30/12/2026. Com a extensão do projeto e aumento do escopo, houve a diminuição dos percentuais previstos e executados em relação à medição anterior.</t>
  </si>
  <si>
    <t xml:space="preserve">Data de término do projeto ajustada de 30/8/2026 para 16/9/2026. </t>
  </si>
  <si>
    <t xml:space="preserve">Entregas realizadas 
 P1 – Planejamento: Termo de Abertura de Projeto. 
 P7 - Novas Funcionalidades e Melhorias Evolutivas 
• Implementação de situação processual e fase dos processos 
• Criação da Mensageria Data Lake (iMensagem) 
Entregas realizadas 
 P1 – Planejamento: Termo de Abertura de Projeto. 
 P7 - Novas Funcionalidades e Melhorias Evolutivas 
• Implementação de situação processual e fase dos processos 
• Criação da Mensageria Data Lake (iMensagem) 
 P5 – Qualidade: Aumento da cobertura de testes e automatização de testes 
 P6 - Documentação 
 P7 - Novas Funcionalidades e Melhorias Evolutivas 
• Refatoração da ingestão de dados 
• Implementação de todos os níveis de sigilo 
• Implementação de situação processual e fase dos processos 
• Apoio a IA dos Tribunais e outros órgãos; 
• Suporte externo a Órgãos públicos, Entidades e Empresas privadas 
• Integração com a API de Pessoas 
• Melhorias de Integração com a API do Codex 
• Migração das aplicações que utilizam o Cabeçalho Processual 
• Melhorias na integração com o Portal de Serviços 
• Observabilidade e painéis de indicadores 
• Melhorias da API de Processos 
• Melhorias na Ingestão de Dados 
• Implementação do GraphQL </t>
  </si>
  <si>
    <t xml:space="preserve"> Etapa atual: Melhorias evolutivas e corretivas 
 Release de endereços em produção: criação do endpoint latitude e longitude e endereços IPs. 
 Avisos e Alertas PDPJ: testes regressivos finalizados e pronto para produção. 
 Notificações: aumento do volume de notificações no período, provocado pelo iMensagem (ferramenta 
do Data Lake). 
 Desenvolvimento do SIRF -Sistema de Recuperação Judicial e Falências: 
• Solução pronta, em homologação pelo CNJ. 
• Quando da homologação, CNJ demandou análise pelo FONAREF. Solicitação de análise ocorrida 
em 12/02/2026, até o momento segue sem retorno - Leonardo Fogaça acionado pelo teams. 
 O “%Concluído: 56%” informado neste relatório não reflete o replanejamento do projeto. PGP em 
ajustes finais, após, será encaminhado ao ECP do CNJ para análise a aprovação.  
 O cronograma do projeto refletindo a ampliação de escopo e duração, conforme o PGP, segue em 
elaboração do PWA. </t>
  </si>
  <si>
    <t xml:space="preserve">Data de término do projeto ajustada de 30/6/2026 para 3/12/2026. </t>
  </si>
  <si>
    <t>• Publicações em produção das demandas atuais demandarão individualização das publicações e 
atenção do time:  
 Consumo do token PDPJ; 
 Novo Cadastro de Pessoas; 
 Unificação do RJI  
• Intervenções nas sprints com demandas “atravessadas”</t>
  </si>
  <si>
    <t xml:space="preserve">Entregas planejadas para o próximo mês 
• Sprints: Início e execução da Sprint 5.  
• Definição de Escopo: Finalização da categorização do Backlog do MVP e apresentação ao Dr. 
João Guerra.  
• Integração: Início da integração com o Sistema de Gabinete.  
• Requisitos: Realização de reuniões de levantamento com a usuária indicada do CNJ e levanta
mento do funcionamento da sessão no conselho.  
• Homologação: Apresentação do backlog para os tribunais em ambiente de homologação 
(HML). </t>
  </si>
  <si>
    <t xml:space="preserve"> Sprint 27 – 06 a 28/04/2026. 
 Após a realização dos ajustes no cronograma do projeto, visando refletir o replanejamento (PGP) aprovado pelo ECP em 24/03/2026, foi identificado que o % executado projeto teve uma redução maior que o previsto. A equipe SEGPP está analisando as alterações realizadas no cronograma e as configurações vigentes do PWA, para diagnóstico e ações. 
 O “%Concluído: 61%” informado neste relatório está em análise, o cronograma do projeto será validado 
e oficialmente publicado no próximo ciclo de reporte. 
 Motor de qualificação não escala com a atual infraestrutura do cluster e de arquitetura. 
 Lentidão da API Codex para retorno do documento OCR das petições iniciais. 
 DevOps/PNUD e DTI: Solicitada a revisão da configuração das aplicações no cluster Data Lake, criação 
de 2 “namespaces” QDD e “deployments” (STG e PRD). 
 Webinarsobre Qualificação de Dados para os tribunais prevista para agosto de 2026. </t>
  </si>
  <si>
    <t>Projeto finalizado, aguardando assinatura do TEP</t>
  </si>
  <si>
    <t>Apesar de o projeto encontra-se em atraso, o gerente relata que o projeto encontra-se sendo executado conforme o esperado, sendo o atraso registrado decorrente de um problema na ferramenta de acompanhamento do projeto. A equipe do PNUD já está ciente da situação e encontra-se trabalhando para regularizar a ferramenta de acompanhamento.</t>
  </si>
  <si>
    <t xml:space="preserve"> Etapa atual: Atendimento N2 e Apoio técnico (sistemas/soluções desenvolvidas pelo PNUD). 
 Soluções em atendimento – Suporte Nível 2 em andamento: 
• BNMP; 
• CODEX; 
• Consulta Nacional de Pessoas; 
• Delegação de Perfil; 
• Domicílio Judicial Eletrônico; 
• INTEGRA; 
• Integração PDPJ; 
• Serviços Estruturantes; 
• SISPERJUD; 
• SNA; 
• SISPREQ; 
• SNGB (em phase-out); 
• SPVATJUD. 
 Demanda / Indicadores N2 - Time de Apoio: 
• 123 tarefas criadas de 17 a 23/04/2026; 
• 77 tarefas atendidas de 17 a 23/04/2026; 
• 58 tarefas pendentes em 23/03/2026. 
 Sistemas mais atendidos no período 17 a 23/04: 
• Domicílio Judicial Eletrônico – 24tarefas N2; 
• CODEX – 15tarefas N2; 
• SNA – 12 Tarefas N2. 
 PGP aprovado pelo ECP em 14/04/26. O “%Concluído: 72%” informado neste relatório não reflete o replanejamento aprovado, o cronograma está em ajustes finais para publicação em maio de 2026. 
 Phase-out filas PrevJud concluído, porém, segue sem atendimento pelo CNJ (acumulo de tarefas pendentes). 
 Phase-out das filas SNGB concluído, aguardando definição sobre atendimento pelo Gestor Negocial para sequente formalização de entrega. 
 Filas Sniper BC com 843 chamados acumulados. Plano de ação em andamento: acompanhamento e monitoramento das implementações do Data Lake para atender aos chamados do Sniper BC. 
 Elaboração Relatório Chamados Domicílio Judicial Eletrônico. 
 Intermediação para conclusão das filas do Conecta. 
 Comitê de Atendimento e Suporte PNUD–CNJ: iniciada agenda recorrente com o CNJ, em 30/04/2026, de forma a promover o alinhamento estratégico sobre as filas de atendimento no GLPI, as filas críticas, os planos de ação e o phase-out do suporte das soluções entre PNUD e CNJ. 
 Previsto para o próximo ciclo: 
• Disponibilização do Relatório Detalhado de Chamados do Domicílio Judicial Eletrônico para o time do projeto e assessoria técnica. 
 Indicadores apresentados no Relatório de Acompanhamento Semanal de Gestão do Programa Justiça 4.0, em 29 de abril de 2026: </t>
  </si>
  <si>
    <t xml:space="preserve">• Migração Tecnológica: Complexidade na migração de dados do Codex para o Datalake.  
• Qualidade e Suporte: Necessidade de suporte N3 para tribunais que já aderiram (atualmente, 
apenas o TJES utiliza plenamente).  
•  UX/UI: Necessidade de realizar testes de compatibilidade do sistema em diversos navegadores 
(browsers).  
• Comunicação Externa: A página de Precatório no site do CNJ está desatualizada.  
•  Recursos Humanos: Ana Gomes iniciou no projeto em 08/04, mas estará ausente por férias de 
22 a 30 de abril 
• Atenção crítica necessária à arquitetura de migração de dados do sistema Codex para o Data
lake para garantir a consistência analítica. 
• Necessidade de acionar a equipe de comunicação para atualizar a página pública de Precatórios 
no Portal do CNJ. 
• O projeto encontra-se na Sprint 12, com foco em evoluções decorrentes de homologações nos 
tribunais e no desenvolvimento do módulo de Calculadora.  
• Houve uma alteração estratégica importante na parceria com o TJSP, com o cancelamento dos 
módulos de gestão financeira originais. </t>
  </si>
  <si>
    <t xml:space="preserve"> Sprint 16 – iniciada em 22/04/2026. 
 Formalizada a troca da gerência do projeto, passando do Tiago R. Gonçalves para Gleidson de Moura Porto. 
 Realizada a medição 2 de benefícios do projeto, formalizada com a apresentação do Relatório Técnico de Release de Otimização para o SEEU, a destacar: 
• Quedas na utilização de CPU e memória e melhorias no tempo de resposta do banco; 
• A release 19.3.0 apresentou redução média de CPU de 27% para 21% e de memória de 7.000MB para 5.500MB; 
• Melhoria de cerca de 25% no tempo de resposta de consultas após a implantação. 
 AWS – Revisão da OS 2: retirados 3 itens do escopo e incluídos 8 itens para avaliação. Decidido por tratar o escopo revisado em OS específica. 
 Projeto de levantamento de riscos para sistemas prioritários: equipe trabalhando na consolidação do levantamento de riscos do SEEU para integração com a ferramenta Archer/ARTE do CNJ, de forma a alinhar controles e tratativas, evitar retrabalho e atender às normas ISO 27001 e ISO 27005.
 Avaliação sobre particionamento: após desenvolvimento, equipe do SEEU questionou sobre ganhos de performance; equipe do projeto defendeu uma avaliação no ambiente de staging para comprovar ganhos. 
 Priorização do Backlog: 
• Atividades priorizadas por sprint, considerando a necessidades específicas do momento em conjunto com as orientações dos responsáveis pelo SEEU. 
• Priorizado para as próximas sprints: Ciclo de Vida e Expurgo de Arquivos.  </t>
  </si>
  <si>
    <t xml:space="preserve">Outros fatos relevantes a registrar 
 Sprint 42 – 06 a 17/04/2026 
 Backlog 2026: reuniões periódicas para entendimento e prioridades do Backlog em andamento, entre 
gestor negocial, gestor técnico e equipe do projeto.  
 Elaboração do PGP em andamento, considerando inclusão de escopo (backlog), aumento da duração do 
projeto e revisão orçamentária. O cronograma será ajustado após a aprovação do PGP pelo ECP do CNJ. 
 O “%Concluído%” informado neste relatório não reflete a inclusão de escopo a ser formalizada no PGP. 
 Força tarefa constituída de representantes das equipes Portal de Serviços, Data Lake e Codex, segue 
com agenda de reuniões periódicas para tratativas dos impedimentos mapeados no projeto, conforme:  
• Total de 34 impedimentos junto ao CODEX, Data Lake e TPU; 
• 15 resolvidos; 
• 2 em andamento; 
• 9 em análise: 
• 2 não iniciados; 
• 4 em validação; 
• 2 cancelados. 
 Identificados dados inconsistentes entre os ambientes: Corporativo x Data Lake x Codex, devido a 
atualização do conversor e extrator, que é de responsabilidade de cada tribunal.  
 Acerto na base de dados para os Ofícios em execução. Minuta com lista de Ofícios inconsistentes 
anexada ao SEI do projeto. </t>
  </si>
  <si>
    <t>Data de término atualizada de julho de 2026 para setembro de 2026 devido à necessidade de ajustar o MVP do painel. É esperado que a data de término ainda sofra novas mudanças, tendo em vista que o projeto prevê a criação de novos painéis, os quais ainda não tiveram seu planejamento iniciado.</t>
  </si>
  <si>
    <t>O percentual previsto e executado sofreu grande redução devido à inclusão no planejamento dos estados que seriam visitados mas ainda não tinham sido incluídos.</t>
  </si>
  <si>
    <t>Em conversa com a Cristina, foi explicado que dr. Daniel pediu para dar o projeto como finalizado.</t>
  </si>
  <si>
    <t>Data de término do projeto atualizada de março de 2026para 26/11/2026</t>
  </si>
  <si>
    <t>Entregas realizadas até o momento:
* Planejamento 
* PoC 
* Transição PoC para MVP 
* MVP 
* ECOSSITEMA - Qualificação de Dados (QDD) 
* Implantação e monitoramento do orquestrador de pipelines batch em produção / Desenvolver painéis de BI a partir dos dados gerados nas pipelines batch  
Entregas planejadas para o próximo mês: 
* Implantação e monitoramento do orquestrador de pipelines batch em produção / Desenvolver pipelines integradas ao sistema de notificação com os tribunais 
* Implantação e monitoramento do motor de qualificação das pipelines streaming em produção / Desenvolver painéis de BI a partir dos dados de data profiling</t>
  </si>
  <si>
    <t xml:space="preserve">Entregas Realizadas:
* Realizado no período: Subida para produção da funcionalidade de Retificação de Ofício; reuniões de demonstração técnica realizadas para os tribunais TJAC, TJPB, TJMG, TJAL, TJPA, TJTO, TJRR, TJPE e TJMA.  
* Em andamento: Desenvolvimento e homologação do módulo Calculadora com regras retroativas a 2015 (IPCA-E e juros da poupança). 
Entregas planejadas para o próximo mês :
* Planejado: Formalização e publicação da portaria de criação do Grupo de Trabalho de Dados de Precatórios envolvendo a Justiça do Trabalho, CJF e TJSP. 
Outros fatos relevantes a registrar:
* A integração física com o ambiente do Data Lake está travada/pendente há três semanas por falta de disponibilização de ambiente.  
* Página oficial sobre Precatórios desatualizada no portal do CNJ.  
* Solicitação: Alocação emergencial de mais um Analista de Requisitos para suprir a alta demanda de novos tribunais aderindo ao sistema. </t>
  </si>
  <si>
    <t>Atividades realizadas
HOTFIX Ausência de resposta TJSP (DOMICÏLIO 3976)
HOTFIX Analisar e reprocessar (DOMICÍLIO 3950)
HOTFIX problemas de envio com caracter especial (DOMICÍLIO 3896) 
Atividades em andamento
Criação de webhook para integração de retorno com o notificações)(DOMICILIO-3588) -em homologação com equipe de notificações
Reprocessamento automático de comunicações;(DOMICILIO3634) em fila de testes (testes em conjunto com equipe de notificações)
Isolar JOB de envio de e-mail (DOMICILIO-3662)
Validação CPF e CNPJ (DOMICILIO-3427) homologada SEM previsão de carga aguardando avaliação do SEI pela presidência
Manual de operações (DOMICÍLIO-3293) em testes HOTFIX vínculo de coligada (DOMICÍLIO 3876) em homologação
HOTFIX analisar logs DTI reinício (DOMICÍLIO 3894) ) em testes melhoria 1/3
Varredura de cadastros duplicados (DOMICILIO-3147)
Melhoria da nomenclatura de perfil PF (DOMICÍLIO 3959) homologado
HOTFIX Analisar comunicações (DOMICÍLIO 3949) homologado
HOTFIX Analisar comunicações (DOMICÍLIO 3969; 3968) homologado
Melhoria na query de consulta procuradorias (DOMICÍLIO 3913) Em homologação
HOTFIX exportar data certa (DOMICÍLIO 3964) Em testes
HOTFIX TJPR não intimando via DJE (DOMICÍLIO 3970) Aguardando retorno do usuário
HOTFIX TJMS retorno de comunicações (DOMICÍLIO 3898)
Atividades planejadas
Peticionamento Aguardando melhorias do portal para retomada no DJE
Avaliação da integração de sistemas que estão sendo integrados pelos tribunais;
Para usuários do CNJ, utilizar o corporativo para os perfis (DOMICILIO-3318)
Melhoria -Melhorar o e-mail de notificação quando o tribunal envia CP. (DOMICILIO-2982)
Criar comunicações de apoio (DOMICILIO 3940)
Comunicações na dead.queue (DOMICÍLIO 3951)
HOTFIX TJMS Comunicações antigas sem retorno (DOMICÍLIO 3926, 3924, 3911, 3925, 3898)
HOTFIX Cadastro de preposto vinculado a CNPJ (DOMICÍLIO 3920)
MELHORIA para SEEU (DOMICÍLIO 3910)
HOTFIX Remover cadastro duplicado (DOMICÍLIO 3943)
HOTFIX Problemas no JOB de cadastro compulsório (DOMICÍLIO 3939)
Melhoria cancelamento PF (DOMICÍLIO 2896)
HOTFIX Preposto não visualiza comunicação (DOMICÍLIO 3962)
HOTFIX Cadastro PGE-RJ (DOMICÍLIO 3966)
HOTFIX Erro ao realizar cadastro (DOMICÍLIO 3972)</t>
  </si>
  <si>
    <t>Entregas realizadas:
• Atualização para a versão Backend 1.62.0 com várias correções e ajustes realizados. 
• Manutenção e correção de vários Bugs detectados. 
• Melhorias voltadas para a criação solução para atualização de Órgão Julgador. 
• Verificar volume de mensagens suspensas. 
•  TJMS(SAJ) carga de arquivo. 
Entregas planejadas para o próximo mês:
• Correção de Inconsistências na integração CODEX x SISPREQ. 
• Ajustar comportamento do botão limpar na listagem de mensagens. 
• Desabilitar JOB atualização. 
Outros fatos relevantes a registrar:
• Suporte aos tribunais quanto ao Prêmio de Qualidade CNJ.. 
• Inclusão do ProcessoCompilado no S3 do Data Lake. Em fase final. 
• Acessos, SSO e incidentes de autenticação. 
• Desabilitado o JOB de Sincronismo CNPJS e CPFS</t>
  </si>
  <si>
    <t>Outros fatos relevantes a registrar 
• Dependência crítica do SNIPER para viabilização da constrição patrimonial, ainda sem definição estável de APIs, modelo de dados e cronograma de entrega 
• Ausência de disponibilização da API de petição inicial pelo Portal de Serviços, impedindo a execução completa do fluxo de entrada das execuções fiscais 
• Baixa previsibilidade nas entregas de SNIPER e Portal, impactando diretamente o planejamento e a execução do piloto. 
• Necessidade de definição sobre uso datalake para recuperação de movimentação do processo. 
Concluído 
• Fase de Validação operacional. 
• API de entrada de dados implementada. 
• Fase de Distribuição funcional em fluxo controlado. 
• Integração inicial com SNIPER para consulta de bens. 
Em desenvolvimento 
• Integração de notificações SNIPER. 
• Tratamento de status de constrição. 
• Funcionalidades de bloqueio, desbloqueio e transferência. 
Dependências externas 
• Disponibilização da API de petição inicial pelo Portal. 
• Consolidação do modelo de notificações do SNIPER. 
• Definição da estratégia de integração Portal × eProc.</t>
  </si>
  <si>
    <t xml:space="preserve">▪ Etapa atual: Atendimento N2 e Apoio técnico (sistemas/soluções desenvolvidas pelo PNUD). 
▪ Soluções em atendimento – Suporte Nível 2 em andamento: 
• BNMP; 
• CODEX; 
• Consulta Nacional de Pessoas; 
• Delegação de Perfil; 
• Domicílio Judicial Eletrônico; 
• INTEGRA; 
• Integração PDPJ; 
• Serviços Estruturantes; 
• SISPERJUD; 
• SNA; 
• SISPREQ; 
• SPVATJUD. 
▪ Tarefas N2 atendidas: 
• 186 tarefas no período de 15 a 21/05/2026; 
• 225 tarefas no período anterior. 
▪ Tarefas N2 criadas: 
• 172 tarefas no período de 15 a 21/05/2026; 
• 267 tarefas no período anterior. 
▪ Tarefas N2 pendentes: 
• 86 tarefas em 21/05/2026; 
• 85 tarefas no período anterior. 
▪ Sistemas mais demandados pelo Time de Apoio no período de 15 a 21/05/2026: 
• BNMP:  
o 75 tarefas criadas; 
o 105 tarefas atendidas; 
o Maior ofensor: erros de servidor (500/403/404), travamento de tela em carregamento, falhas na finalização de peças e bugs de integração de lotação; 
o Impossibilidade de inclusão de CPF, duplicidade de nomes de genitores e ajustes em registros de irmãos gêmeos; 
o Dúvidas sobre o novo fluxo de exclusão, regras de unificação de RJI, cadastro de CPFs e orientações sobre alertas de monitoramento; 
o Mensagens de "HTTP ERROR 404" e "Status 500" no ambiente de produção e testes; 
o Ponto crítico identificado: ID 220744 - trata de um cumprimento fraudulento de mandado de prisão decorrente de uma invasão no sistema. 
• Domicílio Judicial Eletrônico: 
o 35 tarefas criadas; 
o 32 tarefas atendidas; 
o Maior ofensor: solicitações de informações relacionadas ao DJE, acesso, perfil, coligadas e notificações por email; 
o Problemas relacionados a instabilidades temporárias do DJE; 
o Solicitação direcionadas para outras filas, exemplo: perguntas sobre autenticação de duas etapas; 
o Usuários com dificuldade para visualizar comunicações processuais devido à ausência de permissão ou ao não recebimento das comunicações; </t>
  </si>
  <si>
    <t xml:space="preserve">Outros fatos relevantes a registrar 
 Sprint 17 - Monitorar Performance de Release 19.8.0 em Produção. 
 Incidente Redis: 
• Causado por sobrescrita/consumo incorreto de chaves no Redis e precisa de uma busca ativa para identificar a origem. 
• Aplicada correção no gateway que restaurou o funcionamento, mas uma investigação mais profunda foi solicitada aos arquitetos/DevOps. 
• Equipe do projeto identificou problemas de infraestrutura do CNJ que estão impactando o BNP. Tema escalonado ao PMO e coordenação PNUD para definição de responsabilidades. 
 Ataques, credenciais e impacto operacional: revogação massiva de credenciais após tentativas de ataque, com desabilitação preventiva e reabilitações pontuais conforme necessidade. 
 Sprint 17 — entregas e arquitetura de exportação 
• Entregue prova de conceito da exportação de processo; 
• Definida arquitetura desacoplada entre exportação e arquivo para reduzir carga no SEEU; 
• Proposta de melhorias de observabilidade aprovada e implementação do primeiro item começa 
• Sprint 6 - Remover Dependências de S3 do SEEU e liberar Versão do microsserviço de Arquivo 
• Sprint 7 - Consumir microsserviço de Arquivo Carimbado 
• Sprint 8 - Juntar Documentos - Consumir MS de Assinatura Simples e Completa 
• Sprint 9 - Preparação e entrega do microserviço de arquivos (download, upload, carimbo, assinatura) 
• Sprint 10 - Consumir URL de Assinatura nas Funcionalidades do SEEU 
• Sprint 11 - Entregar para esteira de Produção a Versão Validada para URL Pré Assinada 
• Sprint 12 – Otimização de Queries com a Master Release 19.1.10. 
• Sprint 13 - SEEU integrado a Arquivos utilizando bucket temporário e variáveis de ambiente aplicadas 
• Sprint 14 - Finalizar Épico de Otimização de Queries 
• Sprint 15 - Implementar Relatório de Expurgo de Dados 
• Sprint 16 - Teste do particionamento e coleta de indicadores 
 Medição dos benefícios do Projeto 
• Marco 1 - Medição dos benefícios (Técnico e financeiro) - Antes e Depois sempre mesmo dia da semana e horário 
• Marco 2 - Medição dos benefícios (Técnico e financeiro) - Antes e Depois sempre mesmo dia da semana e horário 
Relatório de Status Mensal de Projetos de TIC na Sprint 18. 
 Performance: Revisitados os relatórios que mostram ganhos de performance relacionados à versão 19.8 e várias otimizações. Ganhos maiores dependem de entregas represadas e do expurgo de dados que exige ambiente elástico para testes.  
 Sanitização para o CloudFront: arquivos dinâmicos removidos, mas exige testes de navegação com apoio do SEEU/negócio e aplicação das configurações por infra. 
 AWS – OS2: 
• Terá como entrega apenas o assessment via Kiro. Externalização de sessão será tratada em outra OS; 
• Não há datas formais de início/fim da OS2, o trabalho ainda está na fase de acessos, embora seja esperado um prazo curto (cerca de duas semanas); 
• Kick-off ocorrido em 22/05/2026, sexta-feira, formalizando o início da execução da OS em 25/05/2026. 
 Solicitado ajustes e correções no cronograma do projeto (PWA) ao Gerente do Projeto, em abril de 2026, visando corrigir: atividades sem informação de datas de início e término planejadas, não conformidade entre as datas de início e término reais e as datas planejadas, e duração das atividades. 
 O “%Concluído: 85%” informado neste relatório, não reflete a evolução do projeto. Os ajustes de cronograma solicitados seguem em elaboração pelo gerente do projeto. </t>
  </si>
  <si>
    <t>Outros fatos relevantes a registrar 
 Sprint 25/35 – 06 a 26/05/2026 
 Confirmada a solicitação de 03 (três) endpoints ao Data Lake: 02 (dois) para Qualificação de Dados e 01 (hum) para Consulta Nacional de Pessoas. 
 Pontos de atenção: 
• Necessidade de realizar carga full de pessoas para melhoria de enriquecimento e realização de deduplicação 
• Possível retirada do escopo a integração com TSE por causa das eleições (prazo de 40 dias para definição). 
• Avaliando endpointsSERP com base na experiência de integração do Sniper: mecanismo de autenticação com token usuário SSO 
• Atraso na integração com SAREF: acesso ao endpointde georreferenciamento da apresentação da pessoa 
 Solicitações: 
• Mentor negocial em tratativas para estabelecer contatos técnicos com TSE e SERP; 
• ECP/DTI  verificando o PWA sobre a distorção do SPI do projeto; 
• Solicitado ao Jairo acesso ao endpointSAREF com dados de georreferenciamento da 
apresentação remota por reconhecimento facial</t>
  </si>
  <si>
    <t xml:space="preserve">Outros fatos relevantes a registrar 
 Etapa Atual: Sugestão de precedentes similares/ implementação de camada BFF - Sprint 06 – 18/05/2026 a 05/06/2026. 
 Atividades em andamento: 
• Sugestão de precedente sem IA 
• Melhoria na API ao paginar as decisões. 
• Criação da funcionalidade de exportação do resultado da busca do PANGEA 
 Solicitado ao Gerente do Projeto, em reunião realizada em 04/05/2026, ajustes e correções no cronograma do projeto (PWA), visando corrigir: 
• Atividades sem informação de datas de início e término planejadas; 
• Não-conformidade entre datas de início e término reais e as datas planejadas; 
• Duração de atividades; 
• Identificação/inclusão das entregas do Backlog 2026 (inclusão de escopo autorizado). 
 O “%Concluído: 76%” informado neste relatório, não reflete a evolução do projeto. Os ajustes de cronograma solicitados seguem em elaboração pelo gerente do projeto. 
 Reunião de Ponto de Controle realizada em 04/05/2026, com destaque para: 
• Revisão da Prova de Conceito (POC) de detecção de similaridade entre precedentes jurídicos, avaliação do painel de processos sobrestados e alinhamento estratégico para a integração de base. </t>
  </si>
  <si>
    <t>O projeto encontra-se na situação de “em atenção", porém, em conversa com o gerente do projeto, foi informado que o projeto está andando conforme o planejado, tendo sido identificada distorção na ferramenta de acompanhamento. Todavia, o problema foi identificado e a equipe do projeto já está trabalhando para sua correção.</t>
  </si>
  <si>
    <t xml:space="preserve">Entregas realizadas 
• Produto 6 -Implantação da integração base de dados da SERP/ONR 
 Roteiro aprovado 
 Envio parcial dos vídeos 
• Produto 9 –Protótipo das Melhorias Evolutivas 
 Reunião de aprovação com magistrados em  
 Envio da documentação de requisitos e arquitetura 
Entregas planejadas para o próximo mês 
• SNIPERBC-42 Produto 10–Implantação das Melhorias Evolutivas  
 Relatório descritivo sobre sistema implementado em ambiente de homologação e produção 
 Relatório descritivo acerca da conclusão da disponibilização de acesso via API 
 Relatório de testes
Outros fatos relevantes a registrar 
• Limitação de acesso às partes impedem de usar o Sniper para alguns processos e isto tem acontecido com alguns vindos do Datalake( provavelmente sigilosos ).  
• Chamados abertos para o Sniper mas são limitações de acesso às partes do processo no Datalake. </t>
  </si>
  <si>
    <t>registrou-se que as etapas 1 e 2 do projeto encontram-se integralmente concluídas, com a entrega da versão desktop dos formulários, a disponibilização da versão mobile da plataforma e a realização de integrações com serviços de dados. A etapa 3 encontra-se em execução, com avanço de 61%, contemplando o desenvolvimento da versão offline dos formulários e dos dashboards de consulta, com previsão de conclusão em 23 de abril de 2026. A etapa 4 ainda não foi iniciada, estando prevista para início ao final de abril de 2026, com conclusão estimada para 25 de junho de 2026, envolvendo integrações finais com sistemas externos. A equipe do projeto informou que, até a data da medição, não houve registro de problemas relevantes, encontrando-se o andamento dentro do esperado.</t>
  </si>
  <si>
    <t xml:space="preserve">Outros fatos relevantes a registrar 
• Testes do Cadastro de pessoas em Pré-prod.  
• AMBIENTE PRÉ-PROD –Sugestão:  
 Alterar o linkpara um link específico e diferente do atual.  
 Encaminhar mensagem (ou SEI)somente para o grupo de testes informando que não deve ser divulgado esse novo link.  
 Testar Cadastro de Pessoas, posteriormente Unificação de RJI. 
 Desabilitar o ambienteaté nova necessidade.  
• Garantia da estabilização técnica do consumo de tokens integrados estritamente via plataforma PDPJ (atendendo à determinação da DTI). 
• Atendimento de N1 / N2 e N3 –Plantões e atendimentos em horários alternativos.  </t>
  </si>
  <si>
    <t xml:space="preserve">Outros fatos relevantes a registrar 
 Etapa atual: Melhorias evolutivas e corretivas 
 Status operacional e entregas recentes:  
• Duas releases executadas no período; 
• Atendimento ao chamados N3; 
• Duas atividades TPU finalizadas: adicionar atributo de procedimento; estudo para geração de múltiplas cartas de desenvolvimento. 
 SIRF:  
• Em homologação à mais de 250 dias, aguardando validação do FONAREF.  
• Pendente a solicitação de envio de detalhamento do escopo da homologação está em análise pela equipe técnica PNUD. 
• Gerente do projeto enviou o detalhamento das pendências negociais do SIRF para escalonamento pelos gestores PNUD, destacou que a regulamentação do CNJ é apontada como crítica para adoção pelos tribunais. 
 Avisos e Alertas PDPJ: versão de avisos em teste, corrigindo erros para liberar a entrada em produção da V2. 
 Notificações: aumento do volume de notificações com o advento do iMensagem do Data Lake. 
 Phase out - Transferência de Tecnologia: 
• Etapa atual: Criação do cronograma Phase-out; 
• Documentação: Correção da documentação do Delegação de perfil e Avisos PDPJ; 
• Etapa prevista: Criação da documentação dos demais projetos; 
• Próximos passos: Enviar para o time de phase-out as correções solicitadas após finalizadas. 
• Agendada reunião de alinhamento para definir estratégias de phaseout, a ocorrer em 10/06/2026.  
 Solicitado ajustes e correções no cronograma do projeto (PWA) ao Gerente do Projeto, em abril de 2026, visando corrigir: atividades sem informação de datas de início e término planejadas, não conformidade entre as datas de início e término reais e as datas planejadas, e duração das atividades.  
 O “%Concluído: 56%” informado neste relatório, não reflete a evolução do projeto. Os ajustes de cronograma solicitados seguem em elaboração pelo gerente do projeto. </t>
  </si>
  <si>
    <t>Outros fatos relevantes a registrar 
• Reuniões de levantamento CNJ (Falta de Ponto Focal); 
• Dificuldade técnica de alguns colaboradores; 
• Documento MVP ainda em andamento (Anderson); 
• Piloto será nas Sessões de Julgamento do CNJ (Agosto); 
• Dificuldade no repasse de arquitetura, com risco de queda de capacidade e continuidade. 
• Analista de Requisitos sobrecarregado; 
• Termo de responsabilização dos tribunais e risco de bloqueio institucional/adesão</t>
  </si>
  <si>
    <t>SEI2</t>
  </si>
  <si>
    <t>Programa2</t>
  </si>
  <si>
    <t>Supervisor2</t>
  </si>
  <si>
    <t>Unidade Gestora (Negocial)2</t>
  </si>
  <si>
    <t>Bruno Gomes Faria</t>
  </si>
  <si>
    <r>
      <t xml:space="preserve">Coleta de dados dos sistemas do DPJ;
Apresentação do diagnóstico aos tribunais;
</t>
    </r>
    <r>
      <rPr>
        <strike/>
        <sz val="11"/>
        <color theme="1"/>
        <rFont val="Calibri"/>
        <family val="2"/>
        <scheme val="minor"/>
      </rPr>
      <t xml:space="preserve">Visitas in-loco e criação de soluções;
</t>
    </r>
    <r>
      <rPr>
        <sz val="11"/>
        <color theme="1"/>
        <rFont val="Calibri"/>
        <family val="2"/>
        <scheme val="minor"/>
      </rPr>
      <t xml:space="preserve">Trinunais apresentam proposta para solução dos gargalos ao CNJ;
Acompanhamento e medição dos resultados das soluções
Relatório final do projeto
</t>
    </r>
  </si>
  <si>
    <t xml:space="preserve">Avaliação do problema, proposição de solução e desenvolvimento de 1º MVP
Tela Inicial (dashboard e cartão de informações processuais);
Módulo de informações processuais e;
Módulo de redação de documentos;
Testes caixa preta, testes de piloto em produção e testes automatizados
Replanejamento do projeto considerando novas entregas (Adequação PDPJ e transferência de conhecimento para o CNJ) e integrações.
</t>
  </si>
  <si>
    <t xml:space="preserve">• Proposição de solução
• Prova de conceito (POC)
• Desenvolvimento MVP2
• Prova de conceito 2 (POC2)
• Desenvolvimento MVP3
• Prova de conceito 3 (POC3)
• Revisão da ferramenta
• Divulgação e treinamento
• Repasse para equipe de suporte e call off
</t>
  </si>
  <si>
    <t>Funcionalidades para a Justiça:
'-Carta Precatória;
-Resposta à Carta precatória;
-Declínio de competência;
-Encaminhamento de ofícios.
Funcionalidades para o público em geral:
-Consultar Processos;
-Peticionar Intercorrente;
-Minhas Petições;
-Autos Digitais;
-Integração ao Domicílio Eletrônico;
-Integração ao Diário da Justiça;
-Integração Peticionamento Intercorrente;
-Peticionamento Inicial;
-Peticionamento Específico para o Processo Criminal;
-Peticionamento Específico para Execução Fiscal;
-Integração Peticionamento Inicial.</t>
  </si>
  <si>
    <t>Funcionalidades para a Justiça:
'-Carta Precatória;
-Resposta à Carta precatória.
Funcionalidades para o público em geral:
-Consultar Processos;
-Peticionar Intercorrente;
-Minhas Petições;
-Autos Digitais;
-Integração ao Domicílio Eletrônico;
-Integração ao Diário da Justiça;
-Integração Peticionamento Intercorrente.</t>
  </si>
  <si>
    <t>- Capacitação do time de Suporte Técnico aos sistemas legados;
- Apoio técnico aos Tribunais e demais membros e/ou interessados do sistema judiciário brasileiro.</t>
  </si>
  <si>
    <t>31/06/2025</t>
  </si>
  <si>
    <t>Fluxo Nacional Automatizado das Execuções Fiscais</t>
  </si>
  <si>
    <t>Dr. Mauro Campbell Marques</t>
  </si>
  <si>
    <t>Dra. Katia Hermínia Martins Lazarano Roncada</t>
  </si>
  <si>
    <t>Preparação do Ambiente de Desenvolvimento/Teste;
Preparação de uma PoC (Prova de Conceito);
Implementação do MVP;
Planejamento do Lançamento de Homologação;
Lançamento da API_de_Pessoas em Produção.</t>
  </si>
  <si>
    <t>Preparação do Ambiente de Desenvolvimento/Teste;
Preparação de uma PoC (Prova de Conceito);</t>
  </si>
  <si>
    <t>Formulário Rogéria elaborado;
Formulário FONAR elaborado;
Sistema homologado e lançado</t>
  </si>
  <si>
    <t>Projeto</t>
  </si>
  <si>
    <t>Política Programática</t>
  </si>
  <si>
    <t>Programática?</t>
  </si>
  <si>
    <t>Qtd</t>
  </si>
  <si>
    <t>Programa Justiça 4.0</t>
  </si>
  <si>
    <t>Total de Projetos</t>
  </si>
  <si>
    <t>Política de Gestão da Inovação no âmbito do Poder Judiciário</t>
  </si>
  <si>
    <t>Estratégia Nacional de Tecnologia da Informação e Comunicação do Poder Judiciário (ENTIC-JUD)</t>
  </si>
  <si>
    <t>Política Judiciária de Gestão dos Precatórios (FONAPREC)</t>
  </si>
  <si>
    <t>Política Judiciária de Monitoramento e Resolução das Demandas de Assistência à Saúde.</t>
  </si>
  <si>
    <t>Política Judiciária Nacional de Tratamento Adequado dos Conflitos de Interesses no Âmbito do Poder Judiciário</t>
  </si>
  <si>
    <t>Política Judiciária de Racionalidade e Eficiência das Execuções Fiscais</t>
  </si>
  <si>
    <t>Política Nacional Judicial de Atenção a Pessoas em Situação de Rua (PopRuaJud)</t>
  </si>
  <si>
    <t>Política Judiciária para a Promoção da Aplicação de Alternativas Penais</t>
  </si>
  <si>
    <t>Política de Acessibilidade e Inclusão de Pessoas com Deficiência nos Órgãos do Poder Judiciário</t>
  </si>
  <si>
    <t>Programa Novos Caminhos/CNJ</t>
  </si>
  <si>
    <t>Política de Auditoria Interna do Poder Judiciário (SIAUD-JUD)</t>
  </si>
  <si>
    <t xml:space="preserve">Política Judiciária Nacional de Enfrentamento à Violência Contra as Mulheres pelo Poder Judiciário </t>
  </si>
  <si>
    <t>Estratégia Nacional de Segurança Cibernética do Poder Judiciário (ENSEC-PJ)</t>
  </si>
  <si>
    <t>Política Nacional de Incentivo à Participação Institucional Feminina no Poder Judiciário</t>
  </si>
  <si>
    <t>Política para Adoção de Perspectiva de Gênero do Poder Judiciário</t>
  </si>
  <si>
    <t>Finalizados</t>
  </si>
  <si>
    <t>Todos</t>
  </si>
  <si>
    <t>Objetivos Estratégicos</t>
  </si>
  <si>
    <t>2021</t>
  </si>
  <si>
    <t>2022</t>
  </si>
  <si>
    <t>2023</t>
  </si>
  <si>
    <t>2024</t>
  </si>
  <si>
    <t>2025</t>
  </si>
  <si>
    <t>2026</t>
  </si>
  <si>
    <t>Total</t>
  </si>
  <si>
    <t>11. Garantir Infraestrutura adequada ao funcionamento do CNJ</t>
  </si>
  <si>
    <t>15. Estimular a comunicação ao cidadão, a integração e a colaboração no âmbito do Poder Judiciário</t>
  </si>
  <si>
    <t>17.Promover  a saúde e a qualidade de vida no trabalho de forma integrada e contínua</t>
  </si>
  <si>
    <t>18. Aprimorar sistemas de gestão de planejamento, orçamento e finanças no Poder Judiciário</t>
  </si>
  <si>
    <t>Macrodesafios</t>
  </si>
  <si>
    <t>07. Promoção da sustentabilidade</t>
  </si>
  <si>
    <t>11. Aperfeiçoamento da gestão orçamentária e financeira</t>
  </si>
  <si>
    <t>RESUMO DO PROJETO</t>
  </si>
  <si>
    <t>PROJETO (selecione o projeto na célula ao lado)</t>
  </si>
  <si>
    <t>PROCESSO</t>
  </si>
  <si>
    <t>RESPONSAVEL</t>
  </si>
  <si>
    <t>UNIDADE RESPONSÁVEL</t>
  </si>
  <si>
    <t>GESTOR </t>
  </si>
  <si>
    <t>UNIDADE GESTOR</t>
  </si>
  <si>
    <t>AUXILIAR 1</t>
  </si>
  <si>
    <t>Auxiliar 2</t>
  </si>
  <si>
    <t>Auxiliar 3</t>
  </si>
  <si>
    <t>Rótulo</t>
  </si>
  <si>
    <t>DPVATJUD</t>
  </si>
  <si>
    <t>Prevjud</t>
  </si>
  <si>
    <t>PMO Jud -Redesenho dos processos do Escritório de Projetos do CNJ - Justiça 4.0</t>
  </si>
  <si>
    <t>SNMC – Serviço Nacional de Monitoramento de Conformidades dos Atos Normativos do CNJ</t>
  </si>
  <si>
    <t>PDPJ-BR Compliance</t>
  </si>
  <si>
    <t>Plano Nacional de Fomento ao Esporte e Lazer (sistema penal)</t>
  </si>
  <si>
    <t>Portal Jus.br</t>
  </si>
  <si>
    <t>Painel Crime Organizado.</t>
  </si>
  <si>
    <t>Mapa Nacional do Crime</t>
  </si>
  <si>
    <t>Audiência de Custódia (sistema penal)</t>
  </si>
  <si>
    <t>Alternativas Penais (sistema penal)</t>
  </si>
  <si>
    <t>Monitoração Eletrônica (sistema penal)</t>
  </si>
  <si>
    <t>Central de Regulação de Vagas (sistema penal)</t>
  </si>
  <si>
    <t>Ação Nacional de Trabalho e Renda (sistema penal)</t>
  </si>
  <si>
    <t>Plano Nacional de Fomento à Leitura (sistema penal)</t>
  </si>
  <si>
    <t>Atenção às Pessoas Egressas e Escritório Social (sistema penal)</t>
  </si>
  <si>
    <t>Fortalecimento da Participação Social (sistema penal)</t>
  </si>
  <si>
    <t>Comitê de Políticas Penais (sistema penal)</t>
  </si>
  <si>
    <t>Mutirão Processual Penal (sistema penal)</t>
  </si>
  <si>
    <t>Sistema Eletrônico de Execução Unificado - SEEU (sistema penal)</t>
  </si>
  <si>
    <t>Atendimento Inicial e Núcleo de Atendimento Integrado (sistema socioeducativo)</t>
  </si>
  <si>
    <t>Central de Vagas (sistema socioeducativo)</t>
  </si>
  <si>
    <t>Audiência Concentrada (sistema socioeducativo)</t>
  </si>
  <si>
    <t>Programa Pós-medida (sistema socioeducativo)</t>
  </si>
  <si>
    <t>Ação Nacional de Cultura (sistema socioeducativo)</t>
  </si>
  <si>
    <t>Aprendizagem (sistema socioeducativo)</t>
  </si>
  <si>
    <t>Plataforma Socioeducativa (sistema socioeducativo)</t>
  </si>
  <si>
    <t>Portfólio 2025?</t>
  </si>
  <si>
    <t>Portfólio 2026?</t>
  </si>
  <si>
    <t>GERENTE/GESTOR</t>
  </si>
  <si>
    <t>CONSULTOR RESPONSÁVEL</t>
  </si>
  <si>
    <t>PROGRAMA</t>
  </si>
  <si>
    <t>DATA DE TÉRMINO</t>
  </si>
  <si>
    <t>STATUS</t>
  </si>
  <si>
    <t>SITUAÇÃO</t>
  </si>
  <si>
    <t>Jan-23</t>
  </si>
  <si>
    <t>Jan-24</t>
  </si>
  <si>
    <t>Feb-24</t>
  </si>
  <si>
    <t>Mar-24</t>
  </si>
  <si>
    <t>Apr-24</t>
  </si>
  <si>
    <t>May-24</t>
  </si>
  <si>
    <t>Jun-24</t>
  </si>
  <si>
    <t>Jul-24</t>
  </si>
  <si>
    <t>Aug-24</t>
  </si>
  <si>
    <t>Sep-24</t>
  </si>
  <si>
    <t>Oct-24</t>
  </si>
  <si>
    <t>Nov-24</t>
  </si>
  <si>
    <t>Dec-24</t>
  </si>
  <si>
    <t>jan-25</t>
  </si>
  <si>
    <t>fev/25</t>
  </si>
  <si>
    <t>mar/25</t>
  </si>
  <si>
    <t>abr/25</t>
  </si>
  <si>
    <t>mai/25</t>
  </si>
  <si>
    <t>jun/25</t>
  </si>
  <si>
    <t>jul/25</t>
  </si>
  <si>
    <t>ago/25</t>
  </si>
  <si>
    <t>set/25</t>
  </si>
  <si>
    <t>out/25</t>
  </si>
  <si>
    <t>nov/25</t>
  </si>
  <si>
    <t>dez/25</t>
  </si>
  <si>
    <t>jan/26</t>
  </si>
  <si>
    <t>fev/26</t>
  </si>
  <si>
    <t>mar/26</t>
  </si>
  <si>
    <t>abr/26</t>
  </si>
  <si>
    <t>mai/26</t>
  </si>
  <si>
    <t>jun/26</t>
  </si>
  <si>
    <t>jul/26</t>
  </si>
  <si>
    <t>ago/26</t>
  </si>
  <si>
    <t>set/26</t>
  </si>
  <si>
    <t>out/26</t>
  </si>
  <si>
    <t>nov/26</t>
  </si>
  <si>
    <t>dez/26</t>
  </si>
  <si>
    <t>dez-2023</t>
  </si>
  <si>
    <t>Tony</t>
  </si>
  <si>
    <t>Juliana</t>
  </si>
  <si>
    <t>Tony/finalizado</t>
  </si>
  <si>
    <t>Tony / Cris</t>
  </si>
  <si>
    <t>Finalizado/Juliana</t>
  </si>
  <si>
    <t>Igor</t>
  </si>
  <si>
    <t>Fábio</t>
  </si>
  <si>
    <t>Raphael</t>
  </si>
  <si>
    <t>Igor/Finalizado</t>
  </si>
  <si>
    <t>juloi</t>
  </si>
  <si>
    <t>Igor/finalizado</t>
  </si>
  <si>
    <t>Cristina de Oliveira Winckler  /Finalizado</t>
  </si>
  <si>
    <t>Raphael/ CRIS</t>
  </si>
  <si>
    <t xml:space="preserve">Raphael </t>
  </si>
  <si>
    <t xml:space="preserve"> </t>
  </si>
  <si>
    <t>Igor/cancelado</t>
  </si>
  <si>
    <t>SITUAÇÃO  DO PROJETO</t>
  </si>
  <si>
    <t>QUANTIDADE</t>
  </si>
  <si>
    <t>% SITUAÇÃO</t>
  </si>
  <si>
    <t>Atrasado ou crítico</t>
  </si>
  <si>
    <t>No prazo</t>
  </si>
  <si>
    <t>Concluído</t>
  </si>
  <si>
    <t>Em Atenção</t>
  </si>
  <si>
    <t>Autorizado</t>
  </si>
  <si>
    <t>TOTAL DE PROJETOS CADASTRADOS</t>
  </si>
  <si>
    <t>PROJETOS POR OBJETIVO ESTRATÉGICO</t>
  </si>
  <si>
    <t>TOTAL</t>
  </si>
  <si>
    <t>NOVOS 2024</t>
  </si>
  <si>
    <t>TOTAL 2025</t>
  </si>
  <si>
    <t>NOVOS 2025</t>
  </si>
  <si>
    <t>TOTAL 2026</t>
  </si>
  <si>
    <t>NOVOS 2026</t>
  </si>
  <si>
    <t>PROJETOS POR MACRODESAFIO</t>
  </si>
  <si>
    <t>TOTAL 2024</t>
  </si>
  <si>
    <t>QUANTIDADE 2024</t>
  </si>
  <si>
    <t>QUANTIDADE 2025</t>
  </si>
  <si>
    <t>QUANTIDADE 2026</t>
  </si>
  <si>
    <t>Entregas de Valor</t>
  </si>
  <si>
    <t>Data prevista</t>
  </si>
  <si>
    <t>Data realizada</t>
  </si>
  <si>
    <t>% Execução</t>
  </si>
  <si>
    <t>Valor orçado</t>
  </si>
  <si>
    <t>Valor pago</t>
  </si>
  <si>
    <t>Observação</t>
  </si>
  <si>
    <t>Plano de trabalho, identidade visual, conteúdos 
programáticos e objetos pedagógicos de 
aprendizagem a serem utilizados nos cursos de 
Java Básico, Java Avançado, Angular e Testes 
Automatizados</t>
  </si>
  <si>
    <t>Curso síncrono de Java Básico ministrado aos alunos</t>
  </si>
  <si>
    <t>Curso autoinstrucional de Java Básico</t>
  </si>
  <si>
    <t>Curso síncrono de Java Avançado ministrado aos alunos</t>
  </si>
  <si>
    <t>Curso autoinstrucional de Java Avançado</t>
  </si>
  <si>
    <t>Curso síncrono de Angular ministrado aos alunos</t>
  </si>
  <si>
    <t>Curso síncrono de Testes Automatizados ministrado aos alunos</t>
  </si>
  <si>
    <t>Curso autoinstrucional de Angular</t>
  </si>
  <si>
    <t>Curso autoinstrucional de Testes Automatizados</t>
  </si>
  <si>
    <t>Guia Prático das Inspeções Judiciais</t>
  </si>
  <si>
    <t>Guia Prático de Ferramentas Institucionais</t>
  </si>
  <si>
    <t>Funcionalidade: Minuta de atos judiciais</t>
  </si>
  <si>
    <t>Assinatura de atos judiciais e expedientes</t>
  </si>
  <si>
    <t>Módulo de redação de documentos</t>
  </si>
  <si>
    <t>Agenda de audiências</t>
  </si>
  <si>
    <t>Estatísticas do gabinete</t>
  </si>
  <si>
    <t>Gestão de trabalho (atribuição de tarefas aos assessores)</t>
  </si>
  <si>
    <t>Integração com SISBAJUD e BNMP</t>
  </si>
  <si>
    <t>Estatísticas da vara</t>
  </si>
  <si>
    <t>Consulta Documentos (Minutas)</t>
  </si>
  <si>
    <t>Módulo de modelo de minutas</t>
  </si>
  <si>
    <t>Funcionalidades de Administração do CNJ</t>
  </si>
  <si>
    <t>Monitoramento das APIs dos sistemas de processo eletrônico</t>
  </si>
  <si>
    <t>Busca de Minutas (Opensearch)</t>
  </si>
  <si>
    <t>Mini-PAC - Preparar Ato de Comunicação</t>
  </si>
  <si>
    <t>Desenvolvimento dos fluxos para poder atender à Resolução CNJ 569</t>
  </si>
  <si>
    <t>Adequação do módulo do gabinete à PDPJ</t>
  </si>
  <si>
    <t>Editor de texto - possibilidade de escolha entre dois editores</t>
  </si>
  <si>
    <t>IA para busca de precedentes qualificados e emissão de relatórios</t>
  </si>
  <si>
    <t>Desenvolvimento de uma metodologia para aplicação de técnicas de mineração de processos nas bases de dados do PJe.</t>
  </si>
  <si>
    <t>Análise das 22 (vinte e duas) ferramentas de mineração de processos citadas no relatório Market Guide for Process Mining (publicado em 17 de junho de 2019 - ID G00387812 - Gartner).</t>
  </si>
  <si>
    <t> Implantação de um Laboratório Virtual de Mineração de Processos;</t>
  </si>
  <si>
    <t>Validação da metodologia com magistrados e servidores em tribunais participantes deste projeto.</t>
  </si>
  <si>
    <t>Lançamento da ferramenta de mineração de processos do CNJ e projeto de expansão do laboratório.</t>
  </si>
  <si>
    <t>Apropriação tecnológica da atual versão do protótipo funcional para mineração de processos a partir do log de eventos do CODEX e treinamento da equipe nas tecnologias a serem utilizadas.</t>
  </si>
  <si>
    <t>Identificação de redes sociais do relacionamento funcional entre os servidores e magistrados do judiciário brasileiro.</t>
  </si>
  <si>
    <t>Identificação das atividades executadas por cada servidor e aferir seu nível de eficiência global e durante a realização de atividades específicas.</t>
  </si>
  <si>
    <t>Pesquisa para contribuir com o trabalho das corregedorias através de técnicas tradicionais de análise de conformidade para identificar quais processos não seguiram o fluxo estabelecido e pela criação de novas técnicas de análise de conformidade para reconhecer padrões de comportamento inesperados (ex. um arquivamento sem sentença) em processos da corregedoria.</t>
  </si>
  <si>
    <t>Capacitação de magistrados e servidores de tribunais integrados ao CODEX sobre mineração de processos e uso da ferramenta, coletando subsídios para aprimorar a ferramenta desenvolvida neste projeto.</t>
  </si>
  <si>
    <t>Avaliação de aspectos não funcionais como desempenho da ferramenta em situações de alta demanda e a tomada de ações para melhoria do desempenho e a manutenção da estabilidade da ferramenta em momentos críticos.</t>
  </si>
  <si>
    <t>Transferência tecnológica da ferramenta de mineração de processos para a equipe técnica do CNJ.</t>
  </si>
  <si>
    <t xml:space="preserve">Descoberta e apresentação do fluxo processual, dando destaque aos pesos dos movimentos judiciais, que serão atribuídos com base na quantidade e categoria dos documentos produzidos em cada categoria de movimento e em outras informações que se julguem relevantes para cálculo dos pesos. </t>
  </si>
  <si>
    <t xml:space="preserve">Desenvolvimento de algoritmo novo para permitir a descoberta dos pontos de início e fim do processo descoberto a partir de dados associados aos documentos ou outras informações contidas no Codex ou fornecidas pelo próprio usuário. O algoritmo também permitirá que o usuário force a inclusão/remoção de determinados movimentos no/do fluxo descoberto e possa descobrir os movimentos </t>
  </si>
  <si>
    <t>Geração de gráficos com informações relativas ao impacto de transições críticas (transições lentas entre dois movimentos), que são momentos com alto custo temporal entre dois movimentos processuais.</t>
  </si>
  <si>
    <t xml:space="preserve">Estudos exploratórios na área de litigância predatória com vistas à descoberta de processos com características relacionadas ao fenômeno </t>
  </si>
  <si>
    <t xml:space="preserve"> Visão dinâmica, que revele um filme com a evolução clara dos fluxos seguidos pelos processos judiciais de uma vara de justiça em um determinado período de tempo, conferindo maior intuição sobre o comportamento dos processos e facilitando a identificação dos períodos de maior ou menor atividade, a percepção sobre eventuais gargalos nos fluxos e pontos de retrabalho;</t>
  </si>
  <si>
    <t>Fortalecimento do módulo voltado para as corregedorias com funcionalidades que permitam comparar unidades judiciárias, destacando similaridades e diferenças no comportamento observado em seus fluxos processuais, tempo despendido em diferentes fases processuais, forma de trabalho de magistrados e serventuários, além de destacar processos parados por longos períodos de tempo.</t>
  </si>
  <si>
    <t>Novas estratégias para otimizar a carga, atualização e processamento dos dados obtidos da plataforma Codex.</t>
  </si>
  <si>
    <t>Criação de um mecanismo baseado em técnicas de Inteligência Artificial (IA) para agrupamento de processos judiciais de uma mesma unidade judiciária</t>
  </si>
  <si>
    <t>Guia de Uso Estratégico demonstrando como aplicar a ferramenta JuMP para auxiliar magistrados e serventuários do judiciário brasileiro na realização de análises em cenários e contextos práticos comuns às rotinas dos tribunais.</t>
  </si>
  <si>
    <t>Módulo Dossiê Médico</t>
  </si>
  <si>
    <t>Módulo Dossiê Previdenciário</t>
  </si>
  <si>
    <t>Módulo Intimação Judicial</t>
  </si>
  <si>
    <t>Módulo Extração de dados da súmula</t>
  </si>
  <si>
    <t>Módulo PAP</t>
  </si>
  <si>
    <t>Integração com a PDPJ</t>
  </si>
  <si>
    <t>Apoio à integração Pje e eProc</t>
  </si>
  <si>
    <t>Módulo de métricas previdenciárias</t>
  </si>
  <si>
    <t>Módulo Novos dados previdenciários</t>
  </si>
  <si>
    <t>Evoluções PAP&lt; Dossiês Médico e Previdenciário, Ordem Judicial</t>
  </si>
  <si>
    <t>Melhorias evolutivas e performance</t>
  </si>
  <si>
    <t>Coleta de dados</t>
  </si>
  <si>
    <t>Apresentação do diagnóstico aos tribunais</t>
  </si>
  <si>
    <t>Criação de soluções</t>
  </si>
  <si>
    <t>Acompanhamento e medição dos resultados das soluções</t>
  </si>
  <si>
    <t>Relatório final do projeto</t>
  </si>
  <si>
    <t>Integração da fonte de dados do SEEU ao Data Lake</t>
  </si>
  <si>
    <t>Integração da fonte de dados do CODEX ao Data Lake</t>
  </si>
  <si>
    <t>Integração da fonte de dados do DATAJUD ao Data Lake</t>
  </si>
  <si>
    <t>Em reunião no dia 29/5, fomos informados que não será necessária a integração do datajud e do bnmp diretamente ao data lake.</t>
  </si>
  <si>
    <t>Integração da fonte de dados do BNMP ao Data Lake</t>
  </si>
  <si>
    <t>API de consulta aos dados de pessoas integrados ao Data Lake</t>
  </si>
  <si>
    <t xml:space="preserve">Construção das telas de consulta à API </t>
  </si>
  <si>
    <t>Tratamento dos dados</t>
  </si>
  <si>
    <t>Integração dados Polícia Federal</t>
  </si>
  <si>
    <t xml:space="preserve">A PF consegue consultar os dados enviados pelo CNJ, mas encontra-se em construção o serviço de mensagens automáticas de movimentação.
O CNJ tem acesso a arquivo em PDF com os dados enviados pela PF. O trabalho para que os dados venham estruturados encontra-se em andamento. </t>
  </si>
  <si>
    <t>Folha de Antecedentes Criminais</t>
  </si>
  <si>
    <t>Lançamento não ocorreu em junho de 2025, tendo sido reprogramado para 2 de dezembro de 2025, durante o encontro nacional.</t>
  </si>
  <si>
    <t>Diagnóstico e criação do fluxo padronizado</t>
  </si>
  <si>
    <t xml:space="preserve"> Ajustes na ferramenta</t>
  </si>
  <si>
    <t>Identidade Visual</t>
  </si>
  <si>
    <t>Portaria da Presidência - Fases do piloto</t>
  </si>
  <si>
    <t>Plano de Comunicação</t>
  </si>
  <si>
    <t>Elaboração de tutorial</t>
  </si>
  <si>
    <t>Implementação faseada do sistema</t>
  </si>
  <si>
    <t>Capacitação</t>
  </si>
  <si>
    <t>Lançamento do sistema</t>
  </si>
  <si>
    <t>Disponibilização das informações coletadas no Cumprdec</t>
  </si>
  <si>
    <t>Módulo de Cadastro de Precatórios e RPVs</t>
  </si>
  <si>
    <t>Módulo de Gestão de Devedores e Legislação de Pequeno Valor</t>
  </si>
  <si>
    <t>Módulo de Saldos, Correções Monetárias e Juros</t>
  </si>
  <si>
    <t>Módulo de Prioridades, Consultas (estado do precatório/RPV) e Lista de ordem cronológica</t>
  </si>
  <si>
    <t>Módulo de Gestão e Acompanhamento do Regime Especial</t>
  </si>
  <si>
    <t>Atualização do Módulo 1 - Cadastro, melhorias e 
correções</t>
  </si>
  <si>
    <t>Módulo de Retenção, Penhora, Cessão e Sequestro</t>
  </si>
  <si>
    <t>Módulo de Pagamento e Gestão de Contas Bancárias</t>
  </si>
  <si>
    <t>Módulo de Acordo, Negociação, Convênios e Cronograma</t>
  </si>
  <si>
    <t>Módulo de Certidões (cessão, negociação, valor líquido disponível, positiva de inadimplência, quitação...)</t>
  </si>
  <si>
    <t>Módulo de Auditoria, Inspeção e Correição</t>
  </si>
  <si>
    <t>Módulo de Mapas, Relatórios e Transparência</t>
  </si>
  <si>
    <t>Implantação do sistema</t>
  </si>
  <si>
    <t>Evento: TJPE e TRF5</t>
  </si>
  <si>
    <t>Evento: TJMG e TRF6</t>
  </si>
  <si>
    <t>Evento: TJMS</t>
  </si>
  <si>
    <t>Evento: TJBA</t>
  </si>
  <si>
    <t>Evento: TJSC</t>
  </si>
  <si>
    <t>Evento: TJRJ e TRF2</t>
  </si>
  <si>
    <t>Fomento à criação de UMFs locais e articulação de REDE de UMFs</t>
  </si>
  <si>
    <t>Promoção de diretrizes básicas para a cooperação institucional</t>
  </si>
  <si>
    <t>Adoção de Diretrizes para um Protocolo de Contingência visando a cumprir as decisões do SIDH</t>
  </si>
  <si>
    <t>Valorização das boas práticas de mecanismos nacionais de implementação</t>
  </si>
  <si>
    <t>Realização da 2ª edição do Concurso Nacional de sentenças e decisões em Direitos Humanos</t>
  </si>
  <si>
    <t>Fomento a incubadoras de projetos de formação em direitos 
humanos e controle de convencionalidade</t>
  </si>
  <si>
    <t>Publicação dos Cadernos de Jurisprudência: Concretizando Direitos Humanos</t>
  </si>
  <si>
    <t>Construção de um Plano de Comunicação centrado na promoção dos Direitos Humanos</t>
  </si>
  <si>
    <t>Identidade visual do projeto</t>
  </si>
  <si>
    <t>Plano de Comunicação e Sensibilização</t>
  </si>
  <si>
    <t>Implementação dos sub-módulos da inicial e da citação</t>
  </si>
  <si>
    <t>Implementação do sub-módulo de Comunicação e Sensibilização</t>
  </si>
  <si>
    <t>Implementação do sub-módulo de Constrição</t>
  </si>
  <si>
    <t>Projeto Piloto</t>
  </si>
  <si>
    <t>Facilitar a Criação e Configuração de Sessões de Julgamento</t>
  </si>
  <si>
    <t>Aprimorar a Gestão de Processos e Pautas</t>
  </si>
  <si>
    <t>Otimizar a Experiência do Usuário</t>
  </si>
  <si>
    <t>Assegurar a Qualidade e a Personalização</t>
  </si>
  <si>
    <t>Aprimorar a elaboração e gestão de votos por relator e vogais, incluindo sugestões de voto, preliminares, mérito, declarações e revisões, garantindo maior precisão e colaboração no julgamento colegiado.</t>
  </si>
  <si>
    <t>Otimizar o fluxo de julgamento com suporte à aplicação de filtros, ações em lote, adiamentos, pedidos de vista e integração em tempo real, proporcionando maior agilidade e controle sobre os processos.</t>
  </si>
  <si>
    <t>Ampliar a transparência e o acesso à informação, permitindo a visualização de votos, ementas, relatórios, objetos de votação, situação da votação e subdivisões de sustentação oral e proclamação de resultado.</t>
  </si>
  <si>
    <t>Assegurar flexibilidade e controle administrativo, por meio da definição de perfis (tribunal/CNJ), parâmetros do sistema, segmentações por local e inibição de propagação de composições de sessão.</t>
  </si>
  <si>
    <t>Fortalecer a rastreabilidade e segurança das sessões, com validação de pendências, geração de alertas para cenários conhecidos e estruturação de componentes para entrada de dados nas sessões de julgamento.</t>
  </si>
  <si>
    <t>Inclusão e preparação de processos: Implementadas funcionalidades que permitem ao relator solicitar inclusão em pauta, indicar que o processo está concluso no gabinete e preparar o voto mesmo fora da sessão, com essas ações disponíveis em diferentes contextos do sistema (listagem, área de votação e sessão).</t>
  </si>
  <si>
    <t>Metadados e prioridades processuais: Na criação da pauta, o secretário pode incluir prioridades processuais nos metadados dos processos, promovendo melhor organização e tratamento conforme critérios de urgência ou relevância.</t>
  </si>
  <si>
    <t>Movimentações processuais unificadas: Foi disponibilizada a tabela unificada do CNJ (movimento 193 e filhos), permitindo a correta vinculação das movimentações ao acórdão, garantindo padronização e integridade dos dados processuais.</t>
  </si>
  <si>
    <t>Integrações técnicas com sistemas externos: Foram desenvolvidos recursos para integração de entrada e consumo de dados, como recebimento de processos, órgãos julgadores e colegiados, fortalecendo o intercâmbio entre o módulo de sessões e sistemas de origem.</t>
  </si>
  <si>
    <r>
      <t>Edição e assinatura de documentos: O secretário pode editar o acórdão e assinar certidões individuais via Assinador A1 do CNJ, enquanto o magistrado pode assinar o acórdão com o </t>
    </r>
    <r>
      <rPr>
        <i/>
        <sz val="12"/>
        <color rgb="FF000000"/>
        <rFont val="Arial"/>
        <family val="2"/>
      </rPr>
      <t>PJeOffice</t>
    </r>
    <r>
      <rPr>
        <sz val="12"/>
        <color rgb="FF000000"/>
        <rFont val="Arial"/>
        <family val="2"/>
      </rPr>
      <t>, assegurando conformidade jurídica e segurança digital.</t>
    </r>
  </si>
  <si>
    <t>Fechamento da sessão e proclamação de resultado: Adicionada subdivisão para indicar o encerramento do processo e a produção de documentos, com destaque para o vogal vencedor, contribuindo para maior clareza e padronização no encerramento das sessões.</t>
  </si>
  <si>
    <t>Inicialização manual da sessão de julgamento: Implementada a funcionalidade que permite ao secretário da sessão inicializar manualmente a sessão de julgamento após finalizar o planejamento dela.</t>
  </si>
  <si>
    <t>Segmentação dos recursos do sistema: Implementação da restrição de dados movimentados de acordo com o tribunal associado ao usuário logado, a partir do seu vínculo com o colegiado.</t>
  </si>
  <si>
    <t>Configuração de movimentação com complementos dinâmicos: Implementação da permissão de selecionar um movimento processual com complemento dinâmico pelo órgão julgador vencedor.</t>
  </si>
  <si>
    <t>Restrição para seleção de órgãos julgadores ativos: Implementação na composição da sessão de julgamento para considerar apenas colegiados, órgãos e magistrados ativos na seleção.</t>
  </si>
  <si>
    <t>Filtro de julgamento com base na composição: Ajustado o filtro que retorna os processos disponíveis para inclusão sejam feitos com base na composição da sessão de julgamento.</t>
  </si>
  <si>
    <t>Modelo nativo para ata da sessão: Disponibilização de um modelo pré-definido configurável para ser utilizado na elaboração da ata da sessão de julgamento.</t>
  </si>
  <si>
    <t>Inclusão de usuários com perfil administrativo: Execução via api de usuários com perfil de administrador.</t>
  </si>
  <si>
    <t>Análise inicial, definição da estrutura e responsáveis </t>
  </si>
  <si>
    <t>Documentação Padrão</t>
  </si>
  <si>
    <t>Transição e Entrega (piloto - SPVATJUD)</t>
  </si>
  <si>
    <t>Atualização da Metodologia de Phase-out</t>
  </si>
  <si>
    <t>Mapeamento das Soluções e Sistemas</t>
  </si>
  <si>
    <t>Condução dos Processos de Validação</t>
  </si>
  <si>
    <t>Estruturação do Processo de Transição</t>
  </si>
  <si>
    <t>Promoção de Transição Sustentáve</t>
  </si>
  <si>
    <t>Identificação dos 10 maiores litigantes, ativos e 
passivos</t>
  </si>
  <si>
    <t>Criação de script de banco de dados</t>
  </si>
  <si>
    <t>Criar base de dados com os 10 maiores litigantes</t>
  </si>
  <si>
    <t>Criação de frontend</t>
  </si>
  <si>
    <t>Disponibilização de dados em Homologação</t>
  </si>
  <si>
    <t>Disponibilização de dados em Desenvolvimento</t>
  </si>
  <si>
    <t>Disponibilização de dados em Produção</t>
  </si>
  <si>
    <t>Publicação / Apresentação do Painel</t>
  </si>
  <si>
    <t>Monitorar o engajamento dos tribunais que aderiram ao Pacto Nacional</t>
  </si>
  <si>
    <t>Divulgação dos cadernos formativos elaborados em parceria com o programa Fazendo Justiça</t>
  </si>
  <si>
    <t>A equipe da SCS diálogará com a equipe do DMF para entender como está sendo feita a divulgação do caderno já elaborado e o acompanhamento do uso do documento.
O contato com a equipe do DMF foi realizado durante a reunião, tendo o Departamento realizado a divulgação. Dessa forma, entendeu-se que a meta foi concluída e a divulgação do material do caderno será incluída
na capacitação dos servidores.
Não serão elaborados outros cadernos neste momento</t>
  </si>
  <si>
    <t>Primeira edição do Prêmio Anual de Equidade Racial do Poder Judiciário para homenagear os Tribunais que desenvolverem Programas cuja centralidade seja o combate 
ao racismo institucional, atendendo, ainda, aos Objetivos de Desenvolvimento Sustentável (ODS) que compõem a Agenda 2030</t>
  </si>
  <si>
    <t>Realizar a segunda edição do Prêmio Anual de Equidade
Racial do Poder Judiciário para homenagear os Tribunais que
desenvolverem Programas cuja centralidade seja o combate ao racismo institucional, atendendo, ainda, aos Objetivos de Desenvolvimento Sustentável (ODS) que compõem a Agenda 2030 (20%);</t>
  </si>
  <si>
    <t>Foi publicada a portaria nº100, de 10 de abril de 2025, lançando a segunda edição do prêmio, bem como foi realizada divulgação nas redes sociais do CNJ.
Próximos passos: habilitação e inscrição dos tribunais; entrega do prêmio</t>
  </si>
  <si>
    <t>Promoção, por meio de plano de comunicação, do credenciamento de cursos preparatórios junto à Fundação Getúlio Vargas dentro do programa CNJ de Bolsas</t>
  </si>
  <si>
    <t xml:space="preserve">Concluído - Teve início a distribuição das bolsas, tendo 420 contemplados se matriculado em cursos preparatórios. </t>
  </si>
  <si>
    <t>Concessão do Selo CNJ de Bolsas de Ação Afirmativa para pelo menos um curso preparatório para a magistratura, por estado, junto à Fundação Getúlio Vargas dentro do 
programa CNJ de Bolsas.</t>
  </si>
  <si>
    <t>Inclusão do IPER – Indicador de Desempenho na Promoção da Equidade Racial, no Prêmio CNJ de Qualidade de 2025.</t>
  </si>
  <si>
    <t>Dados étnico-raciais, enviados pelos tribunais, mais fidedignos</t>
  </si>
  <si>
    <t xml:space="preserve"> A meta será reavaliada após a concessão do prêmio em 2025. Houve o entendimento de que o monitoramento do cumprimento do plano de trabalho do pacto e o prêmio poderão ser capazes de estimular a adequação dos dados.</t>
  </si>
  <si>
    <t>Nova turma para a formação inicial e continuada de magistrados(as) em relações étnico-raciais, Direito antidiscriminatório e Equidade Racial, em parceria com Enfam</t>
  </si>
  <si>
    <t>Formação inicial e continuada de servidores(as) e estagiários(as) em relações étnico-raciais, Direito antidiscriminatório e Equidade Racial (Ceajud)</t>
  </si>
  <si>
    <t>Capacitação de membros das comissões de heteroidentificação</t>
  </si>
  <si>
    <t xml:space="preserve"> Capacitação de servidores da comunicação - CEAJUD</t>
  </si>
  <si>
    <t>Criação de banco de especialistas em heteroidentificação.</t>
  </si>
  <si>
    <t>Realização de nova turma para a formação inicial e continuada de magistrados(as) em relações étnico-raciais, Direito antidiscriminatório e Equidade Racial, em parceria com Enamat</t>
  </si>
  <si>
    <t>Publicação da Política Nacional do Poder Judiciário de Equidade Racial</t>
  </si>
  <si>
    <t>Publicação do Protocolo de julgamento com perspectiva racial</t>
  </si>
  <si>
    <t>Pesquisa "Pessoas com transtorno mental em conflito com a lei privadas de liberdade”</t>
  </si>
  <si>
    <t>Pesquisa "Diagnóstico sobre a devolução de crianças e adolescentes em estágio de convivência e adotadas"</t>
  </si>
  <si>
    <t>Pesquisa "Diagnóstico da situação do negro no Poder Judiciário"</t>
  </si>
  <si>
    <t>Pesquisa "Curva de redução dos quantitativos de adolescentes e jovens submetidos ao sistema socioeducativo"</t>
  </si>
  <si>
    <t>Pesquisa "Inserção sociolaboral de pessoas privadas de liberdade e egressas do sistema penitenciário no contexto brasileiro”</t>
  </si>
  <si>
    <t>Pesquisa "Pesquisa sobre a Audiência de Apresentação e Tortura no Sistema Socioeducativo"</t>
  </si>
  <si>
    <t>Funcionalidades para a Justiça: Carta Precatória</t>
  </si>
  <si>
    <t>Funcionalidades para a Justiça: Resposta à Carta precatória</t>
  </si>
  <si>
    <t>Funcionalidades para a Justiça: Declínio de competência</t>
  </si>
  <si>
    <t>Funcionalidades para a Justiça: Encaminhamento de ofícios</t>
  </si>
  <si>
    <t>Funcionalidades para o público em geral: Consultar Processos</t>
  </si>
  <si>
    <t>Funcionalidades para o público em geral: Peticionamento Intercorrente</t>
  </si>
  <si>
    <t>Funcionalidades para o público em geral: Minhas Petições</t>
  </si>
  <si>
    <t>Funcionalidades para o público em geral: Autos Digitais</t>
  </si>
  <si>
    <t>Funcionalidades para o público em geral: Integração ao Domicílio Eletrônico</t>
  </si>
  <si>
    <t>Funcionalidades para o público em geral: Integração ao Diário da Justiça</t>
  </si>
  <si>
    <t>Funcionalidades para o público em geral: Integração Peticionamento Intercorrente</t>
  </si>
  <si>
    <t>Funcionalidades para o público em geral: Revisão das funcionaliddes do Portal Interno</t>
  </si>
  <si>
    <t>Funcionalidades para o público em geral: Peticionamento Inicial</t>
  </si>
  <si>
    <t>Funcionalidades para o público em geral: Peticionamento Específico para Processo Criminal</t>
  </si>
  <si>
    <t>Funcionalidades para o público em geral: Peticionamento Específico para Execução Fiscal</t>
  </si>
  <si>
    <t>Funcionalidades para o público em geral: Integração Peticionamento Inicial</t>
  </si>
  <si>
    <t>Promoção do acesso à justiça e direitos fundamentais às populações de Lábrea, Humaita e TYI Tenharim Marmelos, totalizando aproximadamente 14.000 atendimentos</t>
  </si>
  <si>
    <t>Relatório Final sobre os atendimentos e encaminhamentos</t>
  </si>
  <si>
    <t>Pretendentes e área de acesso - 1ª Parte</t>
  </si>
  <si>
    <t>Pretendentes e área de acesso - 2ª Parte</t>
  </si>
  <si>
    <t>Painel de Gestão e Estatísticas</t>
  </si>
  <si>
    <t>Serviços de Acolhimento</t>
  </si>
  <si>
    <t>Guardas, Adoções e Acolhimento</t>
  </si>
  <si>
    <t xml:space="preserve"> Organismos Internacionais e Órgãos Julgadores</t>
  </si>
  <si>
    <t>Crianças e Adolescentes - 1ª Versão</t>
  </si>
  <si>
    <t>Crianças e Adolescentes - 2ª Versão</t>
  </si>
  <si>
    <t>Capacitação do time de Suporte Técnico aos sistemas 
legados</t>
  </si>
  <si>
    <t>Apoio técnico aos Tribunais e demais membros e/ou 
interessados do sistema judiciário brasileiro</t>
  </si>
  <si>
    <t>Utilização e Adaptação da Modelagem de Dados do Painel EITA</t>
  </si>
  <si>
    <t>Definição da arquitetura da solução</t>
  </si>
  <si>
    <t>Mais movimentos gerados na base do DATAJUD</t>
  </si>
  <si>
    <t>Banco de dados do DATAJUD carregado com base nos arquivos atualizados</t>
  </si>
  <si>
    <t xml:space="preserve">Painel com conteúdo legível por máquina e disponíveis em formato aberto. </t>
  </si>
  <si>
    <t>Criação da aba de Metas</t>
  </si>
  <si>
    <t>Criação da aba de Classes</t>
  </si>
  <si>
    <t>31/04/2023</t>
  </si>
  <si>
    <t>Criação da aba Assuntos</t>
  </si>
  <si>
    <t>Criação da aba de Conciliação</t>
  </si>
  <si>
    <t>Criação da aba Por Matéria</t>
  </si>
  <si>
    <t>Acompanhamento de implantações piloto</t>
  </si>
  <si>
    <t>Cobertura de testes</t>
  </si>
  <si>
    <t>Melhorias na Interface</t>
  </si>
  <si>
    <t>Melhorias Evolutivas</t>
  </si>
  <si>
    <t>Manutenção/Correção de Bugs</t>
  </si>
  <si>
    <t>Documentar o Projeto</t>
  </si>
  <si>
    <t>Nova funcionalidade: Auditoria Consulta Processos</t>
  </si>
  <si>
    <t>Nova funcionalidade: Histórico das estatísticas - API Integrador</t>
  </si>
  <si>
    <t>Nova funcionalidade: Refatoração da API do Codex para DTO</t>
  </si>
  <si>
    <t>Nova funcionalidade: Estatistica e Monitoramento</t>
  </si>
  <si>
    <t>Nova funcionalidade: Observabilidade</t>
  </si>
  <si>
    <t>Nova funcionalidade: Gestão de Usuário de Serviços</t>
  </si>
  <si>
    <t>Nova funcionalidade: Tipo de Movimento complementos</t>
  </si>
  <si>
    <t>Nova funcionalidade: Histórico de distribuição</t>
  </si>
  <si>
    <t>Nova funcionalidade: Histórico de Classes</t>
  </si>
  <si>
    <t>Nova funcionalidade: Painel Prêmio 2023</t>
  </si>
  <si>
    <t>Nova funcionalidade: Indicadores - Saneamento</t>
  </si>
  <si>
    <t>Nova funcionalidade: Indicadores - Codex em números</t>
  </si>
  <si>
    <t>Nova funcionalidade: Fonte de dados Monitoramento</t>
  </si>
  <si>
    <t>Nova funcionalidade: Indicadores</t>
  </si>
  <si>
    <t>Nova funcionalidade: Tabelas unificadas</t>
  </si>
  <si>
    <t>Nova funcionalidade: Integração do Portal de Serviço</t>
  </si>
  <si>
    <t>Nova funcionalidade: Painel de Indicadores</t>
  </si>
  <si>
    <t>Nova funcionalidade: Integração sistemas parceiros</t>
  </si>
  <si>
    <t>Nova funcionalidade: Integração com Datajud</t>
  </si>
  <si>
    <t>Projetos estruturantes</t>
  </si>
  <si>
    <t>Processo de Monitoramento de Conformidades</t>
  </si>
  <si>
    <t>Mentoria Institucional</t>
  </si>
  <si>
    <t>Estratégia de Engajamento</t>
  </si>
  <si>
    <t>Protótipo do Novo fluxo do Sniper</t>
  </si>
  <si>
    <t>Implantação do Novo fluxo do Sniper</t>
  </si>
  <si>
    <t>Protótipo da integração com novas bases</t>
  </si>
  <si>
    <t>Implantação da integração com novas bases</t>
  </si>
  <si>
    <t>Protótipo da integração base de dados da 
SERP/ONR</t>
  </si>
  <si>
    <t xml:space="preserve">Implantação da integração base de dados 
da SERP/ONR </t>
  </si>
  <si>
    <t>Protótipo do Bloqueio e Constrição de bens</t>
  </si>
  <si>
    <t>Implantação do Bloqueio e Constrição de 
bens</t>
  </si>
  <si>
    <t>Protótipo das melhorias evolutivas</t>
  </si>
  <si>
    <t>Implantação das melhorias evolutivas</t>
  </si>
  <si>
    <t>Protótipo da funcionalidade de análise de 
extrato bancário</t>
  </si>
  <si>
    <t>Implantação da funcionalidade de análise 
de extrato bancário</t>
  </si>
  <si>
    <t>Relatório final e Garantia</t>
  </si>
  <si>
    <t>Divulgação e treinamento</t>
  </si>
  <si>
    <t>Phase out e repasse do conhecimento</t>
  </si>
  <si>
    <t>PGP1: Promover a entrega a partir da regulamentação do Provimento n 139 e da Portaria n 8, ambos de 2 de fevereiro de 2023</t>
  </si>
  <si>
    <t>Criação ONRTDPJ</t>
  </si>
  <si>
    <t>Criação ONRCPN</t>
  </si>
  <si>
    <t>Criação ONSERP</t>
  </si>
  <si>
    <t>Apresentação Plano Estratégico de implantação</t>
  </si>
  <si>
    <t>SERPJUD</t>
  </si>
  <si>
    <t>Entregas ONR ao SERP</t>
  </si>
  <si>
    <t>Diagnóstico do sistema e proposta de trabalho</t>
  </si>
  <si>
    <t>Levantamento de Processos Sobrestados</t>
  </si>
  <si>
    <t>Implementação do Painel de Análise</t>
  </si>
  <si>
    <t>Criação de Datasets Padrão Ouro</t>
  </si>
  <si>
    <t>Retreinamento Contínuo do Modelo de IA</t>
  </si>
  <si>
    <t xml:space="preserve">Integração do Sinapses Labs com PDPJ </t>
  </si>
  <si>
    <t>Empresas Privadas - melhorias</t>
  </si>
  <si>
    <t>Instituições Públicas - melhorias</t>
  </si>
  <si>
    <t>Pessoas Físicas - melhorias</t>
  </si>
  <si>
    <t>Alteração Resolução 569/2024</t>
  </si>
  <si>
    <t>Integração - Portal de Serviços e DJEN</t>
  </si>
  <si>
    <t>Documentação</t>
  </si>
  <si>
    <t>Acessos aos Serviços: Consultar Processos</t>
  </si>
  <si>
    <t>Acessos aos Serviços: Peticionamento Intercorrente</t>
  </si>
  <si>
    <t>Acessos aos Serviços: Minhas Petições</t>
  </si>
  <si>
    <t>Acessos aos Serviços: Carta precatória</t>
  </si>
  <si>
    <t>Acessos aos Serviços: Declínio de competência</t>
  </si>
  <si>
    <t>Acessos aos Serviços: Envio de ofícios</t>
  </si>
  <si>
    <t>Testes</t>
  </si>
  <si>
    <t>UI/UX</t>
  </si>
  <si>
    <t>Comunicação e Capacitação</t>
  </si>
  <si>
    <t>UI/UX (Fase 2)</t>
  </si>
  <si>
    <t>Desenv/Testes (Fase 2)</t>
  </si>
  <si>
    <t>Documentação (Fase 2)</t>
  </si>
  <si>
    <t>Transferência de conhecimento</t>
  </si>
  <si>
    <t>Atualização documentos de gestão</t>
  </si>
  <si>
    <t>Phase-out</t>
  </si>
  <si>
    <t>PoC</t>
  </si>
  <si>
    <t>Transição PoC para MVP</t>
  </si>
  <si>
    <t>MVP</t>
  </si>
  <si>
    <t xml:space="preserve">ECOSSITEMA da Qualificação de Dados (Operação 
assistida) </t>
  </si>
  <si>
    <t>Gerador de KML</t>
  </si>
  <si>
    <t>Alterações na página dos painéis de dados processuais e dos relatórios de dados geográficos para melhorar a usabilidade do SireneJud</t>
  </si>
  <si>
    <t>Módulo Dados Cadastrais do segurado</t>
  </si>
  <si>
    <t>Módulo Resultado da análise do DPVAT</t>
  </si>
  <si>
    <t>Módulo Laudos periciais do DPVAT</t>
  </si>
  <si>
    <t>Apoio à integração PJe e eProc</t>
  </si>
  <si>
    <t>Módulo Métricas</t>
  </si>
  <si>
    <t>Protocolo Específico de Atuação da Polícia Judicial</t>
  </si>
  <si>
    <t>Inclusão do Protocolo de Atuação no “Projeto Pedagógico” da Academia Nacional de Segurança do Poder Judiciário - ANSPJ</t>
  </si>
  <si>
    <t>Formatação de cursos permanentes e instruções técnicas continuadas</t>
  </si>
  <si>
    <t>Tema 1 - Ações Coletivas no Brasil: processamento, julgamento e execução</t>
  </si>
  <si>
    <t>Tema 2 - População em situação de rua egressa do sistema prisional</t>
  </si>
  <si>
    <t>Módulo de criação de perícias e formulário configurável</t>
  </si>
  <si>
    <t>Módulo de elaboração do laudo pericial</t>
  </si>
  <si>
    <t>Módulo de quesitos adicionais</t>
  </si>
  <si>
    <t>Módulo de esclarecimentos adicionais</t>
  </si>
  <si>
    <t>Módulo de curadoria de quesitos</t>
  </si>
  <si>
    <t>Módulo de formulário configurável</t>
  </si>
  <si>
    <t>Módulo Perícias Offline</t>
  </si>
  <si>
    <t>Desenvolvimento de retificação de perícias</t>
  </si>
  <si>
    <t>Acesso aos autos via Portal de Serviços</t>
  </si>
  <si>
    <t>verificação de anexação do laudo nos autos pela notificação</t>
  </si>
  <si>
    <t>Não permitir novos quesitos, mesmo antes da data da perícia</t>
  </si>
  <si>
    <t>Indicação de assistente técnico pela parte</t>
  </si>
  <si>
    <t>Banco de Dados de Precedentes (BNP)</t>
  </si>
  <si>
    <t>Pesquisa textual (Pangea)</t>
  </si>
  <si>
    <t>Integração com sistemas de processo eletrônico via base de dados de movimentação processual</t>
  </si>
  <si>
    <t>Serviços de envio de do tipos processuais abrangidos no Art. 927 do CPC</t>
  </si>
  <si>
    <t>Insterface para notas técnicas</t>
  </si>
  <si>
    <t>Identificação de processos relacionados a precedentes</t>
  </si>
  <si>
    <t>Preparação e Estruturação Inicial</t>
  </si>
  <si>
    <t>Levantameno Bibliográfico</t>
  </si>
  <si>
    <t>Coleta dos dados</t>
  </si>
  <si>
    <t>Avaliação do estado atual das iniciativas</t>
  </si>
  <si>
    <t>Relatório Final e Divulgação</t>
  </si>
  <si>
    <t>Extração de dados da RFB para validação</t>
  </si>
  <si>
    <t>Criação de estrutura simplificada de banco de dados para 
armazenamento de partes do processo(parte, pessoa, 
nomes associados)</t>
  </si>
  <si>
    <t>Extração de processo carregado do ElasticSearch dados pertinentes as Partes</t>
  </si>
  <si>
    <t>Persistir dados de Partes na base do Datajud em Desenvolvimento</t>
  </si>
  <si>
    <t>Verificação da existência do registro de PF ou PJ na base do Datajud antes de gerar novo registro</t>
  </si>
  <si>
    <t>Disponibilização do painel com conteúdo legíveis por máquina e disponíveis em formato aberto.</t>
  </si>
  <si>
    <t>Criação de indicadores que serão usados nas consultas</t>
  </si>
  <si>
    <t>Adequação da base DATAJUD ao Sistema SEEU</t>
  </si>
  <si>
    <t>Adequação da base DATAJUD ao Sistema BNP</t>
  </si>
  <si>
    <t xml:space="preserve">Reformulação do Portal do CEAJUD/CNJ  </t>
  </si>
  <si>
    <t>Estabelecimento de Parcerias e Levantamento de Recursos</t>
  </si>
  <si>
    <t>Análise e seleção dos cursos</t>
  </si>
  <si>
    <t>Campanha de Divulgação e Sensibilização</t>
  </si>
  <si>
    <t>Oferta de um ciclo de capacitação</t>
  </si>
  <si>
    <t>Mobilização dos Tribunais de Justiça dos Estados e do Distrito Federal, especialmente suas Coordenadorias de Infância e Juventude, iniciativa privada, órgãos públicos, empresas públicas e sociedades de economia mista.</t>
  </si>
  <si>
    <t>Conteúdo nas Mídias sociais para divulgação do Programa Novos Caminhos</t>
  </si>
  <si>
    <t>Celebração de Acordos de Cooperação técnica do Programa Novos Caminhos CNJ e analisar Pedidos de dispensa por Programas Similares ao Programa Novos Caminhos</t>
  </si>
  <si>
    <t>Acompanhamento das ações realizadas</t>
  </si>
  <si>
    <t>Serviços Estruturantes - Geral</t>
  </si>
  <si>
    <t>Notificações</t>
  </si>
  <si>
    <t>Log</t>
  </si>
  <si>
    <t>Cabeçalho Processual</t>
  </si>
  <si>
    <t>SSO</t>
  </si>
  <si>
    <t>Organizacional</t>
  </si>
  <si>
    <t>Marketplace</t>
  </si>
  <si>
    <t>Apoio aos Tribunais, correções e bugs dos Serviços Estruturantes</t>
  </si>
  <si>
    <t>1 (uma) ação de capacitação em 2025, contemplando, no total, pelo menos 10% das pessoas que atuam no CNJ</t>
  </si>
  <si>
    <t>Realização de  9 (nove) ações informativas em 2025</t>
  </si>
  <si>
    <t xml:space="preserve">Oferta de capacitação sobre acessibilidade para os gestores, dentro do PDL, no 
segundo semestre de 2025. </t>
  </si>
  <si>
    <t>Desenvolvimento/Adoção e implementação de um programa de capacitação em linguagem simples e acessível para todo o público do CNJ, visando facilitar a compreensão de documentos e comunicações oficiais.</t>
  </si>
  <si>
    <t>Divulgação dos instrumentos para instrução para elaboração de texto acessível</t>
  </si>
  <si>
    <t>Capacitação da equipe de eventos do CNJ sobre práticas e tecnologias de acessibilidade, incluindo interpretação em Libras, audiodescrição, legendagem em tempo real e adaptações físicas, abafadores de ruído</t>
  </si>
  <si>
    <t>Elaboração de diretrizes e checklist de acessibilidade para a organização de eventos do CNJ.</t>
  </si>
  <si>
    <t>Capacitação da equipe de Comunicação em práticas de audiodescrição até final de 2025</t>
  </si>
  <si>
    <t>Definição dos critérios de acessibilidade a serem incorporados nos processos de 
trabalho</t>
  </si>
  <si>
    <t>10 processos da SGP mapeados contendo avaliação de acessibilidade</t>
  </si>
  <si>
    <t>Realização de uma ação voltada à integração entre as unidades em ações e projetos voltados à acessibilidade</t>
  </si>
  <si>
    <t>Realização de 2 Práticas de Justiça Restaurativa por semestre, promovendo um 
ambiente de diálogo sobre acessibilidade</t>
  </si>
  <si>
    <t>Inclusão na pauta de acessibilidade na ambientação dos(as) novos(as) servidores(as)</t>
  </si>
  <si>
    <t>Mapeamento dcontextos de trabalho das pessoas com deficiência no CNJ.</t>
  </si>
  <si>
    <t xml:space="preserve">Lotação de pelo menos 30 trabalhadores(as) terceirizados(as) com deficiência no quadro do CNJ até 2026 </t>
  </si>
  <si>
    <t>Inclusão do CNJ na Rede de Acessibilidade</t>
  </si>
  <si>
    <t>Criação de checklist interno para desenvolvimento de sistemas considerando os critérios de acessibilidade (e-MAG);</t>
  </si>
  <si>
    <t>Avaliação de acessibilidade do portal do CNJ</t>
  </si>
  <si>
    <t>Identificar as tecnologias assistivas necessárias para que os atuais servidores do CNJ desempenhem suas atribuições</t>
  </si>
  <si>
    <t>Equipe técnica capacitada para apoiar os(as) usuários(as) no uso das tecnologias assistivas adquiridas pelo Conselho</t>
  </si>
  <si>
    <t>Disponibilizar as tecnologias assistivas necessárias para que os(a) servidores(as) do CNJ desempenhem suas atribuições</t>
  </si>
  <si>
    <t>Elaboração e implementação de fluxo para solicitação de tecnologias assistivas</t>
  </si>
  <si>
    <t>Ferramentas do CNJ avaliadas no quesito acessibilidade</t>
  </si>
  <si>
    <t>Contratações de sistemas e softwares revistas e adequadas para garantindo a acessibilidade para pessoas com deficiência.</t>
  </si>
  <si>
    <t xml:space="preserve"> Criação de um ciclo de monitoramento de avanços tecnológicos</t>
  </si>
  <si>
    <t>Criação de um padrão de desenvolvimento voltado para acessibilidade.</t>
  </si>
  <si>
    <t>Alteração das catracas até 2026</t>
  </si>
  <si>
    <t>Implementação e atualização do website Cniups (sistema socioeducativo)</t>
  </si>
  <si>
    <t>Publicar manual da Resolução sobre Inspeções Judiciais (sistema penal)</t>
  </si>
  <si>
    <t>Guia para Preenchimento do Cniups Meio Aberto (sistema socioeducativo)</t>
  </si>
  <si>
    <t>Implantar cinco grupos de trabalho sobre prevenção e combate à tortura (sistema penal)</t>
  </si>
  <si>
    <t>Revisão de produtos de conhecimento e documentos do Programa traduzidos para o inglês e espanhol (sistemas penal e socioeducativo)</t>
  </si>
  <si>
    <t>Disseminação do conteúdo junto a instituições parceiras internacionais (bibliotecas, centros de informação e demais instituições) que mantém bases de dados on-line sobre temas afetos ao Programa (sistemas penal e socioeducativo)</t>
  </si>
  <si>
    <t>Treinar/capacitar equipes do Programa e do DMF sobre o tema Lei Geral de Proteção de Dados Pessoais (sistemas penal e socioeducativo)</t>
  </si>
  <si>
    <t>Guia de implementação da Central de Regulação de Vagas publicado</t>
  </si>
  <si>
    <t>Plano de implementação de regulação de vagas customizado à realidade local apresentado ao TJPB</t>
  </si>
  <si>
    <t>Publicar cartilha de inserção sociolaboral</t>
  </si>
  <si>
    <t>Lançamento do Censo Nacional de Esporte</t>
  </si>
  <si>
    <t>Definição de Hus e estratégia de desenvolvimento</t>
  </si>
  <si>
    <t>Ações de sustentação e melhorias</t>
  </si>
  <si>
    <t>Evento: TJAP</t>
  </si>
  <si>
    <t>Evento: TJRS e TRF4</t>
  </si>
  <si>
    <t>Evento: TJRR</t>
  </si>
  <si>
    <t>Evento: TJPA</t>
  </si>
  <si>
    <t>Evento: TJTO</t>
  </si>
  <si>
    <t>Evento: TJPR</t>
  </si>
  <si>
    <t>Evento: TJSP e TRF3</t>
  </si>
  <si>
    <t>VALOR TOTAL ORÇADO E EXECUTADO</t>
  </si>
  <si>
    <t>Preparação do Ambiente de Desenvolvimento/Teste;</t>
  </si>
  <si>
    <t>Preparação de uma PoC (Prova de Conceito);</t>
  </si>
  <si>
    <t>Implementação do MVP;</t>
  </si>
  <si>
    <t>Planejamento do Lançamento de Homologação;</t>
  </si>
  <si>
    <t>Lançamento da API_de_Pessoas em Produção.</t>
  </si>
  <si>
    <t>Curso R Avançado para Ciência de Dados ;</t>
  </si>
  <si>
    <t>Curso Python Avançado para Ciência de Dados ;</t>
  </si>
  <si>
    <t>Curso Power BI Avançado para Análise de Dados ;</t>
  </si>
  <si>
    <t>Curso Python Avançado para Ciência de Dados (autoinstrucional);</t>
  </si>
  <si>
    <t>Curso Power BI Avançado para Análise de Dados (autoinstrucional);</t>
  </si>
  <si>
    <t>Curso Relatórios e Automações Profissionais com R;</t>
  </si>
  <si>
    <t>Curso Processamento de Big Data em R e Python;</t>
  </si>
  <si>
    <t>Curso Mineração de Texto Avançada ;</t>
  </si>
  <si>
    <t>Curso Relatórios e Automações Profissionais com R (autoinstrucional);</t>
  </si>
  <si>
    <t>Curso Processamento de Big Data em R e Python (autoinstrucional);</t>
  </si>
  <si>
    <t>Curso Mineração de Texto Avançada (autoinstrucional);</t>
  </si>
  <si>
    <t>Curso Machine Learning Avançado;</t>
  </si>
  <si>
    <t>Curso Aplicações e Dashboard Avançado com R ;</t>
  </si>
  <si>
    <t>Curso Machine Learning Avançado  (autoinstrucional);</t>
  </si>
  <si>
    <t>Curso Aplicações e Dashboard Avançado com R (autoinstrucional);</t>
  </si>
  <si>
    <t>Extração dos dados do Datajud;</t>
  </si>
  <si>
    <t>21/3/2025</t>
  </si>
  <si>
    <t>Tratamento e Processamento de Dados;</t>
  </si>
  <si>
    <t>Análise Estatística e Criação de Indicadores;</t>
  </si>
  <si>
    <t>Criação do Painel em BI;</t>
  </si>
  <si>
    <t>30/09/2025</t>
  </si>
  <si>
    <t>Lançamento e divulgação e implementação de novas funcionalidades</t>
  </si>
  <si>
    <t>- Melhorias MVP, Parte 2 FONAR, Requisitos Integrações e Sigilo</t>
  </si>
  <si>
    <t>18/8/2025</t>
  </si>
  <si>
    <t>Dev. Parte 2 FONAR, Requisitos Integrações (Cont.), Protótipo Melhorias Testes Assistidos</t>
  </si>
  <si>
    <t>18/09/2025</t>
  </si>
  <si>
    <t>Endpoint de consulta jurisdição e competência por tribunal</t>
  </si>
  <si>
    <t>Endpoint de competência, classe e assunto</t>
  </si>
  <si>
    <t>Endpoint para consultar fase e situação processual por número de processo</t>
  </si>
  <si>
    <t>Endpoint para consultar extrato da situação processual</t>
  </si>
  <si>
    <t>Endpoint para recalcular e regerar atualização de situação e fase processual</t>
  </si>
  <si>
    <t>Endpoint para exibir lista de processos por situação, fase e quantidade de dias</t>
  </si>
  <si>
    <t>Endpoint para resgatar os precedentes qualificados</t>
  </si>
  <si>
    <t>Endpoint para consultar processos por href de pessoas</t>
  </si>
  <si>
    <t>Endpoint de consulta de Protocolo de Entrega ao DataJud</t>
  </si>
  <si>
    <t>Endpoint de consulta por instância, jurisdição e tribunal</t>
  </si>
  <si>
    <t>Endpoint para recuperar documentos texto por número de processo e IDs de documentos</t>
  </si>
  <si>
    <t>Endpoint para consultar dados mínimos do processo</t>
  </si>
  <si>
    <t>Consulta de processos vinculados a uma pessoa</t>
  </si>
  <si>
    <t>Filtros por tipo de operação, data de primeiro ajuizamento e pessoa vinculada</t>
  </si>
  <si>
    <t>Aplicação da Resolução 121 em processos trabalhistas e ocultação por CPF</t>
  </si>
  <si>
    <t>Implementação de Open Telemetry</t>
  </si>
  <si>
    <t>Aplicação de regra de sigilo no complemento de movimento</t>
  </si>
  <si>
    <t>Cálculo de métricas (pendentes, congestionamento, produtividade, novos e baixados – últimos 12 meses)</t>
  </si>
  <si>
    <t>Dashboard com métricas de monitoramento da API de Processos</t>
  </si>
  <si>
    <t>Atualização de documentação (Git, Swagger)</t>
  </si>
  <si>
    <t>+180 correções, ajustes e pequenas melhorias</t>
  </si>
  <si>
    <t>26 novas releases da API de Processos (jan a out/2025)</t>
  </si>
  <si>
    <t>Migração para o Data Lake de clientes que usam Cabeçalho Processual (SNGB, BACEN, MPF, Receita Federal)</t>
  </si>
  <si>
    <t>Implementação de regras de acesso nos endpoints</t>
  </si>
  <si>
    <t>Projeto iMensagem</t>
  </si>
  <si>
    <t>Mudança arquitetural para disponibilização de binários via streaming</t>
  </si>
  <si>
    <t>Apoio às iniciativas de IA dos Tribunais</t>
  </si>
  <si>
    <t>Criação do DOCS PDPJ da API de Processos (informações gerais, público, acesso, quem pode usar etc.)</t>
  </si>
  <si>
    <t>Criação da FAQ da API de Processos</t>
  </si>
  <si>
    <t>MEDIÇÃO</t>
  </si>
  <si>
    <t>PREVISTO</t>
  </si>
  <si>
    <t>EXECUTADO</t>
  </si>
  <si>
    <t>Situação do projeto</t>
  </si>
  <si>
    <t>Em andamento</t>
  </si>
  <si>
    <t>No Prazo</t>
  </si>
  <si>
    <t>Atrasado</t>
  </si>
  <si>
    <t>Próximo ao prazo</t>
  </si>
  <si>
    <t>Entregas realizadas</t>
  </si>
  <si>
    <t>Entregas previstas</t>
  </si>
  <si>
    <t>Teste</t>
  </si>
  <si>
    <t>Depoimento Especial das Crianças e Adolescentes pertencentes aos Povos e Comunidades Tradicionais</t>
  </si>
  <si>
    <t>Dimensionamento de Pessoal</t>
  </si>
  <si>
    <t>Justiça Começa na Infância</t>
  </si>
  <si>
    <t>APOSTIL e-APP da Haia</t>
  </si>
  <si>
    <t>SISBAJUD - Sistema de Busca de Ativos do Poder Judiciário. </t>
  </si>
  <si>
    <t>Renajud - WS</t>
  </si>
  <si>
    <t>Automação de Processos Previdenciários - Justiça 4.0</t>
  </si>
  <si>
    <t>Diagnóstico e Disseminação - Justiça 4.0</t>
  </si>
  <si>
    <t>Comunicação da Estratégia Nacional do Poder Judiciário 2021-2026</t>
  </si>
  <si>
    <t>Novo SNBA</t>
  </si>
  <si>
    <t>CODEX</t>
  </si>
  <si>
    <t>Conciliar é legal</t>
  </si>
  <si>
    <t>Serviços estruturantes da Plataforma Digital do Poder Judiciário (PDPJ-Br)</t>
  </si>
  <si>
    <t>XVI Semana Nacional de Conciliação</t>
  </si>
  <si>
    <t>Justiça Itinerante e Direitos Humanos</t>
  </si>
  <si>
    <t>ano</t>
  </si>
  <si>
    <t>Objetivos Estratégicos do CNJ</t>
  </si>
  <si>
    <t>Objetivo Estratégico</t>
  </si>
  <si>
    <t>Alinhamento Estratégia Nacional  do Poder Judiciário 2021 a 2026:</t>
  </si>
  <si>
    <t>Macrodesafio</t>
  </si>
  <si>
    <t>Legenda</t>
  </si>
  <si>
    <t>Valor</t>
  </si>
  <si>
    <t xml:space="preserve">02. Aperfeiçoar os mecanismos de monitoramento de políticas judiciárias. </t>
  </si>
  <si>
    <t>DETALHE IMPORTANTE</t>
  </si>
  <si>
    <t>Para inserir a Tabela Dinâmica selecionada, tivemos que organizar seus dados em colunas com uma única linha de cabeçalho.</t>
  </si>
  <si>
    <t>00513/202044562</t>
  </si>
  <si>
    <t>00513/202044593</t>
  </si>
  <si>
    <t>00513/202044621</t>
  </si>
  <si>
    <t>00513/202044652</t>
  </si>
  <si>
    <t>00513/202044682</t>
  </si>
  <si>
    <t>00513/202044713</t>
  </si>
  <si>
    <t>00513/202044774</t>
  </si>
  <si>
    <t>00513/202044805</t>
  </si>
  <si>
    <t>00513/202044835</t>
  </si>
  <si>
    <t>00513/202044896</t>
  </si>
  <si>
    <t>00513/202044958</t>
  </si>
  <si>
    <t>00312/202344927</t>
  </si>
  <si>
    <t>01179/202345017</t>
  </si>
  <si>
    <t>01179/202345078</t>
  </si>
  <si>
    <t>01179/202345108</t>
  </si>
  <si>
    <t>01179/202345200</t>
  </si>
  <si>
    <t>03559/202144896</t>
  </si>
  <si>
    <t>03559/202144927</t>
  </si>
  <si>
    <t>03559/202144958</t>
  </si>
  <si>
    <t>03559/202144986</t>
  </si>
  <si>
    <t>03559/202145017</t>
  </si>
  <si>
    <t>03559/202145047</t>
  </si>
  <si>
    <t>03559/202145078</t>
  </si>
  <si>
    <t>03559/202145108</t>
  </si>
  <si>
    <t>03559/202145139</t>
  </si>
  <si>
    <t>03559/202145170</t>
  </si>
  <si>
    <t>03559/202145200</t>
  </si>
  <si>
    <t>03559/202145231</t>
  </si>
  <si>
    <t>01945/202245047</t>
  </si>
  <si>
    <t>31/1/2025</t>
  </si>
  <si>
    <t>01945/202245078</t>
  </si>
  <si>
    <t>01945/202245108</t>
  </si>
  <si>
    <t>01945/202245139</t>
  </si>
  <si>
    <t>01945/202245170</t>
  </si>
  <si>
    <t>01945/202245200</t>
  </si>
  <si>
    <t>01945/202245231</t>
  </si>
  <si>
    <t>08287/202244896</t>
  </si>
  <si>
    <t>08287/202245017</t>
  </si>
  <si>
    <t>10157/202244896</t>
  </si>
  <si>
    <t>10157/202245047</t>
  </si>
  <si>
    <t>10157/202245078</t>
  </si>
  <si>
    <t>10157/202245200</t>
  </si>
  <si>
    <t>10157/202245231</t>
  </si>
  <si>
    <t>08610/202244896</t>
  </si>
  <si>
    <t>08610/202244958</t>
  </si>
  <si>
    <t>08610/202245017</t>
  </si>
  <si>
    <t>08610/202245139</t>
  </si>
  <si>
    <t>06767/202244896</t>
  </si>
  <si>
    <t>06767/202244958</t>
  </si>
  <si>
    <t>06767/202244986</t>
  </si>
  <si>
    <t>06767/202245047</t>
  </si>
  <si>
    <t>06767/202245078</t>
  </si>
  <si>
    <t>06767/202245108</t>
  </si>
  <si>
    <t>06767/202245139</t>
  </si>
  <si>
    <t>06767/202245200</t>
  </si>
  <si>
    <t>06767/202245231</t>
  </si>
  <si>
    <t>00535/201944896</t>
  </si>
  <si>
    <t>00535/201944927</t>
  </si>
  <si>
    <t>00535/201944986</t>
  </si>
  <si>
    <t>00535/201945017</t>
  </si>
  <si>
    <t>00535/201945078</t>
  </si>
  <si>
    <t>00535/201945139</t>
  </si>
  <si>
    <t>00535/201945170</t>
  </si>
  <si>
    <t>00535/201945200</t>
  </si>
  <si>
    <t>02080/202345108</t>
  </si>
  <si>
    <t>02080/202345139</t>
  </si>
  <si>
    <t>02080/202345170</t>
  </si>
  <si>
    <t>02080/202345200</t>
  </si>
  <si>
    <t>02080/202345231</t>
  </si>
  <si>
    <t>08286/202244896</t>
  </si>
  <si>
    <t>08286/202245017</t>
  </si>
  <si>
    <t>08286/202245047</t>
  </si>
  <si>
    <t>08286/202245200</t>
  </si>
  <si>
    <t>12115/202244896</t>
  </si>
  <si>
    <t>12115/202244927</t>
  </si>
  <si>
    <t>12115/202244958</t>
  </si>
  <si>
    <t>12115/202244986</t>
  </si>
  <si>
    <t>12115/202245017</t>
  </si>
  <si>
    <t>12115/202245047</t>
  </si>
  <si>
    <t>12115/202245139</t>
  </si>
  <si>
    <t>12115/202245200</t>
  </si>
  <si>
    <t>12115/202245231</t>
  </si>
  <si>
    <t>01764/202044896</t>
  </si>
  <si>
    <t>01764/202045078</t>
  </si>
  <si>
    <t>01764/202045170</t>
  </si>
  <si>
    <t>03545/202144896</t>
  </si>
  <si>
    <t>03545/202144958</t>
  </si>
  <si>
    <t>03545/202145017</t>
  </si>
  <si>
    <t>03545/202145078</t>
  </si>
  <si>
    <t>03545/202145108</t>
  </si>
  <si>
    <t>03545/202145139</t>
  </si>
  <si>
    <t>03545/202145231</t>
  </si>
  <si>
    <t>09081/202244896</t>
  </si>
  <si>
    <t>09081/202244927</t>
  </si>
  <si>
    <t>09081/202244958</t>
  </si>
  <si>
    <t>09081/202244986</t>
  </si>
  <si>
    <t>09081/202245017</t>
  </si>
  <si>
    <t>09081/202245047</t>
  </si>
  <si>
    <t>09081/202245078</t>
  </si>
  <si>
    <t>09081/202245108</t>
  </si>
  <si>
    <t>09081/202245139</t>
  </si>
  <si>
    <t>09081/202245170</t>
  </si>
  <si>
    <t>09081/202245200</t>
  </si>
  <si>
    <t>09081/202245231</t>
  </si>
  <si>
    <t>03096/202144896</t>
  </si>
  <si>
    <t>03096/202144927</t>
  </si>
  <si>
    <t>03096/202144958</t>
  </si>
  <si>
    <t>03096/202144986</t>
  </si>
  <si>
    <t>03096/202145017</t>
  </si>
  <si>
    <t>03096/202145047</t>
  </si>
  <si>
    <t>03096/202145078</t>
  </si>
  <si>
    <t>03096/202145108</t>
  </si>
  <si>
    <t>03096/202145139</t>
  </si>
  <si>
    <t>03096/202145231</t>
  </si>
  <si>
    <t>03558/202144896</t>
  </si>
  <si>
    <t>03558/202144927</t>
  </si>
  <si>
    <t>03558/202144986</t>
  </si>
  <si>
    <t>03558/202145017</t>
  </si>
  <si>
    <t>03558/202145047</t>
  </si>
  <si>
    <t>03558/202145078</t>
  </si>
  <si>
    <t>03558/202145108</t>
  </si>
  <si>
    <t>03558/202145139</t>
  </si>
  <si>
    <t>03558/202145200</t>
  </si>
  <si>
    <t>03558/202145231</t>
  </si>
  <si>
    <t>02660/202345017</t>
  </si>
  <si>
    <t>02660/202345047</t>
  </si>
  <si>
    <t>02660/202345139</t>
  </si>
  <si>
    <t>02660/202345200</t>
  </si>
  <si>
    <t>08285/202244896</t>
  </si>
  <si>
    <t>08285/202245139</t>
  </si>
  <si>
    <t>07855/202244896</t>
  </si>
  <si>
    <t>07855/202244927</t>
  </si>
  <si>
    <t>07855/202244958</t>
  </si>
  <si>
    <t>07855/202244986</t>
  </si>
  <si>
    <t>07855/202245017</t>
  </si>
  <si>
    <t>07855/202245047</t>
  </si>
  <si>
    <t>07855/202245139</t>
  </si>
  <si>
    <t>07855/202245170</t>
  </si>
  <si>
    <t>07855/202245200</t>
  </si>
  <si>
    <t>07855/202245231</t>
  </si>
  <si>
    <t>08536/202244896</t>
  </si>
  <si>
    <t>08536/202245139</t>
  </si>
  <si>
    <t>08536/202245200</t>
  </si>
  <si>
    <t>08536/202245231</t>
  </si>
  <si>
    <t>02938/202144896</t>
  </si>
  <si>
    <t>02938/202144958</t>
  </si>
  <si>
    <t>02938/202144986</t>
  </si>
  <si>
    <t>02938/202145017</t>
  </si>
  <si>
    <t>02938/202145108</t>
  </si>
  <si>
    <t>02938/202145139</t>
  </si>
  <si>
    <t>02938/202145200</t>
  </si>
  <si>
    <t>02938/202145231</t>
  </si>
  <si>
    <t>02938/202145261</t>
  </si>
  <si>
    <t>02941/202144896</t>
  </si>
  <si>
    <t>02941/202144927</t>
  </si>
  <si>
    <t>02941/202144958</t>
  </si>
  <si>
    <t>02941/202144986</t>
  </si>
  <si>
    <t>02941/202145017</t>
  </si>
  <si>
    <t>02941/202145047</t>
  </si>
  <si>
    <t>02941/202145078</t>
  </si>
  <si>
    <t>02941/202145108</t>
  </si>
  <si>
    <t>02941/202145139</t>
  </si>
  <si>
    <t>02941/202145200</t>
  </si>
  <si>
    <t>02941/202145231</t>
  </si>
  <si>
    <t>11270/202245108</t>
  </si>
  <si>
    <t>11270/202245139</t>
  </si>
  <si>
    <t>11270/202245170</t>
  </si>
  <si>
    <t>11270/202245200</t>
  </si>
  <si>
    <t>11270/202245231</t>
  </si>
  <si>
    <t>01487/202245108</t>
  </si>
  <si>
    <t>01487/202245139</t>
  </si>
  <si>
    <t>01487/202245231</t>
  </si>
  <si>
    <t>08543/202145139</t>
  </si>
  <si>
    <t>08543/202145170</t>
  </si>
  <si>
    <t>08543/202145231</t>
  </si>
  <si>
    <t>08547/202145139</t>
  </si>
  <si>
    <t>08547/202145170</t>
  </si>
  <si>
    <t>08547/202145200</t>
  </si>
  <si>
    <t>08547/202145231</t>
  </si>
  <si>
    <t>01508/202245170</t>
  </si>
  <si>
    <t>01508/202245200</t>
  </si>
  <si>
    <t>01508/202245231</t>
  </si>
  <si>
    <t>02941/202145261</t>
  </si>
  <si>
    <t>03096/202145261</t>
  </si>
  <si>
    <t>03545/202145261</t>
  </si>
  <si>
    <t>03558/202145261</t>
  </si>
  <si>
    <t>08543/202145261</t>
  </si>
  <si>
    <t>08547/202145261</t>
  </si>
  <si>
    <t>01487/202245261</t>
  </si>
  <si>
    <t>01945/202245261</t>
  </si>
  <si>
    <t>09081/202245261</t>
  </si>
  <si>
    <t>03559/202145261</t>
  </si>
  <si>
    <t>11270/202245261</t>
  </si>
  <si>
    <t>02660/202345231</t>
  </si>
  <si>
    <t>07855/202245261</t>
  </si>
  <si>
    <t>12115/202245261</t>
  </si>
  <si>
    <t>10157/202245261</t>
  </si>
  <si>
    <t>08536/202245261</t>
  </si>
  <si>
    <t>00535/201945261</t>
  </si>
  <si>
    <t>02080/202345261</t>
  </si>
  <si>
    <t>06767/202245261</t>
  </si>
  <si>
    <t>08547/202145292</t>
  </si>
  <si>
    <t>01179/202345261</t>
  </si>
  <si>
    <t>01764/202045292</t>
  </si>
  <si>
    <t>02938/202145292</t>
  </si>
  <si>
    <t>01945/202245292</t>
  </si>
  <si>
    <t>06767/202245292</t>
  </si>
  <si>
    <t>11270/202245292</t>
  </si>
  <si>
    <t>03558/202145292</t>
  </si>
  <si>
    <t>07855/202245292</t>
  </si>
  <si>
    <t>08543/202145292</t>
  </si>
  <si>
    <t>02941/202145292</t>
  </si>
  <si>
    <t>03559/202145292</t>
  </si>
  <si>
    <t>02080/202345292</t>
  </si>
  <si>
    <t>00139/202445292</t>
  </si>
  <si>
    <t>11340/202345292</t>
  </si>
  <si>
    <t>01179/202345292</t>
  </si>
  <si>
    <t>01487/202245292</t>
  </si>
  <si>
    <t>08536/202245292</t>
  </si>
  <si>
    <t>01487/202245323</t>
  </si>
  <si>
    <t>10157/202245323</t>
  </si>
  <si>
    <t>03559/202145323</t>
  </si>
  <si>
    <t>01945/202245323</t>
  </si>
  <si>
    <t>11270/202245323</t>
  </si>
  <si>
    <t>02080/202345323</t>
  </si>
  <si>
    <t>03558/202145323</t>
  </si>
  <si>
    <t>07855/202245323</t>
  </si>
  <si>
    <t>08543/202145323</t>
  </si>
  <si>
    <t>02938/202145323</t>
  </si>
  <si>
    <t>02941/202145323</t>
  </si>
  <si>
    <t>08547/202145323</t>
  </si>
  <si>
    <t>06767/202245323</t>
  </si>
  <si>
    <t>03545/202145323</t>
  </si>
  <si>
    <t>03096/202145323</t>
  </si>
  <si>
    <t>09081/202245323</t>
  </si>
  <si>
    <t>01508/202245261</t>
  </si>
  <si>
    <t>08543/202145352</t>
  </si>
  <si>
    <t>01487/202245352</t>
  </si>
  <si>
    <t>01945/202245352</t>
  </si>
  <si>
    <t>06767/202245352</t>
  </si>
  <si>
    <t>08536/202245323</t>
  </si>
  <si>
    <t>08536/202245352</t>
  </si>
  <si>
    <t>09081/202245352</t>
  </si>
  <si>
    <t>02660/202345352</t>
  </si>
  <si>
    <t>07855/202245352</t>
  </si>
  <si>
    <t>08547/202145352</t>
  </si>
  <si>
    <t>10157/202245352</t>
  </si>
  <si>
    <t>03558/202145352</t>
  </si>
  <si>
    <t>02941/202145352</t>
  </si>
  <si>
    <t>11270/202245352</t>
  </si>
  <si>
    <t>05138/202445352</t>
  </si>
  <si>
    <t>03924/202345352</t>
  </si>
  <si>
    <t>04137/202445352</t>
  </si>
  <si>
    <t>11340/202345383</t>
  </si>
  <si>
    <t>00139/202445383</t>
  </si>
  <si>
    <t>11270/202245383</t>
  </si>
  <si>
    <t>07855/202245383</t>
  </si>
  <si>
    <t>10157/202245383</t>
  </si>
  <si>
    <t>08547/202145383</t>
  </si>
  <si>
    <t>08543/202145383</t>
  </si>
  <si>
    <t>03558/202145383</t>
  </si>
  <si>
    <t>01945/202245383</t>
  </si>
  <si>
    <t>03924/202345383</t>
  </si>
  <si>
    <t>02080/202345383</t>
  </si>
  <si>
    <t>06767/202245383</t>
  </si>
  <si>
    <t>03545/202145383</t>
  </si>
  <si>
    <t>02938/202145383</t>
  </si>
  <si>
    <t>01487/202245383</t>
  </si>
  <si>
    <t>08536/202245383</t>
  </si>
  <si>
    <t>08690/202345383</t>
  </si>
  <si>
    <t>02483/202345413</t>
  </si>
  <si>
    <t>11270/202245413</t>
  </si>
  <si>
    <t>06767/202245413</t>
  </si>
  <si>
    <t>10157/202245413</t>
  </si>
  <si>
    <t>01945/202245413</t>
  </si>
  <si>
    <t>01487/202245413</t>
  </si>
  <si>
    <t>08547/202145413</t>
  </si>
  <si>
    <t>08543/202145413</t>
  </si>
  <si>
    <t>03558/202145413</t>
  </si>
  <si>
    <t>03545/202145413</t>
  </si>
  <si>
    <t>03924/202345413</t>
  </si>
  <si>
    <t>11340/202345413</t>
  </si>
  <si>
    <t>08690/202345413</t>
  </si>
  <si>
    <t>02938/202145413</t>
  </si>
  <si>
    <t>01179/202345413</t>
  </si>
  <si>
    <t>04137/202445444</t>
  </si>
  <si>
    <t>00139/202445444</t>
  </si>
  <si>
    <t>03924/202345444</t>
  </si>
  <si>
    <t>11270/202245444</t>
  </si>
  <si>
    <t>06767/202245444</t>
  </si>
  <si>
    <t>01945/202245444</t>
  </si>
  <si>
    <t>08543/202145444</t>
  </si>
  <si>
    <t>03558/202145444</t>
  </si>
  <si>
    <t>08547/202145444</t>
  </si>
  <si>
    <t>11340/202345444</t>
  </si>
  <si>
    <t>02660/202345444</t>
  </si>
  <si>
    <t>01487/202245444</t>
  </si>
  <si>
    <t>PDPJ-BR Conecta</t>
  </si>
  <si>
    <t>02465/202445444</t>
  </si>
  <si>
    <t>10157/202245444</t>
  </si>
  <si>
    <t>02938/202145444</t>
  </si>
  <si>
    <t>11644/202245474</t>
  </si>
  <si>
    <t>02465/202445474</t>
  </si>
  <si>
    <t>03924/202345474</t>
  </si>
  <si>
    <t>11270/202245474</t>
  </si>
  <si>
    <t>06767/202245474</t>
  </si>
  <si>
    <t>10157/202245474</t>
  </si>
  <si>
    <t>03558/202145474</t>
  </si>
  <si>
    <t>01945/202245474</t>
  </si>
  <si>
    <t>08543/202145474</t>
  </si>
  <si>
    <t>02938/202145474</t>
  </si>
  <si>
    <t>08547/202145474</t>
  </si>
  <si>
    <t>05578/202445474</t>
  </si>
  <si>
    <t>08690/202345444</t>
  </si>
  <si>
    <t>11340/202345474</t>
  </si>
  <si>
    <t>03096/202145474</t>
  </si>
  <si>
    <t>08690/202345474</t>
  </si>
  <si>
    <t>01179/202345505</t>
  </si>
  <si>
    <t>01764/202045505</t>
  </si>
  <si>
    <t>02465/202445505</t>
  </si>
  <si>
    <t>03924/202345505</t>
  </si>
  <si>
    <t>02080/202345505</t>
  </si>
  <si>
    <t>01945/202245505</t>
  </si>
  <si>
    <t>08547/202145505</t>
  </si>
  <si>
    <t>11270/202245505</t>
  </si>
  <si>
    <t>06767/202245505</t>
  </si>
  <si>
    <t>08543/202145505</t>
  </si>
  <si>
    <t>03558/202145505</t>
  </si>
  <si>
    <t>11644/202245505</t>
  </si>
  <si>
    <t>05578/202445505</t>
  </si>
  <si>
    <t>04137/202445505</t>
  </si>
  <si>
    <t>10157/202245505</t>
  </si>
  <si>
    <t>01487/202245505</t>
  </si>
  <si>
    <t>03545/202145444</t>
  </si>
  <si>
    <t>11340/202345505</t>
  </si>
  <si>
    <t>02483/202345505</t>
  </si>
  <si>
    <t>05138/202445505</t>
  </si>
  <si>
    <t>12135/202245139</t>
  </si>
  <si>
    <t>02476/202445505</t>
  </si>
  <si>
    <t>12135/202245231</t>
  </si>
  <si>
    <t>12135/202245261</t>
  </si>
  <si>
    <t>12135/202245505</t>
  </si>
  <si>
    <t>03545/202145505</t>
  </si>
  <si>
    <t>11645/202245505</t>
  </si>
  <si>
    <t>10926/202445536</t>
  </si>
  <si>
    <t>05578/202445536</t>
  </si>
  <si>
    <t>02465/202445536</t>
  </si>
  <si>
    <t>01703/202445536</t>
  </si>
  <si>
    <t>02080/202345536</t>
  </si>
  <si>
    <t>11645/202245536</t>
  </si>
  <si>
    <t>11644/202245536</t>
  </si>
  <si>
    <t>11270/202245536</t>
  </si>
  <si>
    <t>06767/202245536</t>
  </si>
  <si>
    <t>10157/202245536</t>
  </si>
  <si>
    <t>03558/202145536</t>
  </si>
  <si>
    <t>01945/202245536</t>
  </si>
  <si>
    <t>08543/202145536</t>
  </si>
  <si>
    <t>02483/202345536</t>
  </si>
  <si>
    <t>09796/202445536</t>
  </si>
  <si>
    <t>09613/202445505</t>
  </si>
  <si>
    <t>00139/202445536</t>
  </si>
  <si>
    <t>03924/202345536</t>
  </si>
  <si>
    <t>09613/202445536</t>
  </si>
  <si>
    <t>12135/202245536</t>
  </si>
  <si>
    <t>03545/202145536</t>
  </si>
  <si>
    <t>06826/202445505</t>
  </si>
  <si>
    <t>11821/202445474</t>
  </si>
  <si>
    <t>02888/202445536</t>
  </si>
  <si>
    <t>01945/202245566</t>
  </si>
  <si>
    <t>06767/202245566</t>
  </si>
  <si>
    <t>02080/202345566</t>
  </si>
  <si>
    <t>08543/202145566</t>
  </si>
  <si>
    <t>05578/202445566</t>
  </si>
  <si>
    <t>02465/202445566</t>
  </si>
  <si>
    <t>01703/202445566</t>
  </si>
  <si>
    <t>09796/202445566</t>
  </si>
  <si>
    <t>11645/202245566</t>
  </si>
  <si>
    <t>11270/202245566</t>
  </si>
  <si>
    <t>03558/202145566</t>
  </si>
  <si>
    <t>11644/202245566</t>
  </si>
  <si>
    <t>09613/202445566</t>
  </si>
  <si>
    <t>13898/202445536</t>
  </si>
  <si>
    <t>02887/202445566</t>
  </si>
  <si>
    <t>11340/202345536</t>
  </si>
  <si>
    <t>01764/202045536</t>
  </si>
  <si>
    <t>12135/202245566</t>
  </si>
  <si>
    <t>03545/202145566</t>
  </si>
  <si>
    <t>02483/202345566</t>
  </si>
  <si>
    <t>08547/202145566</t>
  </si>
  <si>
    <t>03924/202345566</t>
  </si>
  <si>
    <t>11821/202445566</t>
  </si>
  <si>
    <t>10101/202445566</t>
  </si>
  <si>
    <t>12215/202345566</t>
  </si>
  <si>
    <t>13898/202445566</t>
  </si>
  <si>
    <t>11340/202345566</t>
  </si>
  <si>
    <t>01945/202245597</t>
  </si>
  <si>
    <t>01179/202345536</t>
  </si>
  <si>
    <t>06767/202245597</t>
  </si>
  <si>
    <t>11270/202245597</t>
  </si>
  <si>
    <t>00535/201945597</t>
  </si>
  <si>
    <t>02080/202345597</t>
  </si>
  <si>
    <t>03545/202145597</t>
  </si>
  <si>
    <t>03558/202145597</t>
  </si>
  <si>
    <t>08543/202145597</t>
  </si>
  <si>
    <t>02483/202345597</t>
  </si>
  <si>
    <t>05578/202445597</t>
  </si>
  <si>
    <t>02465/202445597</t>
  </si>
  <si>
    <t>11644/202245597</t>
  </si>
  <si>
    <t>10926/202445597</t>
  </si>
  <si>
    <t>12135/202245597</t>
  </si>
  <si>
    <t>01703/202445597</t>
  </si>
  <si>
    <t>09796/202445597</t>
  </si>
  <si>
    <t>11645/202245597</t>
  </si>
  <si>
    <t>09613/202445597</t>
  </si>
  <si>
    <t>02887/202445597</t>
  </si>
  <si>
    <t>08370/202445597</t>
  </si>
  <si>
    <t>09536/202445474</t>
  </si>
  <si>
    <t>09536/202445536</t>
  </si>
  <si>
    <t>02660/202345627</t>
  </si>
  <si>
    <t>00484/202445627</t>
  </si>
  <si>
    <t>01945/202245627</t>
  </si>
  <si>
    <t>11270/202245627</t>
  </si>
  <si>
    <t>02080/202345627</t>
  </si>
  <si>
    <t>03558/202145627</t>
  </si>
  <si>
    <t>08547/202145627</t>
  </si>
  <si>
    <t>11645/202245627</t>
  </si>
  <si>
    <t>11644/202245627</t>
  </si>
  <si>
    <t>01703/202445627</t>
  </si>
  <si>
    <t>09796/202445627</t>
  </si>
  <si>
    <t>02465/202445627</t>
  </si>
  <si>
    <t>09613/202445627</t>
  </si>
  <si>
    <t>09536/202445627</t>
  </si>
  <si>
    <t>04137/202445627</t>
  </si>
  <si>
    <t>02483/202345627</t>
  </si>
  <si>
    <t>03924/202345627</t>
  </si>
  <si>
    <t>03545/202145627</t>
  </si>
  <si>
    <t>05578/202445627</t>
  </si>
  <si>
    <t>12135/202245627</t>
  </si>
  <si>
    <t>08370/202445627</t>
  </si>
  <si>
    <t>02887/202445627</t>
  </si>
  <si>
    <t>02394/202445627</t>
  </si>
  <si>
    <t>f1</t>
  </si>
  <si>
    <t>f2</t>
  </si>
  <si>
    <t>f4</t>
  </si>
  <si>
    <t>f5</t>
  </si>
  <si>
    <t>f7</t>
  </si>
  <si>
    <t>f8</t>
  </si>
  <si>
    <t>f9</t>
  </si>
  <si>
    <t>f10</t>
  </si>
  <si>
    <t>f11</t>
  </si>
  <si>
    <t>f12</t>
  </si>
  <si>
    <t>f13</t>
  </si>
  <si>
    <t>f14</t>
  </si>
  <si>
    <t>f15</t>
  </si>
  <si>
    <t>Área Patrocinadora</t>
  </si>
  <si>
    <t>Objeto</t>
  </si>
  <si>
    <t>Eixo</t>
  </si>
  <si>
    <t>TEMÁTICA</t>
  </si>
  <si>
    <t>Juiz auxiliar</t>
  </si>
  <si>
    <t>Previsão de Término</t>
  </si>
  <si>
    <t>Percentual de Execução</t>
  </si>
  <si>
    <t>Avanço até o momento</t>
  </si>
  <si>
    <t>Entregas no último mês</t>
  </si>
  <si>
    <t>Próximos passos</t>
  </si>
  <si>
    <t>Mês de referência</t>
  </si>
  <si>
    <t>Mês de coleta</t>
  </si>
  <si>
    <t>Formalizado?</t>
  </si>
  <si>
    <t xml:space="preserve">Eixo 2: Estrutura, Inovação e Transparência </t>
  </si>
  <si>
    <t>Pesquisa</t>
  </si>
  <si>
    <t>Entregas realizadas:
avanço consistente com as etapas do plano de medição, restando principalmente a validação final das pesquisas e divulgação institucional.</t>
  </si>
  <si>
    <t>•</t>
  </si>
  <si>
    <t>Próximos passos:
finalizar análise do produto final e formalizar aceite institucional; elaborar notas técnicas de divulgação dos resultados das pesquisas.</t>
  </si>
  <si>
    <t>Observações:
avanço consistente com as etapas do plano de medição, restando principalmente a validação final das pesquisas e divulgação institucional.</t>
  </si>
  <si>
    <t>Ação para Meninas e Mulheres – Itinerância Amazônia Legal</t>
  </si>
  <si>
    <t>Articular ações interinstitucionais de prevenção e enfrentamento da violência doméstica, dos feminicídios e da exploração sexual, com foco na proteção integral de meninas e mulheres em situação de vulnerabilidade social e climática. A itinerância prevista para o ano de 2026 contempla o arquipélago da Ilha do Marajó, em razão de sua complexidade geográfica e das desigualdades territoriais que impactam o acesso à justiça.</t>
  </si>
  <si>
    <t>Eixo 6: Infância, Juventude e Proteção das Famílias</t>
  </si>
  <si>
    <t>Mulher e Violência Doméstica</t>
  </si>
  <si>
    <t>Não se aplica - Cronograma não formalizado</t>
  </si>
  <si>
    <t>Planejamento</t>
  </si>
  <si>
    <t>- Inclusão formal da ação na Itinerância da Amazônia Legal e definição da edição no arquipélago do Marajó (Breves, Portel e Melgaço).
- Identificação preliminar de parceiros locais e serviços a serem mobilizados.</t>
  </si>
  <si>
    <t>Ajuste institucional que vinculou a ação à itinerância, permitindo planejamento integrado com as equipes responsáveis.</t>
  </si>
  <si>
    <t>- Elaboração do plano detalhado da edição.
- Execução da itinerância em maio.</t>
  </si>
  <si>
    <t>Não</t>
  </si>
  <si>
    <t>Acolhimento Familiar</t>
  </si>
  <si>
    <t>Busca contribuir para qualificar a política de acolhimento, garantindo que mais crianças vivenciem um ambiente familiar, o que favorece seu desenvolvimento emocional, social e cognitivo. A ampliação da proporção de acolhimento familiar reduz a permanência em instituições, promove vínculos afetivos mais estáveis e aumenta as chances de reintegração familiar ou adoção bem-s</t>
  </si>
  <si>
    <t>Infância e Juventude</t>
  </si>
  <si>
    <t>- Participação contínua no GTI Nacional.
- Curso estruturado com 8 trilhas formativas.
- Inclusão do acolhimento familiar no Prêmio CNJ de Qualidade.
- Webinário nacional da entrega voluntária.</t>
  </si>
  <si>
    <r>
      <rPr>
        <b/>
        <sz val="11"/>
        <color theme="1"/>
        <rFont val="Calibri"/>
        <family val="2"/>
        <scheme val="minor"/>
      </rPr>
      <t>Entregas:</t>
    </r>
    <r>
      <rPr>
        <sz val="11"/>
        <color theme="1"/>
        <rFont val="Calibri"/>
        <family val="2"/>
        <scheme val="minor"/>
      </rPr>
      <t xml:space="preserve">
-Semana Nacional de Prevenção à Gravidez na Adolescência  
</t>
    </r>
    <r>
      <rPr>
        <b/>
        <sz val="11"/>
        <color theme="1"/>
        <rFont val="Calibri"/>
        <family val="2"/>
        <scheme val="minor"/>
      </rPr>
      <t>Em andamento:</t>
    </r>
    <r>
      <rPr>
        <sz val="11"/>
        <color theme="1"/>
        <rFont val="Calibri"/>
        <family val="2"/>
        <scheme val="minor"/>
      </rPr>
      <t xml:space="preserve">
-Planejamento interinstitucional da capacitação.
-Preparação para o lançamento do curso nacional de acolhimento familiar.
-Tratativas com o Justiça Plural para elaboração do sumário executivo.</t>
    </r>
  </si>
  <si>
    <r>
      <rPr>
        <b/>
        <sz val="11"/>
        <color theme="1"/>
        <rFont val="Calibri"/>
        <family val="2"/>
        <scheme val="minor"/>
      </rPr>
      <t xml:space="preserve">
A realizar</t>
    </r>
    <r>
      <rPr>
        <sz val="11"/>
        <color theme="1"/>
        <rFont val="Calibri"/>
        <family val="2"/>
        <scheme val="minor"/>
      </rPr>
      <t xml:space="preserve">
-Elaboração e entrega do sumário executivo (dependente do Justiça Plural).</t>
    </r>
  </si>
  <si>
    <t>Aguardando primeira versão do PGP</t>
  </si>
  <si>
    <t>Ampliação da Medida Protetiva de Urgência Eletrônica</t>
  </si>
  <si>
    <t xml:space="preserve">Ampliação e consolidação da Medida Protetiva de Urgência Eletrônica como instrumento estruturante de acesso célere à Justiça, com foco na expansão da protocolização digital e no fortalecimento da interoperabilidade entre sistemas. O projeto visa reduzir barreiras de acesso, ampliar a capilaridade territorial, especialmente em regiões de maior vulnerabilidade, e qualificar o monitoramento da efetividade das medidas concedidas, incluindo análise de descumprimentos e reincidências. Atua na infraestrutura tecnológica e na porta de 
entrada da tutela protetiva, fortalecendo a resposta institucional em ambiente digital. </t>
  </si>
  <si>
    <t>- Alinhamentos internos sobre expansão nacional e interoperabilidade.
- Levantamento preliminar das experiências existentes nos tribunais.
- Definição da coordenação institucional pela conselheira Jaceguara.</t>
  </si>
  <si>
    <t>- Organização da estratégia de expansão.
- Preparação do ofício aos tribunais.
- Planejamento da reunião com o presidente do CONSEP.</t>
  </si>
  <si>
    <t>- Envio do ofício aos tribunais.
- Reunião com o CONSEP.
- Consolidação das informações e elaboração do diagnóstico nacional.
- Proposta de padronização nacional e articulação com o Justiça 4.0.</t>
  </si>
  <si>
    <t xml:space="preserve">Produto 1 - Relatório técnico contendo plano de trabalho, conteúdos programáticos e objetos pedagógicos de aprendizagem a serem utilizados nos cursos
 Produto 2 - Curso Relatórios e Automações Profissionais com R, nos modelos assíncrono com tutoria e autoinstrucional.
Produto 3 - Curso R Avançado para Ciência de Dados
 Produto 4 - Curso Python Avançado para Ciência de Dados
Produto 5 - Curso Processamento de Big Data em R e Python
 Produto 6 - Curso Power BI Avançado para Análise de Dados
 Produto 7 - Curso Mineração de Texto Avançada
</t>
  </si>
  <si>
    <t>Teste assistido do formROGERIA</t>
  </si>
  <si>
    <t>Produto 8 - Curso Machine Learning Avançado
Produto 9 - Curso Aplicações e Dashboard Avançado com R
Produto 10 -  Relatório técnico com detalhamento das ofertas dos cursos
Produto 11 - Relatório Final</t>
  </si>
  <si>
    <t>PJ4</t>
  </si>
  <si>
    <t>Entregas realizadas:
execução evoluiu de 70% para 77% entre janeiro e fevereiro de 2026, com foco na implementação da Consulta Nacional 1.0 e no desenvolvimento do motor de deduplicação de registros.</t>
  </si>
  <si>
    <t>Finalização Sprint 6</t>
  </si>
  <si>
    <t>Próximos passos:
concluir correções do processo de deduplicação e validar visualização de registros unificados no frontend; avançar em integrações previstas no backlog; dar continuidade ao processo de transição técnica e documentação do projeto.</t>
  </si>
  <si>
    <t>Observações:
ampliação do escopo do projeto com inclusão de novas demandas; necessidade de atualização do plano de gestão e avaliação orçamentária; dependências externas para integrações e impacto de férias na capacidade do time.</t>
  </si>
  <si>
    <t>•	Atendimento contínuo via GLPI para sistemas em produção.
•	Correções de infraestrutura, banco de dados e conflitos de código.
•	Suporte direto a magistrados e tribunais, com encaminhamento estruturado ao DTI e equipes técnicas.
•	Monitoramento da maturidade das soluções para avaliar prontidão para phase-out.</t>
  </si>
  <si>
    <t>•	Evolução do atendimento e estabilização das soluções.
•	Relatório consolidado com planejamento, mapeamento e capacitações.
•	Acompanhamento das filas específicas de atendimento no GLPI.</t>
  </si>
  <si>
    <t>•	Continuidade do suporte até o encerramento previsto do programa.
•	Possível replanejamento caso o PJ4.0 seja prorrogado.
•	Consolidação de indicadores de atendimento para subsidiar decisões de transição.</t>
  </si>
  <si>
    <t>Caminho crítico para o phase-out
•	Projeto essencial para avaliar maturidade e estabilidade das soluções.
•	A transição para absorção completa pelo CNJ é gradual e mais longa do que o ideal.</t>
  </si>
  <si>
    <t>Aprimoramento das Coordenadorias e CEJA/CEJAI (SIGEs)</t>
  </si>
  <si>
    <t>visa garantir governança nacional padronizada para os órgãos Macrogestores responsáveis pela política da infância e juventude no âmbito do Poder Judiciário, assegurando maior clareza de papéis, segurança administrativa e capacidade de articulação. A uniformização da estrutura mínima e das competências das Coordenadorias da Infância e Juventude e das CEJA/CEJAIs permitirá reduzir assimetrias entre tribunais, evitar sobreposição de atribuições e fortalecer a gestão integrada da política protetiva. Essa padronização contribuirá para a eficiência, continuidade e efetividade das ações voltadas à proteção integral, alinhando práticas às diretrizes constitucionais e normativas do CNJ, especialmente com a atualização da Resolução nº 94/2009 e a definição de parâmetros nacionais de funcionamento.</t>
  </si>
  <si>
    <t>-Elaboração do formulário do diagnóstico das SIGEs.
-Elaboração final do formulário pela DTI.
-Envio do formulário aos tribunais.</t>
  </si>
  <si>
    <r>
      <rPr>
        <b/>
        <sz val="11"/>
        <color theme="1"/>
        <rFont val="Calibri"/>
        <family val="2"/>
        <scheme val="minor"/>
      </rPr>
      <t>Entregas:</t>
    </r>
    <r>
      <rPr>
        <sz val="11"/>
        <color theme="1"/>
        <rFont val="Calibri"/>
        <family val="2"/>
        <scheme val="minor"/>
      </rPr>
      <t xml:space="preserve">
-Elaboração final do formulário do diagnóstico pelas equipes técnicas da DTI  
-Envio do formulário do diagnóstico aos tribunais  
</t>
    </r>
    <r>
      <rPr>
        <b/>
        <sz val="11"/>
        <color theme="1"/>
        <rFont val="Calibri"/>
        <family val="2"/>
        <scheme val="minor"/>
      </rPr>
      <t>Em andamento:</t>
    </r>
    <r>
      <rPr>
        <sz val="11"/>
        <color theme="1"/>
        <rFont val="Calibri"/>
        <family val="2"/>
        <scheme val="minor"/>
      </rPr>
      <t xml:space="preserve">
-Visitas técnicas aos tribunais (Amapá, Alagoas e demais).
-Recebimento de respostas ao diagnóstico das SIGEs.
-Revisão da Resolução 94 (dependente da conclusão do diagnóstico).</t>
    </r>
  </si>
  <si>
    <r>
      <t xml:space="preserve">
</t>
    </r>
    <r>
      <rPr>
        <b/>
        <sz val="11"/>
        <color theme="1"/>
        <rFont val="Calibri"/>
        <family val="2"/>
        <scheme val="minor"/>
      </rPr>
      <t>A realizar</t>
    </r>
    <r>
      <rPr>
        <sz val="11"/>
        <color theme="1"/>
        <rFont val="Calibri"/>
        <family val="2"/>
        <scheme val="minor"/>
      </rPr>
      <t xml:space="preserve">
-Análise dos dados do diagnóstico.
-Elaboração do relatório final do diagnóstico (Justiça Plural).</t>
    </r>
  </si>
  <si>
    <t>Atualização do Manual de Rotinas e Estruturação dos Juizados</t>
  </si>
  <si>
    <t xml:space="preserve">Revisão e atualização do Manual de Rotinas publicado em 2018, incorporando transformações normativas, tecnológicas e sociais. Visa uniformizar rotinas judiciais e adequar a atuação dos juizados às práticas atuais, incluindo avaliação de risco, violência digital, 
medidas protetivas eletrônicas, governança em rede e monitoramento. </t>
  </si>
  <si>
    <t>- Publicação das diretrizes do Fórum da Lei Maria da Penha.
- Levantamento preliminar dos pontos a revisar.</t>
  </si>
  <si>
    <t>- Contribuições técnicas às diretrizes.
- Discussões sobre composição do GT.</t>
  </si>
  <si>
    <t>-Constituição do GT.
- Início da revisão do manual.</t>
  </si>
  <si>
    <t>Dr. Ricardo</t>
  </si>
  <si>
    <t>Entregas realizadas:
consolidar o novo modelo de credenciais e executar o plano de comunicação associado; mitigar gargalo de performance relacionado ao processamento de comunicações vencidas; avançar na transição técnica CNJ/DTI e concluir pendências de documentação e relatórios técnicos.</t>
  </si>
  <si>
    <r>
      <t>- Remessa e usabilidade:</t>
    </r>
    <r>
      <rPr>
        <sz val="11"/>
        <color rgb="FF000000"/>
        <rFont val="Calibri"/>
        <family val="2"/>
      </rPr>
      <t xml:space="preserve"> Ajustes de interface e mensagens em fluxos de remessa, como inclusão de tooltip gerais de consistência e retorno de mensagens ao usuário.</t>
    </r>
  </si>
  <si>
    <t>Próximos passos:
correções em produção relacionadas a login e assinatura; ajustes no cadastro de pessoas e na central de mensagens; evolução da unificação do Registro Judicial de Informações; avanço na homologação das APIs de cadastro de pessoas para tribunais.</t>
  </si>
  <si>
    <t>Observações:
risco de transbordo registrado no acompanhamento do projeto; instabilidade recorrente em processos de autenticação e assinatura digital; sistema considerado crítico nacional, com prioridade institucional voltada à estabilidade e conformidade.</t>
  </si>
  <si>
    <t xml:space="preserve"> Estruturação do Banco Nacional de Precedentes
Estruturação hierárquica dos precedentes
Relacionamento entre precedentes e processos judiciais
Desenvolvimento do modelo de banco de dados
Alimentação do banco de dados do BNP
Auditoria de cargas dos tribunais
Ações de fiscalização e apoio aos tribunais
Modelagem e criação do banco de dados / endpoint (P1)
Busca e Pesquisa Avançada no Pangea
Mecanismos de pesquisa textual avançada
Evoluções da interface e mecanismos de busca
Ajustes nos filtros de espécies
Criação da pesquisa textual por parâmetros (P2)
Notas Técnicas — Funcionalidades e Serviços
Protótipo, regras, interface, testes e publicação
Serviços implementados:
Envio de notas técnicas
Envio de súmulas vinculantes
Envio de enunciados do STF e STJ
Criação do histórico de notas
Configuração de limites de upload
 Integrações Essenciais com Tribunais
Serviços de envio dos tipos processuais (Art. 927 CPC)
Carga do STF — classes de controle concentrado
Ajustes e correções nos endpoints de sobrestamentos
 Documentação e Suporte
Manual do Usuário
Guia de FAQ
Documentação e atividades de phase-out (P1)</t>
  </si>
  <si>
    <t>Reunião com o time de UX;
Refinamento da funcionalidade de linha do tempo;
Atendimento ao TRT9;
Suporte ao TRF6;</t>
  </si>
  <si>
    <t>Inclui as atividades que compõem BFF, orquestrador, modelagem, validações etc. Exemplos:
Análise da arquitetura atual (7.1) 
Validação técnica da modelagem (7.2) 
Desenvolvimento da camada intermediária (7.3) 
Modelagem de banco (9.3)
Análise e levantamento de atributos (vários itens das fases 9, 10, 11, 12, 13, 14, 15) 
Documentos finais de migração, conformidade, planilhas, testes de segurança, equipe DTI, fase-out</t>
  </si>
  <si>
    <t>Eixo 4: Sustentabilidade Ambiental e Social</t>
  </si>
  <si>
    <t>Questões indígenas</t>
  </si>
  <si>
    <t>Apreciação parecer SEP</t>
  </si>
  <si>
    <t>TAP do Projeto formalizado, aguardando aprovação para inclusão no portfólio.
Reunião CNJ/TJSP para apresentação do sistema do TJ.
Reunião de Escuta Institucional CNJ–STF–FUNAI sobre Demandas dos Povos Indígenas.
Reunião Técnica CNJ/TJSP, definição de  requisitos</t>
  </si>
  <si>
    <t>(i) envio, pela equipe técnica, de comunicação
formal ao CNJ com a descrição das demandas necessárias para antecipação da
preparação dos ambientes; (ii) realização de testes preliminares de publicação e
validação de infraestrutura; (iii) organização de estratégia de chamamento de
tribunais para homologação; (iv) disponibilização de acesso ao ambiente de
homologação para produção de material de capacitação até a primeira semana
de março.</t>
  </si>
  <si>
    <t>Próxima reunião prevista para o dia 6/3</t>
  </si>
  <si>
    <t>Campanha “A Violência Não Mora Aqui”</t>
  </si>
  <si>
    <t xml:space="preserve">Consiste na execução da campanha institucional A Violência Não Mora Aqui, cujo objetivo é sensibilizar o público e fortalecer a comunicação do Programa por meio de conteúdos informativos e materiais digitais voltados ao enfrentamento da violência de gênero. </t>
  </si>
  <si>
    <t>Definição da linha editorial e dos conteúdos da campanha.</t>
  </si>
  <si>
    <t>Preparação da campanha, incluindo a elaboração do quiz sobre violência digital.</t>
  </si>
  <si>
    <t>Veiculação da campanha ao longo do mês de março.</t>
  </si>
  <si>
    <t>Capacitação dos Atores da Rede</t>
  </si>
  <si>
    <t xml:space="preserve">Capacitação interinstitucional dos atores que integram as redes de atendimento às mulheres em situação de violência, com foco na qualificação do trabalho em rede e no alinhamento de fluxos, papéis e responsabilidades institucionais. </t>
  </si>
  <si>
    <t>Estruturação das três ações formativas previstas.</t>
  </si>
  <si>
    <t>-Organização das ações com datas definidas:
- 20 de março – roda de conversa interna.
- 25 de março – seminário sobre violência política de gênero.
- 7 de abril – seminário nacional.</t>
  </si>
  <si>
    <t>- Realização das ações.
- Consolidação dos materiais produzidos.</t>
  </si>
  <si>
    <t>•	Atualizações de classes, competências, assuntos e órgãos julgadores para tribunais.
•	Correções e melhorias técnicas contínuas, incluindo ajustes de infraestrutura e banco de dados.
•	Suporte a integrações dependentes de dados estruturados, como carta precatória e ofícios.
•	Atuação conjunta com o SEEU para resolver inconsistências de dados que impedem liberações no Portal.</t>
  </si>
  <si>
    <t>•	Melhorias técnicas relacionadas a integrações.
•	Correções de inconsistências de dados que impedem funcionalidades específicas.</t>
  </si>
  <si>
    <t>•	Correção de inconsistências de dados do SEEU.
•	Continuidade das melhorias evolutivas definidas em reuniões semanais.
•	Ajustes adicionais para garantir estabilidade e compatibilidade com sistemas integrados.</t>
  </si>
  <si>
    <t>•	Projeto altamente técnico, com forte dependência de infraestrutura e banco do CNJ.
•	Interdependência direta com o Portal de Serviços.
•	Muitas demandas surgem de reuniões semanais e ajustes contínuos.</t>
  </si>
  <si>
    <t>Dr. Henrique Dada Paiva</t>
  </si>
  <si>
    <t>Atividades realizadas: 
projeto em execução com progresso estimado em 54%, com desenvolvimento contínuo das funcionalidades previstas no escopo e acompanhamento das entregas planejadas.</t>
  </si>
  <si>
    <t>Entregas realizadas: 
evolução das atividades de desenvolvimento e ajustes técnicos relacionados à implantação das funcionalidades previstas no projeto.</t>
  </si>
  <si>
    <t>Entregas planejadas para o próximo mês: 
continuidade da implementação das funcionalidades e consolidação das integrações previstas no escopo do projeto.</t>
  </si>
  <si>
    <t>Outros fatores relevantes: 
acompanhamento regular do cronograma e das prioridades técnicas para assegurar a evolução planejada.</t>
  </si>
  <si>
    <t>Entregas realizadas:
execução do projeto atingiu 46%, com Data Lake operando em produção e foco em melhorias evolutivas para atendimento de demandas institucionais, especialmente relacionadas ao Portal de Serviços. Foram implantados controller de saneamento e iMensagem em produção, além da conclusão da prova de conceito de sigilo.</t>
  </si>
  <si>
    <t>Entregas no último mês:
implantação do controller de saneamento em produção; disponibilização do iMensagem em ambiente produtivo; evolução de melhorias evolutivas do Data Lake para atendimento ao Portal de Serviços; conclusão da prova de conceito de sigilo e ajustes nas rotinas de ingestão de dados.</t>
  </si>
  <si>
    <t>Próximos passos:
Entregas planejadas para o próximo mês: avançar na implementação do ambiente de sigilo e regras do SIGA; realizar ajuste estrutural para migração do código IBGE da API para a ingestão; evoluir webhook do iMensagem e integrações correlatas; manter ciclo contínuo de melhorias relacionadas a performance, segurança e qualidade da solução.</t>
  </si>
  <si>
    <t>Observações:
mudança de gerente formalizada em janeiro de 2026; risco técnico de incompatibilidade caso consumidores utilizem versões superiores do Java; dependências externas envolvendo Receita Federal e Defensoria Pública do Paraná; identificação de aplicações consumindo CODEX via API fora da diretriz institucional.</t>
  </si>
  <si>
    <t>Sprint 1 Etapa 3</t>
  </si>
  <si>
    <t>Entregas realizadas 
• Repasse de arquitetura pela DB para a equipe PNUD. 
• Envio da Nota Técnica da Release 2 para validação. 
• Envio da Release 1 para pagamento. 
• Início das dailys da equipe PNUD e liberação de acessos. 
• Repasse do editor de texto TRF3 e revisão do Manual do Usuário. 
• Carga de processos do TJMT executada.</t>
  </si>
  <si>
    <t xml:space="preserve">Entregas planejadas para o próximo mês 
• Início da primeira sprint oficial da equipe PNUD. 
• Despacho da Release 2 para o gestor negocial. 
• Pagamento do relatório da Release 1 (Call-off 13). 
• Categorização e apresentação do backlog aos tribunais de homologação. 
• Alocação de desenvolvedor front-end, analista de testes e arquiteto. </t>
  </si>
  <si>
    <t>Outros fatos relevantes a registrar 
• Progresso geral do projeto em 54%, com prazo final previsto para dezembro de 2026. 
• Sprint atual focada em editor TRF3 e ações em lote para gabinete. 
• Risco de transbordo avaliado como inexistente no período. 
• Reforço da equipe PNUD em andamento para evolução e sustentação do módulo.</t>
  </si>
  <si>
    <t>Diagnóstico e Redução do Tempo de Decisão das Medidas Protetivas de Urgência</t>
  </si>
  <si>
    <t xml:space="preserve">Instituição de iniciativa nacional, de natureza técnica, cooperativa e orientada por evidências, destinada à identificação de assimetrias territoriais no tempo de apreciação das Medidas Protetivas de Urgência e à indução de melhorias progressivas com convergência ao prazo legal de até 48 horas, nos termos da Lei nº 11.340/2006. Fundamenta-se nos dados do Painel de Violência contra a Mulher do Conselho Nacional de Justiça e nas informações técnicas produzidas no âmbito do SEI nº 01402/2026. O projeto compreende diagnóstico orientado por dados, articulação com CEVIDs e Corregedorias, formulação de recomendações técnicas e monitoramento periódico, com horizonte de implementação até dezembro de 2026. </t>
  </si>
  <si>
    <t>- Abertura do SEI e envio das planilhas padronizadas para coleta de dados junto aos tribunais.
- Reuniões com tribunais e definição dos indicadores.</t>
  </si>
  <si>
    <t>- Consolidação das planilhas e início da validação dos dados.
- Identificação preliminar de assimetrias regionais.</t>
  </si>
  <si>
    <t>- Finalização do diagnóstico.
- Cruzamento com dados de feminicídio.
- Elaboração de relatório executivo.</t>
  </si>
  <si>
    <t>- Estabilidade operacional elevada, com índice de erro inferior a 1%, indicando maturidade da solução e funcionamento consistente.
- Melhorias de layout, tornando a interface mais clara e facilitando a navegação e o uso pelos destinatários das comunicações.
- Aprimoramentos na exportação de comunicações, permitindo que usuários obtenham dados de forma mais organizada e útil para rotinas internas.
- Refinamento no tratamento das comunicações, reduzindo falhas e garantindo maior confiabilidade no envio, recebimento e registro das intimações.
- Documentação técnica atualizada, incluindo orientações de uso e suporte, o que facilita a transição para as equipes responsáveis pela operação contínua.</t>
  </si>
  <si>
    <t>- Ajustes de layout voltados à melhoria da experiência do usuário.
- Melhorias no fluxo de tratamento das comunicações, reduzindo inconsistências e aumentando a precisão no processamento.
- Preparação para validação do novo CNPJ, necessária para garantir conformidade e continuidade do funcionamento do sistema.</t>
  </si>
  <si>
    <t>- Realização de webinário institucional em 20 de março, com o objetivo de orientar usuários, apresentar melhorias e esclarecer dúvidas.
-' Conclusão do phase-out, com transferência definitiva da operação para o time interno do CNJ, caso não haja extensão do programa.
- Possível continuidade do desenvolvimento, caso o PJ4.0 seja prorrogado, permitindo execução de backlog de melhorias solicitadas pelos tribunais.</t>
  </si>
  <si>
    <t>- O sistema encontra-se maduro, estável e amplamente funcional, com baixa taxa de erros e boa aceitação.
- A continuidade das melhorias depende da decisão institucional sobre a renovação ou encerramento do PJ4.0.
- O projeto está em fase de transição, exigindo acompanhamento próximo para garantir que a operação seja absorvida sem perda de qualidade.</t>
  </si>
  <si>
    <t>Eixo 1: Justiça, Segurança Jurídica e Eficiência</t>
  </si>
  <si>
    <t>Previdênciário e Saúde</t>
  </si>
  <si>
    <t xml:space="preserve">Atividades realizadas:
- Apresentação do planejamento de entrega dos ajustes finais do MVP para entrada em produção. Previsão: 09/02;
- Entrega dos requisitos relacionados ao módulo de Saúde Suplementar.
- Prototipação da funcionalidade de Saúde Suplementar entregue para homologação.
</t>
  </si>
  <si>
    <t>Atividades planejadas:
-"Virada de chave" entre os sistemas atual e novo sistema
- Especificação e Prototipação: Melhoria no Processo de retorno das NTs;
- Dashboards e Painéis de dados;
- Implementação da integração com o Jus.br
- Reunião com o Conselho do e-NatJuspara nova rodada de homologações do MVP</t>
  </si>
  <si>
    <t>18261/2025</t>
  </si>
  <si>
    <t>EPOL</t>
  </si>
  <si>
    <t>Não projetizado</t>
  </si>
  <si>
    <t>Criminal</t>
  </si>
  <si>
    <t>Dr. Gláucio Roberto Brittes de Araujo. Apoio Dra. Viviane Brito Rebello (Gestora SNGB)</t>
  </si>
  <si>
    <t>Validação de ajustes realizados no sistema.
Encaminhamento das demandas dos usuários</t>
  </si>
  <si>
    <t>Finalização da etapa negocial e acompanhamento dos resultados da operação do sistema</t>
  </si>
  <si>
    <t xml:space="preserve">Estruturação das equipes técnicas multiprofissionais no âmbito do Poder Judiciário. </t>
  </si>
  <si>
    <t xml:space="preserve">Equipes técnicas multiprofissionais, no âmbito do Poder Judiciário, estruturadas e qualificadas conforme padrões nacionais mínimos de funcionamento garantindo uniformidade, segurança, qualidade e mecanismos de monitoramento pra efetiva prestação jurisdicional à infância e juventude. </t>
  </si>
  <si>
    <t xml:space="preserve">
-Relatório final do Grupo de Trabalho das equipes técnicas.
-Publicação da Resolução 667/2025.</t>
  </si>
  <si>
    <r>
      <rPr>
        <b/>
        <sz val="11"/>
        <color theme="1"/>
        <rFont val="Calibri"/>
        <family val="2"/>
        <scheme val="minor"/>
      </rPr>
      <t>Em andamento</t>
    </r>
    <r>
      <rPr>
        <sz val="11"/>
        <color theme="1"/>
        <rFont val="Calibri"/>
        <family val="2"/>
        <scheme val="minor"/>
      </rPr>
      <t xml:space="preserve">
-Articulação com a ENAJU para cursos de formação.
-Desenvolvimento do curso sobre produção de documentos técnicos.
-Planejamento do monitoramento da resolução (dependente do Justiça Plural).</t>
    </r>
  </si>
  <si>
    <r>
      <rPr>
        <b/>
        <sz val="11"/>
        <color theme="1"/>
        <rFont val="Calibri"/>
        <family val="2"/>
        <scheme val="minor"/>
      </rPr>
      <t>A realizar</t>
    </r>
    <r>
      <rPr>
        <sz val="11"/>
        <color theme="1"/>
        <rFont val="Calibri"/>
        <family val="2"/>
        <scheme val="minor"/>
      </rPr>
      <t xml:space="preserve">
-Curso de formação inicial para equipes técnicas.
-Novo boletim de monitoramento após um ano da resolução.</t>
    </r>
  </si>
  <si>
    <t>Execução Fiscal</t>
  </si>
  <si>
    <t xml:space="preserve">Entregas realizadas 
No período correspondente às sprints 34 e 35 foram concluídas entregas relevantes de melhoria 
funcional, correções e evolução das integrações do sistema EFIN. 
Destacam-se 
Implementação de melhorias em validações, permissões e exibição de informações no sistema, com 
ajustes em paginação, filtros e tratamento de expiração de validações. 
• Evoluções no fluxo de certidões, incluindo: 
o Atualização de templates; 
o Inclusão de campos e informações relevantes na certidão de validação; 
o Ajustes no comportamento de envio e assinatura. 
• Implementação de melhorias de usabilidade e navegação nas telas de acompanhamento de 
casos. 
• Correções de inconsistências em funcionalidades críticas (filtros, timeout de sessão, tratamento 
de executados e criação de CDA). 
• Evolução das funcionalidades relacionadas ao fluxo de investigação e integração com o 
SNIPER (abertura de investigação e retorno de status). 
• Avanço da integração com o Portal de Serviços do Judiciário, com melhorias na comunicação 
de certidões e arquivos. 
• As sprints também consolidaram ajustes pós-testes e estabilização de funcionalidades já 
entregues em ciclos anteriores. </t>
  </si>
  <si>
    <t xml:space="preserve">O backlog atual do EFIN concentra-se principalmente na consolidação das funcionalidades relacionadas ao fluxo de constrição patrimonial e na evolução das integrações com sistemas estruturantes do ecossistema Justiça 4.0, em especial o SNIPER. Essas integrações são fundamentais para viabilizar o modelo de execução automatizada de constrições e garantir rastreabilidade e governança no processamento das ordens judiciais.
Parte relevante das demandas remanescentes refere-se à implementação e ajustes no fluxo de constrição, incluindo criação e gestão de rascunhos de bloqueio, tratamento dos retornos das integrações sistêmicas e implementação do modelo de notificações assíncronas entre sistemas. Essas funcionalidades são essenciais para viabilizar o início do piloto do EFIN com os tribunais parceiros (TJDFT – PJe e TRF4 – e-Proc).
Adicionalmente, o backlog contempla melhorias funcionais e evoluções arquiteturais da aplicação, incluindo aprimoramentos de desempenho, tratamento de filas de processamento, refinamento da experiência do usuário e ajustes necessários para garantir estabilidade operacional do sistema à medida que a solução passa a operar em ambiente piloto.
Cabe destacar que parte dessas entregas depende da estabilização das integrações sistêmicas atualmente em evolução no SNIPER, especialmente no que se refere ao fluxo de constrições. Esses ajustes são importantes para a consolidação da arquitetura do ecossistema Justiça 4.0, mas naturalmente impactam o cronograma de implementação das funcionalidades dependentes dentro do EFIN. </t>
  </si>
  <si>
    <t>Fase 1 – Estabilização das Integrações Sistêmicas
Período: Abril – Maio 2026
Objetivo: consolidar as integrações com o SNIPER e estabilizar o modelo de comunicação entre sistemas.
Principais atividades:
•	adequação das chamadas de integração com SNIPER
•	adaptação ao novo fluxo de bloqueio por parte
•	ajustes no contrato de APIs e modelo de dados
•	implementação do modelo de notificações assíncronas
•	testes técnicos de integração entre sistemas
Resultado esperado:
✔ Integração EFIN–SNIPER estabilizada para uso em ambiente piloto.
________________________________________
Fase 2 – Conclusão do MVP do EFIN
Período: Junho – Julho 2026
Objetivo: concluir o conjunto mínimo de funcionalidades necessárias para execução do piloto.
Principais atividades:
•	consolidação do fluxo de constrição
•	tratamento de status e retornos das constrições
•	implementação de funcionalidades pendentes do backlog crítico
•	melhorias de estabilidade e performance
•	testes internos e validação funcional
Resultado esperado:
✔ MVP funcional do EFIN pronto para operação piloto.
________________________________________
Fase 3 – Execução do Piloto Institucional
Período: Agosto – Setembro 2026
Objetivo: validar o funcionamento do EFIN em ambiente real com tribunais parceiros.
Tribunais participantes:
•	TJDFT – integração com PJe
•	TRF4 – integração com e-Proc
Principais atividades:
•	acompanhamento assistido da operação
•	coleta de feedback dos usuários
•	monitoramento de desempenho das integrações
•	ajustes pontuais de fluxo e usabilidade
Resultado esperado:
✔ Validação do modelo operacional do EFIN.
________________________________________
Fase 4 – Consolidação e Evolução Pós-Piloto
Período: Outubro – Dezembro 2026
Objetivo: consolidar melhorias decorrentes do piloto e preparar expansão da solução.
Principais atividades:
•	ajustes decorrentes do piloto
•	melhorias de usabilidade e estabilidade
•	evolução de funcionalidades secundárias do backlog
•	preparação para ampliação de uso da solução
Resultado esperado:
✔ Plataforma estabilizada e preparada para expansão institucional.</t>
  </si>
  <si>
    <t xml:space="preserve">Considerando a necessidade de estabilização das integrações sistêmicas, conclusão das funcionalidades do MVP e execução do piloto com os tribunais parceiros, propõe-se a adequação do cronograma do projeto com extensão aproximada de três meses para consolidação do MVP e início do piloto, mantendo-se horizonte até o final de 2026 para consolidação das evoluções decorrentes da fase piloto.
</t>
  </si>
  <si>
    <t>o projeto já capacitou, até o momento, 2.648 pessoas.
o projeto já visitou 12 dos 27 estados brasileiros.
SP: 164 pessoas capacitadas;
PE: 118 pessoas capacitadas;
RJ: 360 pessoas capacitadas;
MS: 130 pessoas capacitadas;
BA: 184 pessoas capacitadas;
SC: 237 pessoas capacitadas;
AP: 77 pessoas capacitadas;
RS: 222 pessoas capacitadas;
MG: 264 pessoas capacitadas;
PR: 376 pessoas capacitadas;
RR: 244 pessoas capacitadas; e 
PA: 272 pessoas capacitadas.</t>
  </si>
  <si>
    <t>Não houve visitas no último mês. O projeto estava parado devido à indefinição quanto à recondução da Conselheira Daiane Nogueira de Lima. Todavia, com a recondução, o projeto foi retomado em janeiro e foram definidas as novas visitas.</t>
  </si>
  <si>
    <t>5 e 6 de março: Maranhão
19 e 20 de março: Mato Grosso
7 e 8 de maio: Espírito Santo
18 e 19 de junho: Paraíba
29 e 30 de agosto: Goiás</t>
  </si>
  <si>
    <t xml:space="preserve"> Eixo 6: Infância, juventude e proteção das famílias e Eixo 3: Proteção de Direitos Humanos, Sistema Interamericano e Pena Justa</t>
  </si>
  <si>
    <t>MVP do FONAR/ROGÉRIA totalmente concluído (incluindo todos os formulários, protótipos, QA e homologações).
Versão mobile desenvolvida e homologada, com integrações internas concluídas.
Integrações com Data Lake finalizadas.
Protótipos e requisitos de dashboards e relatórios concluídos.
Guia de FAQ e Manual de Operação concluídos.</t>
  </si>
  <si>
    <t>Finalização Sprint 6;
Finalização Sprint 7;
Finalização Sprint 8;
Entrada em produção do MVP;
RoadmapEtapa 2 do Projeto;
Sprint 9 (com transbordo)
Teste assistido do formROGERIA
Sprint 10 (com transbordo)
Lançamento oficial do ROGERIA em Produção –rogeria.pdpj.jus.br
Sprint 11 (com transbordo)
Sprint 12
Sprint 13
Sprint 14 (com transbordo)
Sprint 15 (com transbordo)
Sprint 1 Etapa 3
RELASE 2 (ETAPA 2) em Produção</t>
  </si>
  <si>
    <t>Dashboards, relatórios e versão offline
Integração com o SINESP
Artefatos de transição para produção e phase-out
Publicação oficial no jus.br
Repasse para a DTI
Execução de todos os critérios dos benefícios</t>
  </si>
  <si>
    <t>FONAVID</t>
  </si>
  <si>
    <t xml:space="preserve">O FONAVID é o Fórum Nacional de juízas e juízes que atuam em violência doméstica e familiar contra a mulher, criado para articular a magistratura da área, trocar experiências e consolidar orientações, como enunciados e recomendações, para qualificar e dar mais efetividade à aplicação da Lei Maria da Penha. </t>
  </si>
  <si>
    <t>Articulação com o Fórum Nacional de Juízas e Juízes de Violência Doméstica.</t>
  </si>
  <si>
    <t>Sem ações específicas.</t>
  </si>
  <si>
    <t>Definição de ações conjuntas para 2026.</t>
  </si>
  <si>
    <t>Formulário Nacional de Avaliação de Risco Eletrônico (FONAR)</t>
  </si>
  <si>
    <t xml:space="preserve">Implementação e indução do uso do Formulário Nacional de Avaliação de Risco Eletrônico como instrumento de apoio à decisão judicial, voltado à identificação precoce do risco de escalada da violência, inclusive risco letal e violência digital. </t>
  </si>
  <si>
    <t>- Conclusão da Fase 1 (MVP – 2025), com entrega das versões desktop do Formulário FONAR e do Formulário Rogéria, além da atualização normativa por meio da Portaria Conjunta CNJ/CNMP nº 6/2025 e da Portaria CNJ nº 288/2025.
- Realização de capacitações nacionais em 2025, incluindo webinário sobre o FONAR e formação sobre o Formulário Rogéria.
- Divulgação dos formulários e materiais nas plataformas oficiais do CNJ.
- Conclusão da Fase 2 (jan–fev/2026), com entrega do Formulário Analítico, implementação de melhorias do MVP, sigilo de informações, versão mobile completa e início das integrações com o Data Lake e API de endereços.
- Publicação dos Guias Interinstitucionais do FONAR (nov/2025) e do Formulário Rogéria (jan/2026).</t>
  </si>
  <si>
    <t>- Finalização da Fase 2, com homologação da versão mobile e avanços nas integrações com o Data Lake.
- Consolidação das melhorias do MVP e preparação das entregas da Fase 3 (versão offline e dashboards).</t>
  </si>
  <si>
    <t>- Março/2026: homologação da versão offline dos formulários.
- Abril/2026: homologação dos dashboards e relatórios analíticos.
- Junho/2026: finalização da Fase 4, com integração ao SINESP e encerramento do ciclo principal.
- Março a Junho/2026: oficinas de divulgação com tribunais e produção de vídeos informativos.
- Setembro e Outubro/2026: lançamento dos cursos EAD do FONAR e do Formulário Rogéria.
- Avaliação de prorrogação até dezembro/2026, incluindo autopreenchimento pela vítima e novas integrações.</t>
  </si>
  <si>
    <t>TI - PRODOC NOVO</t>
  </si>
  <si>
    <t xml:space="preserve">Dr .João Felipe Menezes Lopes
</t>
  </si>
  <si>
    <t>Prodoc Assinado e Publicado.
TAP Elaborado</t>
  </si>
  <si>
    <t>Não houve informação sobre o início da execução do programa nem formalização de seus projetos.</t>
  </si>
  <si>
    <t>Formalização do Plano de Gestão do Projeto</t>
  </si>
  <si>
    <t>Aguardando primeiras versões dos PGPs</t>
  </si>
  <si>
    <t>Dra. Marina Rocha Cavalcanti Barros Mendes</t>
  </si>
  <si>
    <t xml:space="preserve">Entregas realizadas 
• Módulo em ambiente de produção - março de 2024 
• Lançamento Nacional do Gabinete em 25/03/2025 
• Módulo em ambiente de produção no TJAP – setembro de 2025 
• Realease 4 – fevereiro de 2026 
• Realese 5 
• Realese 6 
• Entrega do novo editor de texto Badon 
• Finalização do novo editor de texto 
• Variáveis e tópico síntese </t>
  </si>
  <si>
    <r>
      <rPr>
        <b/>
        <sz val="11"/>
        <color theme="1"/>
        <rFont val="Calibri"/>
        <family val="2"/>
        <scheme val="minor"/>
      </rPr>
      <t>Ajustes e melhorias</t>
    </r>
    <r>
      <rPr>
        <sz val="11"/>
        <color theme="1"/>
        <rFont val="Calibri"/>
        <family val="2"/>
        <scheme val="minor"/>
      </rPr>
      <t xml:space="preserve">
• Em testes: 09
• Backlog: 57
• Aguardando implantação: 04
• Total de itens concluídos: 585
• Atividades em andamento
• POC para novo processo de assinatura
• Homologação com TRF5 –ambiente para homologar segunda instância pronto - em andamento
• Homologação TJPA –ambiente pronto, homologação em andamento
• Homologação TJMA em andamento
• Retomada do processo de homologação com o TJES –em andamento. Previsão de Produção não concluída por definições de negócio. Verificando nova previsão
• Variáveis de Fluxo em Homologação no TRF3
• Tópico Síntese QA em andamento
• Implantação do Módulo no CNJ em andamento (Segunda Instância)</t>
    </r>
  </si>
  <si>
    <t xml:space="preserve">Entregas planejadas para o próximo mês 
• Finalização do novo editor de texto 
• Variáveis e tópico síntese </t>
  </si>
  <si>
    <t xml:space="preserve">• Novo plano de trabalho finalizado - Replanejamento do projeto 
• Tendo em vista não termos recebido retorno em tempo hábil, o presente 
Relatório ficou pendente de validação pelo gerente de projeto, notadamente, 
em relação às entregas </t>
  </si>
  <si>
    <t>Governança da Política Judiciária da Primeira Infância</t>
  </si>
  <si>
    <t xml:space="preserve">Governança fortalecida da Política Judiciária Nacional para a Primeira Infância, assegurando maior integração entre comitês gestores, atualização das metas e ampliação da capacidade institucional para garantir direitos da primeira infância de forma uniforme e efetiva em todo o país. </t>
  </si>
  <si>
    <t>Atividades ainda em andamento. Sem entregas concluídas até o momento.</t>
  </si>
  <si>
    <r>
      <rPr>
        <b/>
        <sz val="11"/>
        <color theme="1"/>
        <rFont val="Calibri"/>
        <family val="2"/>
        <scheme val="minor"/>
      </rPr>
      <t>Em andamento</t>
    </r>
    <r>
      <rPr>
        <sz val="11"/>
        <color theme="1"/>
        <rFont val="Calibri"/>
        <family val="2"/>
        <scheme val="minor"/>
      </rPr>
      <t xml:space="preserve">
-Planejamento do evento nacional em parceria com o TJRS.
-Mobilização para o Mês da Infância Protegida.
-Atuação em GTs temáticos (subtração internacional, maternidades, população em situação de rua, cuidado).
-Desenvolvimento do ECA Digital.
-Articulação com MGI e Casa Civil para implantação do Viviane.</t>
    </r>
  </si>
  <si>
    <r>
      <rPr>
        <b/>
        <sz val="11"/>
        <color theme="1"/>
        <rFont val="Calibri"/>
        <family val="2"/>
        <scheme val="minor"/>
      </rPr>
      <t>A realizar</t>
    </r>
    <r>
      <rPr>
        <sz val="11"/>
        <color theme="1"/>
        <rFont val="Calibri"/>
        <family val="2"/>
        <scheme val="minor"/>
      </rPr>
      <t xml:space="preserve">
-Consultoria externa no âmbito do Programa Justiça Plural (elaboração do termo de referência, seleção e contratação).
-Execução da consultoria (previsão de efetivação após contratação).
Programa Amiga da Pessoa Idosa.</t>
    </r>
  </si>
  <si>
    <t>Grupos Reflexivos para Homens Autores de Violência</t>
  </si>
  <si>
    <t xml:space="preserve">Elaboração e indução de diretrizes nacionais para implementação, funcionamento e avaliação dos Grupos Reflexivos e Responsabilizantes para homens autores de violência doméstica e familiar, por meio de ato normativo, atualização do mapeamento nacional dos grupos reflexivos e elaboração de manual técnico. </t>
  </si>
  <si>
    <t xml:space="preserve"> - Realização de reuniões técnicas nacionais com tribunais, especialistas e representantes de políticas públicas, visando levantamento das práticas existentes e identificação de lacunas.
- Criação de subgrupos temáticos responsáveis por aprofundar aspectos metodológicos, indicadores de monitoramento e critérios de ingresso e acompanhamento dos participantes.
- Envio de ofícios às Coordenadorias Estaduais para coleta de informações sobre iniciativas em funcionamento, metodologias utilizadas e parcerias locais.
- Elaboração de formulário nacional de coleta e sistematização das informações recebidas.
- Construção de uma pré-minuta das diretrizes nacionais, consolidando princípios, objetivos e parâmetros metodológicos para implementação dos grupos reflexivos no âmbito do Judiciário.</t>
  </si>
  <si>
    <t>- Reuniões com especialistas para validação técnica da pré-minuta e discussão de aspectos sensíveis, como avaliação de risco, articulação com medidas protetivas e acompanhamento pós-grupo.
- Consolidação dos insumos recebidos das Coordenadorias e organização das informações coletadas, permitindo identificar modelos consolidados e desafios comuns.
- Aprimoramento da estrutura das diretrizes, incorporando elementos de responsabilização, educação para equidade de gênero, prevenção de reincidência e integração com políticas públicas.</t>
  </si>
  <si>
    <t>- Finalização da minuta das diretrizes nacionais até o final de março.
- Início da elaboração do manual técnico-prático, com detalhamento metodológico e orientações operacionais.
- Conclusão do mapeamento nacional das iniciativas em abril.
- Planejamento de ações formativas para equipes técnicas dos tribunais.</t>
  </si>
  <si>
    <t>18136/2025</t>
  </si>
  <si>
    <t xml:space="preserve">GT Prova Digital </t>
  </si>
  <si>
    <t>Dr. Gláucio Roberto Brittes de Araujo; Dr. José Theodoro Corrêa de Carvalho e Dr. Daniel Ribeiro Surdo  de Avelar</t>
  </si>
  <si>
    <t>reuniões de GT</t>
  </si>
  <si>
    <t>Elaboração de minuta de resolução.</t>
  </si>
  <si>
    <t>Identidade visual e plano de comunicação do Programa</t>
  </si>
  <si>
    <t xml:space="preserve">Elaborar a identidade visual do programa, a qual será usada em todos os projetos e iniciativas, bem como plano de comunicação. </t>
  </si>
  <si>
    <t>Iniciando</t>
  </si>
  <si>
    <t>Não houve ações específicas no mês.</t>
  </si>
  <si>
    <t>Desenvolvimento da identidade visual e do plano de comunicação.</t>
  </si>
  <si>
    <t>Iniciativa Nacional de Fomento à Educação para Prevenção da Violência de Gênero</t>
  </si>
  <si>
    <t xml:space="preserve">Instituição de iniciativa nacional voltada à estruturação técnica e normativa de ações educativas destinadas à prevenção da violência contra meninas e mulheres, com enfoque na educação em direitos humanos, igualdade de gênero e cultura da não violência. </t>
  </si>
  <si>
    <t>-Reuniões com a Senadora Daniela Ribeiro.
- Articulação com o grupo reflexivo.</t>
  </si>
  <si>
    <t>Definição das diretrizes preliminares da iniciativa.</t>
  </si>
  <si>
    <t>- Estruturação técnica da iniciativa.
- Elaboração dos instrumentos de cooperação.</t>
  </si>
  <si>
    <t>- Diagnóstico e criação do fluxo padronizado
- Ajustes na ferramenta;
- Portaria da presidência prevendo piloto de implementação e suas fases
- Tutorial
- 1ª fase da implementação faseada (primeira de três fases);
- Capacitações internas e externas em 2025
- Lançamento do sistema</t>
  </si>
  <si>
    <t>- Manutenção da comunicação até o término do projeto;
- 2ª fase da implementação: Expansão da ferramenta para todos os gabinetes, com um cumprdec em cada;
- 3ª fase da implementação: Todos os gabinetes utilizando o integra para resoluções novas;
- Capacitações internas e externas de 2026
- Disponibilização das informações coletadas no Cumprdec em Painel.</t>
  </si>
  <si>
    <t>Jornada da Lei Maria da Penha</t>
  </si>
  <si>
    <t xml:space="preserve">Evento anual capitaneado pelo CNJ, que ocorre no mês de agosto, e reúne magistrados(as), servidores(as), instituições parceiras e sociedade civil para dialogar sobre o enfrentamento da violência contra as mulheres, a partir de palestras e oficinas que propiciam a troca de experiências e avanços, além da formulação de uma carta de recomendações para o aprimoramento da política judiciária nacional. </t>
  </si>
  <si>
    <t>Inserção da Jornada como atividade permanente do Programa.</t>
  </si>
  <si>
    <t>Preparação da edição anual.</t>
  </si>
  <si>
    <t>21972/2025</t>
  </si>
  <si>
    <t>Levantamento dos dados sobre o cumprimento da Meta 4 da Estratégia Nacional e construção do diagnóstico do tratamento da Corrupção e da Improbidade no âmbito do Poder Judiciário</t>
  </si>
  <si>
    <t>Em andamento: relatório preliminar.</t>
  </si>
  <si>
    <t>Apreciação do relatório pelo Secretário de Estratégia e Projetos. Contato com os tribunais visando a melhoria dos números</t>
  </si>
  <si>
    <t>Dr. Gláucio Roberto Brittes de Araujo e Dr. José Theodoro Corrêa de Carvalho</t>
  </si>
  <si>
    <t>Apuração detalhada, junto à equipe do DPJ, dos dados individualizados por Tribunal por meio do Painel Justiça em Números, abrangendo todos os estados da federação e todas as fases processuais.
Consolidação do acervo nacional de processos da matéria, incluindo a distribuição por fase processual.
Disponibilização dos dados no painel “Mapa Nacional do Crime Organizado”, atualmente em fase final de ajustes para lançamento.
Realização de reuniões virtuais com representantes dos tribunais, para apresentação e discussão das informações coletadas, permitindo o compartilhamento de problemas, boas práticas e encaminhamentos.
Encontro com especialistas acadêmicos e com o DMF, visando contribuir para a elaboração do diagnóstico nacional sobre o crime organizado no âmbito do Poder Judiciário.
Sistematização preliminar das informações enviadas pelos tribunais por meio dos formulários distribuídos.</t>
  </si>
  <si>
    <t>Elaboração de relatório preliminar.</t>
  </si>
  <si>
    <t>- Finalização do diagnóstico; (Em andamento)
- Apresentação aos tribunais; (Em andamento relatório preliminar para o planejamento da próxima etapa.o iniciado)
- Realização de encontro nacional; (Em andamento - encontro organizado)
- Relatório final do projeto (Em andamento)</t>
  </si>
  <si>
    <t>- Diagnóstico dos gargalos locais dos processos do tribunal no júri realizado e apresentado para os tribunais; 
- Tribunais iniciaram a organização para implementação de soluções locais. 
- Visitas a dois tribunais (TJBA e TJPE).</t>
  </si>
  <si>
    <t>•Em andamento relatório preliminar para o planejamento da próxima etapa.</t>
  </si>
  <si>
    <t>- Acompanhamento das soluções locais implementadas pelos tribunais;
- Acompanhamento dos resultados alcançados por cada solução;
- Compartilhamento de experiências bem sucedidas para todos os tribunais.</t>
  </si>
  <si>
    <t>O projeto encontra-se aguardando planejamento das próximas etapas, tendo o planejamento anterior considerado apenas a gestão anterior.</t>
  </si>
  <si>
    <t>Mapeamento das Redes de Atendimento à Mulher</t>
  </si>
  <si>
    <t xml:space="preserve">Mapeamento progressivo das redes locais de atendimento às mulheres em situação de violência, com caráter diagnóstico e instrumental. Visa qualificar a execução das decisões judiciais, reduzir assimetrias territoriais e fortalecer a articulação em rede, sem assunção 
de funções executivas pelo Judiciário. </t>
  </si>
  <si>
    <t>- Realização de reuniões técnicas com a SENEV – Secretaria Nacional de Enfrentamento à Violência contra Mulheres, do Ministério das Mulheres, após identificação de que a Secretaria já conduz um mapeamento nacional da rede de atendimento, o que motivou a articulação para evitar duplicidade de esforços e alinhar metodologias.
- Levantamento preliminar dos serviços que comporão o mapa nacional, considerando a possibilidade de integração com o mapeamento existente.</t>
  </si>
  <si>
    <t>Reunião técnica para definição de parâmetros, periodicidade de atualização e insumos necessários para cooperação institucional.</t>
  </si>
  <si>
    <t>- Abertura de SEI para formalizar a cooperação com a SENEV.
- Solicitação oficial das informações e definição do fluxo de compartilhamento de dados.
- Início da construção do mapa nacional alinhado ao mapeamento já realizado pela SENEV.</t>
  </si>
  <si>
    <t>12847/2025</t>
  </si>
  <si>
    <t>Mês Nacional do Juri</t>
  </si>
  <si>
    <t>Relatório em fase de conclusão.
Preparação do próximo Mês Nacional</t>
  </si>
  <si>
    <t>TI</t>
  </si>
  <si>
    <t xml:space="preserve">- Meta 1. Desenvolvimento de uma metodologia para aplicação de técnicas de mineração de processos nas bases de dados do PJe.
- Meta 2: Análise das 22 (vinte e duas) ferramentas de mineração de processos citadas no relatório Market Guide for Process Mining (publicado em 17 de junho de 2019 - ID G00387812 - Gartner).
- Meta 3: Implantação de um Laboratório Virtual de Mineração de Processos; O ambiente virtual contará com uma ferramenta acadêmica para mineração de processos.
- Meta 4: Validação da metodologia com magistrados e servidores em tribunais participantes deste projeto.
- Meta 5: Lançamento da ferramenta de mineração de processos do CNJ e projeto de expansão do laboratório.
- Meta 6: Apropriação tecnológica da atual versão do protótipo funcional para mineração de processos a partir do log de eventos do CODEX e treinamento da equipe nas tecnologias a serem utilizadas.
- Meta 7: Explorar a base de dados do CODEX para descobrir redes sociais[1] do relacionamento funcional entre os servidores e magistrados do judiciário brasileiro.
- Meta 8: Explorar a base de dados do CODEX para identificar as atividades executadas por cada servidor e aferir seu nível de eficiência global e durante a realização de atividades específicas.
- Meta 9: Realizar pesquisas para contribuir com o trabalho das corregedorias através de técnicas tradicionais de análise de conformidade para identificar quais processos não seguiram o fluxo estabelecido e pela criação de novas técnicas de análise de conformidade para reconhecer padrões de comportamento inesperados (ex. um arquivamento sem sentença) em processos da corregedoria. Os resultados dessas análises serão primeiro encaminhados para a Vara responsável e apenas os casos não resolvidos pelas varas serão encaminhados para a corregedoria.
- Meta 10: Treinar magistrados e servidores de tribunais integrados ao CODEX sobre mineração de processos e uso da ferramenta, coletando subsídios para aprimorar a ferramenta desenvolvida neste projeto.
- Meta 11: Avaliar aspectos não funcionais como desempenho da ferramenta em situações de alta demanda e a tomada de ações para melhoria do desempenho e a manutenção da estabilidade da ferramenta em momentos críticos.
- Meta 12: Transferência tecnológica da ferramenta de mineração de processos para a equipe técnica do CNJ.
- Meta 13: Descoberta e apresentação do fluxo processual, dando destaque aos pesos dos movimentos judiciais, que serão atribuídos com base na quantidade e categoria dos documentos produzidos em cada categoria de movimento e em outras informações que se julguem relevantes para cálculo dos pesos. 
- Meta 14: Desenvolver um algoritmo novo para permitir a descoberta dos pontos de início e fim do processo descoberto a partir de dados associados aos documentos ou outras informações contidas no Codex ou fornecidas pelo próprio usuário. O algoritmo também permitirá que o usuário force a inclusão/remoção de determinados movimentos no/do fluxo descoberto e possa descobrir os movimentos 
- Meta 15: Geração de gráficos com informações relativas ao impacto de transições críticas (transições lentas entre dois movimentos), que são momentos com alto custo temporal entre dois movimentos processuais. Ao clicar em uma transição crítica, o analista poderá visualizar um conjunto de gráficos, indicando o tempo total dos processos que possuem essa transição em relação à média global de duração dos processos analisados, o quantitativo/percentual de processos que possuem essas transições em relação ao total de processos analisados, além de visualizar o fluxo daqueles processos que possuem a transição crítica em análise 
- Meta 16: Geração de gráficos com informações relativas ao impacto de transições críticas (transições lentas entre dois movimentos), que são momentos com alto custo temporal entre dois movimentos processuais. Ao clicar em uma transição crítica, o analista poderá visualizar um conjunto de gráficos, indicando o tempo total dos processos que possuem essa transição em relação à média global de duração dos processos analisados, o quantitativo/percentual de processos que possuem essas transições em relação ao total de processos analisados, além de visualizar o fluxo daqueles processos que possuem a transição crítica em análise 
- Meta 17: Esta meta propõe a realização de estudos exploratórios na área de litigância predatória com vistas à descoberta de processos com características relacionadas ao fenômeno 
- Meta 18: Atualmente, o JuMP oferece uma visualização estática, que é uma fotografia do fluxo processual, o que limita a percepção dos analistas sobre a evolução dos processos judiciais ao longo do tempo. Esta meta objetiva oferecer uma visão dinâmica, que revele um filme com a evolução clara dos fluxos seguidos pelos processos judiciais de uma vara de justiça em um determinado período de tempo, conferindo maior intuição sobre o comportamento dos processos e facilitando a identificação dos períodos de maior ou menor atividade, a percepção sobre eventuais gargalos nos fluxos e pontos de retrabalho;
- Meta 19: Durante a execução da Meta 17, integrantes de corregedorias de diferentes tribunais indicaram ser relevante estender as funcionalidades já criadas para o módulo corregedoria, que, atualmente, possibilita a comparação de unidades judiciais através da funcionalidade linha do tempo e quadrantes de eficiência. Esta meta pretende fortalecer o módulo voltado para as corregedorias com funcionalidades que permitam comparar unidades judiciárias, destacando similaridades e diferenças no comportamento observado em seus fluxos processuais, tempo despendido em diferentes fases processuais, forma de trabalho de magistrados e serventuários, além de destacar processos parados por longos períodos de tempo.
- Meta 20: Desenvolver novas estratégias para otimizar a carga, atualização e processamento dos dados obtidos da plataforma Codex.
- Meta 21: Divulgar, por meio de webinars e cursos, as novas funcionalidades voltadas para para a corregedoria, criar de vídeos tutoriais sobre a plataforma JuMP e disponibilizar esses vídeos para todos os integrantes dos tribunais brasileiros;
- Meta 22: Criação de um mecanismo baseado em técnicas de Inteligência Artificial (IA) para agrupamento de processos judiciais de uma mesma unidade judiciária, com o objetivo de simplificar a visualização do fluxo processual, identificando grupos de processos com características semelhantes e revelando o fluxo de trabalho específico para cada grupo encontrado;
- Meta 23: Realização de estudo com o objetivo de identificar cenários de uso para a Mineração de Processos no Judiciário e elaboração de um Guia de Uso Estratégico que demonstrará como aplicar a ferramenta JuMP para auxiliar magistrados e serventuários do judiciário brasileiro na realização de análises em cenários e contextos práticos comuns às rotinas dos tribunais.
- Meta 24: Enriquecimento dos dados dos movimentos judiciais e realização de um estudo piloto para aplicar dados de tarefas, visando criar modelos de fluxo processuais mais precisos e melhorar as análises.
- </t>
  </si>
  <si>
    <t>- ETAPA 6 -ETAPA 6 - Meta 1: Disponibilização do JuMP como serviço para integração e uso de outros sistemas.
- Meta 2:  Aprimoramento da qualidade e conformidade processual.
- ETAPA 6 - Meta 3: Análise de atividades com inteligência artificial.
- ETAPA 6 - Meta 4: Extração e uso de dados de atividades dos sistemas judiciais.
- ETAPA 6 - Meta 5: Adaptação da análise e funcionalidades do JuMP para dados de atividades.
- ETAPA 6 - Meta 6: Análise de dados de atividades oriundas de sistemas judiciais não orientados a fluxo (eProc e ProJud).
- ETAPA 6 - Meta 7: Capacitação e instrumentalização.</t>
  </si>
  <si>
    <t>Modernização do SNA</t>
  </si>
  <si>
    <t xml:space="preserve">Governança e correta utilização SNA em prol do direito à convivência familiar e 
comunitária.  </t>
  </si>
  <si>
    <t>Entrega do novo dashboard (tela inicial).</t>
  </si>
  <si>
    <r>
      <rPr>
        <b/>
        <sz val="11"/>
        <color theme="1"/>
        <rFont val="Calibri"/>
        <family val="2"/>
        <scheme val="minor"/>
      </rPr>
      <t>Em andamento:</t>
    </r>
    <r>
      <rPr>
        <sz val="11"/>
        <color theme="1"/>
        <rFont val="Calibri"/>
        <family val="2"/>
        <scheme val="minor"/>
      </rPr>
      <t xml:space="preserve">
-Integração com cartórios por meio do módulo SERPE.
-Desenvolvimento do módulo de serviços.
-Desenvolvimento dos módulos de reavaliação do acolhimento e Evolucional 1.
-Finalização da integração Busca Ativa + Adote.
-Organização do Encontro Nacional de Administradores Estaduais do SNA.</t>
    </r>
  </si>
  <si>
    <r>
      <rPr>
        <b/>
        <sz val="11"/>
        <color theme="1"/>
        <rFont val="Calibri"/>
        <family val="2"/>
        <scheme val="minor"/>
      </rPr>
      <t xml:space="preserve">
A realizar</t>
    </r>
    <r>
      <rPr>
        <sz val="11"/>
        <color theme="1"/>
        <rFont val="Calibri"/>
        <family val="2"/>
        <scheme val="minor"/>
      </rPr>
      <t xml:space="preserve">
-Desenvolvimento dos módulos Evolucional 2 e Evolucional 3.</t>
    </r>
  </si>
  <si>
    <t>Estatística</t>
  </si>
  <si>
    <t>Nenhuma entrega significativa, apenas documentação:Canvas do projeto elaborado, validado e aprovado.
Termo de Abertura do Projeto (TAP) concluído, validado, aprovado e com criação do projeto no PWA e alocação da equipe.</t>
  </si>
  <si>
    <t>PGP, Plano de Comunicação e de Capacitação
Painel de BI, indicadores, rotinas, relatórios automáticos
Integração com tribunais e entidades externas
Artefatos obrigatórios de entrada em produção (sobretudo os relatórios técnicos e validações)
Checklist Jus.br
Repasse para DTI
Todas as atividades de encerramento (incluindo TEP)</t>
  </si>
  <si>
    <t>Congresso Nacional de Justiça Originária Povos Indígenas, Território e Sistema de Justiça</t>
  </si>
  <si>
    <t>Não cadastrado</t>
  </si>
  <si>
    <t>Elaboração do Plano Pedagógico</t>
  </si>
  <si>
    <t>Reuniões entre órgãos, definição de data e programação</t>
  </si>
  <si>
    <t xml:space="preserve">Estipular indicadores que serão usados nas consultas;
Disponibilizar dados legíveis ao usuário e definir regras negociais
</t>
  </si>
  <si>
    <t>Painel publicado em PROD com dados de DEZ/25 em 04/02.</t>
  </si>
  <si>
    <t xml:space="preserve">Adequação da base DATAJUD ao Sistema SEEU 
Extração dos dados do Sistema SEEU para o 
Adequação da base DATAJUD ao Sistema BNP 
Ampliação do acesso às informações consolidadas da atividade-fim dos órgãos do Poder Judiciário aos usuários e beneficiários do projeto
Monitoramento dos acessos ao Painel a partir dos relatórios de comportamento e audiência do Google Analytics. 
Espera-se um acréscimo mensal a partir de 3% no número de novos usuários, de visualizações e de sessões iniciadas. 
</t>
  </si>
  <si>
    <t>Conclusão dos scripts e indicadores.
Desenvolvimento e publicação do Painel BI.
Artefatos obrigatórios de entrada em produção (manuais, relatórios, validações).
Repasse e encerramento.</t>
  </si>
  <si>
    <t>Extração dos dados do DataJud.
Tratamento e processamento dos dados.
Construção dos indicadores estatísticos.
Desenvolvimento inicial do painel BI (grande parte concluída).
Alimentação mensal dos dados no ambiente de produção (com arquivos CSV no S3).
Correções de inconsistências identificadas nas atualizações (especialmente na virada de ano).</t>
  </si>
  <si>
    <t>Painel publicado em PROD com dados de DEZ/25 em 04/02;</t>
  </si>
  <si>
    <t>Finalização completa do painel BI (etapa de refinamento final).
Continuidade das atualizações mensais do painel.
Preparação e execução do lançamento oficial.
Desenvolvimento das entregas relacionadas ao benefício de transparência ativa (publicação do painel no site do CNJ).
Consolidação e validação final dos benefícios.
Fechamento do projeto conforme IN 93/2023 (relatório final, validação e arquivamento).</t>
  </si>
  <si>
    <t>- Modelagem e arquitetura definidas
(modelagem de dados adaptada, modelagem física do Data Mart e arquitetura da solução). 
- Base de dados estruturada e carregada
(DATAJUD atualizado, criação do Data Mart, carga inicial com TJDFT e extração agendada). 
- Protótipo e interface do painel desenvolvidos
(protótipo pronto e interface construída no Power BI). 
- Painel disponibilizado e validado
(ambiente de teste criado, versão final validada continuamente e saneada).
- Apresentações institucionais realizadas
(lançamento oficial na Plenária do CNJ e apresentação aos tribunais). 
- Novas abas entregues
(Metas, Classes, Assuntos, Conciliação e Por Matéria). 
- Atualizações e validações contínuas
(atualizações mensais do painel e validação do datamart).</t>
  </si>
  <si>
    <t>Painel publicado em DEV com dados de DEZ/25;</t>
  </si>
  <si>
    <t>Consolidação final do painel em pleno funcionamento, com uso totalmente aberto aos tribunais.
Comprovação da usabilidade pelos tribunais, incluindo reuniões estruturadas e validação prática do uso.
Confirmação do uso do painel no Prêmio CNJ de Qualidade, como referência oficial de dados.
Disponibilização de acesso customizado para a Corregedoria Nacional, permitindo extrações específicas de dados.
Desenvolvimento dos 6 painéis temáticos previstos (ex.: Grandes Litigantes, Acesso à Justiça, Fluxo Judicial).
Reestruturação das tabelas do SGT (classes, movimentos e assuntos).
Redução do nível de inconsistência do DataJud, conforme meta do DPJ.
Elaboração e validação do TEP (Termo de Encerramento do Projeto).</t>
  </si>
  <si>
    <t>Previdenciário</t>
  </si>
  <si>
    <t>Identificação de litigantes
 Construção das bases e scripts
 Homologação e desenvolvimento
 Atualizações recorrentes no ambiente de produção
 Governança, pareceres e aprovação formal do projeto</t>
  </si>
  <si>
    <t>Painel publicado em PROD com dados de
DEZ/25</t>
  </si>
  <si>
    <t>Finalização do front-end
 Entrega formal da versão pública do painel
Apresentações institucionais
Publicação oficial no site do CNJ (benefício)
 Validações finais em produção</t>
  </si>
  <si>
    <t xml:space="preserve"> 1. Organização e Saneamento dos Dados
Extração e validação de dados da Receita Federal.
Reestruturação completa das tabelas de pessoas físicas, jurídicas e partes.
Integração e mapeamento dos dados do ElasticSearch (partes, pessoas, nomes, endereços e advogados).
Armazenamento de dados auxiliares e prevenção de registros duplicados.
 2. Estruturação da Base de Dados
Criação da estrutura simplificada do banco para armazenamento de partes.
Execução e adaptação de scripts para integração com a estrutura existente.
 3. Publicação do Painel
Prototipação do painel.
Testes de filtros e funcionalidades.
Publicação do ambiente de teste e do ambiente de produção.
Disponibilização e apresentação do painel aos órgãos do Poder Judiciário.
 4. Operação Contínua
Rotina de atualização mensal do painel implantada e em execução.
Ajustes no script para incluir dados do Projeto Desjudicializa.</t>
  </si>
  <si>
    <t>Finalização das atualizações mensais (processo contínuo).
Entrega do TEP e encerramento formal do projeto.
Conclusão dos benefícios principais, incluindo:
disponibilização nacional dos dados saneados,
uso efetivo do painel,
realização dos 91 webinários,
adesão de todos os tribunais à ferramenta.</t>
  </si>
  <si>
    <t xml:space="preserve">Etapa 2 - Análise inicial, definição da estrutura e responsáveis
Etapa 3 - Documentação Padrão
Etapa 4 - Transição e Entrega (piloto - SPVATJUD)
</t>
  </si>
  <si>
    <t>Sprint 15 (com transbordo)</t>
  </si>
  <si>
    <t xml:space="preserve">Etapa 5 - Atualização da Metodologia de Phase-out (Em andamento)
Etapa 6 - Mapeamento das Soluções e Sistemas (Em andamento)
Etapa 7 - Condução dos Processos de Validação (Em andamento)
Etapa 8 - Estruturação do Processo de Transição (Em andamento)
Etapa 9 - Promoção de Transição Sustentável (Não iniciado)
Acompanhamentos Phase-out - Sistemas Programa Justiça 4.0 (Em andamento)
</t>
  </si>
  <si>
    <t>•	Implementação da funcionalidade Petição Resposta, permitindo resposta direta a intimações.
•	Integração com tribunais atingindo 89,5% de conclusão.
•	Tribunais enviaram requisitos para peticionamento inicial estruturado, permitindo personalização por tribunal.
•	Crescimento da base de usuários externos, com expectativa de atingir 1 milhão.</t>
  </si>
  <si>
    <t>•	Publicação da funcionalidade de petição resposta.
•	Preparação da matéria institucional para marco de 1 milhão de usuários.
•	Avanço nas integrações necessárias para liberar carta precatória e ofícios.</t>
  </si>
  <si>
    <t>•	Conclusão da integração dependente do SEEU/Codex, necessária para carta precatória.
•	Entrega do peticionamento inicial estruturado, incluindo:
o	versão previdenciária,
o	versão de execução fiscal.
•	Reunião técnica com TRF4 para integração com o eproc.
•	Continuidade da coleta de requisitos dos tribunais.</t>
  </si>
  <si>
    <t>•	Pendências de dados (competência, edição, ofícios) impedem liberação de algumas funcionalidades.
•	Integração com PJe está madura; integração com eproc depende de alinhamentos técnicos.
•	O portal está sendo usado para iniciar processos, o que reforça sua integração com tribunais.</t>
  </si>
  <si>
    <t>Módulo Dossiê Médico
Módulo Dossiê Previdenciário
* Módulo Intimação Judicial
* Módulo Extração de dados da súmula
* Módulo Processo Administrativo Previdenciário
* Integração com a PDPJ
* Apoio à integração Pje e eProc
* Módulo de métricas previdenciárias
* Módulo Novos dados previdenciários
* Evoluções PAP&lt; Dossiês Médico e Previdenciário, Ordem Judicial</t>
  </si>
  <si>
    <t>• Dossiê médico –11
• Processo Admin –3
Atividades em andamento:
• J4PREV-4137–[DEVOPS] Publicar projeto ressarcimento job
• J4PREV-4112 –Ressarcimento</t>
  </si>
  <si>
    <t>*Módulo Novos dados previdenciários – análise de dados de 16 API novas, implementação de duas delas, priorizadas, ainda dentro do projeto.
*Melhorias evolutivas e performance
*Processo de phaseout:
'- Vídeos institucionais de capacitação,
- Deverá chegar mais 1 Dev da Basis para sustentação</t>
  </si>
  <si>
    <t>Phase out
Transição para o CNJ/DTI</t>
  </si>
  <si>
    <t>Programa Antes que Aconteça</t>
  </si>
  <si>
    <t xml:space="preserve">O Programa Antes que Aconteça é incorporado com recorte estratégico, concentrando-se em educação como prevenção primária da violência de gênero e articulação com os grupos reflexivos como estratégia de responsabilização e prevenção da reincidência, de forma 
transversal e articulada com os projetos 4 e 12. </t>
  </si>
  <si>
    <t>- Identificação inicial das iniciativas enviadas pelos tribunais e órgãos parceiros, com foco em ações preventivas, projetos inovadores e práticas consolidadas relacionadas à prevenção da violência de gênero.
- Consolidação preliminar das boas práticas recebidas, permitindo visualizar a diversidade de modelos adotados nacionalmente e identificar experiências com potencial de replicação.
- Organização dos critérios de análise para classificação das iniciativas, considerando impacto, sustentabilidade, articulação interinstitucional e aderência às diretrizes nacionais.</t>
  </si>
  <si>
    <t>- Validação técnica das iniciativas recebidas, com verificação de consistência, completude das informações e adequação aos objetivos do Programa.
- Preparação dos insumos necessários para a etapa de visitas técnicas, incluindo definição de critérios de seleção, priorização de experiências e elaboração de roteiro metodológico.
- Estruturação inicial do modelo de relatório que consolidará as análises das práticas mapeadas.</t>
  </si>
  <si>
    <t>- Agendamento das visitas técnicas aos tribunais e instituições selecionadas, com foco na observação in loco das práticas e coleta de evidências qualitativas.
- Elaboração do relatório consolidado com análise comparativa das iniciativas, identificação de boas práticas e recomendações para expansão nacional.
- Estruturação do repositório nacional de boas práticas, com organização das iniciativas validadas e disponibilização para consulta dos tribunais.</t>
  </si>
  <si>
    <t xml:space="preserve">Eixo 5: Direitos Sociais, Trabalho e Vida Digna </t>
  </si>
  <si>
    <t>Acessibilidade</t>
  </si>
  <si>
    <t xml:space="preserve">- Incluir a pauta de acessibilidade na ambientação dos(as) novos(as) servidores(as).
- Ofertar pelo menos 1 (uma) ação de capacitação em 2025, contemplando, no total, pelo menos 10% das pessoas que atuam no CNJ. </t>
  </si>
  <si>
    <t>Sprint 14 (com transbordo)</t>
  </si>
  <si>
    <t>- Convidar diferentes públicos, incluindo terceirizados(as), para participarem ativamente da Comissão. (Em andamento)
- Definir os critérios de acessibilidade a serem incorporados nos processos de trabalho.  (Em andamento)
- Mapear pelo menos 10 processos da SGP, com apoio da Seção de Gestão de Processos (DGE), contendo avaliação de acessibilidade. (Em andamento)
- Lotar pelo menos 30 trabalhadores(as) terceirizados(as) com deficiência no quadro do CNJ até 2026. (Em andamento)
- Acordo de Cooperação para que o CNJ faça parte da Rede de Acessibilidade assinado. (Em andamento)
- Desenvolver/Adotar e implementar um programa de capacitação em linguagem simples e acessível para todo o público do CNJ, visando facilitar a compreensão de documentos e comunicações oficiais. (Em andamento)
- Pesquisar, avaliar e divulgar os instrumentos para instrução para elaboração de texto acessível.  (Em andamento)
- Capacitar equipe do Cerimonial do CNJ (Em andamento)
- Elaborar diretrizes e checklist de acessibilidade para a organização de eventos do CNJ. (Em andamento)
- Capacitar a equipe de Comunicação em práticas de audiodescrição até final de 2025; (Em andamento)
- Contratar profissional especializado(a) em audiodescrição para integrar a equipe de eventos e comunicação audiovisual. (Em andamento)
- Capacitar a equipe de Comunicação Social em Acessibilidade(Em andamento)</t>
  </si>
  <si>
    <t>Eixo 3: Proteção de Direitos Humanos, Sistema Interamericano e Pena Justa</t>
  </si>
  <si>
    <t>TAP do Programa para 2026 formalizado e autorizado</t>
  </si>
  <si>
    <t>A equipe do programa se reuniu com a equipe do ECP para tratativas sobre como formalizar os projetos do programa, de forma a possibilitar o acompanhamento,</t>
  </si>
  <si>
    <t>Formalização dos Planos de Gestão dos Projetos (Em andamento)</t>
  </si>
  <si>
    <t>- Mobilização dos Tribunais de Justiça dos Estados e do Distrito Federal, especialmente suas Coordenadorias de Infância e Juventude, iniciativa privada, órgãos públicos, empresas públicas e sociedades de economia mista.
- Celebração de Acordos de Cooperação técnica do Programa Novos Caminhos CNJ e análise de Pedidos de dispensa por Programas Similares ao Programa Novos Caminhos</t>
  </si>
  <si>
    <t>- Produzição de Conteúdo nas Mídias sociais para divulgação do Programa Novos Caminhos (Em andamento);
- Acompanhamento das ações realizadas, conforme os eixos de ação e as responsabilidades mínimas dos Partícipes, previstos nos art. 3º e 8º da Resolução CNJ n. 543/2024, respectivamente. (Em andamento)</t>
  </si>
  <si>
    <t>Autoavaliações realizadas pelos órgãos participantes
Capacitação dos membros da Rede de Apoio (validação externa)
Validações externas por pares executadas
Norma elaborada e publicada</t>
  </si>
  <si>
    <t>Projeto Transversal de Governança, Monitoramento e Inteligência Institucional</t>
  </si>
  <si>
    <t xml:space="preserve">Por meio da integração e do uso estratégico das informações produzidas nos demais projetos do Programa, este projeto organiza e qualifica dados para apoiar o aprimoramento da atuação judicial e a atualização de diretrizes, rotinas, ações formativas e estratégias institucionais, Entre as iniciativas contempladas, destaca-se o cruzamento estruturado entre Medidas Protetivas de Urgência e processos de feminicídio, a fim de identificar padrões, falhas sistêmicas recorrentes e oportunidades concretas de melhoria na resposta do Judiciário. </t>
  </si>
  <si>
    <t>- Realização de reuniões com a DPJ para definição do escopo do projeto, com foco na criação de um modelo integrado de governança e monitoramento das ações do Programa.
- Inserção do projeto no pacto dos três poderes, garantindo alinhamento estratégico e institucionalidade para sua implementação.
- Identificação preliminar dos eixos de monitoramento, incluindo indicadores de desempenho, mecanismos de acompanhamento e integração com bases de dados existentes.</t>
  </si>
  <si>
    <t>- Ajustes internos para adequação do projeto às diretrizes do pacto e às demandas estratégicas da Presidência.
- Definição dos componentes que integrarão o sistema de monitoramento, incluindo indicadores, periodicidade de coleta, fluxos de validação e responsabilidades institucionais.
- Preparação do despacho a ser encaminhado à DPJ para início dos estudos técnicos e definição da arquitetura do modelo de governança.</t>
  </si>
  <si>
    <t>- Envio do despacho à DPJ para formalização da etapa de estudos e início da modelagem técnica.
- Estruturação dos indicadores e ferramentas de monitoramento, com definição de métricas, painéis e fluxos de atualização.
- Planejamento da integração do modelo de governança com os demais projetos do Programa, garantindo visão sistêmica e acompanhamento contínuo dos resultados.</t>
  </si>
  <si>
    <t>Entregas realizadas:
execução aproximada de 89%, com foco na operação do motor de qualificação em produção e no monitoramento das pipelines do ecossistema de dados.</t>
  </si>
  <si>
    <t>Finalização Sprint 8</t>
  </si>
  <si>
    <t>Próximos passos:
consolidar a operação do motor em produção; implementar melhorias nas pipelines e ajustes de escalabilidade; continuar análises de inconsistências e comunicação com tribunais.</t>
  </si>
  <si>
    <t>Observações:
encerramento previsto para abril de 2026; não há registro de risco de transbordo no acompanhamento mais recente.</t>
  </si>
  <si>
    <t>22090/2025</t>
  </si>
  <si>
    <t xml:space="preserve">Regulamentação da produção antecipada de provas em caso de vítima de violência do Estado </t>
  </si>
  <si>
    <t>Em andamento: reuniões para discussão do texto  com o DMF e o Justiça Plural.</t>
  </si>
  <si>
    <t>Entregas realizadas:
progresso evoluiu de 56% em janeiro para 68% em fevereiro de 2026, com conclusão da Sprint 9 e implementação do microserviço de arquivos.</t>
  </si>
  <si>
    <t>Próximos passos:
evoluir o consumo do microserviço com aplicação de URL pré-assinada nas funcionalidades do SEEU; executar backlog relacionado ao ciclo de vida e expurgo de arquivos; avançar na Sprint 12 com otimização de queries.</t>
  </si>
  <si>
    <t>Observações:
necessidade de contratação de Analista DevOps; redução temporária da capacidade do time devido a férias; monitoramento de custos em ambiente AWS.</t>
  </si>
  <si>
    <t>Semanas da Justiça pela Paz em Casa</t>
  </si>
  <si>
    <t xml:space="preserve">Iniciativa periódica do Poder Judiciário, instituída pelo CNJ, para a concentração de esforços jurisdicionais e institucionais para assegurar celeridade, prioridade e visibilidade aos processos relacionados à violência doméstica e familiar contra a mulher. As semanas ocorrem em março, agosto e novembro, e incluem articulação de ações formativas e de mobilização institucional. </t>
  </si>
  <si>
    <t>Atividade permanente do Programa.</t>
  </si>
  <si>
    <t>Envio de comunicações aos tribunais com orientações para organização da próxima edição das Semanas da Justiça pela Paz em Casa, incluindo informações operacionais necessárias para o alinhamento das ações.</t>
  </si>
  <si>
    <t>Consolidação das ações realizadas pelos tribunais.</t>
  </si>
  <si>
    <t>•	Correções e melhorias contínuas em serviços estruturantes.
•	Revisão do cabeçalho processual.
•	Componentização dos subsistemas de avisos e alertas.
•	Integração com o Data Lake.
•	Ajustes e documentação relacionados à delegação de perfis.</t>
  </si>
  <si>
    <t>•	Testes dos novos componentes de avisos e alertas.
•	Ajustes finais para disponibilização em produção.
•	Evolução de funcionalidades relacionadas ao cabeçalho processual e integrações.</t>
  </si>
  <si>
    <t>•	Evolução das tabelas de TPU.
•	Ampliação da adoção do SSO.
•	Migração de clientes para o Data Lake.
•	Continuidade das melhorias evolutivas conforme demandas dos sistemas dependentes.</t>
  </si>
  <si>
    <t>•	Projeto crítico para sustentação de todo o ecossistema.
•	Equipe reduzida, mas com entregas contínuas e de alto impacto.</t>
  </si>
  <si>
    <t>Ambiental</t>
  </si>
  <si>
    <t>Gerador de KML
Página para criação de KML
Atualização das páginas dos painéis
Atualizações mensais dos dados
Módulos avançados (consultas, navegação, cruzamento de camadas)
Área restrita com dados de CPF (processos não sigilosos)</t>
  </si>
  <si>
    <t>Correções solicitadas na reunião de ponto de
controle pela mentora negocial: - Modificação da navegação do mapa retirados os
centróides;</t>
  </si>
  <si>
    <t>Entrega estratégica final de transparência ativa</t>
  </si>
  <si>
    <t>- Módulos-base concluídos: ambiente inicial, criação de perícias, laudo pericial, quesitos adicionais, esclarecimentos adicionais, curadoria de quesitos e validação em uso real.
- Phase-out/documentação: Concluídos: Manual do Usuário, FAQ (em alguns registros aparece em revisão), Publicação no Portal Jus.br, Estruturação de atendimento N1/N2/N3.</t>
  </si>
  <si>
    <t>- Formulário configurável: 93% (testes e publicação em ~90%) – se esse for o formulário de perícias para o benefício por incapacidade, o que foi feito tem ainda muitos problemas, não temos a aceitação do projeto piloto. A aplicação se encontra com problemas de performance, e é provável que tenha de passar por uma revisão do projeto/arquitetura.
- Perícias Offline: 85% (testes/correções/publicação em ~75%) – não identifico o que é com esse título.
- Laudo Biopsicossocial (BPC/LOAS): 96%, incluindo abas e ajustes do formulário BI – temos uma versão incompleta no ambiente de homologação, ainda com muitos bugs e faltando coisas a serem implementadas. Estamos aguardando a equipe dar um prazo para concluir, mas as estimativas não são boas, talvez ainda uns 6 meses.
- Em andamento: Manual de Operação e validações/documentação do time de phase-out. – não estou acompanhando, mas faz parte do phaseout.</t>
  </si>
  <si>
    <t>Próximos passos:
finalizar ajustes do módulo BPC/LOAS, implementar correções técnicas e avançar na produção de materiais de capacitação.</t>
  </si>
  <si>
    <t>Observações:
projeto em fase final com previsão de encerramento em março de 2026, com risco de transbordo indicado no acompanhamento recente.</t>
  </si>
  <si>
    <t>Precatórios</t>
  </si>
  <si>
    <r>
      <t xml:space="preserve">Dr. Dorotheo Barbosa Neto </t>
    </r>
    <r>
      <rPr>
        <sz val="11"/>
        <color rgb="FF00B050"/>
        <rFont val="Calibri"/>
        <family val="2"/>
        <scheme val="minor"/>
      </rPr>
      <t>( Dra. Paula)</t>
    </r>
    <r>
      <rPr>
        <sz val="11"/>
        <color theme="1"/>
        <rFont val="Calibri"/>
        <family val="2"/>
        <scheme val="minor"/>
      </rPr>
      <t xml:space="preserve">
</t>
    </r>
  </si>
  <si>
    <t>•	Entrega dos módulos básicos do sistema (7 módulos, com 9 entregas).
•	Conclusão do pacote de sistema desenvolvido pela empresa contratada.
•	Sistema já permite operar precatórios de 2021 em diante.
•	Transição do desenvolvimento da empresa para a equipe interna do CNJ e equipes dos tribunais.</t>
  </si>
  <si>
    <t>•	Encerramento do contrato com a empresa e entrega final dos módulos básicos.
•	Início da fase de documentação e entrega final para liberação do último pagamento.
•	Consolidação das entregas que permitem funcionamento em tribunais menores.</t>
  </si>
  <si>
    <t>•	Desenvolvimento dos módulos voltados às especificidades dos tribunais, agora sob responsabilidade da equipe interna.
•	Expansão do sistema para alcançar precatórios anteriores a 2015, sob coordenação da nova juíza responsável (Paula).
•	Ampliação dos pilotos:
o	TJES já utiliza como piloto.
o	Entrada de equipe do TJSP para adaptação a tribunais de grande porte.</t>
  </si>
  <si>
    <t>•	O sistema funciona bem para tribunais pequenos e médios; tribunais com passivos antigos exigem adaptações.
•	Mudanças constitucionais recentes alteraram a lógica de contas de precatórios, impactando o planejamento.</t>
  </si>
  <si>
    <t>Projeto aprovado para inclusão no portfólio em janeiro de 2026</t>
  </si>
  <si>
    <t>Não foram relatadas entregas no último mês</t>
  </si>
  <si>
    <t>Necessária atualização do cronograma, uma vez que o cronograma formalizado do projeto já estaria concluído.</t>
  </si>
  <si>
    <t>Necessária atualização do cronograma, uma vez que o cronograma formalizado do projeto já estaria concluído. O projeto foi formalizado como se já estivesse concluído.</t>
  </si>
  <si>
    <t>Dra. Viviane Brito Rebello
Apoio Dr. Gláucio Roberto Brittes de Araujo (Epol)</t>
  </si>
  <si>
    <t>Diagnóstico e Direcionamento Estratégico (Sprints 1–3);
Estabilização da Plataforma e Correções Estruturais (Sprints 4–8);
Evolução Funcional dos Principais Módulos (Sprints 9–14);
Arquitetura, Integrações e Governança de Dados (Sprints 15–22);
Estabilidade Pós-Integrada e Otimização Operacional (Sprints 23–28);
Sustentação, Confiabilidade e Preparação para Encerramento (Sprints 29–35)</t>
  </si>
  <si>
    <t>- Auditoria e rastreabilidade: Melhoria da auditoria para registrar apenas campos efetivamente alterados nas entidades. Inclusão de novos eventos no histórico do bem.
- Apreensão e cadastro de bens: Correção de erro no ajuste de pessoas vinculadas à apreensão. Inclusão da opção de exclusão de bem quando a apreensão estiver em elaboração. Ajustes de campos e comportamentos no cadastro e classificação de bens, incluindo melhorias no campo quantidade.
- Remessa e usabilidade: Ajustes de interface e mensagens em fluxos de remessa, como inclusão de tooltip gerais de consistência e retorno de mensagens ao usuário.</t>
  </si>
  <si>
    <r>
      <rPr>
        <b/>
        <sz val="11"/>
        <color theme="1"/>
        <rFont val="Calibri"/>
        <family val="2"/>
        <scheme val="minor"/>
      </rPr>
      <t>Atividades planejadas</t>
    </r>
    <r>
      <rPr>
        <sz val="11"/>
        <color theme="1"/>
        <rFont val="Calibri"/>
        <family val="2"/>
        <scheme val="minor"/>
      </rPr>
      <t xml:space="preserve">
</t>
    </r>
    <r>
      <rPr>
        <b/>
        <sz val="11"/>
        <color theme="1"/>
        <rFont val="Calibri"/>
        <family val="2"/>
        <scheme val="minor"/>
      </rPr>
      <t xml:space="preserve">- Classificações e padrões: </t>
    </r>
    <r>
      <rPr>
        <sz val="11"/>
        <color theme="1"/>
        <rFont val="Calibri"/>
        <family val="2"/>
        <scheme val="minor"/>
      </rPr>
      <t xml:space="preserve">Evolução do módulo de padrão de especificação, com ajustes estruturais e de usabilidade para garantir consistência no cadastro e classificação dos bens.
</t>
    </r>
    <r>
      <rPr>
        <b/>
        <sz val="11"/>
        <color theme="1"/>
        <rFont val="Calibri"/>
        <family val="2"/>
        <scheme val="minor"/>
      </rPr>
      <t>- Consulta e usabilidade:</t>
    </r>
    <r>
      <rPr>
        <sz val="11"/>
        <color theme="1"/>
        <rFont val="Calibri"/>
        <family val="2"/>
        <scheme val="minor"/>
      </rPr>
      <t xml:space="preserve"> possibilidade de digitação e pesquisa adequada.
</t>
    </r>
    <r>
      <rPr>
        <b/>
        <sz val="11"/>
        <color theme="1"/>
        <rFont val="Calibri"/>
        <family val="2"/>
        <scheme val="minor"/>
      </rPr>
      <t>- Fluxo de baixa de bens:</t>
    </r>
    <r>
      <rPr>
        <sz val="11"/>
        <color theme="1"/>
        <rFont val="Calibri"/>
        <family val="2"/>
        <scheme val="minor"/>
      </rPr>
      <t xml:space="preserve"> mplementaçãoda finalidade de perdimento em favor do Estado na baixa simplificada, ampliando a aderência do sistema aos fluxos jurídicos e operacionais.
</t>
    </r>
    <r>
      <rPr>
        <b/>
        <sz val="11"/>
        <color theme="1"/>
        <rFont val="Calibri"/>
        <family val="2"/>
        <scheme val="minor"/>
      </rPr>
      <t>- Remessa e órgão detentor:</t>
    </r>
    <r>
      <rPr>
        <sz val="11"/>
        <color theme="1"/>
        <rFont val="Calibri"/>
        <family val="2"/>
        <scheme val="minor"/>
      </rPr>
      <t xml:space="preserve"> Continuidade da investigação sobre o comportamento do novo órgão detentor nas remessas; Ajustes de frontendpara exibição correta do órgão detentor nas telas de bens, garantindo coerência entre dados e visualização.</t>
    </r>
  </si>
  <si>
    <r>
      <rPr>
        <b/>
        <sz val="11"/>
        <color theme="1"/>
        <rFont val="Calibri"/>
        <family val="2"/>
        <scheme val="minor"/>
      </rPr>
      <t>Processodephaseout:</t>
    </r>
    <r>
      <rPr>
        <sz val="11"/>
        <color theme="1"/>
        <rFont val="Calibri"/>
        <family val="2"/>
        <scheme val="minor"/>
      </rPr>
      <t xml:space="preserve">
- Revisão de dimensionamento da equipe pós-phaseout ,com base no backlog remanescente
- Manual de usuário, Manual de Operação do Sistema, Formulário d eGestão Negocial e FAQ em revisão
- N1, N2 e N3 completamente estruturadas e fluxo de informações estabelecido
- Apenas 1 dev da Basis em processo de repasse de conhecimento
- Documentação de Backlog em desenvolvimento
TransiçãoCNJ/DTI:
- Dimensionamento CNJ em revisão. Necessidade de alinhamento de expectativas pós phaseout</t>
    </r>
  </si>
  <si>
    <t>PJ4.  Eficiência executiva</t>
  </si>
  <si>
    <t>•	Avanço na integração com o Renajud para bloqueio e retirada de restrições.
•	Ajustes de interface e simplificação de formulários.
•	Atualizações decorrentes de decisões judiciais e padronização de nomenclaturas.
•	Melhoria da experiência do usuário com fluxos mais claros.</t>
  </si>
  <si>
    <t xml:space="preserve">Entregas realizadas 
• Conclusão dos testes de integração com o RENAJUD com resultados positivos. 
• Definição pela remoção da exibição de contas inativas no SISBAJUD. 
• Alteração conceitual da nomenclatura de 'cancelar' para 'retirar a restrição' no RENAJUD. 
• Decisão de retirar a exibição do valor total do bloqueio no sistema. 
• Alinhamento para simplificação do formulário de bloqueio. </t>
  </si>
  <si>
    <t>Entregas planejadas para o próximo mês 
• Ajustes no fluxo e formulário de bloqueio para ganho de usabilidade. 
• Avaliação do uso de Token de Serviço para melhorar a integração. 
• Análise de exibição controlada do valor de execução no formulário. 
• Planejamento de melhoria futura para restrição de CNH. 
• Sistema de Notificação em homologação 
• Adaptação dos avisos de notificação para o atender demanda do sistema EFIN 
•	Homologação das funcionalidades pendentes.
•	Ajustes finais necessários para disponibilização em produção.
•	Continuidade das validações técnicas em ambiente real.</t>
  </si>
  <si>
    <t>Outros fatos relevantes a registrar 
• Discussão sobre modelo de bloqueio por parte ou por conta. 
• Avaliação de exibir apenas o número de instituições com contas encontradas. 
• Possível uso da API de pessoa do Data Lake para enriquecimento de dados. 
• Decisões orientadas por testes práticos com usuários finais.</t>
  </si>
  <si>
    <t>Violência Digital como Vetor do Continuum da Violência</t>
  </si>
  <si>
    <t xml:space="preserve">Inserção expressa da violência digital nos instrumentos de avaliação de risco, nos fluxos decisórios e nas ações formativas, reconhecendo seu papel na escalada do controle e do risco letal. Visa evitar a invisibilização da violência digital como mecanismo de controle, vigilância e escalada da violência de gênero, qualificando a leitura judicial do risco. </t>
  </si>
  <si>
    <t>- Reunião inicial para definição do escopo do projeto.
- Inclusão do tema na campanha institucional de março.</t>
  </si>
  <si>
    <t>Desenvolvimento de conteúdos da campanha “A Violência Não Mora Aqui”, incluindo quiz sobre violência digital.</t>
  </si>
  <si>
    <t>- Formalização do processo no SEI.
- Desenvolvimento das ações específicas do projeto.</t>
  </si>
  <si>
    <t>Violência Política de Gênero</t>
  </si>
  <si>
    <t>Qualificar a resposta judicial por meio da padronização conceitual e procedimental, da disseminação de informações e orientações técnicas, da divulgação da tabela processual específica, da promoção de ações formativas para magistradas(os) e servidoras(es) e 
da articulação com instituições do sistema de justiça e do processo eleitoral.</t>
  </si>
  <si>
    <t>- Elaboração da minuta preliminar do Protocolo Nacional de Enfrentamento à Violência Política de Gênero.
- Consolidação de contribuições técnicas e articulação com instituições parceiras.</t>
  </si>
  <si>
    <t>- Ajustes finais na minuta.
- Preparação do evento nacional de 25 de março.</t>
  </si>
  <si>
    <t>- Realização do evento e coleta de contribuições finais.
- Finalização e publicação do protocolo.
- Articulação para implementação nacional.</t>
  </si>
  <si>
    <t>Webinários voltados ao enfrentamento da violência de gênero</t>
  </si>
  <si>
    <t xml:space="preserve">Realização de webinários, com transmissão pelo canal do YouTube do CNJ, destinados à promoção do debate qualificado e à disseminação de diretrizes, iniciativas e boas práticas relacionadas ao enfrentamento da violência de gênero no âmbito do Poder Judiciário. </t>
  </si>
  <si>
    <t>Estruturação da proposta de webinários temáticos.</t>
  </si>
  <si>
    <t>Planejamento das pautas e definição dos eixos temáticos.</t>
  </si>
  <si>
    <t>Execução dos webinários ao longo do semestre.</t>
  </si>
  <si>
    <t>Não formalizado</t>
  </si>
  <si>
    <t>Programa Justiça Amiga da Pessoa Idosa</t>
  </si>
  <si>
    <t>Idoso</t>
  </si>
  <si>
    <t>Plataforma Nacional de Saúde  do tema 1234 do STF</t>
  </si>
  <si>
    <t xml:space="preserve">Eixo 1: Justiça, Segurança Jurídica e Eficiência </t>
  </si>
  <si>
    <t xml:space="preserve">A Plataforma Nacional de Saúde, desenvolvida pelo STF e CNJ (janeiro 2026), centraliza solicitações de medicamentos e procedimentos, integrando dados com o CFM e Ministério da Saúde, permitindo monitoramento por médicos, gestores e judiciário para dar maior transparência e controle na gestão dos recursos públicos. Está na fase de transição técnica para o CNJ.  
Pontos-chave da Plataforma: 
•	Finalidade: Monitorar solicitações e o fornecimento de medicamentos, integrando entes federativos e o judiciário. 
•	Funcionalidades: Apresenta políticas públicas vigentes, custos de medicamentos e responsabilidades de pagamento. 
•	Transparência: Permite que juízes e promotores acompanhem as demandas para controle judicial. 
•	Desenvolvimento: Resulta de um acordo do STF (Tema 1.234) e foi desenvolvida com apoio técnico do TRF-4. 
Tem por objetivo centralizar as informações relativas às demandas administrativas e judiciais de acesso a fármaco, de fácil consulta e informação ao cidadão, na qual constarão dados básicos para possibilitar a análise e eventual resolução administrativa, além de posterior controle judicial. 
 Visa orientar todos os atores ligados ao sistema público de saúde, possibilitando a eficiência da análise pelo Poder Público e compartilhamento de informações com o Poder Judiciário, mediante a criação de fluxos de atendimento diferenciado, a depender de a solicitação estar ou não incluída na política pública de assistência farmacêutica do SUS e de acordo com os fluxos administrativos aprovados pelos próprios Entes Federativos em autocomposição. 
Entre outras medidas, deverá identificar quem é o responsável pelo custeio e fornecimento administrativo entre os Entes Federativos, com base nas responsabilidades e fluxos definidos em autocomposição entre todos os Entes Federativos, além de possibilitar o monitoramento dos pacientes beneficiários de decisões judiciais, com permissão de consulta virtual dos dados centralizados nacionalmente, pela simples consulta pelo CPF, nome de medicamento, CID, entre outros, com a observância da Lei Geral de Proteção da Dados e demais legislações quanto ao tratamento de dados pessoais sensíveis. </t>
  </si>
  <si>
    <t xml:space="preserve">•	Em planejamento 
•	Portaria Nº 70 de 02/03/2026 - Institui o Comitê de Governança da Plataforma Nacional de Saúde e fixa sua composição. </t>
  </si>
  <si>
    <t xml:space="preserve">•	Formalizar as indicações dos membros para compor o Comitê de Governança e iniciar os trabalhos. </t>
  </si>
  <si>
    <t>Protocolo e Política de Acessibilidade</t>
  </si>
  <si>
    <t xml:space="preserve">Existem duas minutas de atos normativos no PJE:: 
1. ATO 0005921-90.2025.2.00.0000 - Resolução acerca da Política Nacional dos Direitos da Pessoa com Deficiência no Âmbito do Poder Judiciário.  
O processo entrou em pauta em dezembro, mas foi retirado a pedido do Relator (Silvio Amorim) para diligências. 
2. Ato Normativo nº 0005933-07.2025.2.00.0000 -  Protocolo de Julgamento sob a Perspectiva da Pessoa com Deficiência no Âmbito do Poder. </t>
  </si>
  <si>
    <t>Em andamento: consolidação de consulta aos tribunais, as quais deverão resultar em alterações na proposta da política. </t>
  </si>
  <si>
    <t>Finalizar a consolidação da consulta aos tribunais.  </t>
  </si>
  <si>
    <t>Natjus 4.0</t>
  </si>
  <si>
    <t xml:space="preserve">1.	Estudo da Solução 
2.	Refinamento dos requisitos para construção do MVP 
3.	Desenvolvimento de: 
•	Login de acesso; 
•	Formulário de solicitação e Perfil 
•	Formulário de Nota Técnica de Medicamento 
•	Ajustes nos documentos Notas Técnica de Produto, nota técnica de procedimento 
•	Ajustes e refinamentos nas consultas do Perfil de Serventia 
4.	Liberação do MVP 
A execução do projeto segue estável, sem impedimentos técnicos relevantes no momento. As atividades estão concentradas na consolidação das melhorias identificadas durante a homologação e na preparação das próximas evoluções da plataforma, mantendo a cadência de acompanhamento semanal com os envolvidos do CNJ. 
Acordo de cooperação técnica 135/2024 – Einsten, TJBA e CNJ.  
A criação de um banco de dados nacional para abrigar pareceres técnico-científicos e notas técnicas elaboradas com base em evidências científicas na área da saúde, emitidos pelos Núcleos de Apoio Técnico ao Judiciário (NATJUS) e pelos Núcleos de Avaliação de Tecnologias em Saúde (NATS). 
Apoio ao Cumprimento dos Temas do STF 
Ferramenta essencial para auxiliar o cumprimento dos Temas 1234 e 6 do STF, contribuindo para a desjudicialização e a prevenção de ações judiciais em saúde, e atender às diretrizes do Supremo Tribunal Federal, garantindo uma atuação judicial mais eficiente e alinhada à políticas públicas de saúde. 
Abordagem Multidisciplinar e Integração 
Abordagem integrada entre aspectos tecnológicos, jurídicos e de gestão em saúde, por meio de um sistema robusto e adaptado às necessidades de seus usuários. Essa integração facilita a comunicação e a tomada de decisões baseadas em uma visão completa e interconectada do setor. 
Sistema Eficaz e Baseado em Evidências 
Desenvolvido com foco em inovação e segurança, o e-NatJus 4.0 apoiará o Judiciário com decisões fundamentadas em evidências científicas, integrando justiça e saúde em prol de uma resposta eficiente. </t>
  </si>
  <si>
    <t xml:space="preserve">O MVP foi concluído e disponibilizado em ambiente de homologação em 19/02/2026, contemplando integralmente o escopo funcional originalmente definido para essa etapa. Após a publicação, foram realizados ajustes pontuais solicitados durante as validações iniciais, que se estenderam até 26/02/2026, com foco em melhorias de usabilidade, refinamentos funcionais e estabilizações técnicas. </t>
  </si>
  <si>
    <t xml:space="preserve">•	Conduzir a homologação institucional do MVP junto ao CNJ (aguardando agendamento da reunião pelo CNJ). 
•	Tratar ajustes e melhorias identificados durante as validações em homologação. 
•	Consolidar melhorias de usabilidade e refinamentos funcionais apontados pelos usuários. 
•	Evoluir funcionalidades complementares previstas no escopo pós-MVP. 
•	Realizar estabilizações técnicas e ajustes evolutivos na plataforma. 
•	Preparar o planejamento das próximas entregas evolutivas do sistema. </t>
  </si>
  <si>
    <t>Projeto desenvolvido em parceria com o TJBA </t>
  </si>
  <si>
    <t>Desenvolvimento de um Modelo RAG (Geração Aumentada por Recuperação) e de Linguagem Especializada destinado a apoiar decisões judiciais na área da saúde</t>
  </si>
  <si>
    <t xml:space="preserve">Acordo de cooperação técnica nº 53/2025 
Celebrado entre o Conselho Nacional de Justiça e o Hospital das Clínicas da Faculdade de Medicina da Universidade de São Paulo, que tem por objeto a cooperação no desenvolvimento de um Modelo RAG (Geração Aumentada por Recuperação) e de Linguagem Especializada (Small Language Model - SLM) destinado a apoiar decisões judiciais na área da saúde, mediante análise de petições, manifestações processuais e dados clínicos com base em evidências.  
O modelo será capaz de realizar a classificação automática dos processos conforme as categorias do CNJ, sumarizações e pesquisas avançadas e disponibilizar um agente virtual de apoio aos magistrados baseado no uso de inteligência artificial generativa. Essas funcionalidades serão incorporadas à plataforma dos Núcleos de Apoio Técnico do Judiciário (e-NatJus). </t>
  </si>
  <si>
    <t xml:space="preserve">- Protótipo criado e em fase de testes, nomeado como MedSus 
O protótipo usa inteligência artificial para cruzar dados de evidências científicas, buscando dados no banco de dados do Natjus e na Conitec, bem como em outros bancos de dados. </t>
  </si>
  <si>
    <t>Finalizar os testes do protótipo </t>
  </si>
  <si>
    <t>Projeto desenvolvido em parceria com a USP </t>
  </si>
  <si>
    <t>Infosus</t>
  </si>
  <si>
    <t xml:space="preserve">Encontra-se na fase de assinatura do ACT. </t>
  </si>
  <si>
    <t>Assinatura do ACT. </t>
  </si>
  <si>
    <t xml:space="preserve">Sistema existente em Santa Catarina, da Secretaria de Estado da Saúde. O projeto está nacionalizando o sistema para que seja utilizado de forma nacional. </t>
  </si>
  <si>
    <t>Calculadora de Competência</t>
  </si>
  <si>
    <t xml:space="preserve">Sistema para ajudar os operadores do direito em geral a definir a competência na área de saúde pública de acordo com o tema 1234 e com o tema 6, ambos do STF </t>
  </si>
  <si>
    <t xml:space="preserve">O sistema já está pronto, estando em andamento apenas adaptações para a nacionalização. 
O projeto está trabalhando para que a ferramenta traga dados de todos os Estados para possibilitar a nacionalização. </t>
  </si>
  <si>
    <t xml:space="preserve">Finalização das adaptações; 
Nacionalização. </t>
  </si>
  <si>
    <t xml:space="preserve">O projeto está sendo feito em parceria com a justiça federal de Santa Catarina, tendo sido criada por um servidor de lá. O projeto realizará a nacionalização. </t>
  </si>
  <si>
    <t>Infovôo – Capacitação</t>
  </si>
  <si>
    <t>Dra. Viviane Brito Rebello</t>
  </si>
  <si>
    <t>Em fase inicial de ideação e planejamento. Pretende-se capacitar magistrados e servidores sobre o funcionamento de voos e ensinar o uso da ferramenta Infovoo. Será feita parceria com a ANAC.</t>
  </si>
  <si>
    <t>Revisão e reconstrução do Curso de Formação de Mediadores e Conciliadores</t>
  </si>
  <si>
    <t xml:space="preserve">Em fase inicial de ideação e planejamento. Pretende-se atualizar o curso atual e desenvolver trilhas de capacitação. </t>
  </si>
  <si>
    <t>Juizado do Torcedor e Grandes Eventos  - Capacitação e Estruturação</t>
  </si>
  <si>
    <t>Reunião com a equipe do TJMT que apresentou a forma de trabalho atual.
Proposta de jornada do projeto para equipe do projeto</t>
  </si>
  <si>
    <t>Avaliação da jornada e do escopo do projeto</t>
  </si>
  <si>
    <t>Política Nacional do Trabalho Decente e Observatório do Trabalho Decente</t>
  </si>
  <si>
    <t>Eixo 5: Direitos Sociais, Trabalho e Vida Digna</t>
  </si>
  <si>
    <t>Gabriela Lenz de Lacerda e Jônatas dos Santos Andrade</t>
  </si>
  <si>
    <t xml:space="preserve">•	ACT firmado com o TST/CSJT para construção do texto-base da Política
•	Criação do Observatório do Trabalho Decente </t>
  </si>
  <si>
    <t xml:space="preserve">•	Realização da 1ª Reunião do Observatório do Trabalho Decente
•	Abertura de consulta pública com o texto-base da Política </t>
  </si>
  <si>
    <t>•	Elaborar proposta de Política Nacional do Trabalho Decente (previsão: abril/2026)
•	Realizar seminário sobre a temática do trabalho decente (previsão: maio/2026)
•	Elaborar plano de trabalho da Política, com a definição de prioridades, a partir das manifestações no OTD (previsão: junho/2026) 
•	Seguir com o plano de divulgação da temática, elaborado em parceria com a SECOM</t>
  </si>
  <si>
    <t>•	Aguardamos a estruturação do eixo “trabalho decente” do Programa Justiça Plural para construir o plano de trabalho da Política (previsão: final de março/2026)</t>
  </si>
  <si>
    <t>Transversalização da Temática do Trabalho Decente</t>
  </si>
  <si>
    <t>** Trabalho e Gênero (em parceria com a SG)
•	Instituição GT para elaboração de proposta de ato normativo que crie e regulamente a Política de Cuidados no Poder Judiciário (Portaria 379/2025)
•	Realização de ciclos de Webinários “Precisamos falar sobre trabalho de cuidados”
•	Coordenação dos trabalhos do Subgrupo 2 – “Prestação Jurisdicional e Transversalização”
** Trabalho e PopRuaJud (em parceria com a SG)
•	Criação do eixo empregabilidade 
•	Elaboração de plano de trabalho
•	Instituição de GT sobre egressos do sistema prisional e população em situação de rua
** Trabalho e Cárcere (em parceria com o DMF)
•	Apoio na consolidação do plano de trabalho do Emprega-Lab
** Trabalho e FONTET
•	Auxílio na elaboração dos planos de trabalho estaduais
•	Elaboração de proposta de alteração da Resolução nº 212</t>
  </si>
  <si>
    <t xml:space="preserve">** Trabalho e Gênero (em parceria com a SG)
•	2º Webinário “Precisamos falar sobre trabalho de cuidados”
** Trabalho e Sustentabilidade
•	Elaboração de proposta de Recomendação para remuneração de catadores/as </t>
  </si>
  <si>
    <t>** Trabalho e Gênero (em parceria com a SG)
•	Continuidade de Webinários “Precisamos falar sobre trabalho de cuidados” (abril e maio/2026)
•	Elaboração do produto final do subgrupo 2 – documento sobre a implementação da Opinião Consultiva nº 31 da Corte IDH no ordenamento jurídico brasileiro (previsão a ser definida a partir da metodologia do JP, mas estimada em julho/2026)
** Trabalho e Enfrentamento ao Assédio 
•	Reestruturação da Comissão do CNJ (previsão: março/2026)
•	Adequação do fluxo e do normativo (previsão: maio/2026)
•	Propor formação a membros do Comitê e público interno (previsão: segundo semestre/2026)
** Trabalho e Sustentabilidade (em parceria com eixo ambiental da SEP/comissão de sustentabilidade)
•	Aprovação da proposta de Recomendação de remuneração de catadores/as pela Comissão de Sustentabilidade (previsão: março/2026) 
•	Implementação da remuneração de catadores/as pelo CNJ em parceria com outras instituições (previsão: julho/2026)
** Trabalho e PopRuaJud (em parceria com a SG)
•	Cumprimento do plano de trabalho (previsão de término: dezembro/2026)
** Trabalho e Infância (em parceria com o eixo infância e com o CSJT)
•	Submissão de proposta de “Pacto Nacional da Aprendizagem” 
** Trabalho e Cárcere (em parceria com o DMF)
•	Acompanhamento da implementação do plano de trabalho do Emprega-Lab
** Trabalho e FONTET
•	Documento voltado à melhoria na produção de prova de casos envolvendo trabalho escravo (previsão: segundo semestre de 2026)
•	Aperfeiçoamento dos planos de trabalho (previsão: segundo semestre de 2026)</t>
  </si>
  <si>
    <t>•	Os avanços nestes tópicos serão realizados a partir do diálogo social estabelecido no Observatório</t>
  </si>
  <si>
    <t>Justiça Itinerante Cooperativa na Amazônia Legal – Eixo Trabalhista</t>
  </si>
  <si>
    <t xml:space="preserve">•	Articulação interinstitucional </t>
  </si>
  <si>
    <t>•	Realização de reuniões periódicas para a elaboração da carta de serviços</t>
  </si>
  <si>
    <t xml:space="preserve">•	Término da carta de serviços (previsão: março/2026)
•	Realização da ação itinerante (previsão: maio/2026)
•	Organização de reunião do Observatório do Trabalho Decente no Marajó (previsão: maio/2026)
•	Encaminhamentos posteriores à itinerância (previsão: junho/2026) </t>
  </si>
  <si>
    <t>Dever de Devida Diligência em Direitos Humanos e os contratos terceirizados do Poder Público</t>
  </si>
  <si>
    <t>Desenhar o projeto</t>
  </si>
  <si>
    <t>Aguarda definição de Conselheiro/a que será responsável pela pauta</t>
  </si>
  <si>
    <t>EixoTemaMag</t>
  </si>
  <si>
    <t>Classificação</t>
  </si>
  <si>
    <t>Magistrado</t>
  </si>
  <si>
    <t>Dra. Paula</t>
  </si>
  <si>
    <t>Dr. José Theodoro Corrêa de Carvalho</t>
  </si>
  <si>
    <t>Dr. Daniel Ribeiro Surdo  de Avelar</t>
  </si>
  <si>
    <t>Dra. Ana Lúcia Andrade de Aguiar</t>
  </si>
  <si>
    <t>Identidade visual e plano de comunicação do Programa
O que já foi realizado</t>
  </si>
  <si>
    <t xml:space="preserve">Gabriela Lenz de Lacerda </t>
  </si>
  <si>
    <t>Eixo 2: Estrutura, Inovação e Transparência</t>
  </si>
  <si>
    <t>Eixo 6: Infância, juventude e proteção das famílias</t>
  </si>
  <si>
    <t>RELATÓRIO DE PROJETOS 2026 - ORDENADO POR JUIZ AUXILIAR</t>
  </si>
  <si>
    <t>Data de geração: 06/03/2026</t>
  </si>
  <si>
    <t>══════════════════════════════════════════════════════════════════════════════════════════════════════════</t>
  </si>
  <si>
    <t>JUIZ AUXILIAR: Conselheira Daiane Nogueira de Lira</t>
  </si>
  <si>
    <t xml:space="preserve">    ▶ EIXO: Não definido</t>
  </si>
  <si>
    <t xml:space="preserve">        ◆ TEMÁTICA: Não definida</t>
  </si>
  <si>
    <t xml:space="preserve">        ──────────────────────────────────────────────────────────────────────────────────────</t>
  </si>
  <si>
    <t xml:space="preserve">            📋 PROJETO: Fonajus itinerante</t>
  </si>
  <si>
    <t>SEI: 10101/2024</t>
  </si>
  <si>
    <t xml:space="preserve">            Situação: No prazo</t>
  </si>
  <si>
    <t>Execução: 94%</t>
  </si>
  <si>
    <t>Previsão de Término: 30/4/2026</t>
  </si>
  <si>
    <t xml:space="preserve">            ENTREGAS NO ÚLTIMO MÊS:</t>
  </si>
  <si>
    <t xml:space="preserve">                Não houve visitas no último mês. O projeto estava parado devido à indefinição quanto à recondução da Conselheira Daiane Nogueira de Lima. Todavia, com a recondução, o projeto foi retomado em janeiro e foram definidas as novas visitas.</t>
  </si>
  <si>
    <t xml:space="preserve">            AVANÇO ATÉ O MOMENTO:</t>
  </si>
  <si>
    <t xml:space="preserve">                o projeto já capacitou, até o momento, 2.648 pessoas.</t>
  </si>
  <si>
    <t xml:space="preserve">                o projeto já visitou 12 dos 27 estados brasileiros.</t>
  </si>
  <si>
    <t xml:space="preserve">                SP: 164 pessoas capacitadas;</t>
  </si>
  <si>
    <t xml:space="preserve">                [... continua ...]</t>
  </si>
  <si>
    <t xml:space="preserve">            PRÓXIMOS PASSOS:</t>
  </si>
  <si>
    <t xml:space="preserve">                5 e 6 de março: Maranhão</t>
  </si>
  <si>
    <t xml:space="preserve">                19 e 20 de março: Mato Grosso</t>
  </si>
  <si>
    <t xml:space="preserve">            OBSERVAÇÕES:</t>
  </si>
  <si>
    <t xml:space="preserve">                Sem observações</t>
  </si>
  <si>
    <t xml:space="preserve">            ·····································································</t>
  </si>
  <si>
    <t xml:space="preserve">JUIZ AUXILIAR: Dr .João Felipe Menezes Lopes
</t>
  </si>
  <si>
    <t xml:space="preserve">    ▶ EIXO: Eixo 2: Estrutura, Inovação e Transparência </t>
  </si>
  <si>
    <t xml:space="preserve">        ◆ TEMÁTICA: TI - PRODOC NOVO</t>
  </si>
  <si>
    <t xml:space="preserve">            📋 PROJETO: Fortalecimento da Segurança Cibernética e da Transparência para Governança e Efetividade da Atuação do Poder Judiciário (Projeto BRA/24/021)</t>
  </si>
  <si>
    <t>SEI: 02626/2025</t>
  </si>
  <si>
    <t xml:space="preserve">            Situação: Autorizado</t>
  </si>
  <si>
    <t xml:space="preserve">Execução: </t>
  </si>
  <si>
    <t>Previsão de Término: 30/12/2028</t>
  </si>
  <si>
    <t xml:space="preserve">                Não houve informação sobre o início da execução do programa nem formalização de seus projetos.</t>
  </si>
  <si>
    <t xml:space="preserve">                Prodoc Assinado e Publicado.</t>
  </si>
  <si>
    <t xml:space="preserve">                TAP Elaborado</t>
  </si>
  <si>
    <t xml:space="preserve">                Formalização do Plano de Gestão do Projeto</t>
  </si>
  <si>
    <t xml:space="preserve">                Aguardando primeiras versões dos PGPs</t>
  </si>
  <si>
    <t xml:space="preserve">JUIZ AUXILIAR: Dr. Daniel Ribeiro de Avelar Surdi
</t>
  </si>
  <si>
    <t xml:space="preserve">        ◆ TEMÁTICA: Estrutura</t>
  </si>
  <si>
    <t xml:space="preserve">            📋 PROJETO: Escola Virtual do Poder Judiciário</t>
  </si>
  <si>
    <t>SEI: 13898/2024</t>
  </si>
  <si>
    <t xml:space="preserve">            Situação: Suspenso</t>
  </si>
  <si>
    <t>Execução: 32%</t>
  </si>
  <si>
    <t>Previsão de Término: 29/09/2025</t>
  </si>
  <si>
    <t xml:space="preserve">                Entregas realizadas:</t>
  </si>
  <si>
    <t xml:space="preserve">                inclusão de novos cursos e melhorias no ambiente de aprendizagem.</t>
  </si>
  <si>
    <t xml:space="preserve">                Atividades realizadas:</t>
  </si>
  <si>
    <t xml:space="preserve">                conclusão do escopo originalmente previsto no projeto e início das discussões para atualização e ampliação do escopo da Escola Virtual do Poder Judiciário.</t>
  </si>
  <si>
    <t xml:space="preserve">                Entregas planejadas para o próximo mês:</t>
  </si>
  <si>
    <t xml:space="preserve">                ajustar o projeto para estruturação da ENAJU e reorganização das entregas pedagógicas e tecnológicas.</t>
  </si>
  <si>
    <t xml:space="preserve">                Outros fatores relevantes:</t>
  </si>
  <si>
    <t xml:space="preserve">                avaliação institucional em andamento para verificar necessidade de elaboração de novo Termo de Abertura de Projeto.</t>
  </si>
  <si>
    <t>JUIZ AUXILIAR: Dr. Dorotheo Barbosa Neto</t>
  </si>
  <si>
    <t xml:space="preserve">    ▶ EIXO: Eixo 1: Justiça, Segurança Jurídica e Eficiência</t>
  </si>
  <si>
    <t xml:space="preserve">        ◆ TEMÁTICA: Precatórios</t>
  </si>
  <si>
    <t xml:space="preserve">            📋 PROJETO: SisPreq – Sistema de Precatórios e Requisições de Pequeno Valor</t>
  </si>
  <si>
    <t>SEI: 02465/2024</t>
  </si>
  <si>
    <t>Execução: 89%</t>
  </si>
  <si>
    <t>Previsão de Término: 15/12/2026</t>
  </si>
  <si>
    <t xml:space="preserve">                Atividades realizadas</t>
  </si>
  <si>
    <t xml:space="preserve">                Últimos 7 dias</t>
  </si>
  <si>
    <t xml:space="preserve">                • Reunião de apresentação do motor de cálculo;</t>
  </si>
  <si>
    <t xml:space="preserve">                • Reuniões de homologação (problemas encontrados):</t>
  </si>
  <si>
    <t xml:space="preserve">                • Calculadora de precatórios;</t>
  </si>
  <si>
    <t xml:space="preserve">                Entregas realizadas</t>
  </si>
  <si>
    <t xml:space="preserve">                • Evolução do Assinador com melhorias funcionais implementadas.</t>
  </si>
  <si>
    <t xml:space="preserve">                • Avanço nas funcionalidades de Precatório com valor incontroverso.</t>
  </si>
  <si>
    <t xml:space="preserve">                • Implementação inicial das adequações previstas na Emenda Constitucional nº 136/2025.</t>
  </si>
  <si>
    <t xml:space="preserve">                Entregas planejadas para o próximo mês</t>
  </si>
  <si>
    <t xml:space="preserve">                • Conclusão das evoluções pendentes do Assinador.</t>
  </si>
  <si>
    <t xml:space="preserve">                • Finalização das funcionalidades de Precatório complementar ou suplementar abaixo do teto do RPV.</t>
  </si>
  <si>
    <t xml:space="preserve">                • Avanço na Gestão de Listas de Precatórios, com consolidação da Importação Simplificada.</t>
  </si>
  <si>
    <t xml:space="preserve">                Outros fatos relevantes a registrar</t>
  </si>
  <si>
    <t xml:space="preserve">JUIZ AUXILIAR: Dr. Dorotheo Barbosa Neto
</t>
  </si>
  <si>
    <t xml:space="preserve">        ◆ TEMÁTICA: PJ4</t>
  </si>
  <si>
    <t xml:space="preserve">            📋 PROJETO: Apoio a implantação de soluções da PDPJ-Br</t>
  </si>
  <si>
    <t>SEI: 02887/2024</t>
  </si>
  <si>
    <t>Execução: 83%</t>
  </si>
  <si>
    <t>Previsão de Término: 29/06/2026</t>
  </si>
  <si>
    <t xml:space="preserve">                Tarefas N2 –220Tarefas atendidas no período de 05 a 11/02;</t>
  </si>
  <si>
    <t xml:space="preserve">                Sistemas mais atendidos no período 05 a 11/02:</t>
  </si>
  <si>
    <t xml:space="preserve">                BNMP –87tarefas N2;</t>
  </si>
  <si>
    <t xml:space="preserve">                Domicilio J. Eletrônico –42 tarefas N2;</t>
  </si>
  <si>
    <t xml:space="preserve">                1. Mapeamento dos sistemas legados</t>
  </si>
  <si>
    <t xml:space="preserve">                2. Reestruturação das filas no GLPI</t>
  </si>
  <si>
    <t xml:space="preserve">                Repasse das atividades de suporte e Apoio à implantação das soluções: Serviços Estruturantes, CODEX, Domicílio Judicial Eletrônico, SNGB,BNMP, SNA, PREVJUD, SPVATJUD</t>
  </si>
  <si>
    <t xml:space="preserve">                Portal de Serviços,Portal Jus.Br, Consulta Nacional de Pessoas (API Pessoas), Gestão de Clientes.</t>
  </si>
  <si>
    <t xml:space="preserve">                3. Triagem e Atendimento Técnico N2</t>
  </si>
  <si>
    <t xml:space="preserve">                1. Soluções Ainda Não Implantadas</t>
  </si>
  <si>
    <t xml:space="preserve">                Sniper BC</t>
  </si>
  <si>
    <t xml:space="preserve">                BNP/Pangea</t>
  </si>
  <si>
    <t xml:space="preserve">                Gabinete do Juízo</t>
  </si>
  <si>
    <t xml:space="preserve">            📋 PROJETO: CODEX - Melhorias Evolutivas e Corretivas</t>
  </si>
  <si>
    <t>SEI: 04751/2022</t>
  </si>
  <si>
    <t>Execução: 84%</t>
  </si>
  <si>
    <t>Previsão de Término: 30/12/2026</t>
  </si>
  <si>
    <t xml:space="preserve">                •</t>
  </si>
  <si>
    <t xml:space="preserve">                • Redução significativa do backlog de mensagens (de ~130 milhões para menos de 50% do volume inicial).</t>
  </si>
  <si>
    <t xml:space="preserve">                • Ajuste de infraestrutura (pods e escalabilidade) nas principais filas de processamento.</t>
  </si>
  <si>
    <t xml:space="preserve">                • Correções e melhorias no processamento de movimentação e documentos de processos.</t>
  </si>
  <si>
    <t xml:space="preserve">                • Deploy completo das funcionalidades de front-end pendentes.</t>
  </si>
  <si>
    <t xml:space="preserve">                • Conclusão dos ajustes de sigilo no Conversor e testes em STG.</t>
  </si>
  <si>
    <t xml:space="preserve">                • Validação e disponibilização da documentação do conversor customizado aos tribunais.</t>
  </si>
  <si>
    <t xml:space="preserve">                • Criação de fluxo prioritário de atendimento para demandas oriundas do Portal de Serviços.</t>
  </si>
  <si>
    <t xml:space="preserve">            📋 PROJETO: Domicílio Judicial Eletrônico - Melhorias Evolutivas</t>
  </si>
  <si>
    <t>SEI: 09445/2023</t>
  </si>
  <si>
    <t>Execução: 87%</t>
  </si>
  <si>
    <t xml:space="preserve">                - Apreensão e cadastro de bens: Correção de erro no ajuste de pessoas vinculadas à apreensão. Inclusão da opção de exclusão de bem quando a apreensão estiver em elaboração. Ajustes de campos e comportamentos no cadastro e classificação de bens, incluindo melhorias no campo quantidade.</t>
  </si>
  <si>
    <t xml:space="preserve">                progresso global estimado em 98%, com atuação nas frentes de melhorias para instituições públicas, ajustes normativos e produção de documentação técnica. Novo modelo de credenciais com autenticação integrada já disponível em produção, com geração de mais de 250 credenciais.</t>
  </si>
  <si>
    <t xml:space="preserve">                Próximos passos:</t>
  </si>
  <si>
    <t xml:space="preserve">                consolidar o novo modelo de credenciais e executar o plano de comunicação associado; mitigar gargalo de performance relacionado ao processamento de comunicações vencidas; avançar na transição técnica CNJ/DTI e concluir pendências de documentação e relatórios técnicos.</t>
  </si>
  <si>
    <t xml:space="preserve">                Observações:</t>
  </si>
  <si>
    <t xml:space="preserve">            📋 PROJETO: Portal de Serviços</t>
  </si>
  <si>
    <t>SEI: 02394/2024</t>
  </si>
  <si>
    <t xml:space="preserve">            Situação: Em atenção</t>
  </si>
  <si>
    <t>Execução: 92%</t>
  </si>
  <si>
    <t xml:space="preserve">                Entregas no último mês:</t>
  </si>
  <si>
    <t xml:space="preserve">                evolução da integração com EFIN; correções no peticionamento intercorrente; melhorias nas funcionalidades de carta precatória e ofícios; resolução de incidente de produção ocorrido em janeiro de 2026.</t>
  </si>
  <si>
    <t xml:space="preserve">                execução do projeto alcançou aproximadamente 92%, com entregas estruturantes relacionadas ao Portal de Serviços da Justiça. Foram implementadas funcionalidades para magistrados e servidores, como Carta Precatória, Encaminhamento de Ofícios e Declínio de Competência, além de funcionalidades voltadas ao público, incluindo consulta processual, peticionamento intercorrente e acesso aos autos digitais.</t>
  </si>
  <si>
    <t xml:space="preserve">                continuidade de ajustes evolutivos nas funcionalidades estruturantes do portal; conclusão da integração com EFIN; consolidação do backlog 2026 com definição de priorização e atualização do cronograma; finalização de materiais de capacitação e continuidade das homologações com tribunais.</t>
  </si>
  <si>
    <t xml:space="preserve">                necessidade de definição do escopo do backlog 2026 para atualização do planejamento do projeto; existência de impedimentos técnicos relacionados a integrações com Codex/Data Lake; funcionalidade de Declínio de Competência permanece temporariamente suspensa até solução estrutural na camada de arquivos.</t>
  </si>
  <si>
    <t xml:space="preserve">            📋 PROJETO: Serviços Estruturantes - Melhorias Evolutivas e Corretivas</t>
  </si>
  <si>
    <t>SEI: 14965/2024</t>
  </si>
  <si>
    <t xml:space="preserve">            Situação: Atrasado ou Crítico</t>
  </si>
  <si>
    <t>Execução: 55%</t>
  </si>
  <si>
    <t xml:space="preserve">                ▪ Planejamento do projeto</t>
  </si>
  <si>
    <t xml:space="preserve">                ▪ Apoio aos Tribunais, correções e bugs dos Serviços Estruturantes</t>
  </si>
  <si>
    <t xml:space="preserve">                • Apoio aos Tribunais, correções e bugs nos serviços estruturantes - 1o trimestre 2024</t>
  </si>
  <si>
    <t xml:space="preserve">                • Apoio aos Tribunais, correções e bugs nos serviços estruturantes - 2o trimestre 2024</t>
  </si>
  <si>
    <t xml:space="preserve">                (Atividades recorrentes / evolutivas)</t>
  </si>
  <si>
    <t xml:space="preserve">                • Apoio aos Tribunais, correções e bugs nos serviços estruturantes - 2o semestre 2025</t>
  </si>
  <si>
    <t xml:space="preserve">                • Apoio aos Tribunais, correções e bugs nos serviços estruturantes – 2026</t>
  </si>
  <si>
    <t xml:space="preserve">                ▪ Sem reporte do projeto no período, mantido reporte anterior.</t>
  </si>
  <si>
    <t xml:space="preserve">                ▪ Etapa atual: Melhorias evolutivas e corretivas – Implementar melhorias no SSO, Notificações, Cabeçalho</t>
  </si>
  <si>
    <t xml:space="preserve">                Processual e demais ferramentas estruturantes do CNJ.</t>
  </si>
  <si>
    <t xml:space="preserve">        ◆ TEMÁTICA: PJ4.  Eficiência executiva</t>
  </si>
  <si>
    <t xml:space="preserve">            📋 PROJETO: Sniper BC</t>
  </si>
  <si>
    <t>SEI: 06826/2024</t>
  </si>
  <si>
    <t>Execução: 69%</t>
  </si>
  <si>
    <t>Previsão de Término: 30/08/2026</t>
  </si>
  <si>
    <t xml:space="preserve">                • Conclusão dos testes de integração com o RENAJUD com resultados positivos.</t>
  </si>
  <si>
    <t xml:space="preserve">                • Definição pela remoção da exibição de contas inativas no SISBAJUD.</t>
  </si>
  <si>
    <t xml:space="preserve">                • Alteração conceitual da nomenclatura de 'cancelar' para 'retirar a restrição' no RENAJUD.</t>
  </si>
  <si>
    <t xml:space="preserve">                • Ajustes no fluxo e formulário de bloqueio para ganho de usabilidade.</t>
  </si>
  <si>
    <t xml:space="preserve">                • Avaliação do uso de Token de Serviço para melhorar a integração.</t>
  </si>
  <si>
    <t xml:space="preserve">                • Análise de exibição controlada do valor de execução no formulário.</t>
  </si>
  <si>
    <t xml:space="preserve">                • Discussão sobre modelo de bloqueio por parte ou por conta.</t>
  </si>
  <si>
    <t>JUIZ AUXILIAR: Dr. Gláucio Roberto Brittes de Araujo</t>
  </si>
  <si>
    <t xml:space="preserve">        ◆ TEMÁTICA: Criminal</t>
  </si>
  <si>
    <t xml:space="preserve">            📋 PROJETO: Levantamento dos dados sobre o cumprimento da Meta 4 da Estratégia Nacional e construção do diagnóstico do tratamento da Corrupção e da Improbidade no âmbito do Poder Judiciário</t>
  </si>
  <si>
    <t>SEI: 21972/2025</t>
  </si>
  <si>
    <t xml:space="preserve">            Situação: Não projetizado</t>
  </si>
  <si>
    <t xml:space="preserve">Previsão de Término: </t>
  </si>
  <si>
    <t xml:space="preserve">                Em andamento: relatório preliminar.</t>
  </si>
  <si>
    <t xml:space="preserve">                Não informado</t>
  </si>
  <si>
    <t xml:space="preserve">                Apreciação do relatório pelo Secretário de Estratégia e Projetos. Contato com os tribunais visando a melhoria dos números</t>
  </si>
  <si>
    <t xml:space="preserve">            📋 PROJETO: Mês Nacional do Juri</t>
  </si>
  <si>
    <t>SEI: 12847/2025</t>
  </si>
  <si>
    <t xml:space="preserve">                Relatório em fase de conclusão.</t>
  </si>
  <si>
    <t xml:space="preserve">                Preparação do próximo Mês Nacional</t>
  </si>
  <si>
    <t xml:space="preserve">            📋 PROJETO: Regulamentação da produção antecipada de provas em caso de vítima de violência do Estado </t>
  </si>
  <si>
    <t>SEI: 22090/2025</t>
  </si>
  <si>
    <t xml:space="preserve">                Em andamento: reuniões para discussão do texto  com o DMF e o Justiça Plural.</t>
  </si>
  <si>
    <t>JUIZ AUXILIAR: Dr. Gláucio Roberto Brittes de Araujo e Dr. José Theodoro Corrêa de Carvalho</t>
  </si>
  <si>
    <t xml:space="preserve">            📋 PROJETO: Mapa Nacional do Crime Organizado</t>
  </si>
  <si>
    <t>SEI: 16689/2025</t>
  </si>
  <si>
    <t>Execução: 50%</t>
  </si>
  <si>
    <t xml:space="preserve">                Elaboração de relatório preliminar.</t>
  </si>
  <si>
    <t xml:space="preserve">                Apuração detalhada, junto à equipe do DPJ, dos dados individualizados por Tribunal por meio do Painel Justiça em Números, abrangendo todos os estados da federação e todas as fases processuais.</t>
  </si>
  <si>
    <t xml:space="preserve">                Consolidação do acervo nacional de processos da matéria, incluindo a distribuição por fase processual.</t>
  </si>
  <si>
    <t xml:space="preserve">                Disponibilização dos dados no painel “Mapa Nacional do Crime Organizado”, atualmente em fase final de ajustes para lançamento.</t>
  </si>
  <si>
    <t xml:space="preserve">                Realização de reuniões virtuais com representantes dos tribunais, para apresentação e discussão das informações coletadas, permitindo o compartilhamento de problemas, boas práticas e encaminhamentos.</t>
  </si>
  <si>
    <t xml:space="preserve">                Encontro com especialistas acadêmicos e com o DMF, visando contribuir para a elaboração do diagnóstico nacional sobre o crime organizado no âmbito do Poder Judiciário.</t>
  </si>
  <si>
    <t xml:space="preserve">                - Finalização do diagnóstico; (Em andamento)</t>
  </si>
  <si>
    <t xml:space="preserve">                - Apresentação aos tribunais; (Em andamento relatório preliminar para o planejamento da próxima etapa.o iniciado)</t>
  </si>
  <si>
    <t xml:space="preserve">                - Realização de encontro nacional; (Em andamento - encontro organizado)</t>
  </si>
  <si>
    <t xml:space="preserve">                - Relatório final do projeto (Em andamento)</t>
  </si>
  <si>
    <t xml:space="preserve">            📋 PROJETO: Mapa Nacional do Tribunal do Júri</t>
  </si>
  <si>
    <t>SEI: 00139/2024</t>
  </si>
  <si>
    <t>Previsão de Término: 27/09/2027</t>
  </si>
  <si>
    <t xml:space="preserve">                •Em andamento relatório preliminar para o planejamento da próxima etapa.</t>
  </si>
  <si>
    <t xml:space="preserve">                - Diagnóstico dos gargalos locais dos processos do tribunal no júri realizado e apresentado para os tribunais;</t>
  </si>
  <si>
    <t xml:space="preserve">                - Tribunais iniciaram a organização para implementação de soluções locais.</t>
  </si>
  <si>
    <t xml:space="preserve">                - Visitas a dois tribunais (TJBA e TJPE).</t>
  </si>
  <si>
    <t xml:space="preserve">                - Acompanhamento das soluções locais implementadas pelos tribunais;</t>
  </si>
  <si>
    <t xml:space="preserve">                - Acompanhamento dos resultados alcançados por cada solução;</t>
  </si>
  <si>
    <t xml:space="preserve">                - Compartilhamento de experiências bem sucedidas para todos os tribunais.</t>
  </si>
  <si>
    <t xml:space="preserve">                O projeto encontra-se aguardando planejamento das próximas etapas, tendo o planejamento anterior considerado apenas a gestão anterior.</t>
  </si>
  <si>
    <t>JUIZ AUXILIAR: Dr. Gláucio Roberto Brittes de Araujo; Dr. José Theodoro Corrêa de Carvalho e Dr. Daniel Ribeiro Surdo  de Avelar</t>
  </si>
  <si>
    <t xml:space="preserve">            📋 PROJETO: GT Prova Digital </t>
  </si>
  <si>
    <t>SEI: 18136/2025</t>
  </si>
  <si>
    <t xml:space="preserve">                reuniões de GT</t>
  </si>
  <si>
    <t xml:space="preserve">                Elaboração de minuta de resolução.</t>
  </si>
  <si>
    <t>JUIZ AUXILIAR: Dr. Gláucio Roberto Brittes de Araujo. Apoio Dra. Viviane Brito Rebello (Gestora SNGB)</t>
  </si>
  <si>
    <t xml:space="preserve">            📋 PROJETO: EPOL</t>
  </si>
  <si>
    <t>SEI: 18261/2025</t>
  </si>
  <si>
    <t xml:space="preserve">                Validação de ajustes realizados no sistema.</t>
  </si>
  <si>
    <t xml:space="preserve">                Encaminhamento das demandas dos usuários</t>
  </si>
  <si>
    <t xml:space="preserve">                Finalização da etapa negocial e acompanhamento dos resultados da operação do sistema</t>
  </si>
  <si>
    <t>JUIZ AUXILIAR: Dr. Henrique Dada Paiva</t>
  </si>
  <si>
    <t xml:space="preserve">            📋 PROJETO: Conecta</t>
  </si>
  <si>
    <t>SEI: 05578/2024</t>
  </si>
  <si>
    <t>Execução: 54%</t>
  </si>
  <si>
    <t>Previsão de Término: 31/12/2026</t>
  </si>
  <si>
    <t xml:space="preserve">                evolução das atividades de desenvolvimento e ajustes técnicos relacionados à implantação das funcionalidades previstas no projeto.</t>
  </si>
  <si>
    <t xml:space="preserve">                projeto em execução com progresso estimado em 54%, com desenvolvimento contínuo das funcionalidades previstas no escopo e acompanhamento das entregas planejadas.</t>
  </si>
  <si>
    <t xml:space="preserve">                continuidade da implementação das funcionalidades e consolidação das integrações previstas no escopo do projeto.</t>
  </si>
  <si>
    <t xml:space="preserve">                acompanhamento regular do cronograma e das prioridades técnicas para assegurar a evolução planejada.</t>
  </si>
  <si>
    <t>JUIZ AUXILIAR: Dr. Hugo Gomes Zaher</t>
  </si>
  <si>
    <t xml:space="preserve">    ▶ EIXO: Eixo 6: Infância, Juventude e Proteção das Famílias</t>
  </si>
  <si>
    <t xml:space="preserve">        ◆ TEMÁTICA: Infância e Juventude</t>
  </si>
  <si>
    <t xml:space="preserve">            📋 PROJETO: Acolhimento Familiar</t>
  </si>
  <si>
    <t>SEI: 21959/2025</t>
  </si>
  <si>
    <t>Execução: Não se aplica - Cronograma não formalizado</t>
  </si>
  <si>
    <t>Previsão de Término: 19/12/2027</t>
  </si>
  <si>
    <t xml:space="preserve">                Entregas:</t>
  </si>
  <si>
    <t xml:space="preserve">                -Semana Nacional de Prevenção à Gravidez na Adolescência</t>
  </si>
  <si>
    <t xml:space="preserve">                Em andamento:</t>
  </si>
  <si>
    <t xml:space="preserve">                -Planejamento interinstitucional da capacitação.</t>
  </si>
  <si>
    <t xml:space="preserve">                - Participação contínua no GTI Nacional.</t>
  </si>
  <si>
    <t xml:space="preserve">                - Curso estruturado com 8 trilhas formativas.</t>
  </si>
  <si>
    <t xml:space="preserve">                - Inclusão do acolhimento familiar no Prêmio CNJ de Qualidade.</t>
  </si>
  <si>
    <t xml:space="preserve">                - Webinário nacional da entrega voluntária.</t>
  </si>
  <si>
    <t xml:space="preserve">                A realizar</t>
  </si>
  <si>
    <t xml:space="preserve">                -Elaboração e entrega do sumário executivo (dependente do Justiça Plural).</t>
  </si>
  <si>
    <t xml:space="preserve">                Aguardando primeira versão do PGP</t>
  </si>
  <si>
    <t xml:space="preserve">            📋 PROJETO: Aprimoramento das Coordenadorias e CEJA/CEJAI (SIGEs)</t>
  </si>
  <si>
    <t xml:space="preserve">                -Elaboração final do formulário do diagnóstico pelas equipes técnicas da DTI</t>
  </si>
  <si>
    <t xml:space="preserve">                -Envio do formulário do diagnóstico aos tribunais</t>
  </si>
  <si>
    <t xml:space="preserve">                -Elaboração do formulário do diagnóstico das SIGEs.</t>
  </si>
  <si>
    <t xml:space="preserve">                -Elaboração final do formulário pela DTI.</t>
  </si>
  <si>
    <t xml:space="preserve">                -Envio do formulário aos tribunais.</t>
  </si>
  <si>
    <t xml:space="preserve">                -Análise dos dados do diagnóstico.</t>
  </si>
  <si>
    <t xml:space="preserve">                -Elaboração do relatório final do diagnóstico (Justiça Plural).</t>
  </si>
  <si>
    <t xml:space="preserve">            📋 PROJETO: Estruturação das equipes técnicas multiprofissionais no âmbito do Poder Judiciário. </t>
  </si>
  <si>
    <t xml:space="preserve">                Em andamento</t>
  </si>
  <si>
    <t xml:space="preserve">                -Articulação com a ENAJU para cursos de formação.</t>
  </si>
  <si>
    <t xml:space="preserve">                -Desenvolvimento do curso sobre produção de documentos técnicos.</t>
  </si>
  <si>
    <t xml:space="preserve">                -Planejamento do monitoramento da resolução (dependente do Justiça Plural).</t>
  </si>
  <si>
    <t xml:space="preserve">                -Relatório final do Grupo de Trabalho das equipes técnicas.</t>
  </si>
  <si>
    <t xml:space="preserve">                -Publicação da Resolução 667/2025.</t>
  </si>
  <si>
    <t xml:space="preserve">                -Curso de formação inicial para equipes técnicas.</t>
  </si>
  <si>
    <t xml:space="preserve">                -Novo boletim de monitoramento após um ano da resolução.</t>
  </si>
  <si>
    <t xml:space="preserve">            📋 PROJETO: Governança da Política Judiciária da Primeira Infância</t>
  </si>
  <si>
    <t xml:space="preserve">                -Planejamento do evento nacional em parceria com o TJRS.</t>
  </si>
  <si>
    <t xml:space="preserve">                -Mobilização para o Mês da Infância Protegida.</t>
  </si>
  <si>
    <t xml:space="preserve">                -Atuação em GTs temáticos (subtração internacional, maternidades, população em situação de rua, cuidado).</t>
  </si>
  <si>
    <t xml:space="preserve">                -Desenvolvimento do ECA Digital.</t>
  </si>
  <si>
    <t xml:space="preserve">                Atividades ainda em andamento. Sem entregas concluídas até o momento.</t>
  </si>
  <si>
    <t xml:space="preserve">                -Consultoria externa no âmbito do Programa Justiça Plural (elaboração do termo de referência, seleção e contratação).</t>
  </si>
  <si>
    <t xml:space="preserve">                -Execução da consultoria (previsão de efetivação após contratação).</t>
  </si>
  <si>
    <t xml:space="preserve">                Programa Amiga da Pessoa Idosa.</t>
  </si>
  <si>
    <t xml:space="preserve">            📋 PROJETO: Modernização do SNA</t>
  </si>
  <si>
    <t xml:space="preserve">                -Integração com cartórios por meio do módulo SERPE.</t>
  </si>
  <si>
    <t xml:space="preserve">                -Desenvolvimento do módulo de serviços.</t>
  </si>
  <si>
    <t xml:space="preserve">                -Desenvolvimento dos módulos de reavaliação do acolhimento e Evolucional 1.</t>
  </si>
  <si>
    <t xml:space="preserve">                -Finalização da integração Busca Ativa + Adote.</t>
  </si>
  <si>
    <t xml:space="preserve">                Entrega do novo dashboard (tela inicial).</t>
  </si>
  <si>
    <t xml:space="preserve">                -Desenvolvimento dos módulos Evolucional 2 e Evolucional 3.</t>
  </si>
  <si>
    <t>JUIZ AUXILIAR: Dr. João Felipe Menezes Lopes</t>
  </si>
  <si>
    <t xml:space="preserve">    ▶ EIXO: PJ4</t>
  </si>
  <si>
    <t xml:space="preserve">            📋 PROJETO: Phase-out: Transição Projetos X Operação</t>
  </si>
  <si>
    <t>SEI: 00030/2025</t>
  </si>
  <si>
    <t>Execução: 74%</t>
  </si>
  <si>
    <t xml:space="preserve">                Sprint 15 (com transbordo)</t>
  </si>
  <si>
    <t xml:space="preserve">                Etapa 2 - Análise inicial, definição da estrutura e responsáveis</t>
  </si>
  <si>
    <t xml:space="preserve">                Etapa 3 - Documentação Padrão</t>
  </si>
  <si>
    <t xml:space="preserve">                Etapa 4 - Transição e Entrega (piloto - SPVATJUD)</t>
  </si>
  <si>
    <t xml:space="preserve">                Etapa 5 - Atualização da Metodologia de Phase-out (Em andamento)</t>
  </si>
  <si>
    <t xml:space="preserve">                Etapa 6 - Mapeamento das Soluções e Sistemas (Em andamento)</t>
  </si>
  <si>
    <t xml:space="preserve">                Etapa 7 - Condução dos Processos de Validação (Em andamento)</t>
  </si>
  <si>
    <t xml:space="preserve">                Etapa 8 - Estruturação do Processo de Transição (Em andamento)</t>
  </si>
  <si>
    <t xml:space="preserve">                Etapa 9 - Promoção de Transição Sustentável (Não iniciado)</t>
  </si>
  <si>
    <t xml:space="preserve">JUIZ AUXILIAR: Dr. João Thiago de França Guerra
</t>
  </si>
  <si>
    <t xml:space="preserve">            📋 PROJETO: API de Pessoas</t>
  </si>
  <si>
    <t xml:space="preserve">SEI: 17372/2024 </t>
  </si>
  <si>
    <t>Execução: 77%</t>
  </si>
  <si>
    <t>Previsão de Término: 26/04/2026</t>
  </si>
  <si>
    <t xml:space="preserve">                Finalização Sprint 6</t>
  </si>
  <si>
    <t xml:space="preserve">                execução evoluiu de 70% para 77% entre janeiro e fevereiro de 2026, com foco na implementação da Consulta Nacional 1.0 e no desenvolvimento do motor de deduplicação de registros.</t>
  </si>
  <si>
    <t xml:space="preserve">                concluir correções do processo de deduplicação e validar visualização de registros unificados no frontend; avançar em integrações previstas no backlog; dar continuidade ao processo de transição técnica e documentação do projeto.</t>
  </si>
  <si>
    <t xml:space="preserve">                ampliação do escopo do projeto com inclusão de novas demandas; necessidade de atualização do plano de gestão e avaliação orçamentária; dependências externas para integrações e impacto de férias na capacidade do time.</t>
  </si>
  <si>
    <t>JUIZ AUXILIAR: Dr. João Thiago de França Guerra</t>
  </si>
  <si>
    <t xml:space="preserve">            📋 PROJETO: BNP/Pangea</t>
  </si>
  <si>
    <t>SEI: 11645/2022</t>
  </si>
  <si>
    <t>Previsão de Término: 23/12/2026</t>
  </si>
  <si>
    <t xml:space="preserve">                Reunião com o time de UX;</t>
  </si>
  <si>
    <t xml:space="preserve">                Refinamento da funcionalidade de linha do tempo;</t>
  </si>
  <si>
    <t xml:space="preserve">                Atendimento ao TRT9;</t>
  </si>
  <si>
    <t xml:space="preserve">                Suporte ao TRF6;</t>
  </si>
  <si>
    <t xml:space="preserve">                Estruturação do Banco Nacional de Precedentes</t>
  </si>
  <si>
    <t xml:space="preserve">                Estruturação hierárquica dos precedentes</t>
  </si>
  <si>
    <t xml:space="preserve">                Relacionamento entre precedentes e processos judiciais</t>
  </si>
  <si>
    <t xml:space="preserve">                Desenvolvimento do modelo de banco de dados</t>
  </si>
  <si>
    <t xml:space="preserve">                Inclui as atividades que compõem BFF, orquestrador, modelagem, validações etc. Exemplos:</t>
  </si>
  <si>
    <t xml:space="preserve">                Análise da arquitetura atual (7.1)</t>
  </si>
  <si>
    <t xml:space="preserve">                Validação técnica da modelagem (7.2)</t>
  </si>
  <si>
    <t xml:space="preserve">                Desenvolvimento da camada intermediária (7.3)</t>
  </si>
  <si>
    <t xml:space="preserve">                Modelagem de banco (9.3)</t>
  </si>
  <si>
    <t xml:space="preserve">            📋 PROJETO: Data Lake - Melhorias Evolutivas e Corretivas</t>
  </si>
  <si>
    <t>SEI: 01167/2025</t>
  </si>
  <si>
    <t>Execução: 46%</t>
  </si>
  <si>
    <t xml:space="preserve">                implantação do controller de saneamento em produção; disponibilização do iMensagem em ambiente produtivo; evolução de melhorias evolutivas do Data Lake para atendimento ao Portal de Serviços; conclusão da prova de conceito de sigilo e ajustes nas rotinas de ingestão de dados.</t>
  </si>
  <si>
    <t xml:space="preserve">                execução do projeto atingiu 46%, com Data Lake operando em produção e foco em melhorias evolutivas para atendimento de demandas institucionais, especialmente relacionadas ao Portal de Serviços. Foram implantados controller de saneamento e iMensagem em produção, além da conclusão da prova de conceito de sigilo.</t>
  </si>
  <si>
    <t xml:space="preserve">                Entregas planejadas para o próximo mês: avançar na implementação do ambiente de sigilo e regras do SIGA; realizar ajuste estrutural para migração do código IBGE da API para a ingestão; evoluir webhook do iMensagem e integrações correlatas; manter ciclo contínuo de melhorias relacionadas a performance, segurança e qualidade da solução.</t>
  </si>
  <si>
    <t xml:space="preserve">                mudança de gerente formalizada em janeiro de 2026; risco técnico de incompatibilidade caso consumidores utilizem versões superiores do Java; dependências externas envolvendo Receita Federal e Defensoria Pública do Paraná; identificação de aplicações consumindo CODEX via API fora da diretriz institucional.</t>
  </si>
  <si>
    <t xml:space="preserve">            📋 PROJETO: Desenvolvimento do módulo de Sessão de Julgamento (PDPJ-Br)</t>
  </si>
  <si>
    <t>SEI: 09630/2024</t>
  </si>
  <si>
    <t xml:space="preserve">                • Repasse de arquitetura pela DB para a equipe PNUD.</t>
  </si>
  <si>
    <t xml:space="preserve">                • Envio da Nota Técnica da Release 2 para validação.</t>
  </si>
  <si>
    <t xml:space="preserve">                • Envio da Release 1 para pagamento.</t>
  </si>
  <si>
    <t xml:space="preserve">                • Início da primeira sprint oficial da equipe PNUD.</t>
  </si>
  <si>
    <t xml:space="preserve">                • Despacho da Release 2 para o gestor negocial.</t>
  </si>
  <si>
    <t xml:space="preserve">                • Pagamento do relatório da Release 1 (Call-off 13).</t>
  </si>
  <si>
    <t xml:space="preserve">                • Progresso geral do projeto em 54%, com prazo final previsto para dezembro de 2026.</t>
  </si>
  <si>
    <t xml:space="preserve">            📋 PROJETO: Qualificação de Dados</t>
  </si>
  <si>
    <t>SEI: 09613/2024</t>
  </si>
  <si>
    <t>Execução: 91%</t>
  </si>
  <si>
    <t>Previsão de Término: 01/04/2026</t>
  </si>
  <si>
    <t xml:space="preserve">                Finalização Sprint 8</t>
  </si>
  <si>
    <t xml:space="preserve">                execução aproximada de 89%, com foco na operação do motor de qualificação em produção e no monitoramento das pipelines do ecossistema de dados.</t>
  </si>
  <si>
    <t xml:space="preserve">                consolidar a operação do motor em produção; implementar melhorias nas pipelines e ajustes de escalabilidade; continuar análises de inconsistências e comunicação com tribunais.</t>
  </si>
  <si>
    <t xml:space="preserve">                encerramento previsto para abril de 2026; não há registro de risco de transbordo no acompanhamento mais recente.</t>
  </si>
  <si>
    <t xml:space="preserve">        ◆ TEMÁTICA: TI</t>
  </si>
  <si>
    <t xml:space="preserve">            📋 PROJETO: Mineração de Processos do Pje </t>
  </si>
  <si>
    <t>SEI: 01764/2020</t>
  </si>
  <si>
    <t>Previsão de Término: 30/08/2027</t>
  </si>
  <si>
    <t xml:space="preserve">                - Meta 1. Desenvolvimento de uma metodologia para aplicação de técnicas de mineração de processos nas bases de dados do PJe.</t>
  </si>
  <si>
    <t xml:space="preserve">                - Meta 2: Análise das 22 (vinte e duas) ferramentas de mineração de processos citadas no relatório Market Guide for Process Mining (publicado em 17 de junho de 2019 - ID G00387812 - Gartner).</t>
  </si>
  <si>
    <t xml:space="preserve">                - Meta 3: Implantação de um Laboratório Virtual de Mineração de Processos; O ambiente virtual contará com uma ferramenta acadêmica para mineração de processos.</t>
  </si>
  <si>
    <t xml:space="preserve">                - Meta 4: Validação da metodologia com magistrados e servidores em tribunais participantes deste projeto.</t>
  </si>
  <si>
    <t xml:space="preserve">                - Meta 5: Lançamento da ferramenta de mineração de processos do CNJ e projeto de expansão do laboratório.</t>
  </si>
  <si>
    <t xml:space="preserve">                - ETAPA 6 -ETAPA 6 - Meta 1: Disponibilização do JuMP como serviço para integração e uso de outros sistemas.</t>
  </si>
  <si>
    <t xml:space="preserve">                - Meta 2:  Aprimoramento da qualidade e conformidade processual.</t>
  </si>
  <si>
    <t xml:space="preserve">                - ETAPA 6 - Meta 3: Análise de atividades com inteligência artificial.</t>
  </si>
  <si>
    <t xml:space="preserve">                - ETAPA 6 - Meta 4: Extração e uso de dados de atividades dos sistemas judiciais.</t>
  </si>
  <si>
    <t xml:space="preserve">                - ETAPA 6 - Meta 5: Adaptação da análise e funcionalidades do JuMP para dados de atividades.</t>
  </si>
  <si>
    <t>JUIZ AUXILIAR: Dr. José Gomes de Araújo Filho</t>
  </si>
  <si>
    <t xml:space="preserve">    ▶ EIXO: Eixo 4: Sustentabilidade Ambiental e Social</t>
  </si>
  <si>
    <t xml:space="preserve">        ◆ TEMÁTICA: Questões indígenas</t>
  </si>
  <si>
    <t xml:space="preserve">            📋 PROJETO: Cadastro Nacional de Intérpretes e Tradutores de língua Indígenas do Poder Judiciário (CNITI)</t>
  </si>
  <si>
    <t>SEI: 18801/2025</t>
  </si>
  <si>
    <t xml:space="preserve">            Situação: Apreciação SEP</t>
  </si>
  <si>
    <t>Previsão de Término: Não cadastrado</t>
  </si>
  <si>
    <t xml:space="preserve">                TAP do Projeto formalizado, aguardando aprovação para inclusão no portfólio.</t>
  </si>
  <si>
    <t xml:space="preserve">                Reunião CNJ/TJSP para apresentação do sistema do TJ.</t>
  </si>
  <si>
    <t xml:space="preserve">                Reunião de Escuta Institucional CNJ–STF–FUNAI sobre Demandas dos Povos Indígenas.</t>
  </si>
  <si>
    <t xml:space="preserve">                Reunião Técnica CNJ/TJSP, definição de  requisitos</t>
  </si>
  <si>
    <t xml:space="preserve">                (i) envio, pela equipe técnica, de comunicação</t>
  </si>
  <si>
    <t xml:space="preserve">                formal ao CNJ com a descrição das demandas necessárias para antecipação da</t>
  </si>
  <si>
    <t xml:space="preserve">                preparação dos ambientes; (ii) realização de testes preliminares de publicação e</t>
  </si>
  <si>
    <t xml:space="preserve">                validação de infraestrutura; (iii) organização de estratégia de chamamento de</t>
  </si>
  <si>
    <t xml:space="preserve">                tribunais para homologação; (iv) disponibilização de acesso ao ambiente de</t>
  </si>
  <si>
    <t xml:space="preserve">                Próxima reunião prevista para o dia 6/3</t>
  </si>
  <si>
    <t xml:space="preserve">JUIZ AUXILIAR: Dr. Paulo Cesar Rodrigues </t>
  </si>
  <si>
    <t xml:space="preserve">            📋 PROJETO: Projeto Piloto – Rede de Apoio para Avaliação Externa, com base no IA-CM</t>
  </si>
  <si>
    <t>SEI: 11729/2025</t>
  </si>
  <si>
    <t xml:space="preserve">                Autoavaliações realizadas pelos órgãos participantes</t>
  </si>
  <si>
    <t xml:space="preserve">                Capacitação dos membros da Rede de Apoio (validação externa)</t>
  </si>
  <si>
    <t xml:space="preserve">                Validações externas por pares executadas</t>
  </si>
  <si>
    <t xml:space="preserve">                Norma elaborada e publicada</t>
  </si>
  <si>
    <t>JUIZ AUXILIAR: Dr. Ricardo</t>
  </si>
  <si>
    <t xml:space="preserve">            📋 PROJETO: BNMP – Banco Nacional de Medidas Penais e Prisões – Melhorias Evolutivas</t>
  </si>
  <si>
    <t>SEI: 11776/2024</t>
  </si>
  <si>
    <t>Execução: 56%</t>
  </si>
  <si>
    <t>Previsão de Término: 22/12/2026</t>
  </si>
  <si>
    <t xml:space="preserve">                - Remessa e usabilidade: Ajustes de interface e mensagens em fluxos de remessa, como inclusão de tooltip gerais de consistência e retorno de mensagens ao usuário.</t>
  </si>
  <si>
    <t xml:space="preserve">                correções em produção relacionadas a login e assinatura; ajustes no cadastro de pessoas e na central de mensagens; evolução da unificação do Registro Judicial de Informações; avanço na homologação das APIs de cadastro de pessoas para tribunais.</t>
  </si>
  <si>
    <t xml:space="preserve">                risco de transbordo registrado no acompanhamento do projeto; instabilidade recorrente em processos de autenticação e assinatura digital; sistema considerado crítico nacional, com prioridade institucional voltada à estabilidade e conformidade.</t>
  </si>
  <si>
    <t xml:space="preserve">JUIZ AUXILIAR: Dra. Ana Lúcia Andrade de Aguiar
</t>
  </si>
  <si>
    <t xml:space="preserve">        ◆ TEMÁTICA: Capacitação</t>
  </si>
  <si>
    <t xml:space="preserve">            📋 PROJETO: Aperfeiçoamento funcional em temáticas prioritárias para o CNJ e para Justiça Federal 
(cursos, capacitações, metodologias e ferramentas avançados) – Ciclo Avançado </t>
  </si>
  <si>
    <t>SEI: 02024/2024</t>
  </si>
  <si>
    <t>Execução: 63%</t>
  </si>
  <si>
    <t>Previsão de Término: 11/08/2026</t>
  </si>
  <si>
    <t xml:space="preserve">                Teste assistido do formROGERIA</t>
  </si>
  <si>
    <t xml:space="preserve">                Produto 1 - Relatório técnico contendo plano de trabalho, conteúdos programáticos e objetos pedagógicos de aprendizagem a serem utilizados nos cursos</t>
  </si>
  <si>
    <t xml:space="preserve">                Produto 2 - Curso Relatórios e Automações Profissionais com R, nos modelos assíncrono com tutoria e autoinstrucional.</t>
  </si>
  <si>
    <t xml:space="preserve">                Produto 3 - Curso R Avançado para Ciência de Dados</t>
  </si>
  <si>
    <t xml:space="preserve">                Produto 4 - Curso Python Avançado para Ciência de Dados</t>
  </si>
  <si>
    <t xml:space="preserve">                Produto 5 - Curso Processamento de Big Data em R e Python</t>
  </si>
  <si>
    <t xml:space="preserve">                Produto 8 - Curso Machine Learning Avançado</t>
  </si>
  <si>
    <t xml:space="preserve">                Produto 9 - Curso Aplicações e Dashboard Avançado com R</t>
  </si>
  <si>
    <t xml:space="preserve">                Produto 10 -  Relatório técnico com detalhamento das ofertas dos cursos</t>
  </si>
  <si>
    <t xml:space="preserve">                Produto 11 - Relatório Final</t>
  </si>
  <si>
    <t xml:space="preserve">            📋 PROJETO: Painel “Justiça Criminal e Sistema Prisional”</t>
  </si>
  <si>
    <t>SEI: 12215/2023</t>
  </si>
  <si>
    <t>Execução: 30%</t>
  </si>
  <si>
    <t xml:space="preserve">                Painel publicado em PROD com dados de DEZ/25 em 04/02.</t>
  </si>
  <si>
    <t xml:space="preserve">                Estipular indicadores que serão usados nas consultas;</t>
  </si>
  <si>
    <t xml:space="preserve">                Disponibilizar dados legíveis ao usuário e definir regras negociais</t>
  </si>
  <si>
    <t xml:space="preserve">                Adequação da base DATAJUD ao Sistema SEEU</t>
  </si>
  <si>
    <t xml:space="preserve">                Extração dos dados do Sistema SEEU para o</t>
  </si>
  <si>
    <t xml:space="preserve">                Adequação da base DATAJUD ao Sistema BNP</t>
  </si>
  <si>
    <t xml:space="preserve">                Ampliação do acesso às informações consolidadas da atividade-fim dos órgãos do Poder Judiciário aos usuários e beneficiários do projeto</t>
  </si>
  <si>
    <t xml:space="preserve">                Monitoramento dos acessos ao Painel a partir dos relatórios de comportamento e audiência do Google Analytics.</t>
  </si>
  <si>
    <t xml:space="preserve">            📋 PROJETO: Painel Crime Organizado</t>
  </si>
  <si>
    <t>SEI: 17085/2025</t>
  </si>
  <si>
    <t>Execução: 14%</t>
  </si>
  <si>
    <t xml:space="preserve">                Nenhuma entrega significativa, apenas documentação:Canvas do projeto elaborado, validado e aprovado.</t>
  </si>
  <si>
    <t xml:space="preserve">                Termo de Abertura do Projeto (TAP) concluído, validado, aprovado e com criação do projeto no PWA e alocação da equipe.</t>
  </si>
  <si>
    <t xml:space="preserve">                Conclusão dos scripts e indicadores.</t>
  </si>
  <si>
    <t xml:space="preserve">                Desenvolvimento e publicação do Painel BI.</t>
  </si>
  <si>
    <t xml:space="preserve">                Artefatos obrigatórios de entrada em produção (manuais, relatórios, validações).</t>
  </si>
  <si>
    <t xml:space="preserve">                Repasse e encerramento.</t>
  </si>
  <si>
    <t xml:space="preserve">        ◆ TEMÁTICA: Estatística</t>
  </si>
  <si>
    <t xml:space="preserve">            📋 PROJETO: Módulo de Pessoal e Estrutura Judiciária Mensal (MPM) V.2</t>
  </si>
  <si>
    <t>SEI: 16882/2025</t>
  </si>
  <si>
    <t>Execução: 3%</t>
  </si>
  <si>
    <t xml:space="preserve">                PGP, Plano de Comunicação e de Capacitação</t>
  </si>
  <si>
    <t xml:space="preserve">                Painel de BI, indicadores, rotinas, relatórios automáticos</t>
  </si>
  <si>
    <t xml:space="preserve">                Integração com tribunais e entidades externas</t>
  </si>
  <si>
    <t xml:space="preserve">                Artefatos obrigatórios de entrada em produção (sobretudo os relatórios técnicos e validações)</t>
  </si>
  <si>
    <t xml:space="preserve">                Checklist Jus.br</t>
  </si>
  <si>
    <t xml:space="preserve">            📋 PROJETO: Painel de Estatística   - Justiça 4.0</t>
  </si>
  <si>
    <t>SEI: 03545/2021</t>
  </si>
  <si>
    <t>Execução: 75%</t>
  </si>
  <si>
    <t xml:space="preserve">                Painel publicado em DEV com dados de DEZ/25;</t>
  </si>
  <si>
    <t xml:space="preserve">                - Modelagem e arquitetura definidas</t>
  </si>
  <si>
    <t xml:space="preserve">                (modelagem de dados adaptada, modelagem física do Data Mart e arquitetura da solução).</t>
  </si>
  <si>
    <t xml:space="preserve">                - Base de dados estruturada e carregada</t>
  </si>
  <si>
    <t xml:space="preserve">                (DATAJUD atualizado, criação do Data Mart, carga inicial com TJDFT e extração agendada).</t>
  </si>
  <si>
    <t xml:space="preserve">                Consolidação final do painel em pleno funcionamento, com uso totalmente aberto aos tribunais.</t>
  </si>
  <si>
    <t xml:space="preserve">                Comprovação da usabilidade pelos tribunais, incluindo reuniões estruturadas e validação prática do uso.</t>
  </si>
  <si>
    <t xml:space="preserve">                Confirmação do uso do painel no Prêmio CNJ de Qualidade, como referência oficial de dados.</t>
  </si>
  <si>
    <t xml:space="preserve">            📋 PROJETO: Painel dos Grandes Litigantes</t>
  </si>
  <si>
    <t>SEI: 12135/2022</t>
  </si>
  <si>
    <t>Execução: 78%</t>
  </si>
  <si>
    <t>Previsão de Término: 30/06/26</t>
  </si>
  <si>
    <t xml:space="preserve">                1. Organização e Saneamento dos Dados</t>
  </si>
  <si>
    <t xml:space="preserve">                Extração e validação de dados da Receita Federal.</t>
  </si>
  <si>
    <t xml:space="preserve">                Reestruturação completa das tabelas de pessoas físicas, jurídicas e partes.</t>
  </si>
  <si>
    <t xml:space="preserve">                Integração e mapeamento dos dados do ElasticSearch (partes, pessoas, nomes, endereços e advogados).</t>
  </si>
  <si>
    <t xml:space="preserve">                Finalização das atualizações mensais (processo contínuo).</t>
  </si>
  <si>
    <t xml:space="preserve">                Entrega do TEP e encerramento formal do projeto.</t>
  </si>
  <si>
    <t xml:space="preserve">                Conclusão dos benefícios principais, incluindo:</t>
  </si>
  <si>
    <t xml:space="preserve">                disponibilização nacional dos dados saneados,</t>
  </si>
  <si>
    <t xml:space="preserve">        ◆ TEMÁTICA: Execução Fiscal</t>
  </si>
  <si>
    <t xml:space="preserve">            📋 PROJETO: Painel da Fazenda Nacional.</t>
  </si>
  <si>
    <t>SEI: 01247/2025</t>
  </si>
  <si>
    <t>Execução: 61%</t>
  </si>
  <si>
    <t xml:space="preserve">                Painel publicado em PROD com dados de DEZ/25 em 04/02;</t>
  </si>
  <si>
    <t xml:space="preserve">                Extração dos dados do DataJud.</t>
  </si>
  <si>
    <t xml:space="preserve">                Tratamento e processamento dos dados.</t>
  </si>
  <si>
    <t xml:space="preserve">                Construção dos indicadores estatísticos.</t>
  </si>
  <si>
    <t xml:space="preserve">                Desenvolvimento inicial do painel BI (grande parte concluída).</t>
  </si>
  <si>
    <t xml:space="preserve">                Alimentação mensal dos dados no ambiente de produção (com arquivos CSV no S3).</t>
  </si>
  <si>
    <t xml:space="preserve">                Finalização completa do painel BI (etapa de refinamento final).</t>
  </si>
  <si>
    <t xml:space="preserve">                Continuidade das atualizações mensais do painel.</t>
  </si>
  <si>
    <t xml:space="preserve">                Preparação e execução do lançamento oficial.</t>
  </si>
  <si>
    <t xml:space="preserve">                Desenvolvimento das entregas relacionadas ao benefício de transparência ativa (publicação do painel no site do CNJ).</t>
  </si>
  <si>
    <t xml:space="preserve">                Consolidação e validação final dos benefícios.</t>
  </si>
  <si>
    <t xml:space="preserve">        ◆ TEMÁTICA: Previdenciário</t>
  </si>
  <si>
    <t xml:space="preserve">            📋 PROJETO: Painel do Programa Desjudicializa</t>
  </si>
  <si>
    <t>SEI: 00484/2024</t>
  </si>
  <si>
    <t>Execução: 60%</t>
  </si>
  <si>
    <t xml:space="preserve">                Painel publicado em PROD com dados de</t>
  </si>
  <si>
    <t xml:space="preserve">                DEZ/25</t>
  </si>
  <si>
    <t xml:space="preserve">                Identificação de litigantes</t>
  </si>
  <si>
    <t xml:space="preserve">                Construção das bases e scripts</t>
  </si>
  <si>
    <t xml:space="preserve">                Homologação e desenvolvimento</t>
  </si>
  <si>
    <t xml:space="preserve">                Atualizações recorrentes no ambiente de produção</t>
  </si>
  <si>
    <t xml:space="preserve">                Governança, pareceres e aprovação formal do projeto</t>
  </si>
  <si>
    <t xml:space="preserve">                Finalização do front-end</t>
  </si>
  <si>
    <t xml:space="preserve">                Entrega formal da versão pública do painel</t>
  </si>
  <si>
    <t xml:space="preserve">                Apresentações institucionais</t>
  </si>
  <si>
    <t xml:space="preserve">                Publicação oficial no site do CNJ (benefício)</t>
  </si>
  <si>
    <t xml:space="preserve">                Validações finais em produção</t>
  </si>
  <si>
    <t>JUIZ AUXILIAR: Dra. Keity Mara Ferreira de Sousa e Saboya</t>
  </si>
  <si>
    <t xml:space="preserve">            📋 PROJETO: Fluxo Nacional Automatizado das Execuções Fiscais (EFIN)</t>
  </si>
  <si>
    <t>SEI: 09796/2024</t>
  </si>
  <si>
    <t>Execução: 81%</t>
  </si>
  <si>
    <t>Previsão de Término: 22/07/2026</t>
  </si>
  <si>
    <t xml:space="preserve">                O backlog atual do EFIN concentra-se principalmente na consolidação das funcionalidades relacionadas ao fluxo de constrição patrimonial e na evolução das integrações com sistemas estruturantes do ecossistema Justiça 4.0, em especial o SNIPER. Essas integrações são fundamentais para viabilizar o modelo de execução automatizada de constrições e garantir rastreabilidade e governança no processamento das ordens judiciais.</t>
  </si>
  <si>
    <t xml:space="preserve">                Parte relevante das demandas remanescentes refere-se à implementação e ajustes no fluxo de constrição, incluindo criação e gestão de rascunhos de bloqueio, tratamento dos retornos das integrações sistêmicas e implementação do modelo de notificações assíncronas entre sistemas. Essas funcionalidades são essenciais para viabilizar o início do piloto do EFIN com os tribunais parceiros (TJDFT – PJe e TRF4 – e-Proc).</t>
  </si>
  <si>
    <t xml:space="preserve">                Adicionalmente, o backlog contempla melhorias funcionais e evoluções arquiteturais da aplicação, incluindo aprimoramentos de desempenho, tratamento de filas de processamento, refinamento da experiência do usuário e ajustes necessários para garantir estabilidade operacional do sistema à medida que a solução passa a operar em ambiente piloto.</t>
  </si>
  <si>
    <t xml:space="preserve">                Cabe destacar que parte dessas entregas depende da estabilização das integrações sistêmicas atualmente em evolução no SNIPER, especialmente no que se refere ao fluxo de constrições. Esses ajustes são importantes para a consolidação da arquitetura do ecossistema Justiça 4.0, mas naturalmente impactam o cronograma de implementação das funcionalidades dependentes dentro do EFIN.</t>
  </si>
  <si>
    <t xml:space="preserve">                No período correspondente às sprints 34 e 35 foram concluídas entregas relevantes de melhoria</t>
  </si>
  <si>
    <t xml:space="preserve">                funcional, correções e evolução das integrações do sistema EFIN.</t>
  </si>
  <si>
    <t xml:space="preserve">                Destacam-se</t>
  </si>
  <si>
    <t xml:space="preserve">                Implementação de melhorias em validações, permissões e exibição de informações no sistema, com</t>
  </si>
  <si>
    <t xml:space="preserve">                Fase 1 – Estabilização das Integrações Sistêmicas</t>
  </si>
  <si>
    <t xml:space="preserve">                Período: Abril – Maio 2026</t>
  </si>
  <si>
    <t xml:space="preserve">                Objetivo: consolidar as integrações com o SNIPER e estabilizar o modelo de comunicação entre sistemas.</t>
  </si>
  <si>
    <t xml:space="preserve">                Principais atividades:</t>
  </si>
  <si>
    <t xml:space="preserve">                •	adequação das chamadas de integração com SNIPER</t>
  </si>
  <si>
    <t xml:space="preserve">                Considerando a necessidade de estabilização das integrações sistêmicas, conclusão das funcionalidades do MVP e execução do piloto com os tribunais parceiros, propõe-se a adequação do cronograma do projeto com extensão aproximada de três meses para consolidação do MVP e início do piloto, mantendo-se horizonte até o final de 2026 para consolidação das evoluções decorrentes da fase piloto.</t>
  </si>
  <si>
    <t>JUIZ AUXILIAR: Dra. Lívia Cristina Marques Peres</t>
  </si>
  <si>
    <t xml:space="preserve">        ◆ TEMÁTICA: Previdência e Saúde</t>
  </si>
  <si>
    <t xml:space="preserve">            📋 PROJETO: e-NatJus 4.0</t>
  </si>
  <si>
    <t>SEI: 17529/2024</t>
  </si>
  <si>
    <t>Execução: 73%</t>
  </si>
  <si>
    <t>Previsão de Término: 09/06/2026</t>
  </si>
  <si>
    <t xml:space="preserve">                - Apresentação do planejamento de entrega dos ajustes finais do MVP para entrada em produção. Previsão: 09/02;</t>
  </si>
  <si>
    <t xml:space="preserve">                - Entrega dos requisitos relacionados ao módulo de Saúde Suplementar.</t>
  </si>
  <si>
    <t xml:space="preserve">                - Prototipação da funcionalidade de Saúde Suplementar entregue para homologação.</t>
  </si>
  <si>
    <t xml:space="preserve">                Atividades planejadas:</t>
  </si>
  <si>
    <t xml:space="preserve">                -"Virada de chave" entre os sistemas atual e novo sistema</t>
  </si>
  <si>
    <t xml:space="preserve">                - Especificação e Prototipação: Melhoria no Processo de retorno das NTs;</t>
  </si>
  <si>
    <t xml:space="preserve">                - Dashboards e Painéis de dados;</t>
  </si>
  <si>
    <t xml:space="preserve">                - Implementação da integração com o Jus.br</t>
  </si>
  <si>
    <t xml:space="preserve">        ◆ TEMÁTICA: Previdênciário e Saúde</t>
  </si>
  <si>
    <t xml:space="preserve">            📋 PROJETO: Prevjud - Automação de Processos Previdenciários - Justiça 4.0</t>
  </si>
  <si>
    <t>SEI: 03558/2021</t>
  </si>
  <si>
    <t>Execução: 98%</t>
  </si>
  <si>
    <t>Previsão de Término: 31/03/2026</t>
  </si>
  <si>
    <t xml:space="preserve">                Módulo Dossiê Médico</t>
  </si>
  <si>
    <t xml:space="preserve">                Módulo Dossiê Previdenciário</t>
  </si>
  <si>
    <t xml:space="preserve">                * Módulo Intimação Judicial</t>
  </si>
  <si>
    <t xml:space="preserve">                * Módulo Extração de dados da súmula</t>
  </si>
  <si>
    <t xml:space="preserve">                * Módulo Processo Administrativo Previdenciário</t>
  </si>
  <si>
    <t xml:space="preserve">                *Módulo Novos dados previdenciários</t>
  </si>
  <si>
    <t xml:space="preserve">                *Melhorias evolutivas e performance</t>
  </si>
  <si>
    <t xml:space="preserve">                *Processo de phaseout:</t>
  </si>
  <si>
    <t xml:space="preserve">                '- Vídeos institucionais enviados para Angela</t>
  </si>
  <si>
    <t xml:space="preserve">                - Deverá chegar mais 1 Dev daBasispara sustentação</t>
  </si>
  <si>
    <t xml:space="preserve">                Phase out</t>
  </si>
  <si>
    <t xml:space="preserve">                Transição para o CNJ/DTI</t>
  </si>
  <si>
    <t xml:space="preserve">            📋 PROJETO: Sisperjud</t>
  </si>
  <si>
    <t>SEI: 11644/2022</t>
  </si>
  <si>
    <t>Previsão de Término: 27/03/2026</t>
  </si>
  <si>
    <t xml:space="preserve">                Sprint 13</t>
  </si>
  <si>
    <t xml:space="preserve">                execução total atingiu aproximadamente 94%, com conclusão dos módulos principais do sistema e avanço nas funcionalidades relacionadas ao laudo biopsicossocial e perícias offline.</t>
  </si>
  <si>
    <t xml:space="preserve">                finalizar ajustes do módulo BPC/LOAS, implementar correções técnicas e avançar na produção de materiais de capacitação.</t>
  </si>
  <si>
    <t xml:space="preserve">                projeto em fase final com previsão de encerramento em março de 2026, com risco de transbordo indicado no acompanhamento recente.</t>
  </si>
  <si>
    <t xml:space="preserve">        ◆ TEMÁTICA: Pesquisa</t>
  </si>
  <si>
    <t xml:space="preserve">            📋 PROJETO: 2º Edital da 7ª Edição da Série Justiça Pesquisa - Exercício 2024/2025</t>
  </si>
  <si>
    <t>SEI: 11449/2024</t>
  </si>
  <si>
    <t>Execução: 5%</t>
  </si>
  <si>
    <t>Previsão de Término: 29/03/2026</t>
  </si>
  <si>
    <t xml:space="preserve">                avanço consistente com as etapas do plano de medição, restando principalmente a validação final das pesquisas e divulgação institucional.</t>
  </si>
  <si>
    <t xml:space="preserve">                finalizar análise do produto final e formalizar aceite institucional; elaborar notas técnicas de divulgação dos resultados das pesquisas.</t>
  </si>
  <si>
    <t xml:space="preserve">        ◆ TEMÁTICA: Ambiental</t>
  </si>
  <si>
    <t xml:space="preserve">            📋 PROJETO: SireneJud 2.0 - Evoluções</t>
  </si>
  <si>
    <t>SEI: 10698/2024</t>
  </si>
  <si>
    <t xml:space="preserve">                Correções solicitadas na reunião de ponto de</t>
  </si>
  <si>
    <t xml:space="preserve">                controle pela mentora negocial: - Modificação da navegação do mapa retirados os</t>
  </si>
  <si>
    <t xml:space="preserve">                centróides;</t>
  </si>
  <si>
    <t xml:space="preserve">                Gerador de KML</t>
  </si>
  <si>
    <t xml:space="preserve">                Página para criação de KML</t>
  </si>
  <si>
    <t xml:space="preserve">                Atualização das páginas dos painéis</t>
  </si>
  <si>
    <t xml:space="preserve">                Atualizações mensais dos dados</t>
  </si>
  <si>
    <t xml:space="preserve">                Módulos avançados (consultas, navegação, cruzamento de camadas)</t>
  </si>
  <si>
    <t xml:space="preserve">                Entrega estratégica final de transparência ativa</t>
  </si>
  <si>
    <t>JUIZ AUXILIAR: Dra. Luciana da Veiga Oliveira</t>
  </si>
  <si>
    <t xml:space="preserve">    ▶ EIXO: Eixo 5: Direitos Sociais, Trabalho e Vida Digna </t>
  </si>
  <si>
    <t xml:space="preserve">        ◆ TEMÁTICA: Acessibilidade</t>
  </si>
  <si>
    <t xml:space="preserve">            📋 PROJETO: Programa de Acessibilidade e Inclusão do Conselho Nacional de Justiça (CNJ)</t>
  </si>
  <si>
    <t>SEI: 15844/2024</t>
  </si>
  <si>
    <t>Execução: 35%</t>
  </si>
  <si>
    <t>Previsão de Término: 19/12/2026</t>
  </si>
  <si>
    <t xml:space="preserve">                Sprint 14 (com transbordo)</t>
  </si>
  <si>
    <t xml:space="preserve">                - Incluir a pauta de acessibilidade na ambientação dos(as) novos(as) servidores(as).</t>
  </si>
  <si>
    <t xml:space="preserve">                - Ofertar pelo menos 1 (uma) ação de capacitação em 2025, contemplando, no total, pelo menos 10% das pessoas que atuam no CNJ.</t>
  </si>
  <si>
    <t xml:space="preserve">                - Convidar diferentes públicos, incluindo terceirizados(as), para participarem ativamente da Comissão. (Em andamento)</t>
  </si>
  <si>
    <t xml:space="preserve">                - Definir os critérios de acessibilidade a serem incorporados nos processos de trabalho.  (Em andamento)</t>
  </si>
  <si>
    <t xml:space="preserve">                - Mapear pelo menos 10 processos da SGP, com apoio da Seção de Gestão de Processos (DGE), contendo avaliação de acessibilidade. (Em andamento)</t>
  </si>
  <si>
    <t xml:space="preserve">                - Lotar pelo menos 30 trabalhadores(as) terceirizados(as) com deficiência no quadro do CNJ até 2026. (Em andamento)</t>
  </si>
  <si>
    <t xml:space="preserve">                - Acordo de Cooperação para que o CNJ faça parte da Rede de Acessibilidade assinado. (Em andamento)</t>
  </si>
  <si>
    <t>JUIZ AUXILIAR: Dra. Luciana Dória de Medeiros Chaves</t>
  </si>
  <si>
    <t xml:space="preserve">            📋 PROJETO: Sistema de Detecção e Prevenção de Nepotismo no Poder Judiciário</t>
  </si>
  <si>
    <t>SEI: 13961/2025</t>
  </si>
  <si>
    <t>Previsão de Término: 22/09/2025</t>
  </si>
  <si>
    <t xml:space="preserve">                Não foram relatadas entregas no último mês</t>
  </si>
  <si>
    <t xml:space="preserve">                Projeto aprovado para inclusão no portfólio em janeiro de 2026</t>
  </si>
  <si>
    <t xml:space="preserve">                Necessária atualização do cronograma, uma vez que o cronograma formalizado do projeto já estaria concluído.</t>
  </si>
  <si>
    <t xml:space="preserve">                Necessária atualização do cronograma, uma vez que o cronograma formalizado do projeto já estaria concluído. O projeto foi formalizado como se já estivesse concluído.</t>
  </si>
  <si>
    <t>JUIZ AUXILIAR: Dra. Marina Rocha Cavalcanti Barros Mendes</t>
  </si>
  <si>
    <t xml:space="preserve">            📋 PROJETO: Integra - Serviço de Monitoramento de Atos do CNJ</t>
  </si>
  <si>
    <t>SEI: 04137/2024</t>
  </si>
  <si>
    <t>Previsão de Término: 30/7/2026</t>
  </si>
  <si>
    <t xml:space="preserve">                - Diagnóstico e criação do fluxo padronizado</t>
  </si>
  <si>
    <t xml:space="preserve">                - Ajustes na ferramenta;</t>
  </si>
  <si>
    <t xml:space="preserve">                - Portaria da presidência prevendo piloto de implementação e suas fases</t>
  </si>
  <si>
    <t xml:space="preserve">                - Tutorial</t>
  </si>
  <si>
    <t xml:space="preserve">                - 1ª fase da implementação faseada (primeira de três fases);</t>
  </si>
  <si>
    <t xml:space="preserve">                - Manutenção da comunicação até o término do projeto;</t>
  </si>
  <si>
    <t xml:space="preserve">                - 2ª fase da implementação: Expansão da ferramenta para todos os gabinetes, com um cumprdec em cada;</t>
  </si>
  <si>
    <t xml:space="preserve">                - 3ª fase da implementação: Todos os gabinetes utilizando o integra para resoluções novas;</t>
  </si>
  <si>
    <t xml:space="preserve">                - Capacitações internas e externas de 2026</t>
  </si>
  <si>
    <t xml:space="preserve">                - Disponibilização das informações coletadas no Cumprdec em Painel.</t>
  </si>
  <si>
    <t xml:space="preserve">            📋 PROJETO: Gabinete do Juízo</t>
  </si>
  <si>
    <t>SEI: 02080/2023</t>
  </si>
  <si>
    <t xml:space="preserve">                Ajustes e melhorias</t>
  </si>
  <si>
    <t xml:space="preserve">                • Em testes: 09</t>
  </si>
  <si>
    <t xml:space="preserve">                • Backlog: 57</t>
  </si>
  <si>
    <t xml:space="preserve">                • Aguardando implantação: 04</t>
  </si>
  <si>
    <t xml:space="preserve">                • Total de itens concluídos: 585</t>
  </si>
  <si>
    <t xml:space="preserve">                • Módulo em ambiente de produção - março de 2024</t>
  </si>
  <si>
    <t xml:space="preserve">                • Lançamento Nacional do Gabinete em 25/03/2025</t>
  </si>
  <si>
    <t xml:space="preserve">                • Módulo em ambiente de produção no TJAP – setembro de 2025</t>
  </si>
  <si>
    <t xml:space="preserve">                • Realease 4 – fevereiro de 2026</t>
  </si>
  <si>
    <t xml:space="preserve">                • Finalização do novo editor de texto</t>
  </si>
  <si>
    <t xml:space="preserve">                • Variáveis e tópico síntese</t>
  </si>
  <si>
    <t xml:space="preserve">                • Novo plano de trabalho finalizado - Replanejamento do projeto</t>
  </si>
  <si>
    <t xml:space="preserve">                • Tendo em vista não termos recebido retorno em tempo hábil, o presente</t>
  </si>
  <si>
    <t xml:space="preserve">                Relatório ficou pendente de validação pelo gerente de projeto, notadamente,</t>
  </si>
  <si>
    <t>JUIZ AUXILIAR: Dra. Suzana Massako Hirama Loreto de Oliveira</t>
  </si>
  <si>
    <t xml:space="preserve">        ◆ TEMÁTICA: Mulher e Violência Doméstica</t>
  </si>
  <si>
    <t xml:space="preserve">            📋 PROJETO: 21 dias de ativismo pelo fim da violência contra mulher - edição 2025</t>
  </si>
  <si>
    <t>SEI: 19706/2025</t>
  </si>
  <si>
    <t xml:space="preserve">            Situação: Finalizado</t>
  </si>
  <si>
    <t>Execução: 100%</t>
  </si>
  <si>
    <t>Previsão de Término: 14/01/2026</t>
  </si>
  <si>
    <t xml:space="preserve">                "1. Realização do Webinário Prevenção e Combate à Violência Digital contra Meninas e Mulheres</t>
  </si>
  <si>
    <t xml:space="preserve">                2. Campanha nas redes sociais do CNJ durante os 21 dias, com foco na violência digital: O real também é Digital</t>
  </si>
  <si>
    <t xml:space="preserve">                3. Assinatura de Acordo de Cooperação Técnica com a empresa de telecomunicações Vivo para disseminação de campanha de prevenção à violência contra as mulheres</t>
  </si>
  <si>
    <t xml:space="preserve">                4. Lançamento do Guia Fonar - Formulário Nacional de Avaliação de Risco</t>
  </si>
  <si>
    <t xml:space="preserve">                5. Assinatura de Acordo de Cooperação Técnica com o Conselho de Presidentes dos Tribunais de Justiça do Brasil (Consepre), visando fomentar a implementação da medida protetiva eletrônica nos tribunais de justiça estaduais</t>
  </si>
  <si>
    <t xml:space="preserve">                1. Realização do Webinário Prevenção e Combate à Violência Digital contra Meninas e Mulheres</t>
  </si>
  <si>
    <t xml:space="preserve">                finalizado</t>
  </si>
  <si>
    <t xml:space="preserve">    ▶ EIXO:  Eixo 6: Infância, juventude e proteção das famílias e Eixo 3: Proteção de Direitos Humanos, Sistema Interamericano e Pena Justa</t>
  </si>
  <si>
    <t xml:space="preserve">            📋 PROJETO: FONAR - Formulário Nacional de Avaliação de Risco e Formulário Rogéria</t>
  </si>
  <si>
    <t>SEI: 16319/2024</t>
  </si>
  <si>
    <t>Execução: 58%</t>
  </si>
  <si>
    <t>Previsão de Término: 21/06/2026</t>
  </si>
  <si>
    <t xml:space="preserve">                Finalização Sprint 6;</t>
  </si>
  <si>
    <t xml:space="preserve">                Finalização Sprint 7;</t>
  </si>
  <si>
    <t xml:space="preserve">                Finalização Sprint 8;</t>
  </si>
  <si>
    <t xml:space="preserve">                Entrada em produção do MVP;</t>
  </si>
  <si>
    <t xml:space="preserve">                RoadmapEtapa 2 do Projeto;</t>
  </si>
  <si>
    <t xml:space="preserve">                MVP do FONAR/ROGÉRIA totalmente concluído (incluindo todos os formulários, protótipos, QA e homologações).</t>
  </si>
  <si>
    <t xml:space="preserve">                Versão mobile desenvolvida e homologada, com integrações internas concluídas.</t>
  </si>
  <si>
    <t xml:space="preserve">                Integrações com Data Lake finalizadas.</t>
  </si>
  <si>
    <t xml:space="preserve">                Protótipos e requisitos de dashboards e relatórios concluídos.</t>
  </si>
  <si>
    <t xml:space="preserve">                Guia de FAQ e Manual de Operação concluídos.</t>
  </si>
  <si>
    <t xml:space="preserve">                Dashboards, relatórios e versão offline</t>
  </si>
  <si>
    <t xml:space="preserve">                Integração com o SINESP</t>
  </si>
  <si>
    <t xml:space="preserve">                Artefatos de transição para produção e phase-out</t>
  </si>
  <si>
    <t xml:space="preserve">                Publicação oficial no jus.br</t>
  </si>
  <si>
    <t xml:space="preserve">                Repasse para a DTI</t>
  </si>
  <si>
    <t>JUIZ AUXILIAR: Dra. Viviane Brito Rebello
Apoio Dr. Gláucio Roberto Brittes de Araujo (Epol)</t>
  </si>
  <si>
    <t xml:space="preserve">            📋 PROJETO: SNGB - Melhorias evolutivas</t>
  </si>
  <si>
    <t>SEI: 08370/2024</t>
  </si>
  <si>
    <t>Execução: 90%</t>
  </si>
  <si>
    <t>Previsão de Término: 19/03/2026</t>
  </si>
  <si>
    <t xml:space="preserve">                - Auditoria e rastreabilidade: Melhoria da auditoria para registrar apenas campos efetivamente alterados nas entidades. Inclusão de novos eventos no histórico do bem.</t>
  </si>
  <si>
    <t xml:space="preserve">                Diagnóstico e Direcionamento Estratégico (Sprints 1–3);</t>
  </si>
  <si>
    <t xml:space="preserve">                Estabilização da Plataforma e Correções Estruturais (Sprints 4–8);</t>
  </si>
  <si>
    <t xml:space="preserve">                Evolução Funcional dos Principais Módulos (Sprints 9–14);</t>
  </si>
  <si>
    <t xml:space="preserve">                Arquitetura, Integrações e Governança de Dados (Sprints 15–22);</t>
  </si>
  <si>
    <t xml:space="preserve">                Estabilidade Pós-Integrada e Otimização Operacional (Sprints 23–28);</t>
  </si>
  <si>
    <t xml:space="preserve">                Atividades planejadas</t>
  </si>
  <si>
    <t xml:space="preserve">                - Classificações e padrões: Evolução do módulo de padrão de especificação, com ajustes estruturais e de usabilidade para garantir consistência no cadastro e classificação dos bens.</t>
  </si>
  <si>
    <t xml:space="preserve">                - Consulta e usabilidade: possibilidade de digitação e pesquisa adequada.</t>
  </si>
  <si>
    <t xml:space="preserve">                - Fluxo de baixa de bens: mplementaçãoda finalidade de perdimento em favor do Estado na baixa simplificada, ampliando a aderência do sistema aos fluxos jurídicos e operacionais.</t>
  </si>
  <si>
    <t xml:space="preserve">                - Remessa e órgão detentor: Continuidade da investigação sobre o comportamento do novo órgão detentor nas remessas; Ajustes de frontendpara exibição correta do órgão detentor nas telas de bens, garantindo coerência entre dados e visualização.</t>
  </si>
  <si>
    <t xml:space="preserve">                Processodephaseout:</t>
  </si>
  <si>
    <t xml:space="preserve">                - Revisão de dimensionamento da equipe pós-phaseout ,com base no backlog remanescente</t>
  </si>
  <si>
    <t xml:space="preserve">                - Manual de usuário, Manual de Operação do Sistema, Formulário d eGestão Negocial e FAQ em revisão</t>
  </si>
  <si>
    <t>JUIZ AUXILIAR: Não definido</t>
  </si>
  <si>
    <t xml:space="preserve">            📋 PROJETO: Desenvolvimento de um Conjunto de Solução em Gestão de Dados para a Corregedoria Nacional de Justiça</t>
  </si>
  <si>
    <t>SEI: 01913/2025</t>
  </si>
  <si>
    <t>Previsão de Término: 29/05/2025</t>
  </si>
  <si>
    <t xml:space="preserve">                Sprint 1 Etapa 3</t>
  </si>
  <si>
    <t xml:space="preserve">    ▶ EIXO: Eixo 3: Proteção de Direitos Humanos, Sistema Interamericano e Pena Justa</t>
  </si>
  <si>
    <t xml:space="preserve">            📋 PROJETO: Programa Fazendo Justiça - Projeto BRA/23/017</t>
  </si>
  <si>
    <t>SEI: 1746629/2024</t>
  </si>
  <si>
    <t xml:space="preserve">                A equipe do programa se reuniu com a equipe do ECP para tratativas sobre como formalizar os projetos do programa, de forma a possibilitar o acompanhamento,</t>
  </si>
  <si>
    <t xml:space="preserve">                TAP do Programa para 2026 formalizado e autorizado</t>
  </si>
  <si>
    <t xml:space="preserve">                Formalização dos Planos de Gestão dos Projetos (Em andamento)</t>
  </si>
  <si>
    <t xml:space="preserve">            📋 PROJETO: Programa Novos Caminhos</t>
  </si>
  <si>
    <t>SEI: 14204/2024</t>
  </si>
  <si>
    <t>Previsão de Término: 27/09/2026</t>
  </si>
  <si>
    <t xml:space="preserve">                - Mobilização dos Tribunais de Justiça dos Estados e do Distrito Federal, especialmente suas Coordenadorias de Infância e Juventude, iniciativa privada, órgãos públicos, empresas públicas e sociedades de economia mista.</t>
  </si>
  <si>
    <t xml:space="preserve">                - Celebração de Acordos de Cooperação técnica do Programa Novos Caminhos CNJ e análise de Pedidos de dispensa por Programas Similares ao Programa Novos Caminhos</t>
  </si>
  <si>
    <t xml:space="preserve">                - Produzição de Conteúdo nas Mídias sociais para divulgação do Programa Novos Caminhos (Em andamento);</t>
  </si>
  <si>
    <t xml:space="preserve">                - Acompanhamento das ações realizadas, conforme os eixos de ação e as responsabilidades mínimas dos Partícipes, previstos nos art. 3º e 8º da Resolução CNJ n. 543/2024, respectivamente. (Em andamento)</t>
  </si>
  <si>
    <t>JUIZ AUXILIAR: Thiago de Andrade Vieira</t>
  </si>
  <si>
    <t xml:space="preserve">            📋 PROJETO: SEEU - Reescrita</t>
  </si>
  <si>
    <t>SEI: 02245/2025</t>
  </si>
  <si>
    <t>Execução: 68%</t>
  </si>
  <si>
    <t xml:space="preserve">                progresso evoluiu de 56% em janeiro para 68% em fevereiro de 2026, com conclusão da Sprint 9 e implementação do microserviço de arquivos.</t>
  </si>
  <si>
    <t xml:space="preserve">                evoluir o consumo do microserviço com aplicação de URL pré-assinada nas funcionalidades do SEEU; executar backlog relacionado ao ciclo de vida e expurgo de arquivos; avançar na Sprint 12 com otimização de queries.</t>
  </si>
  <si>
    <t xml:space="preserve">                necessidade de contratação de Analista DevOps; redução temporária da capacidade do time devido a férias; monitoramento de custos em ambiente AWS.</t>
  </si>
  <si>
    <t>FIM DO RELATÓRIO - Total de 58 projetos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</si>
</sst>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R$&quot;\ #,##0.00;[Red]\-&quot;R$&quot;\ #,##0.00"/>
    <numFmt numFmtId="165" formatCode="_-&quot;R$&quot;\ * #,##0.00_-;\-&quot;R$&quot;\ * #,##0.00_-;_-&quot;R$&quot;\ * &quot;-&quot;??_-;_-@_-"/>
    <numFmt numFmtId="166" formatCode="_-* #,##0.00_-;\-* #,##0.00_-;_-* &quot;-&quot;??_-;_-@_-"/>
    <numFmt numFmtId="167" formatCode="[$-416]mmmm\-yy;@"/>
    <numFmt numFmtId="168" formatCode="&quot;R$&quot;\ #,##0.00"/>
    <numFmt numFmtId="169" formatCode="dd/mm/yy;@"/>
    <numFmt numFmtId="170" formatCode="yyyy\-mm\-dd;@"/>
    <numFmt numFmtId="171" formatCode="[$-416]mmm\-yy;@"/>
    <numFmt numFmtId="172" formatCode="_-[$R$-416]\ * #,##0.00_-;\-[$R$-416]\ * #,##0.00_-;_-[$R$-416]\ * &quot;-&quot;??_-;_-@_-"/>
    <numFmt numFmtId="173" formatCode="[$-416]dd\-mmm\-yy;@"/>
    <numFmt numFmtId="174" formatCode="mmmm\,\ yyyy;@"/>
    <numFmt numFmtId="175" formatCode="&quot;$&quot;#,##0.00"/>
  </numFmts>
  <fonts count="93">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22"/>
      <color theme="0"/>
      <name val="Times New Roman"/>
      <family val="1"/>
    </font>
    <font>
      <b/>
      <sz val="26"/>
      <color theme="0"/>
      <name val="Times New Roman"/>
      <family val="1"/>
    </font>
    <font>
      <sz val="11"/>
      <color theme="1"/>
      <name val="Calibri"/>
      <family val="2"/>
      <scheme val="minor"/>
    </font>
    <font>
      <b/>
      <sz val="11"/>
      <color theme="1"/>
      <name val="Calibri"/>
      <family val="2"/>
      <scheme val="minor"/>
    </font>
    <font>
      <b/>
      <sz val="11"/>
      <color theme="8" tint="-0.499984740745262"/>
      <name val="Segoe UI"/>
      <family val="2"/>
    </font>
    <font>
      <sz val="11"/>
      <color theme="1"/>
      <name val="Segoe UI"/>
      <family val="2"/>
    </font>
    <font>
      <u/>
      <sz val="11"/>
      <color theme="10"/>
      <name val="Calibri"/>
      <family val="2"/>
      <scheme val="minor"/>
    </font>
    <font>
      <sz val="11"/>
      <color rgb="FF7A7A7A"/>
      <name val="Arial"/>
      <family val="2"/>
    </font>
    <font>
      <sz val="12"/>
      <name val="Calibri"/>
      <family val="2"/>
      <scheme val="minor"/>
    </font>
    <font>
      <sz val="8"/>
      <name val="Calibri"/>
      <family val="2"/>
      <scheme val="minor"/>
    </font>
    <font>
      <sz val="11"/>
      <color rgb="FF000000"/>
      <name val="Calibri"/>
      <family val="2"/>
      <scheme val="minor"/>
    </font>
    <font>
      <sz val="10"/>
      <color rgb="FF000000"/>
      <name val="Calibri"/>
      <family val="2"/>
      <scheme val="minor"/>
    </font>
    <font>
      <b/>
      <sz val="11"/>
      <color theme="1"/>
      <name val="Segoe UI"/>
      <family val="2"/>
    </font>
    <font>
      <b/>
      <sz val="12"/>
      <color theme="1"/>
      <name val="Segoe UI"/>
      <family val="2"/>
    </font>
    <font>
      <b/>
      <sz val="12"/>
      <color theme="1"/>
      <name val="Calibri"/>
      <family val="2"/>
      <scheme val="minor"/>
    </font>
    <font>
      <b/>
      <sz val="12"/>
      <color rgb="FF000000"/>
      <name val="Calibri"/>
      <family val="2"/>
      <scheme val="minor"/>
    </font>
    <font>
      <b/>
      <sz val="14"/>
      <color theme="1"/>
      <name val="Calibri"/>
      <family val="2"/>
      <scheme val="minor"/>
    </font>
    <font>
      <b/>
      <sz val="10"/>
      <color theme="1"/>
      <name val="Calibri"/>
      <family val="2"/>
      <scheme val="minor"/>
    </font>
    <font>
      <sz val="11"/>
      <color theme="1" tint="4.9989318521683403E-2"/>
      <name val="Calibri"/>
      <family val="2"/>
      <scheme val="minor"/>
    </font>
    <font>
      <b/>
      <sz val="11"/>
      <color theme="1" tint="4.9989318521683403E-2"/>
      <name val="Calibri"/>
      <family val="2"/>
      <scheme val="minor"/>
    </font>
    <font>
      <i/>
      <sz val="11"/>
      <color rgb="FF002060"/>
      <name val="Calibri"/>
      <family val="2"/>
      <scheme val="minor"/>
    </font>
    <font>
      <sz val="11"/>
      <color rgb="FF002060"/>
      <name val="Calibri"/>
      <family val="2"/>
      <scheme val="minor"/>
    </font>
    <font>
      <sz val="11"/>
      <color rgb="FF002060"/>
      <name val="Calibri"/>
      <family val="2"/>
    </font>
    <font>
      <sz val="12"/>
      <color rgb="FF002060"/>
      <name val="Calibri"/>
      <family val="2"/>
      <scheme val="minor"/>
    </font>
    <font>
      <b/>
      <sz val="11"/>
      <color rgb="FF000000"/>
      <name val="Calibri"/>
      <family val="2"/>
      <scheme val="minor"/>
    </font>
    <font>
      <sz val="9"/>
      <color indexed="81"/>
      <name val="Segoe UI"/>
      <family val="2"/>
    </font>
    <font>
      <b/>
      <sz val="9"/>
      <color indexed="81"/>
      <name val="Segoe UI"/>
      <family val="2"/>
    </font>
    <font>
      <sz val="12"/>
      <color theme="1"/>
      <name val="Calibri"/>
      <family val="2"/>
      <scheme val="minor"/>
    </font>
    <font>
      <sz val="12"/>
      <color rgb="FF000000"/>
      <name val="Calibri"/>
      <family val="2"/>
      <scheme val="minor"/>
    </font>
    <font>
      <b/>
      <sz val="11"/>
      <name val="Calibri"/>
      <family val="2"/>
      <scheme val="minor"/>
    </font>
    <font>
      <sz val="12"/>
      <color rgb="FF000000"/>
      <name val="Times New Roman"/>
      <family val="1"/>
    </font>
    <font>
      <sz val="11"/>
      <color rgb="FF242424"/>
      <name val="Aptos Narrow"/>
      <family val="2"/>
    </font>
    <font>
      <b/>
      <sz val="14"/>
      <color theme="0"/>
      <name val="Calibri"/>
      <family val="2"/>
      <scheme val="minor"/>
    </font>
    <font>
      <sz val="12"/>
      <color rgb="FF000000"/>
      <name val="Calibri"/>
      <family val="2"/>
    </font>
    <font>
      <b/>
      <sz val="16"/>
      <color theme="0"/>
      <name val="Calibri"/>
      <family val="2"/>
      <scheme val="minor"/>
    </font>
    <font>
      <sz val="12"/>
      <color rgb="FF000000"/>
      <name val="Calibri"/>
      <family val="2"/>
      <charset val="1"/>
    </font>
    <font>
      <sz val="11"/>
      <color rgb="FF000000"/>
      <name val="Calibri"/>
      <family val="2"/>
      <charset val="1"/>
    </font>
    <font>
      <i/>
      <sz val="11"/>
      <color rgb="FF002060"/>
      <name val="Calibri"/>
      <family val="2"/>
      <charset val="1"/>
    </font>
    <font>
      <sz val="11"/>
      <color rgb="FF000000"/>
      <name val="Times New Roman"/>
      <family val="1"/>
    </font>
    <font>
      <b/>
      <sz val="14"/>
      <color theme="0"/>
      <name val="Segoe UI"/>
      <family val="2"/>
    </font>
    <font>
      <sz val="14"/>
      <color theme="0"/>
      <name val="Calibri"/>
      <family val="2"/>
      <scheme val="minor"/>
    </font>
    <font>
      <b/>
      <sz val="11"/>
      <color theme="0"/>
      <name val="Arial"/>
      <family val="2"/>
    </font>
    <font>
      <sz val="13.5"/>
      <color rgb="FF000000"/>
      <name val="Times New Roman"/>
      <family val="1"/>
    </font>
    <font>
      <sz val="11"/>
      <color rgb="FF000000"/>
      <name val="Calibri"/>
      <family val="2"/>
    </font>
    <font>
      <sz val="11"/>
      <color rgb="FF242424"/>
      <name val="Calibri"/>
      <family val="2"/>
      <scheme val="minor"/>
    </font>
    <font>
      <sz val="11"/>
      <color rgb="FF4472C4"/>
      <name val="Calibri"/>
      <family val="2"/>
      <scheme val="minor"/>
    </font>
    <font>
      <sz val="11"/>
      <color rgb="FF333333"/>
      <name val="Calibri"/>
      <family val="2"/>
      <scheme val="minor"/>
    </font>
    <font>
      <b/>
      <sz val="11"/>
      <color rgb="FF000000"/>
      <name val="Segoe UI"/>
      <family val="2"/>
    </font>
    <font>
      <sz val="11"/>
      <color rgb="FFFF0000"/>
      <name val="Calibri"/>
      <family val="2"/>
      <scheme val="minor"/>
    </font>
    <font>
      <sz val="11"/>
      <color rgb="FFC00000"/>
      <name val="Calibri"/>
      <family val="2"/>
      <scheme val="minor"/>
    </font>
    <font>
      <sz val="11"/>
      <color theme="5"/>
      <name val="Calibri"/>
      <family val="2"/>
      <scheme val="minor"/>
    </font>
    <font>
      <sz val="11"/>
      <color rgb="FF00B050"/>
      <name val="Calibri"/>
      <family val="2"/>
      <scheme val="minor"/>
    </font>
    <font>
      <sz val="11"/>
      <color theme="9"/>
      <name val="Calibri"/>
      <family val="2"/>
      <scheme val="minor"/>
    </font>
    <font>
      <sz val="11"/>
      <color rgb="FFE97132"/>
      <name val="Calibri"/>
      <family val="2"/>
      <scheme val="minor"/>
    </font>
    <font>
      <sz val="11"/>
      <color rgb="FF4EA72E"/>
      <name val="Calibri"/>
      <family val="2"/>
      <scheme val="minor"/>
    </font>
    <font>
      <b/>
      <i/>
      <sz val="12"/>
      <color rgb="FF000000"/>
      <name val="Times New Roman"/>
      <family val="1"/>
    </font>
    <font>
      <i/>
      <sz val="10"/>
      <color rgb="FF000000"/>
      <name val="Calibri"/>
      <family val="2"/>
      <scheme val="minor"/>
    </font>
    <font>
      <sz val="9"/>
      <color rgb="FF000000"/>
      <name val="Calibri"/>
      <family val="2"/>
      <scheme val="minor"/>
    </font>
    <font>
      <strike/>
      <sz val="11"/>
      <color theme="1"/>
      <name val="Calibri"/>
      <family val="2"/>
      <scheme val="minor"/>
    </font>
    <font>
      <sz val="13.5"/>
      <color rgb="FF000000"/>
      <name val="Arial"/>
      <family val="2"/>
    </font>
    <font>
      <b/>
      <sz val="11"/>
      <color theme="0"/>
      <name val="Segoe UI"/>
      <family val="2"/>
    </font>
    <font>
      <b/>
      <sz val="12"/>
      <color theme="0"/>
      <name val="Segoe UI"/>
      <family val="2"/>
    </font>
    <font>
      <sz val="12"/>
      <color theme="1"/>
      <name val="Aptos"/>
      <family val="2"/>
    </font>
    <font>
      <sz val="10"/>
      <color rgb="FF000000"/>
      <name val="Arial"/>
      <family val="2"/>
    </font>
    <font>
      <sz val="12"/>
      <color rgb="FF000000"/>
      <name val="Aptos"/>
      <family val="2"/>
    </font>
    <font>
      <sz val="12"/>
      <color rgb="FF000000"/>
      <name val="Arial"/>
      <family val="2"/>
    </font>
    <font>
      <i/>
      <sz val="12"/>
      <color rgb="FF000000"/>
      <name val="Arial"/>
      <family val="2"/>
    </font>
    <font>
      <i/>
      <sz val="11"/>
      <color rgb="FF002060"/>
      <name val="Calibri"/>
      <family val="2"/>
    </font>
    <font>
      <sz val="10"/>
      <color theme="1"/>
      <name val="Calibri"/>
      <family val="2"/>
      <scheme val="minor"/>
    </font>
    <font>
      <b/>
      <sz val="14"/>
      <name val="Segoe UI"/>
      <family val="2"/>
    </font>
    <font>
      <strike/>
      <sz val="11"/>
      <color rgb="FFFF0000"/>
      <name val="Calibri"/>
      <family val="2"/>
      <scheme val="minor"/>
    </font>
    <font>
      <sz val="11"/>
      <name val="Calibri"/>
      <family val="2"/>
      <scheme val="minor"/>
    </font>
    <font>
      <sz val="11"/>
      <color rgb="FF00B050"/>
      <name val="Arial"/>
      <family val="2"/>
    </font>
    <font>
      <b/>
      <sz val="11"/>
      <color rgb="FF000000"/>
      <name val="Calibri"/>
      <family val="2"/>
    </font>
    <font>
      <b/>
      <u/>
      <sz val="12"/>
      <color rgb="FF000000"/>
      <name val="Aptos"/>
      <family val="2"/>
    </font>
    <font>
      <b/>
      <sz val="12"/>
      <color theme="1"/>
      <name val="Aptos"/>
      <family val="2"/>
    </font>
    <font>
      <b/>
      <sz val="16"/>
      <color rgb="FF1F4E79"/>
      <name val="Calibri"/>
      <family val="2"/>
      <scheme val="minor"/>
    </font>
    <font>
      <i/>
      <sz val="10"/>
      <color theme="1"/>
      <name val="Calibri"/>
      <family val="2"/>
      <scheme val="minor"/>
    </font>
    <font>
      <b/>
      <sz val="11"/>
      <color rgb="FF538135"/>
      <name val="Calibri"/>
      <family val="2"/>
      <scheme val="minor"/>
    </font>
    <font>
      <b/>
      <sz val="14"/>
      <color rgb="FFC00000"/>
      <name val="Calibri"/>
      <family val="2"/>
      <scheme val="minor"/>
    </font>
    <font>
      <b/>
      <sz val="12"/>
      <color rgb="FF2F5496"/>
      <name val="Calibri"/>
      <family val="2"/>
      <scheme val="minor"/>
    </font>
    <font>
      <b/>
      <sz val="11"/>
      <color rgb="FF7030A0"/>
      <name val="Calibri"/>
      <family val="2"/>
      <scheme val="minor"/>
    </font>
    <font>
      <sz val="12"/>
      <color rgb="FF000000"/>
      <name val="Cambria"/>
      <family val="1"/>
    </font>
    <font>
      <sz val="12"/>
      <color theme="1"/>
      <name val="Calibri"/>
      <family val="2"/>
    </font>
    <font>
      <strike/>
      <sz val="11"/>
      <color rgb="FF000000"/>
      <name val="Calibri"/>
      <family val="2"/>
      <scheme val="minor"/>
    </font>
    <font>
      <b/>
      <sz val="11"/>
      <color theme="1"/>
      <name val="Calibri"/>
      <scheme val="minor"/>
    </font>
    <font>
      <b/>
      <sz val="11"/>
      <color rgb="FF000000"/>
      <name val="Calibri"/>
      <charset val="1"/>
    </font>
    <font>
      <sz val="11"/>
      <color rgb="FF242424"/>
      <name val="Aptos Narrow"/>
      <charset val="1"/>
    </font>
  </fonts>
  <fills count="33">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bgColor theme="8"/>
      </patternFill>
    </fill>
    <fill>
      <patternFill patternType="solid">
        <fgColor theme="8" tint="0.39997558519241921"/>
        <bgColor theme="8"/>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8" tint="0.79998168889431442"/>
        <bgColor theme="8" tint="0.79998168889431442"/>
      </patternFill>
    </fill>
    <fill>
      <patternFill patternType="solid">
        <fgColor rgb="FFFFFF00"/>
        <bgColor indexed="64"/>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2" tint="-0.749992370372631"/>
        <bgColor indexed="64"/>
      </patternFill>
    </fill>
    <fill>
      <patternFill patternType="solid">
        <fgColor theme="8" tint="0.59999389629810485"/>
        <bgColor indexed="64"/>
      </patternFill>
    </fill>
    <fill>
      <patternFill patternType="solid">
        <fgColor rgb="FFFFFF00"/>
        <bgColor theme="4" tint="0.79998168889431442"/>
      </patternFill>
    </fill>
    <fill>
      <patternFill patternType="solid">
        <fgColor rgb="FFFFE699"/>
        <bgColor rgb="FF5B9BD5"/>
      </patternFill>
    </fill>
    <fill>
      <patternFill patternType="solid">
        <fgColor rgb="FFFFE699"/>
        <bgColor rgb="FF000000"/>
      </patternFill>
    </fill>
    <fill>
      <patternFill patternType="solid">
        <fgColor rgb="FF9BC2E6"/>
        <bgColor rgb="FF5B9BD5"/>
      </patternFill>
    </fill>
    <fill>
      <patternFill patternType="solid">
        <fgColor rgb="FFE2EFDA"/>
        <bgColor rgb="FF000000"/>
      </patternFill>
    </fill>
    <fill>
      <patternFill patternType="solid">
        <fgColor rgb="FFFFFF00"/>
        <bgColor rgb="FF000000"/>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
      <patternFill patternType="solid">
        <fgColor rgb="FFFFF2CC"/>
        <bgColor indexed="64"/>
      </patternFill>
    </fill>
    <fill>
      <patternFill patternType="solid">
        <fgColor rgb="FFE2EFDA"/>
        <bgColor indexed="64"/>
      </patternFill>
    </fill>
    <fill>
      <patternFill patternType="solid">
        <fgColor rgb="FF92D050"/>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rgb="FF000000"/>
      </bottom>
      <diagonal/>
    </border>
    <border>
      <left style="thin">
        <color indexed="64"/>
      </left>
      <right style="thin">
        <color indexed="64"/>
      </right>
      <top style="thin">
        <color indexed="64"/>
      </top>
      <bottom style="thin">
        <color rgb="FF000000"/>
      </bottom>
      <diagonal/>
    </border>
    <border>
      <left/>
      <right/>
      <top style="thin">
        <color theme="1"/>
      </top>
      <bottom style="thin">
        <color theme="1"/>
      </bottom>
      <diagonal/>
    </border>
    <border>
      <left/>
      <right/>
      <top style="thin">
        <color theme="1"/>
      </top>
      <bottom/>
      <diagonal/>
    </border>
    <border>
      <left style="thin">
        <color auto="1"/>
      </left>
      <right style="thin">
        <color auto="1"/>
      </right>
      <top style="thin">
        <color theme="1"/>
      </top>
      <bottom style="thin">
        <color auto="1"/>
      </bottom>
      <diagonal/>
    </border>
    <border>
      <left/>
      <right style="thin">
        <color auto="1"/>
      </right>
      <top style="thin">
        <color auto="1"/>
      </top>
      <bottom style="thin">
        <color theme="1"/>
      </bottom>
      <diagonal/>
    </border>
    <border>
      <left style="thin">
        <color auto="1"/>
      </left>
      <right style="thin">
        <color auto="1"/>
      </right>
      <top style="thin">
        <color auto="1"/>
      </top>
      <bottom style="thin">
        <color theme="1"/>
      </bottom>
      <diagonal/>
    </border>
    <border>
      <left style="thin">
        <color auto="1"/>
      </left>
      <right/>
      <top style="thin">
        <color auto="1"/>
      </top>
      <bottom/>
      <diagonal/>
    </border>
    <border>
      <left style="thin">
        <color indexed="64"/>
      </left>
      <right/>
      <top/>
      <bottom style="thin">
        <color indexed="64"/>
      </bottom>
      <diagonal/>
    </border>
    <border>
      <left style="thin">
        <color auto="1"/>
      </left>
      <right style="thin">
        <color auto="1"/>
      </right>
      <top style="thin">
        <color auto="1"/>
      </top>
      <bottom style="thin">
        <color theme="8" tint="0.3999755851924192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auto="1"/>
      </left>
      <right style="thin">
        <color auto="1"/>
      </right>
      <top style="thin">
        <color auto="1"/>
      </top>
      <bottom style="thin">
        <color theme="4" tint="0.39997558519241921"/>
      </bottom>
      <diagonal/>
    </border>
    <border>
      <left/>
      <right/>
      <top/>
      <bottom style="thin">
        <color rgb="FF9BC2E6"/>
      </bottom>
      <diagonal/>
    </border>
    <border>
      <left/>
      <right style="thin">
        <color auto="1"/>
      </right>
      <top style="thin">
        <color auto="1"/>
      </top>
      <bottom style="thin">
        <color theme="8" tint="0.39997558519241921"/>
      </bottom>
      <diagonal/>
    </border>
    <border>
      <left style="thin">
        <color auto="1"/>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auto="1"/>
      </bottom>
      <diagonal/>
    </border>
    <border>
      <left style="thin">
        <color auto="1"/>
      </left>
      <right/>
      <top style="thin">
        <color theme="4" tint="0.39997558519241921"/>
      </top>
      <bottom style="thin">
        <color theme="4" tint="0.39997558519241921"/>
      </bottom>
      <diagonal/>
    </border>
    <border>
      <left style="thin">
        <color auto="1"/>
      </left>
      <right style="thin">
        <color rgb="FF000000"/>
      </right>
      <top style="thin">
        <color rgb="FF000000"/>
      </top>
      <bottom style="thin">
        <color rgb="FF000000"/>
      </bottom>
      <diagonal/>
    </border>
    <border>
      <left style="thin">
        <color auto="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s>
  <cellStyleXfs count="15">
    <xf numFmtId="0" fontId="0" fillId="0" borderId="0"/>
    <xf numFmtId="0" fontId="11" fillId="0" borderId="0" applyNumberForma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9" fontId="7" fillId="0" borderId="0" applyFont="0" applyFill="0" applyBorder="0" applyAlignment="0" applyProtection="0"/>
    <xf numFmtId="165" fontId="4" fillId="0" borderId="0" applyFont="0" applyFill="0" applyBorder="0" applyAlignment="0" applyProtection="0"/>
    <xf numFmtId="0" fontId="11" fillId="0" borderId="0" applyNumberFormat="0" applyFill="0" applyBorder="0" applyAlignment="0" applyProtection="0"/>
    <xf numFmtId="9" fontId="3" fillId="0" borderId="0" applyFont="0" applyFill="0" applyBorder="0" applyAlignment="0" applyProtection="0"/>
  </cellStyleXfs>
  <cellXfs count="733">
    <xf numFmtId="0" fontId="0" fillId="0" borderId="0" xfId="0"/>
    <xf numFmtId="0" fontId="5" fillId="3" borderId="0" xfId="0" applyFont="1" applyFill="1" applyAlignment="1">
      <alignment vertical="center" wrapText="1"/>
    </xf>
    <xf numFmtId="0" fontId="0" fillId="0" borderId="1" xfId="0" applyBorder="1" applyAlignment="1">
      <alignment horizontal="center" vertical="center" wrapText="1"/>
    </xf>
    <xf numFmtId="0" fontId="10" fillId="0" borderId="0" xfId="0" applyFont="1" applyAlignment="1">
      <alignment vertical="center" wrapText="1"/>
    </xf>
    <xf numFmtId="0" fontId="12" fillId="0" borderId="0" xfId="0" applyFont="1" applyAlignment="1">
      <alignment vertical="center" wrapText="1"/>
    </xf>
    <xf numFmtId="0" fontId="0" fillId="0" borderId="0" xfId="0" applyAlignment="1">
      <alignment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3" borderId="3" xfId="0" applyFill="1" applyBorder="1" applyAlignment="1">
      <alignment horizontal="center" vertical="center" wrapText="1"/>
    </xf>
    <xf numFmtId="0" fontId="0" fillId="3" borderId="6" xfId="0"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15" fillId="0" borderId="1" xfId="0" applyFont="1" applyBorder="1" applyAlignment="1">
      <alignment horizontal="center" vertical="center" wrapText="1"/>
    </xf>
    <xf numFmtId="0" fontId="10" fillId="0" borderId="1" xfId="0" applyFont="1" applyBorder="1"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6" xfId="0" applyBorder="1" applyAlignment="1">
      <alignment horizontal="center" vertical="center"/>
    </xf>
    <xf numFmtId="0" fontId="15" fillId="0" borderId="6" xfId="0" applyFont="1"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7" fillId="6" borderId="1" xfId="0" applyFont="1" applyFill="1" applyBorder="1" applyAlignment="1" applyProtection="1">
      <alignment horizontal="center" vertical="center" wrapText="1"/>
      <protection locked="0"/>
    </xf>
    <xf numFmtId="0" fontId="0" fillId="5" borderId="3" xfId="0" applyFill="1" applyBorder="1" applyAlignment="1" applyProtection="1">
      <alignment horizontal="center" vertical="center" wrapText="1"/>
      <protection locked="0"/>
    </xf>
    <xf numFmtId="14" fontId="8" fillId="0" borderId="1" xfId="0" applyNumberFormat="1" applyFont="1" applyBorder="1" applyAlignment="1" applyProtection="1">
      <alignment horizontal="center" vertical="center"/>
      <protection locked="0"/>
    </xf>
    <xf numFmtId="17" fontId="0" fillId="0" borderId="1" xfId="0" applyNumberForma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167" fontId="8" fillId="0" borderId="1" xfId="0" applyNumberFormat="1" applyFont="1" applyBorder="1" applyAlignment="1" applyProtection="1">
      <alignment horizontal="center" vertical="center"/>
      <protection locked="0"/>
    </xf>
    <xf numFmtId="0" fontId="8" fillId="0" borderId="1" xfId="0" applyFont="1" applyBorder="1" applyAlignment="1" applyProtection="1">
      <alignment horizontal="center" vertical="center" wrapText="1"/>
      <protection locked="0"/>
    </xf>
    <xf numFmtId="0" fontId="15" fillId="5" borderId="3" xfId="0" applyFont="1" applyFill="1" applyBorder="1" applyAlignment="1" applyProtection="1">
      <alignment horizontal="center" vertical="center" wrapText="1"/>
      <protection locked="0"/>
    </xf>
    <xf numFmtId="10" fontId="17" fillId="6" borderId="1" xfId="11" applyNumberFormat="1" applyFont="1" applyFill="1" applyBorder="1" applyAlignment="1" applyProtection="1">
      <alignment horizontal="center" vertical="center" wrapText="1"/>
      <protection locked="0"/>
    </xf>
    <xf numFmtId="10" fontId="8" fillId="0" borderId="1" xfId="11" applyNumberFormat="1" applyFont="1" applyFill="1" applyBorder="1" applyAlignment="1" applyProtection="1">
      <alignment horizontal="center" vertical="center"/>
      <protection locked="0"/>
    </xf>
    <xf numFmtId="0" fontId="0" fillId="0" borderId="0" xfId="0" applyAlignment="1">
      <alignment horizontal="left"/>
    </xf>
    <xf numFmtId="0" fontId="0" fillId="0" borderId="0" xfId="0" applyAlignment="1">
      <alignment horizontal="left" vertical="center"/>
    </xf>
    <xf numFmtId="169" fontId="17" fillId="6" borderId="1" xfId="0" applyNumberFormat="1" applyFont="1" applyFill="1" applyBorder="1" applyAlignment="1">
      <alignment horizontal="center" vertical="center" wrapText="1"/>
    </xf>
    <xf numFmtId="169" fontId="0" fillId="5" borderId="1" xfId="0" applyNumberFormat="1" applyFill="1" applyBorder="1" applyAlignment="1">
      <alignment horizontal="center" vertical="center"/>
    </xf>
    <xf numFmtId="14" fontId="0" fillId="0" borderId="0" xfId="0" applyNumberFormat="1" applyAlignment="1">
      <alignment horizontal="left"/>
    </xf>
    <xf numFmtId="0" fontId="19"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0" fillId="0" borderId="0" xfId="0" applyAlignment="1" applyProtection="1">
      <alignment vertical="center"/>
      <protection locked="0"/>
    </xf>
    <xf numFmtId="14" fontId="0" fillId="0" borderId="0" xfId="0" applyNumberFormat="1" applyAlignment="1" applyProtection="1">
      <alignment vertical="center"/>
      <protection locked="0"/>
    </xf>
    <xf numFmtId="0" fontId="0" fillId="0" borderId="2" xfId="0"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5" borderId="1" xfId="0" applyFill="1" applyBorder="1" applyAlignment="1" applyProtection="1">
      <alignment vertical="center"/>
      <protection locked="0"/>
    </xf>
    <xf numFmtId="10" fontId="8" fillId="0" borderId="1" xfId="11" applyNumberFormat="1" applyFont="1"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0" fillId="0" borderId="1" xfId="0" applyBorder="1" applyAlignment="1" applyProtection="1">
      <alignment vertical="center"/>
      <protection locked="0"/>
    </xf>
    <xf numFmtId="0" fontId="0" fillId="0" borderId="0" xfId="0" applyAlignment="1" applyProtection="1">
      <alignment horizontal="center" vertical="center"/>
      <protection locked="0"/>
    </xf>
    <xf numFmtId="0" fontId="19" fillId="0" borderId="0" xfId="0" applyFont="1" applyAlignment="1">
      <alignment horizontal="left" vertical="center" wrapText="1"/>
    </xf>
    <xf numFmtId="10" fontId="8" fillId="0" borderId="0" xfId="11" applyNumberFormat="1" applyFont="1" applyAlignment="1" applyProtection="1">
      <alignment horizontal="center" vertical="center"/>
      <protection locked="0"/>
    </xf>
    <xf numFmtId="169" fontId="0" fillId="0" borderId="0" xfId="0" applyNumberFormat="1" applyAlignment="1">
      <alignment horizontal="center" vertical="center"/>
    </xf>
    <xf numFmtId="0" fontId="8" fillId="9" borderId="1" xfId="0" applyFont="1" applyFill="1" applyBorder="1" applyAlignment="1">
      <alignment horizontal="left" vertical="center"/>
    </xf>
    <xf numFmtId="17" fontId="8" fillId="9" borderId="1"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22"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9" fontId="8" fillId="0" borderId="1" xfId="0" applyNumberFormat="1" applyFont="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0" borderId="0" xfId="0" applyAlignment="1" applyProtection="1">
      <alignment vertical="center" wrapText="1"/>
      <protection locked="0"/>
    </xf>
    <xf numFmtId="0" fontId="18" fillId="6" borderId="1" xfId="0" applyFont="1" applyFill="1" applyBorder="1" applyAlignment="1">
      <alignment horizontal="center" vertical="center" wrapText="1"/>
    </xf>
    <xf numFmtId="14" fontId="0" fillId="0" borderId="0" xfId="0" applyNumberFormat="1" applyAlignment="1" applyProtection="1">
      <alignment horizontal="center" vertical="center"/>
      <protection locked="0"/>
    </xf>
    <xf numFmtId="0" fontId="0" fillId="0" borderId="1" xfId="0" applyBorder="1" applyAlignment="1">
      <alignment horizontal="center"/>
    </xf>
    <xf numFmtId="9" fontId="0" fillId="0" borderId="1" xfId="11" applyFont="1" applyBorder="1" applyAlignment="1">
      <alignment horizontal="center"/>
    </xf>
    <xf numFmtId="0" fontId="0" fillId="0" borderId="1" xfId="0" applyBorder="1" applyAlignment="1">
      <alignment horizontal="lef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10" fontId="0" fillId="0" borderId="1" xfId="11" applyNumberFormat="1" applyFont="1" applyBorder="1" applyAlignment="1">
      <alignment horizontal="center" vertical="center"/>
    </xf>
    <xf numFmtId="0" fontId="0" fillId="0" borderId="1" xfId="0" applyBorder="1"/>
    <xf numFmtId="0" fontId="11" fillId="0" borderId="1" xfId="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1" fillId="0" borderId="4" xfId="1" applyFill="1" applyBorder="1" applyAlignment="1">
      <alignment horizontal="center" vertical="center" wrapText="1"/>
    </xf>
    <xf numFmtId="0" fontId="21" fillId="7" borderId="0" xfId="0" applyFont="1" applyFill="1" applyAlignment="1">
      <alignment horizontal="center" vertical="center"/>
    </xf>
    <xf numFmtId="9" fontId="0" fillId="0" borderId="0" xfId="11" applyFont="1" applyBorder="1" applyAlignment="1">
      <alignment horizontal="center"/>
    </xf>
    <xf numFmtId="0" fontId="0" fillId="0" borderId="0" xfId="0" applyAlignment="1">
      <alignment vertical="center" wrapText="1"/>
    </xf>
    <xf numFmtId="0" fontId="17" fillId="12" borderId="1" xfId="0" applyFont="1" applyFill="1" applyBorder="1" applyAlignment="1">
      <alignment horizontal="center" vertical="center" wrapText="1"/>
    </xf>
    <xf numFmtId="0" fontId="9" fillId="11" borderId="5" xfId="0" applyFont="1" applyFill="1" applyBorder="1" applyAlignment="1">
      <alignment vertical="center" wrapText="1"/>
    </xf>
    <xf numFmtId="0" fontId="21" fillId="6" borderId="0" xfId="0" applyFont="1" applyFill="1" applyAlignment="1">
      <alignment horizontal="center" vertical="center" wrapText="1"/>
    </xf>
    <xf numFmtId="0" fontId="17" fillId="11" borderId="1" xfId="0" applyFont="1" applyFill="1" applyBorder="1" applyAlignment="1">
      <alignment horizontal="center" vertical="center" wrapText="1"/>
    </xf>
    <xf numFmtId="0" fontId="19" fillId="13" borderId="1" xfId="0" applyFont="1" applyFill="1" applyBorder="1" applyAlignment="1">
      <alignment vertical="center" wrapText="1"/>
    </xf>
    <xf numFmtId="0" fontId="19" fillId="13" borderId="1" xfId="0" applyFont="1" applyFill="1" applyBorder="1" applyAlignment="1">
      <alignment horizontal="center" vertical="center" wrapText="1"/>
    </xf>
    <xf numFmtId="0" fontId="19" fillId="13" borderId="1" xfId="0" applyFont="1" applyFill="1" applyBorder="1" applyAlignment="1">
      <alignment vertical="center"/>
    </xf>
    <xf numFmtId="0" fontId="19" fillId="13"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4" borderId="1" xfId="0" applyFill="1" applyBorder="1" applyAlignment="1">
      <alignment horizontal="center" vertical="center"/>
    </xf>
    <xf numFmtId="0" fontId="0" fillId="9" borderId="1" xfId="0" applyFill="1" applyBorder="1" applyAlignment="1">
      <alignment horizontal="center" vertical="center"/>
    </xf>
    <xf numFmtId="0" fontId="0" fillId="3" borderId="0" xfId="0" applyFill="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1" fillId="0" borderId="6" xfId="1" applyFill="1" applyBorder="1" applyAlignment="1">
      <alignment horizontal="center" vertical="center" wrapText="1"/>
    </xf>
    <xf numFmtId="0" fontId="8" fillId="15" borderId="1" xfId="0" applyFont="1" applyFill="1" applyBorder="1" applyAlignment="1">
      <alignment horizontal="center" vertical="center"/>
    </xf>
    <xf numFmtId="0" fontId="0" fillId="0" borderId="4" xfId="0" applyBorder="1" applyAlignment="1">
      <alignment vertical="center" wrapText="1"/>
    </xf>
    <xf numFmtId="0" fontId="0" fillId="0" borderId="2" xfId="0" applyBorder="1" applyAlignment="1">
      <alignment vertical="center" wrapText="1"/>
    </xf>
    <xf numFmtId="0" fontId="16" fillId="0" borderId="4" xfId="0" applyFont="1" applyBorder="1" applyAlignment="1">
      <alignment horizontal="left" vertical="center" wrapText="1"/>
    </xf>
    <xf numFmtId="0" fontId="15"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13" xfId="0" applyBorder="1" applyAlignment="1">
      <alignment horizontal="left" vertical="center" wrapText="1"/>
    </xf>
    <xf numFmtId="0" fontId="0" fillId="0" borderId="4" xfId="0"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center" vertical="center" wrapText="1"/>
    </xf>
    <xf numFmtId="0" fontId="0" fillId="0" borderId="1" xfId="0" applyBorder="1" applyAlignment="1">
      <alignment horizontal="left" wrapText="1"/>
    </xf>
    <xf numFmtId="0" fontId="32" fillId="0" borderId="2" xfId="0" applyFont="1" applyBorder="1" applyAlignment="1">
      <alignment horizontal="left" vertical="center" wrapText="1"/>
    </xf>
    <xf numFmtId="0" fontId="32" fillId="0" borderId="0" xfId="0" applyFont="1" applyAlignment="1">
      <alignment horizontal="left" vertical="center"/>
    </xf>
    <xf numFmtId="0" fontId="32" fillId="0" borderId="0" xfId="0" applyFont="1" applyAlignment="1">
      <alignment horizontal="left" vertical="center" wrapText="1"/>
    </xf>
    <xf numFmtId="0" fontId="32" fillId="0" borderId="1" xfId="0" applyFont="1" applyBorder="1" applyAlignment="1">
      <alignment horizontal="left" vertical="center" wrapText="1"/>
    </xf>
    <xf numFmtId="0" fontId="33" fillId="0" borderId="1" xfId="0" applyFont="1" applyBorder="1" applyAlignment="1">
      <alignment horizontal="left" vertical="center" wrapText="1"/>
    </xf>
    <xf numFmtId="0" fontId="32" fillId="0" borderId="4" xfId="0" applyFont="1" applyBorder="1" applyAlignment="1">
      <alignment horizontal="left" vertical="center" wrapText="1"/>
    </xf>
    <xf numFmtId="0" fontId="32" fillId="0" borderId="12" xfId="0" applyFont="1" applyBorder="1" applyAlignment="1">
      <alignment horizontal="left" vertical="center" wrapText="1"/>
    </xf>
    <xf numFmtId="0" fontId="16" fillId="0" borderId="4" xfId="0" applyFont="1" applyBorder="1" applyAlignment="1">
      <alignment vertical="center" wrapText="1"/>
    </xf>
    <xf numFmtId="0" fontId="0" fillId="0" borderId="4" xfId="0" applyBorder="1" applyAlignment="1">
      <alignment wrapText="1"/>
    </xf>
    <xf numFmtId="0" fontId="0" fillId="0" borderId="10" xfId="0" applyBorder="1" applyAlignment="1">
      <alignment vertical="center" wrapText="1"/>
    </xf>
    <xf numFmtId="0" fontId="0" fillId="3" borderId="4" xfId="0" applyFill="1" applyBorder="1" applyAlignment="1">
      <alignment vertical="center" wrapText="1"/>
    </xf>
    <xf numFmtId="0" fontId="0" fillId="0" borderId="8" xfId="0" applyBorder="1" applyAlignment="1">
      <alignment vertical="center" wrapText="1"/>
    </xf>
    <xf numFmtId="0" fontId="15" fillId="0" borderId="4" xfId="0" applyFont="1" applyBorder="1" applyAlignment="1">
      <alignment vertical="center" wrapText="1"/>
    </xf>
    <xf numFmtId="0" fontId="8" fillId="0" borderId="6" xfId="0" applyFont="1" applyBorder="1" applyAlignment="1">
      <alignment horizontal="center" vertical="center"/>
    </xf>
    <xf numFmtId="9" fontId="0" fillId="0" borderId="0" xfId="0" applyNumberFormat="1" applyAlignment="1" applyProtection="1">
      <alignment horizontal="center" vertical="center"/>
      <protection locked="0"/>
    </xf>
    <xf numFmtId="0" fontId="0" fillId="0" borderId="0" xfId="0" applyAlignment="1" applyProtection="1">
      <alignment horizontal="center" vertical="center" wrapText="1"/>
      <protection locked="0"/>
    </xf>
    <xf numFmtId="17" fontId="17" fillId="6" borderId="1" xfId="0" applyNumberFormat="1" applyFont="1" applyFill="1" applyBorder="1" applyAlignment="1" applyProtection="1">
      <alignment horizontal="center" vertical="center" wrapText="1"/>
      <protection locked="0"/>
    </xf>
    <xf numFmtId="17" fontId="0" fillId="0" borderId="0" xfId="0" applyNumberFormat="1" applyAlignment="1" applyProtection="1">
      <alignment horizontal="center" vertical="center"/>
      <protection locked="0"/>
    </xf>
    <xf numFmtId="171" fontId="0" fillId="0" borderId="1" xfId="0" applyNumberFormat="1" applyBorder="1" applyAlignment="1" applyProtection="1">
      <alignment horizontal="center" vertical="center"/>
      <protection locked="0"/>
    </xf>
    <xf numFmtId="14" fontId="0" fillId="0" borderId="0" xfId="0" applyNumberFormat="1" applyAlignment="1">
      <alignment horizontal="center" wrapText="1"/>
    </xf>
    <xf numFmtId="0" fontId="0" fillId="0" borderId="0" xfId="0" applyAlignment="1">
      <alignment horizontal="center" wrapText="1"/>
    </xf>
    <xf numFmtId="10" fontId="8" fillId="18" borderId="16" xfId="11" applyNumberFormat="1" applyFont="1" applyFill="1"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left" wrapText="1"/>
    </xf>
    <xf numFmtId="0" fontId="0" fillId="0" borderId="12" xfId="0" applyBorder="1" applyAlignment="1">
      <alignment horizontal="left" wrapText="1"/>
    </xf>
    <xf numFmtId="0" fontId="0" fillId="0" borderId="11" xfId="0" applyBorder="1" applyAlignment="1">
      <alignment horizontal="left" vertical="center" wrapText="1"/>
    </xf>
    <xf numFmtId="0" fontId="36" fillId="0" borderId="0" xfId="0" applyFont="1" applyAlignment="1">
      <alignment horizontal="center"/>
    </xf>
    <xf numFmtId="0" fontId="8" fillId="9" borderId="20" xfId="0" applyFont="1" applyFill="1" applyBorder="1" applyAlignment="1">
      <alignment horizontal="center" vertical="center"/>
    </xf>
    <xf numFmtId="0" fontId="17" fillId="9" borderId="20" xfId="0" applyFont="1" applyFill="1" applyBorder="1" applyAlignment="1">
      <alignment horizontal="center" vertical="center" wrapText="1"/>
    </xf>
    <xf numFmtId="0" fontId="17" fillId="9" borderId="20" xfId="0" applyFont="1" applyFill="1" applyBorder="1" applyAlignment="1">
      <alignment horizontal="center" vertical="center"/>
    </xf>
    <xf numFmtId="169" fontId="17" fillId="9" borderId="20" xfId="0" applyNumberFormat="1" applyFont="1" applyFill="1" applyBorder="1" applyAlignment="1">
      <alignment horizontal="center" vertical="center" wrapText="1"/>
    </xf>
    <xf numFmtId="0" fontId="8" fillId="9" borderId="20" xfId="0" applyFont="1" applyFill="1" applyBorder="1" applyAlignment="1">
      <alignment horizontal="center" vertical="center" wrapText="1"/>
    </xf>
    <xf numFmtId="0" fontId="0" fillId="0" borderId="0" xfId="0" applyAlignment="1">
      <alignment horizontal="left" vertical="center" wrapText="1"/>
    </xf>
    <xf numFmtId="0" fontId="0" fillId="16" borderId="1" xfId="0" applyFill="1" applyBorder="1" applyAlignment="1">
      <alignment horizontal="left" vertical="center" wrapText="1"/>
    </xf>
    <xf numFmtId="0" fontId="33" fillId="0" borderId="0" xfId="0" applyFont="1" applyAlignment="1">
      <alignment vertical="center" wrapText="1"/>
    </xf>
    <xf numFmtId="0" fontId="33" fillId="0" borderId="0" xfId="0" applyFont="1" applyAlignment="1">
      <alignment horizontal="left" vertical="center" wrapText="1"/>
    </xf>
    <xf numFmtId="0" fontId="0" fillId="0" borderId="20" xfId="0" applyBorder="1" applyAlignment="1">
      <alignment horizontal="center" vertical="center" wrapText="1"/>
    </xf>
    <xf numFmtId="0" fontId="43" fillId="0" borderId="0" xfId="0" applyFont="1" applyAlignment="1">
      <alignment vertical="center" wrapText="1"/>
    </xf>
    <xf numFmtId="14" fontId="0" fillId="0" borderId="0" xfId="0" applyNumberFormat="1" applyAlignment="1">
      <alignment vertical="center" wrapText="1"/>
    </xf>
    <xf numFmtId="14" fontId="8" fillId="0" borderId="1" xfId="0" applyNumberFormat="1" applyFont="1" applyBorder="1" applyAlignment="1">
      <alignment horizontal="center" vertical="center" wrapText="1"/>
    </xf>
    <xf numFmtId="10" fontId="8" fillId="0" borderId="1" xfId="11" applyNumberFormat="1" applyFont="1" applyFill="1" applyBorder="1" applyAlignment="1">
      <alignment horizontal="center" vertical="center" wrapText="1"/>
    </xf>
    <xf numFmtId="165" fontId="0" fillId="0" borderId="1" xfId="10" applyFont="1" applyFill="1" applyBorder="1" applyAlignment="1">
      <alignment vertical="center" wrapText="1"/>
    </xf>
    <xf numFmtId="0" fontId="8" fillId="0" borderId="6" xfId="0" applyFont="1" applyBorder="1" applyAlignment="1">
      <alignment horizontal="center" vertical="center" wrapText="1"/>
    </xf>
    <xf numFmtId="165" fontId="0" fillId="0" borderId="4" xfId="10" applyFont="1" applyFill="1" applyBorder="1" applyAlignment="1">
      <alignment vertical="center" wrapText="1"/>
    </xf>
    <xf numFmtId="0" fontId="8" fillId="0" borderId="0" xfId="0" applyFont="1" applyAlignment="1">
      <alignment horizontal="center" vertical="center" wrapText="1"/>
    </xf>
    <xf numFmtId="169" fontId="0" fillId="0" borderId="0" xfId="0" applyNumberFormat="1" applyAlignment="1">
      <alignment vertical="center" wrapText="1"/>
    </xf>
    <xf numFmtId="0" fontId="8" fillId="0" borderId="0" xfId="0" applyFont="1" applyAlignment="1">
      <alignment vertical="center" wrapText="1"/>
    </xf>
    <xf numFmtId="0" fontId="45" fillId="0" borderId="0" xfId="0" applyFont="1" applyAlignment="1">
      <alignment horizontal="center" vertical="center" wrapText="1"/>
    </xf>
    <xf numFmtId="0" fontId="46" fillId="17" borderId="20" xfId="0" applyFont="1" applyFill="1" applyBorder="1" applyAlignment="1">
      <alignment horizontal="center" vertical="center" wrapText="1"/>
    </xf>
    <xf numFmtId="17" fontId="37" fillId="17" borderId="20" xfId="0" applyNumberFormat="1" applyFont="1" applyFill="1" applyBorder="1" applyAlignment="1">
      <alignment horizontal="center" vertical="center"/>
    </xf>
    <xf numFmtId="171" fontId="46" fillId="17" borderId="20" xfId="0" applyNumberFormat="1" applyFont="1" applyFill="1" applyBorder="1" applyAlignment="1">
      <alignment horizontal="center" vertical="center" wrapText="1"/>
    </xf>
    <xf numFmtId="0" fontId="23" fillId="0" borderId="20" xfId="0" applyFont="1" applyBorder="1" applyAlignment="1">
      <alignment horizontal="center" vertical="center" wrapText="1"/>
    </xf>
    <xf numFmtId="0" fontId="23" fillId="18" borderId="20" xfId="0" applyFont="1" applyFill="1" applyBorder="1" applyAlignment="1">
      <alignment horizontal="left" vertical="center" wrapText="1"/>
    </xf>
    <xf numFmtId="0" fontId="23" fillId="18" borderId="20" xfId="0" applyFont="1" applyFill="1" applyBorder="1" applyAlignment="1">
      <alignment horizontal="center" vertical="center" wrapText="1"/>
    </xf>
    <xf numFmtId="10" fontId="8" fillId="18" borderId="20" xfId="11" applyNumberFormat="1" applyFont="1" applyFill="1" applyBorder="1" applyAlignment="1">
      <alignment horizontal="center" vertical="center"/>
    </xf>
    <xf numFmtId="0" fontId="23" fillId="0" borderId="20" xfId="0" applyFont="1" applyBorder="1" applyAlignment="1">
      <alignment horizontal="left" vertical="center" wrapText="1"/>
    </xf>
    <xf numFmtId="0" fontId="23" fillId="10" borderId="20" xfId="0" applyFont="1" applyFill="1" applyBorder="1" applyAlignment="1">
      <alignment horizontal="center" vertical="center" wrapText="1"/>
    </xf>
    <xf numFmtId="169" fontId="24" fillId="0" borderId="20" xfId="0" applyNumberFormat="1" applyFont="1" applyBorder="1" applyAlignment="1">
      <alignment horizontal="center" vertical="center" wrapText="1"/>
    </xf>
    <xf numFmtId="169" fontId="8" fillId="10" borderId="20" xfId="0" applyNumberFormat="1" applyFont="1" applyFill="1" applyBorder="1" applyAlignment="1">
      <alignment horizontal="center" vertical="center" wrapText="1"/>
    </xf>
    <xf numFmtId="0" fontId="0" fillId="18" borderId="20" xfId="0" applyFill="1" applyBorder="1" applyAlignment="1">
      <alignment horizontal="center" vertical="center" wrapText="1"/>
    </xf>
    <xf numFmtId="0" fontId="0" fillId="0" borderId="20" xfId="0" applyBorder="1" applyAlignment="1">
      <alignment horizontal="center" vertical="center"/>
    </xf>
    <xf numFmtId="0" fontId="0" fillId="0" borderId="20" xfId="0" applyBorder="1" applyAlignment="1">
      <alignment horizontal="left" vertical="center"/>
    </xf>
    <xf numFmtId="0" fontId="8" fillId="0" borderId="20" xfId="0" applyFont="1" applyBorder="1" applyAlignment="1">
      <alignment horizontal="center" vertical="center" wrapText="1"/>
    </xf>
    <xf numFmtId="0" fontId="0" fillId="0" borderId="19" xfId="0" applyBorder="1" applyAlignment="1">
      <alignment horizontal="center" vertical="center" wrapText="1"/>
    </xf>
    <xf numFmtId="0" fontId="23" fillId="21" borderId="20" xfId="0" applyFont="1" applyFill="1" applyBorder="1" applyAlignment="1">
      <alignment horizontal="center" vertical="center" wrapText="1"/>
    </xf>
    <xf numFmtId="0" fontId="23" fillId="16" borderId="20" xfId="0" applyFont="1" applyFill="1" applyBorder="1" applyAlignment="1">
      <alignment horizontal="center" vertical="center" wrapText="1"/>
    </xf>
    <xf numFmtId="0" fontId="15" fillId="0" borderId="0" xfId="0" applyFont="1" applyAlignment="1">
      <alignment horizontal="left" vertical="center" wrapText="1"/>
    </xf>
    <xf numFmtId="173" fontId="0" fillId="0" borderId="0" xfId="0" applyNumberFormat="1" applyAlignment="1">
      <alignment horizontal="left"/>
    </xf>
    <xf numFmtId="0" fontId="8" fillId="15" borderId="1" xfId="0" applyFont="1" applyFill="1" applyBorder="1" applyAlignment="1">
      <alignment horizontal="center" vertical="center" wrapText="1"/>
    </xf>
    <xf numFmtId="0" fontId="0" fillId="0" borderId="3" xfId="0" applyBorder="1" applyAlignment="1">
      <alignment horizontal="center"/>
    </xf>
    <xf numFmtId="0" fontId="49" fillId="0" borderId="0" xfId="0" applyFont="1" applyAlignment="1">
      <alignment horizontal="center" vertical="center"/>
    </xf>
    <xf numFmtId="14" fontId="17" fillId="6" borderId="1" xfId="0" applyNumberFormat="1" applyFont="1" applyFill="1" applyBorder="1" applyAlignment="1" applyProtection="1">
      <alignment horizontal="center" vertical="center" wrapText="1"/>
      <protection locked="0"/>
    </xf>
    <xf numFmtId="0" fontId="8" fillId="0" borderId="18" xfId="0" applyFont="1" applyBorder="1" applyAlignment="1">
      <alignment horizontal="center" vertical="center" wrapText="1"/>
    </xf>
    <xf numFmtId="0" fontId="0" fillId="16" borderId="1" xfId="0" applyFill="1" applyBorder="1" applyAlignment="1">
      <alignment horizontal="left" wrapText="1"/>
    </xf>
    <xf numFmtId="0" fontId="0" fillId="16" borderId="4" xfId="0" applyFill="1" applyBorder="1" applyAlignment="1">
      <alignment horizontal="left" vertical="center" wrapText="1"/>
    </xf>
    <xf numFmtId="0" fontId="33" fillId="16" borderId="0" xfId="0" applyFont="1" applyFill="1" applyAlignment="1">
      <alignment horizontal="left" vertical="center" wrapText="1"/>
    </xf>
    <xf numFmtId="0" fontId="15" fillId="16" borderId="4" xfId="0" applyFont="1" applyFill="1" applyBorder="1" applyAlignment="1">
      <alignment horizontal="left" vertical="center" wrapText="1"/>
    </xf>
    <xf numFmtId="0" fontId="0" fillId="16" borderId="13" xfId="0" applyFill="1" applyBorder="1" applyAlignment="1">
      <alignment horizontal="left" vertical="center" wrapText="1"/>
    </xf>
    <xf numFmtId="0" fontId="16" fillId="16" borderId="1" xfId="0" applyFont="1" applyFill="1" applyBorder="1" applyAlignment="1">
      <alignment horizontal="left" vertical="center" wrapText="1"/>
    </xf>
    <xf numFmtId="0" fontId="0" fillId="16" borderId="4" xfId="0" applyFill="1" applyBorder="1" applyAlignment="1">
      <alignment horizontal="left" wrapText="1"/>
    </xf>
    <xf numFmtId="0" fontId="0" fillId="16" borderId="2" xfId="0" applyFill="1" applyBorder="1" applyAlignment="1">
      <alignment horizontal="left" vertical="center" wrapText="1"/>
    </xf>
    <xf numFmtId="0" fontId="0" fillId="16" borderId="12" xfId="0" applyFill="1" applyBorder="1" applyAlignment="1">
      <alignment horizontal="left" wrapText="1"/>
    </xf>
    <xf numFmtId="0" fontId="0" fillId="16" borderId="1" xfId="0" applyFill="1" applyBorder="1" applyAlignment="1">
      <alignment wrapText="1"/>
    </xf>
    <xf numFmtId="0" fontId="15" fillId="16" borderId="0" xfId="0" applyFont="1" applyFill="1" applyAlignment="1">
      <alignment horizontal="left" vertical="center" wrapText="1"/>
    </xf>
    <xf numFmtId="171" fontId="46" fillId="17" borderId="23" xfId="0" applyNumberFormat="1" applyFont="1" applyFill="1" applyBorder="1" applyAlignment="1">
      <alignment horizontal="center" vertical="center" wrapText="1"/>
    </xf>
    <xf numFmtId="0" fontId="0" fillId="0" borderId="4" xfId="0" applyBorder="1" applyAlignment="1" applyProtection="1">
      <alignment horizontal="center" vertical="center"/>
      <protection locked="0"/>
    </xf>
    <xf numFmtId="14" fontId="0" fillId="0" borderId="0" xfId="0" applyNumberFormat="1"/>
    <xf numFmtId="0" fontId="50" fillId="0" borderId="0" xfId="0" applyFont="1"/>
    <xf numFmtId="0" fontId="51" fillId="0" borderId="0" xfId="0" applyFont="1"/>
    <xf numFmtId="10" fontId="0" fillId="0" borderId="0" xfId="0" applyNumberFormat="1"/>
    <xf numFmtId="171" fontId="0" fillId="0" borderId="0" xfId="0" applyNumberFormat="1"/>
    <xf numFmtId="17" fontId="0" fillId="0" borderId="0" xfId="0" applyNumberFormat="1"/>
    <xf numFmtId="169" fontId="0" fillId="0" borderId="0" xfId="0" applyNumberFormat="1"/>
    <xf numFmtId="0" fontId="52" fillId="22" borderId="1" xfId="0" applyFont="1" applyFill="1" applyBorder="1" applyAlignment="1">
      <alignment wrapText="1"/>
    </xf>
    <xf numFmtId="0" fontId="48" fillId="23" borderId="8" xfId="0" applyFont="1" applyFill="1" applyBorder="1" applyAlignment="1">
      <alignment wrapText="1"/>
    </xf>
    <xf numFmtId="0" fontId="52" fillId="24" borderId="1" xfId="0" applyFont="1" applyFill="1" applyBorder="1" applyAlignment="1">
      <alignment wrapText="1"/>
    </xf>
    <xf numFmtId="0" fontId="48" fillId="0" borderId="0" xfId="0" applyFont="1"/>
    <xf numFmtId="0" fontId="48" fillId="26" borderId="0" xfId="0" applyFont="1" applyFill="1"/>
    <xf numFmtId="10" fontId="8" fillId="18" borderId="0" xfId="11" applyNumberFormat="1" applyFont="1" applyFill="1" applyBorder="1" applyAlignment="1">
      <alignment horizontal="center" vertical="center"/>
    </xf>
    <xf numFmtId="9" fontId="0" fillId="0" borderId="0" xfId="11" applyFont="1"/>
    <xf numFmtId="0" fontId="11" fillId="0" borderId="4" xfId="1" applyFill="1" applyBorder="1" applyAlignment="1">
      <alignment vertical="center" wrapText="1"/>
    </xf>
    <xf numFmtId="0" fontId="11" fillId="0" borderId="1" xfId="1" applyBorder="1"/>
    <xf numFmtId="0" fontId="11" fillId="0" borderId="0" xfId="1" applyFill="1" applyBorder="1" applyAlignment="1">
      <alignment horizontal="center" vertical="center" wrapText="1"/>
    </xf>
    <xf numFmtId="0" fontId="47" fillId="0" borderId="0" xfId="0" applyFont="1"/>
    <xf numFmtId="0" fontId="24" fillId="10" borderId="27" xfId="0" applyFont="1" applyFill="1" applyBorder="1" applyAlignment="1">
      <alignment horizontal="center" vertical="center" wrapText="1"/>
    </xf>
    <xf numFmtId="0" fontId="8" fillId="18" borderId="27" xfId="0" applyFont="1" applyFill="1" applyBorder="1" applyAlignment="1">
      <alignment horizontal="center" vertical="center"/>
    </xf>
    <xf numFmtId="10" fontId="8" fillId="0" borderId="0" xfId="11" applyNumberFormat="1" applyFont="1" applyBorder="1" applyAlignment="1" applyProtection="1">
      <alignment horizontal="center" vertical="center"/>
      <protection locked="0"/>
    </xf>
    <xf numFmtId="10" fontId="8" fillId="0" borderId="4" xfId="11" applyNumberFormat="1" applyFont="1" applyBorder="1" applyAlignment="1" applyProtection="1">
      <alignment horizontal="center" vertical="center"/>
      <protection locked="0"/>
    </xf>
    <xf numFmtId="0" fontId="0" fillId="0" borderId="4" xfId="0" applyBorder="1" applyAlignment="1" applyProtection="1">
      <alignment vertical="center"/>
      <protection locked="0"/>
    </xf>
    <xf numFmtId="10" fontId="8" fillId="18" borderId="1" xfId="11" applyNumberFormat="1" applyFont="1" applyFill="1" applyBorder="1" applyAlignment="1" applyProtection="1">
      <alignment horizontal="center" vertical="center"/>
      <protection locked="0"/>
    </xf>
    <xf numFmtId="17" fontId="0" fillId="18" borderId="1" xfId="0" applyNumberFormat="1" applyFill="1" applyBorder="1" applyAlignment="1" applyProtection="1">
      <alignment horizontal="center" vertical="center"/>
      <protection locked="0"/>
    </xf>
    <xf numFmtId="0" fontId="0" fillId="18" borderId="1" xfId="0" applyFill="1" applyBorder="1" applyAlignment="1" applyProtection="1">
      <alignment horizontal="center" vertical="center"/>
      <protection locked="0"/>
    </xf>
    <xf numFmtId="14" fontId="0" fillId="0" borderId="4" xfId="0" applyNumberFormat="1" applyBorder="1" applyAlignment="1" applyProtection="1">
      <alignment horizontal="center" vertical="center"/>
      <protection locked="0"/>
    </xf>
    <xf numFmtId="17" fontId="0" fillId="0" borderId="4" xfId="0" applyNumberFormat="1" applyBorder="1" applyAlignment="1" applyProtection="1">
      <alignment horizontal="center" vertical="center"/>
      <protection locked="0"/>
    </xf>
    <xf numFmtId="0" fontId="0" fillId="0" borderId="4" xfId="0" applyBorder="1" applyAlignment="1" applyProtection="1">
      <alignment vertical="center" wrapText="1"/>
      <protection locked="0"/>
    </xf>
    <xf numFmtId="10" fontId="8" fillId="18" borderId="4" xfId="11" applyNumberFormat="1" applyFont="1" applyFill="1" applyBorder="1" applyAlignment="1" applyProtection="1">
      <alignment horizontal="center" vertical="center"/>
      <protection locked="0"/>
    </xf>
    <xf numFmtId="17" fontId="0" fillId="18" borderId="4" xfId="0" applyNumberFormat="1" applyFill="1" applyBorder="1" applyAlignment="1" applyProtection="1">
      <alignment horizontal="center" vertical="center"/>
      <protection locked="0"/>
    </xf>
    <xf numFmtId="0" fontId="0" fillId="0" borderId="24" xfId="0" applyBorder="1" applyAlignment="1">
      <alignment horizontal="center" vertical="center" wrapText="1"/>
    </xf>
    <xf numFmtId="14" fontId="0" fillId="0" borderId="20" xfId="0" applyNumberFormat="1" applyBorder="1" applyAlignment="1">
      <alignment horizontal="center" vertical="center" wrapText="1"/>
    </xf>
    <xf numFmtId="165" fontId="0" fillId="0" borderId="0" xfId="10" applyFont="1" applyFill="1" applyBorder="1" applyAlignment="1">
      <alignment vertical="center" wrapText="1"/>
    </xf>
    <xf numFmtId="0" fontId="44" fillId="0" borderId="7" xfId="0" applyFont="1" applyBorder="1" applyAlignment="1">
      <alignment horizontal="center" vertical="center" wrapText="1"/>
    </xf>
    <xf numFmtId="0" fontId="44" fillId="0" borderId="8" xfId="0" applyFont="1" applyBorder="1" applyAlignment="1">
      <alignment horizontal="center" vertical="center" wrapText="1"/>
    </xf>
    <xf numFmtId="169" fontId="44" fillId="0" borderId="8" xfId="0" applyNumberFormat="1" applyFont="1" applyBorder="1" applyAlignment="1">
      <alignment horizontal="center" vertical="center" wrapText="1"/>
    </xf>
    <xf numFmtId="0" fontId="44" fillId="0" borderId="17" xfId="0" applyFont="1" applyBorder="1" applyAlignment="1">
      <alignment horizontal="center" vertical="center" wrapText="1"/>
    </xf>
    <xf numFmtId="0" fontId="44" fillId="0" borderId="20" xfId="0" applyFont="1" applyBorder="1" applyAlignment="1">
      <alignment horizontal="center" vertical="center" wrapText="1"/>
    </xf>
    <xf numFmtId="0" fontId="8" fillId="0" borderId="3" xfId="0" applyFont="1" applyBorder="1" applyAlignment="1">
      <alignment horizontal="center" vertical="center" wrapText="1"/>
    </xf>
    <xf numFmtId="14" fontId="0" fillId="0" borderId="1" xfId="0" applyNumberFormat="1" applyBorder="1" applyAlignment="1">
      <alignment horizontal="center" vertical="center" wrapText="1"/>
    </xf>
    <xf numFmtId="10"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9" fontId="0" fillId="0" borderId="1" xfId="0" applyNumberFormat="1" applyBorder="1" applyAlignment="1">
      <alignment horizontal="center" vertical="center" wrapText="1"/>
    </xf>
    <xf numFmtId="0" fontId="0" fillId="0" borderId="20" xfId="0" applyBorder="1" applyAlignment="1">
      <alignment wrapText="1"/>
    </xf>
    <xf numFmtId="169" fontId="8" fillId="0" borderId="1" xfId="0" applyNumberFormat="1" applyFont="1" applyBorder="1" applyAlignment="1">
      <alignment horizontal="center" vertical="center" wrapText="1"/>
    </xf>
    <xf numFmtId="0" fontId="0" fillId="0" borderId="20" xfId="0" applyBorder="1" applyAlignment="1">
      <alignment vertical="center" wrapText="1"/>
    </xf>
    <xf numFmtId="0" fontId="36" fillId="0" borderId="1" xfId="0" applyFont="1" applyBorder="1" applyAlignment="1">
      <alignment vertical="center" wrapText="1"/>
    </xf>
    <xf numFmtId="0" fontId="0" fillId="0" borderId="1" xfId="0" applyBorder="1" applyAlignment="1">
      <alignment vertical="center"/>
    </xf>
    <xf numFmtId="0" fontId="0" fillId="0" borderId="1" xfId="0" quotePrefix="1" applyBorder="1" applyAlignment="1">
      <alignment vertical="center" wrapText="1"/>
    </xf>
    <xf numFmtId="0" fontId="0" fillId="0" borderId="2" xfId="0" quotePrefix="1" applyBorder="1" applyAlignment="1">
      <alignment vertical="center" wrapText="1"/>
    </xf>
    <xf numFmtId="0" fontId="43" fillId="0" borderId="1" xfId="0" applyFont="1" applyBorder="1" applyAlignment="1">
      <alignment vertical="center" wrapText="1"/>
    </xf>
    <xf numFmtId="0" fontId="43" fillId="0" borderId="4" xfId="0" applyFont="1" applyBorder="1" applyAlignment="1">
      <alignment vertical="center"/>
    </xf>
    <xf numFmtId="0" fontId="43" fillId="0" borderId="1" xfId="0" applyFont="1" applyBorder="1" applyAlignment="1">
      <alignment vertical="center"/>
    </xf>
    <xf numFmtId="0" fontId="0" fillId="0" borderId="20" xfId="0" applyBorder="1"/>
    <xf numFmtId="0" fontId="47" fillId="0" borderId="1" xfId="0" applyFont="1" applyBorder="1" applyAlignment="1">
      <alignment vertical="center"/>
    </xf>
    <xf numFmtId="0" fontId="47" fillId="0" borderId="1" xfId="0" applyFont="1" applyBorder="1" applyAlignment="1">
      <alignment wrapText="1"/>
    </xf>
    <xf numFmtId="0" fontId="15" fillId="0" borderId="2" xfId="0" applyFont="1" applyBorder="1" applyAlignment="1">
      <alignment horizontal="center" vertical="center" wrapText="1"/>
    </xf>
    <xf numFmtId="0" fontId="11" fillId="0" borderId="1" xfId="1" applyFill="1" applyBorder="1"/>
    <xf numFmtId="0" fontId="0" fillId="0" borderId="2" xfId="0" applyBorder="1"/>
    <xf numFmtId="164" fontId="47" fillId="0" borderId="1" xfId="0" applyNumberFormat="1" applyFont="1" applyBorder="1" applyAlignment="1">
      <alignment horizontal="center" vertical="center"/>
    </xf>
    <xf numFmtId="172" fontId="35" fillId="0" borderId="1" xfId="0" applyNumberFormat="1" applyFont="1" applyBorder="1" applyAlignment="1">
      <alignment horizontal="center" vertical="center" wrapText="1"/>
    </xf>
    <xf numFmtId="0" fontId="15" fillId="0" borderId="4" xfId="0" applyFont="1" applyBorder="1" applyAlignment="1">
      <alignment horizontal="center" vertical="center" wrapText="1"/>
    </xf>
    <xf numFmtId="14" fontId="0" fillId="0" borderId="4" xfId="0" applyNumberFormat="1" applyBorder="1" applyAlignment="1">
      <alignment horizontal="center" vertical="center" wrapText="1"/>
    </xf>
    <xf numFmtId="169" fontId="8" fillId="0" borderId="4" xfId="0" applyNumberFormat="1" applyFont="1" applyBorder="1" applyAlignment="1">
      <alignment horizontal="center" vertical="center" wrapText="1"/>
    </xf>
    <xf numFmtId="10"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170" fontId="0" fillId="0" borderId="1" xfId="0" applyNumberFormat="1" applyBorder="1" applyAlignment="1">
      <alignment horizontal="center" vertical="center" wrapText="1"/>
    </xf>
    <xf numFmtId="0" fontId="0" fillId="0" borderId="4" xfId="0" quotePrefix="1" applyBorder="1" applyAlignment="1">
      <alignment vertical="center" wrapText="1"/>
    </xf>
    <xf numFmtId="14" fontId="0" fillId="0" borderId="16" xfId="0" applyNumberFormat="1" applyBorder="1" applyAlignment="1">
      <alignment horizontal="center" vertical="center" wrapText="1"/>
    </xf>
    <xf numFmtId="0" fontId="0" fillId="0" borderId="16" xfId="0" applyBorder="1" applyAlignment="1">
      <alignment vertical="center" wrapText="1"/>
    </xf>
    <xf numFmtId="0" fontId="0" fillId="0" borderId="20" xfId="0" quotePrefix="1" applyBorder="1" applyAlignment="1">
      <alignment vertical="center" wrapText="1"/>
    </xf>
    <xf numFmtId="0" fontId="10" fillId="0" borderId="4" xfId="0" applyFont="1" applyBorder="1" applyAlignment="1">
      <alignment vertical="center" wrapText="1"/>
    </xf>
    <xf numFmtId="14" fontId="8" fillId="0" borderId="4" xfId="0" applyNumberFormat="1" applyFont="1" applyBorder="1" applyAlignment="1">
      <alignment horizontal="center" vertical="center" wrapText="1"/>
    </xf>
    <xf numFmtId="0" fontId="0" fillId="0" borderId="20" xfId="0" quotePrefix="1" applyBorder="1" applyAlignment="1">
      <alignment wrapText="1"/>
    </xf>
    <xf numFmtId="0" fontId="0" fillId="0" borderId="16" xfId="0" applyBorder="1" applyAlignment="1">
      <alignment horizontal="center" vertical="center" wrapText="1"/>
    </xf>
    <xf numFmtId="0" fontId="8" fillId="0" borderId="19" xfId="0" applyFont="1" applyBorder="1" applyAlignment="1">
      <alignment horizontal="center" vertical="center" wrapText="1"/>
    </xf>
    <xf numFmtId="0" fontId="0" fillId="0" borderId="6" xfId="0" applyBorder="1" applyAlignment="1">
      <alignment vertical="center" wrapText="1"/>
    </xf>
    <xf numFmtId="0" fontId="34" fillId="0" borderId="6" xfId="0" applyFont="1" applyBorder="1" applyAlignment="1">
      <alignment horizontal="center" vertical="center" wrapText="1"/>
    </xf>
    <xf numFmtId="0" fontId="0" fillId="0" borderId="22" xfId="0" applyBorder="1" applyAlignment="1">
      <alignment wrapText="1"/>
    </xf>
    <xf numFmtId="14" fontId="0" fillId="0" borderId="22" xfId="0" applyNumberFormat="1" applyBorder="1" applyAlignment="1">
      <alignment horizontal="center" vertical="center" wrapText="1"/>
    </xf>
    <xf numFmtId="0" fontId="0" fillId="0" borderId="22" xfId="0" applyBorder="1" applyAlignment="1">
      <alignment vertical="center" wrapText="1"/>
    </xf>
    <xf numFmtId="0" fontId="10" fillId="0" borderId="4" xfId="0" applyFont="1" applyBorder="1" applyAlignment="1">
      <alignment horizontal="center" vertical="center" wrapText="1"/>
    </xf>
    <xf numFmtId="0" fontId="0" fillId="0" borderId="22" xfId="0" applyBorder="1" applyAlignment="1">
      <alignment horizontal="center" vertical="center" wrapText="1"/>
    </xf>
    <xf numFmtId="0" fontId="29" fillId="0" borderId="6" xfId="0" applyFont="1" applyBorder="1" applyAlignment="1">
      <alignment horizontal="center" vertical="center" wrapText="1"/>
    </xf>
    <xf numFmtId="14" fontId="15" fillId="0" borderId="16" xfId="0" applyNumberFormat="1" applyFont="1" applyBorder="1" applyAlignment="1">
      <alignment horizontal="center" vertical="center" wrapText="1"/>
    </xf>
    <xf numFmtId="14" fontId="29" fillId="0" borderId="4" xfId="0" applyNumberFormat="1" applyFont="1" applyBorder="1" applyAlignment="1">
      <alignment horizontal="center" vertical="center" wrapText="1"/>
    </xf>
    <xf numFmtId="0" fontId="33" fillId="0" borderId="4" xfId="0" applyFont="1" applyBorder="1" applyAlignment="1">
      <alignment horizontal="left" vertical="center" wrapText="1"/>
    </xf>
    <xf numFmtId="0" fontId="48" fillId="0" borderId="0" xfId="0" applyFont="1" applyAlignment="1">
      <alignment vertical="center" wrapText="1"/>
    </xf>
    <xf numFmtId="0" fontId="35" fillId="0" borderId="4" xfId="0" applyFont="1" applyBorder="1" applyAlignment="1">
      <alignment horizontal="left" vertical="center" wrapText="1"/>
    </xf>
    <xf numFmtId="0" fontId="35" fillId="0" borderId="4" xfId="0" applyFont="1" applyBorder="1" applyAlignment="1">
      <alignment vertical="center" wrapText="1"/>
    </xf>
    <xf numFmtId="172" fontId="35" fillId="0" borderId="4" xfId="0" applyNumberFormat="1" applyFont="1" applyBorder="1" applyAlignment="1">
      <alignment horizontal="center" vertical="center" wrapText="1"/>
    </xf>
    <xf numFmtId="0" fontId="48" fillId="0" borderId="4" xfId="0" applyFont="1" applyBorder="1" applyAlignment="1">
      <alignment vertical="center" wrapText="1"/>
    </xf>
    <xf numFmtId="0" fontId="48" fillId="0" borderId="1" xfId="0" applyFont="1" applyBorder="1" applyAlignment="1">
      <alignment horizontal="center" vertical="center" wrapText="1"/>
    </xf>
    <xf numFmtId="0" fontId="32" fillId="0" borderId="4" xfId="0" applyFont="1" applyBorder="1" applyAlignment="1">
      <alignment horizontal="left" vertical="center"/>
    </xf>
    <xf numFmtId="0" fontId="0" fillId="0" borderId="16" xfId="0" applyBorder="1" applyAlignment="1">
      <alignment horizontal="left" vertical="center" wrapText="1"/>
    </xf>
    <xf numFmtId="0" fontId="0" fillId="0" borderId="25" xfId="0" applyBorder="1" applyAlignment="1">
      <alignment vertical="center" wrapText="1"/>
    </xf>
    <xf numFmtId="17" fontId="8" fillId="0" borderId="6" xfId="0" applyNumberFormat="1" applyFont="1" applyBorder="1" applyAlignment="1">
      <alignment horizontal="center" vertical="center" wrapText="1"/>
    </xf>
    <xf numFmtId="0" fontId="54" fillId="0" borderId="6" xfId="0" applyFont="1" applyBorder="1" applyAlignment="1">
      <alignment horizontal="left" vertical="center" wrapText="1"/>
    </xf>
    <xf numFmtId="0" fontId="56" fillId="0" borderId="6" xfId="0" applyFont="1" applyBorder="1" applyAlignment="1">
      <alignment horizontal="left" vertical="center" wrapText="1"/>
    </xf>
    <xf numFmtId="0" fontId="55" fillId="0" borderId="6" xfId="0" applyFont="1" applyBorder="1" applyAlignment="1">
      <alignment horizontal="left" vertical="center" wrapText="1"/>
    </xf>
    <xf numFmtId="0" fontId="0" fillId="0" borderId="6" xfId="0" quotePrefix="1" applyBorder="1" applyAlignment="1">
      <alignment vertical="center" wrapText="1"/>
    </xf>
    <xf numFmtId="0" fontId="35" fillId="0" borderId="4" xfId="0" applyFont="1" applyBorder="1"/>
    <xf numFmtId="0" fontId="35" fillId="0" borderId="22" xfId="0" applyFont="1" applyBorder="1"/>
    <xf numFmtId="0" fontId="35" fillId="0" borderId="22" xfId="0" applyFont="1" applyBorder="1" applyAlignment="1">
      <alignment vertical="center" wrapText="1"/>
    </xf>
    <xf numFmtId="10" fontId="8" fillId="0" borderId="6" xfId="0" applyNumberFormat="1" applyFont="1" applyBorder="1" applyAlignment="1">
      <alignment horizontal="center" vertical="center" wrapText="1"/>
    </xf>
    <xf numFmtId="0" fontId="38" fillId="0" borderId="4" xfId="0" applyFont="1" applyBorder="1" applyAlignment="1">
      <alignment horizontal="left" vertical="center" wrapText="1"/>
    </xf>
    <xf numFmtId="0" fontId="16" fillId="0" borderId="1" xfId="0" applyFont="1" applyBorder="1" applyAlignment="1">
      <alignment vertical="center" wrapText="1"/>
    </xf>
    <xf numFmtId="0" fontId="55" fillId="0" borderId="4" xfId="0" applyFont="1" applyBorder="1" applyAlignment="1">
      <alignment horizontal="left" vertical="center" wrapText="1"/>
    </xf>
    <xf numFmtId="0" fontId="54" fillId="0" borderId="4" xfId="0" applyFont="1" applyBorder="1" applyAlignment="1">
      <alignment horizontal="left" vertical="center" wrapText="1"/>
    </xf>
    <xf numFmtId="172" fontId="0" fillId="0" borderId="4" xfId="0" applyNumberFormat="1" applyBorder="1"/>
    <xf numFmtId="0" fontId="25" fillId="0" borderId="1" xfId="0" applyFont="1" applyBorder="1" applyAlignment="1">
      <alignment vertical="center" wrapText="1"/>
    </xf>
    <xf numFmtId="0" fontId="55" fillId="0" borderId="22" xfId="0" applyFont="1" applyBorder="1" applyAlignment="1">
      <alignment horizontal="left" vertical="center" wrapText="1"/>
    </xf>
    <xf numFmtId="0" fontId="57" fillId="0" borderId="22" xfId="0" applyFont="1" applyBorder="1" applyAlignment="1">
      <alignment horizontal="left" vertical="center" wrapText="1"/>
    </xf>
    <xf numFmtId="0" fontId="23" fillId="18" borderId="29" xfId="0" applyFont="1" applyFill="1" applyBorder="1" applyAlignment="1">
      <alignment horizontal="center" vertical="center" wrapText="1"/>
    </xf>
    <xf numFmtId="0" fontId="23" fillId="0" borderId="1" xfId="0" applyFont="1" applyBorder="1" applyAlignment="1">
      <alignment horizontal="center" vertical="center" wrapText="1"/>
    </xf>
    <xf numFmtId="0" fontId="0" fillId="18" borderId="4" xfId="0" applyFill="1" applyBorder="1" applyAlignment="1" applyProtection="1">
      <alignment vertical="center" wrapText="1"/>
      <protection locked="0"/>
    </xf>
    <xf numFmtId="169" fontId="0" fillId="10" borderId="20" xfId="0" applyNumberFormat="1" applyFill="1" applyBorder="1" applyAlignment="1">
      <alignment horizontal="center" vertical="center" wrapText="1"/>
    </xf>
    <xf numFmtId="10" fontId="0" fillId="10" borderId="20" xfId="11" applyNumberFormat="1" applyFont="1" applyFill="1" applyBorder="1" applyAlignment="1">
      <alignment horizontal="center" vertical="center" wrapText="1"/>
    </xf>
    <xf numFmtId="0" fontId="0" fillId="5" borderId="1" xfId="0" applyFill="1" applyBorder="1" applyAlignment="1">
      <alignment horizontal="left" vertical="center" wrapText="1"/>
    </xf>
    <xf numFmtId="0" fontId="0" fillId="0" borderId="0" xfId="0" applyAlignment="1">
      <alignment horizontal="left" wrapText="1"/>
    </xf>
    <xf numFmtId="0" fontId="0" fillId="18" borderId="28" xfId="0" applyFill="1" applyBorder="1" applyAlignment="1">
      <alignment horizontal="center" vertical="center" wrapText="1"/>
    </xf>
    <xf numFmtId="0" fontId="0" fillId="5" borderId="4" xfId="0" applyFill="1" applyBorder="1" applyAlignment="1">
      <alignment horizontal="left" vertical="center" wrapText="1"/>
    </xf>
    <xf numFmtId="0" fontId="0" fillId="8" borderId="20" xfId="0" applyFill="1" applyBorder="1" applyAlignment="1">
      <alignment horizontal="center" vertical="center" wrapText="1"/>
    </xf>
    <xf numFmtId="169" fontId="0" fillId="0" borderId="20" xfId="0" applyNumberFormat="1" applyBorder="1" applyAlignment="1">
      <alignment horizontal="center" vertical="center" wrapText="1"/>
    </xf>
    <xf numFmtId="169" fontId="0" fillId="18" borderId="20" xfId="0" applyNumberFormat="1" applyFill="1" applyBorder="1" applyAlignment="1">
      <alignment horizontal="center" vertical="center" wrapText="1"/>
    </xf>
    <xf numFmtId="10" fontId="0" fillId="18" borderId="20" xfId="11" applyNumberFormat="1" applyFont="1" applyFill="1" applyBorder="1" applyAlignment="1">
      <alignment horizontal="center" vertical="center" wrapText="1"/>
    </xf>
    <xf numFmtId="10" fontId="0" fillId="0" borderId="20" xfId="11" applyNumberFormat="1" applyFont="1" applyBorder="1" applyAlignment="1">
      <alignment horizontal="center" vertical="center" wrapText="1"/>
    </xf>
    <xf numFmtId="0" fontId="0" fillId="0" borderId="4" xfId="0" applyBorder="1" applyAlignment="1">
      <alignment vertical="center"/>
    </xf>
    <xf numFmtId="0" fontId="43" fillId="0" borderId="0" xfId="0" applyFont="1" applyAlignment="1">
      <alignment vertical="center"/>
    </xf>
    <xf numFmtId="0" fontId="26" fillId="0" borderId="0" xfId="0" applyFont="1" applyAlignment="1">
      <alignment vertical="center" wrapText="1"/>
    </xf>
    <xf numFmtId="0" fontId="28" fillId="0" borderId="1" xfId="0" applyFont="1" applyBorder="1" applyAlignment="1">
      <alignment horizontal="center" vertical="center" wrapText="1"/>
    </xf>
    <xf numFmtId="0" fontId="47" fillId="0" borderId="4" xfId="0" applyFont="1" applyBorder="1" applyAlignment="1">
      <alignment wrapText="1"/>
    </xf>
    <xf numFmtId="0" fontId="56" fillId="0" borderId="4" xfId="0" applyFont="1" applyBorder="1" applyAlignment="1">
      <alignment horizontal="left" vertical="center" wrapText="1"/>
    </xf>
    <xf numFmtId="0" fontId="58" fillId="0" borderId="4" xfId="0" applyFont="1" applyBorder="1" applyAlignment="1">
      <alignment horizontal="left" vertical="center" wrapText="1"/>
    </xf>
    <xf numFmtId="164" fontId="47" fillId="0" borderId="4" xfId="0" applyNumberFormat="1" applyFont="1" applyBorder="1" applyAlignment="1">
      <alignment horizontal="center" vertical="center"/>
    </xf>
    <xf numFmtId="0" fontId="11" fillId="0" borderId="1" xfId="1" applyFill="1" applyBorder="1" applyAlignment="1">
      <alignment vertical="center" wrapText="1"/>
    </xf>
    <xf numFmtId="0" fontId="56" fillId="0" borderId="22" xfId="0" applyFont="1" applyBorder="1" applyAlignment="1">
      <alignment horizontal="left" vertical="center" wrapText="1"/>
    </xf>
    <xf numFmtId="0" fontId="58" fillId="0" borderId="22" xfId="0" applyFont="1" applyBorder="1" applyAlignment="1">
      <alignment horizontal="left" vertical="center" wrapText="1"/>
    </xf>
    <xf numFmtId="0" fontId="41" fillId="0" borderId="22" xfId="0" applyFont="1" applyBorder="1" applyAlignment="1">
      <alignment vertical="center" wrapText="1"/>
    </xf>
    <xf numFmtId="0" fontId="15" fillId="0" borderId="0" xfId="0" applyFont="1" applyAlignment="1">
      <alignment vertical="center" wrapText="1"/>
    </xf>
    <xf numFmtId="0" fontId="0" fillId="5" borderId="4" xfId="0" applyFill="1" applyBorder="1" applyAlignment="1" applyProtection="1">
      <alignment horizontal="left" vertical="center" wrapText="1"/>
      <protection locked="0"/>
    </xf>
    <xf numFmtId="0" fontId="48" fillId="25" borderId="8" xfId="0" applyFont="1" applyFill="1" applyBorder="1" applyAlignment="1" applyProtection="1">
      <alignment wrapText="1"/>
      <protection locked="0"/>
    </xf>
    <xf numFmtId="174" fontId="8" fillId="0" borderId="1" xfId="0" applyNumberFormat="1" applyFont="1" applyBorder="1" applyAlignment="1">
      <alignment horizontal="center" vertical="center" wrapText="1"/>
    </xf>
    <xf numFmtId="0" fontId="43" fillId="0" borderId="4" xfId="0" applyFont="1" applyBorder="1" applyAlignment="1">
      <alignment horizontal="left" vertical="center" wrapText="1"/>
    </xf>
    <xf numFmtId="0" fontId="26" fillId="0" borderId="1" xfId="0" applyFont="1" applyBorder="1" applyAlignment="1">
      <alignment vertical="center" wrapText="1"/>
    </xf>
    <xf numFmtId="4" fontId="0" fillId="0" borderId="4" xfId="0" applyNumberFormat="1" applyBorder="1"/>
    <xf numFmtId="10" fontId="8" fillId="18" borderId="0" xfId="11" applyNumberFormat="1" applyFont="1" applyFill="1" applyBorder="1" applyAlignment="1">
      <alignment horizontal="left"/>
    </xf>
    <xf numFmtId="0" fontId="23" fillId="16" borderId="20" xfId="0" applyFont="1" applyFill="1" applyBorder="1" applyAlignment="1">
      <alignment horizontal="left" vertical="center" wrapText="1"/>
    </xf>
    <xf numFmtId="0" fontId="23" fillId="27" borderId="20" xfId="0" applyFont="1" applyFill="1" applyBorder="1" applyAlignment="1">
      <alignment horizontal="left" vertical="center" wrapText="1"/>
    </xf>
    <xf numFmtId="0" fontId="23" fillId="28" borderId="20" xfId="0" applyFont="1" applyFill="1" applyBorder="1" applyAlignment="1">
      <alignment horizontal="left" vertical="center" wrapText="1"/>
    </xf>
    <xf numFmtId="9" fontId="8" fillId="0" borderId="1" xfId="11" applyFont="1" applyBorder="1" applyAlignment="1" applyProtection="1">
      <alignment horizontal="center" vertical="center" wrapText="1"/>
      <protection locked="0"/>
    </xf>
    <xf numFmtId="167" fontId="0" fillId="0" borderId="4" xfId="0" applyNumberFormat="1" applyBorder="1" applyAlignment="1" applyProtection="1">
      <alignment vertical="center"/>
      <protection locked="0"/>
    </xf>
    <xf numFmtId="0" fontId="0" fillId="0" borderId="20" xfId="0" applyBorder="1" applyAlignment="1">
      <alignment horizontal="left" vertical="center" wrapText="1"/>
    </xf>
    <xf numFmtId="0" fontId="16" fillId="0" borderId="0" xfId="0" applyFont="1"/>
    <xf numFmtId="0" fontId="36" fillId="0" borderId="4" xfId="0" applyFont="1" applyBorder="1" applyAlignment="1">
      <alignment vertical="center" wrapText="1"/>
    </xf>
    <xf numFmtId="0" fontId="0" fillId="0" borderId="4" xfId="0" applyBorder="1"/>
    <xf numFmtId="0" fontId="59" fillId="0" borderId="4" xfId="0" applyFont="1" applyBorder="1" applyAlignment="1">
      <alignment horizontal="left" vertical="center" wrapText="1"/>
    </xf>
    <xf numFmtId="168" fontId="0" fillId="0" borderId="1" xfId="0" applyNumberFormat="1" applyBorder="1" applyAlignment="1">
      <alignment horizontal="left" vertical="center" wrapText="1"/>
    </xf>
    <xf numFmtId="0" fontId="15" fillId="0" borderId="4" xfId="0" applyFont="1" applyBorder="1" applyAlignment="1">
      <alignment vertical="center"/>
    </xf>
    <xf numFmtId="0" fontId="59" fillId="0" borderId="22" xfId="0" applyFont="1" applyBorder="1" applyAlignment="1">
      <alignment horizontal="left" vertical="center" wrapText="1"/>
    </xf>
    <xf numFmtId="0" fontId="65" fillId="6" borderId="8" xfId="0" applyFont="1" applyFill="1" applyBorder="1" applyAlignment="1">
      <alignment horizontal="center" vertical="center" wrapText="1"/>
    </xf>
    <xf numFmtId="0" fontId="66" fillId="6" borderId="8" xfId="0" applyFont="1" applyFill="1" applyBorder="1" applyAlignment="1">
      <alignment horizontal="center" vertical="center" wrapText="1"/>
    </xf>
    <xf numFmtId="10" fontId="65" fillId="6" borderId="8" xfId="11" applyNumberFormat="1" applyFont="1" applyFill="1" applyBorder="1" applyAlignment="1">
      <alignment horizontal="center" vertical="center" wrapText="1"/>
    </xf>
    <xf numFmtId="14" fontId="65" fillId="6" borderId="8" xfId="0" applyNumberFormat="1" applyFont="1" applyFill="1" applyBorder="1" applyAlignment="1">
      <alignment horizontal="center" vertical="center" wrapText="1"/>
    </xf>
    <xf numFmtId="9" fontId="0" fillId="0" borderId="0" xfId="0" applyNumberFormat="1"/>
    <xf numFmtId="0" fontId="0" fillId="18" borderId="30" xfId="0" applyFill="1" applyBorder="1" applyAlignment="1">
      <alignment horizontal="center" vertical="center" wrapText="1"/>
    </xf>
    <xf numFmtId="0" fontId="0" fillId="18" borderId="31" xfId="0" applyFill="1" applyBorder="1" applyAlignment="1">
      <alignment horizontal="center" vertical="center" wrapText="1"/>
    </xf>
    <xf numFmtId="0" fontId="35" fillId="0" borderId="0" xfId="0" applyFont="1"/>
    <xf numFmtId="0" fontId="35" fillId="0" borderId="0" xfId="0" applyFont="1" applyAlignment="1">
      <alignment wrapText="1"/>
    </xf>
    <xf numFmtId="9" fontId="0" fillId="0" borderId="0" xfId="0" applyNumberFormat="1" applyAlignment="1">
      <alignment vertical="center"/>
    </xf>
    <xf numFmtId="14" fontId="0" fillId="0" borderId="0" xfId="0" applyNumberFormat="1" applyAlignment="1">
      <alignment vertical="center"/>
    </xf>
    <xf numFmtId="0" fontId="0" fillId="18" borderId="3" xfId="0" applyFill="1" applyBorder="1" applyAlignment="1">
      <alignment horizontal="center" vertical="center" wrapText="1"/>
    </xf>
    <xf numFmtId="0" fontId="8" fillId="0" borderId="31" xfId="0" applyFont="1" applyBorder="1" applyAlignment="1">
      <alignment horizontal="center" vertical="center" wrapText="1"/>
    </xf>
    <xf numFmtId="0" fontId="8" fillId="0" borderId="30" xfId="0" applyFont="1" applyBorder="1" applyAlignment="1">
      <alignment horizontal="center" vertical="center" wrapText="1"/>
    </xf>
    <xf numFmtId="0" fontId="0" fillId="0" borderId="32" xfId="0" applyBorder="1"/>
    <xf numFmtId="0" fontId="11" fillId="0" borderId="0" xfId="13" applyAlignment="1">
      <alignment wrapText="1"/>
    </xf>
    <xf numFmtId="0" fontId="36" fillId="0" borderId="4" xfId="0" applyFont="1" applyBorder="1" applyAlignment="1" applyProtection="1">
      <alignment horizontal="center" vertical="center"/>
      <protection locked="0"/>
    </xf>
    <xf numFmtId="0" fontId="35" fillId="0" borderId="0" xfId="0" applyFont="1" applyAlignment="1">
      <alignment horizontal="center" vertical="center" wrapText="1"/>
    </xf>
    <xf numFmtId="0" fontId="48" fillId="0" borderId="1" xfId="0" applyFont="1" applyBorder="1" applyAlignment="1">
      <alignment vertical="center" wrapText="1"/>
    </xf>
    <xf numFmtId="0" fontId="62" fillId="0" borderId="4" xfId="0" applyFont="1" applyBorder="1" applyAlignment="1">
      <alignment wrapText="1"/>
    </xf>
    <xf numFmtId="0" fontId="0" fillId="0" borderId="23" xfId="0" applyBorder="1" applyAlignment="1">
      <alignment vertical="center" wrapText="1"/>
    </xf>
    <xf numFmtId="0" fontId="0" fillId="0" borderId="25" xfId="0" applyBorder="1" applyAlignment="1">
      <alignment horizontal="center" vertical="center" wrapText="1"/>
    </xf>
    <xf numFmtId="0" fontId="15" fillId="0" borderId="0" xfId="0" applyFont="1" applyAlignment="1">
      <alignment horizontal="center" vertical="center" wrapText="1"/>
    </xf>
    <xf numFmtId="0" fontId="35" fillId="0" borderId="0" xfId="0" applyFont="1" applyAlignment="1">
      <alignment vertical="center" wrapText="1"/>
    </xf>
    <xf numFmtId="0" fontId="0" fillId="0" borderId="4" xfId="0" applyBorder="1" applyAlignment="1">
      <alignment horizontal="center" wrapText="1"/>
    </xf>
    <xf numFmtId="0" fontId="35" fillId="0" borderId="2" xfId="0" applyFont="1" applyBorder="1" applyAlignment="1">
      <alignment wrapText="1"/>
    </xf>
    <xf numFmtId="0" fontId="36" fillId="0" borderId="6" xfId="0" applyFont="1" applyBorder="1" applyAlignment="1">
      <alignment vertical="center" wrapText="1"/>
    </xf>
    <xf numFmtId="0" fontId="0" fillId="0" borderId="22" xfId="0" quotePrefix="1" applyBorder="1" applyAlignment="1">
      <alignment wrapText="1"/>
    </xf>
    <xf numFmtId="0" fontId="0" fillId="0" borderId="20" xfId="0" applyBorder="1" applyAlignment="1">
      <alignment vertical="center"/>
    </xf>
    <xf numFmtId="0" fontId="0" fillId="0" borderId="22" xfId="0" applyBorder="1"/>
    <xf numFmtId="0" fontId="0" fillId="0" borderId="22" xfId="0" applyBorder="1" applyAlignment="1">
      <alignment vertical="center"/>
    </xf>
    <xf numFmtId="0" fontId="36" fillId="0" borderId="1" xfId="0" applyFont="1" applyBorder="1" applyAlignment="1">
      <alignment horizontal="center"/>
    </xf>
    <xf numFmtId="0" fontId="0" fillId="0" borderId="18" xfId="0" applyBorder="1" applyAlignment="1" applyProtection="1">
      <alignment horizontal="center" vertical="center"/>
      <protection locked="0"/>
    </xf>
    <xf numFmtId="0" fontId="36" fillId="0" borderId="1" xfId="0" applyFont="1" applyBorder="1"/>
    <xf numFmtId="0" fontId="64"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0" fontId="0" fillId="0" borderId="15" xfId="0" applyBorder="1" applyAlignment="1" applyProtection="1">
      <alignment horizontal="center" vertical="center"/>
      <protection locked="0"/>
    </xf>
    <xf numFmtId="0" fontId="0" fillId="5" borderId="3" xfId="0" applyFill="1" applyBorder="1" applyAlignment="1" applyProtection="1">
      <alignment vertical="center"/>
      <protection locked="0"/>
    </xf>
    <xf numFmtId="0" fontId="0" fillId="5" borderId="1" xfId="0" applyFill="1" applyBorder="1" applyAlignment="1" applyProtection="1">
      <alignment horizontal="center" vertical="center" wrapText="1"/>
      <protection locked="0"/>
    </xf>
    <xf numFmtId="0" fontId="0" fillId="0" borderId="3" xfId="0" applyBorder="1" applyAlignment="1" applyProtection="1">
      <alignment vertical="center"/>
      <protection locked="0"/>
    </xf>
    <xf numFmtId="10" fontId="8" fillId="0" borderId="26" xfId="11" applyNumberFormat="1" applyFont="1" applyBorder="1" applyAlignment="1" applyProtection="1">
      <alignment horizontal="center" vertical="center"/>
      <protection locked="0"/>
    </xf>
    <xf numFmtId="171" fontId="0" fillId="0" borderId="4" xfId="0" applyNumberFormat="1" applyBorder="1" applyAlignment="1" applyProtection="1">
      <alignment horizontal="center" vertical="center"/>
      <protection locked="0"/>
    </xf>
    <xf numFmtId="167" fontId="8" fillId="0" borderId="4" xfId="0" applyNumberFormat="1" applyFont="1" applyBorder="1" applyAlignment="1" applyProtection="1">
      <alignment horizontal="center" vertical="center"/>
      <protection locked="0"/>
    </xf>
    <xf numFmtId="167" fontId="0" fillId="0" borderId="1" xfId="0" applyNumberFormat="1" applyBorder="1" applyAlignment="1" applyProtection="1">
      <alignment vertical="center"/>
      <protection locked="0"/>
    </xf>
    <xf numFmtId="0" fontId="8" fillId="15" borderId="0" xfId="0" applyFont="1" applyFill="1" applyAlignment="1">
      <alignment horizontal="center" vertical="center" wrapText="1"/>
    </xf>
    <xf numFmtId="0" fontId="8" fillId="0" borderId="1" xfId="0" applyFont="1" applyBorder="1" applyAlignment="1">
      <alignment vertical="center" wrapText="1"/>
    </xf>
    <xf numFmtId="0" fontId="36" fillId="0" borderId="18" xfId="0" applyFont="1" applyBorder="1" applyAlignment="1">
      <alignment horizontal="center"/>
    </xf>
    <xf numFmtId="0" fontId="8" fillId="0" borderId="1" xfId="0" applyFont="1" applyBorder="1"/>
    <xf numFmtId="9" fontId="0" fillId="0" borderId="4" xfId="0" applyNumberFormat="1" applyBorder="1" applyAlignment="1">
      <alignment horizontal="center" vertical="center" wrapText="1"/>
    </xf>
    <xf numFmtId="0" fontId="0" fillId="16" borderId="20" xfId="0" applyFill="1" applyBorder="1" applyAlignment="1">
      <alignment horizontal="center" vertical="center"/>
    </xf>
    <xf numFmtId="0" fontId="23" fillId="29" borderId="20" xfId="0" applyFont="1" applyFill="1" applyBorder="1" applyAlignment="1">
      <alignment horizontal="center" vertical="center" wrapText="1"/>
    </xf>
    <xf numFmtId="4" fontId="0" fillId="0" borderId="0" xfId="0" applyNumberFormat="1"/>
    <xf numFmtId="17" fontId="36" fillId="0" borderId="4" xfId="0" applyNumberFormat="1" applyFont="1" applyBorder="1" applyAlignment="1" applyProtection="1">
      <alignment horizontal="center" vertical="center"/>
      <protection locked="0"/>
    </xf>
    <xf numFmtId="0" fontId="6" fillId="2" borderId="0" xfId="0" applyFont="1" applyFill="1" applyAlignment="1">
      <alignment horizontal="center" vertical="center" wrapText="1"/>
    </xf>
    <xf numFmtId="10" fontId="8" fillId="0" borderId="1" xfId="11" applyNumberFormat="1" applyFont="1" applyBorder="1" applyAlignment="1">
      <alignment horizontal="center" vertical="center" wrapText="1"/>
    </xf>
    <xf numFmtId="0" fontId="11" fillId="0" borderId="1" xfId="1" applyBorder="1" applyAlignment="1">
      <alignment horizontal="center" vertical="center" wrapText="1"/>
    </xf>
    <xf numFmtId="165" fontId="0" fillId="0" borderId="1" xfId="10" applyFont="1" applyBorder="1" applyAlignment="1">
      <alignment vertical="center" wrapText="1"/>
    </xf>
    <xf numFmtId="0" fontId="11" fillId="0" borderId="1" xfId="1" applyBorder="1" applyAlignment="1">
      <alignment vertical="center" wrapText="1"/>
    </xf>
    <xf numFmtId="0" fontId="11" fillId="0" borderId="4" xfId="1" applyBorder="1" applyAlignment="1">
      <alignment horizontal="center" vertical="center" wrapText="1"/>
    </xf>
    <xf numFmtId="165" fontId="0" fillId="0" borderId="4" xfId="10" applyFont="1" applyBorder="1" applyAlignment="1">
      <alignment vertical="center" wrapText="1"/>
    </xf>
    <xf numFmtId="0" fontId="11" fillId="0" borderId="6" xfId="1" applyBorder="1" applyAlignment="1">
      <alignment horizontal="center" vertical="center" wrapText="1"/>
    </xf>
    <xf numFmtId="165" fontId="0" fillId="0" borderId="0" xfId="10" applyFont="1" applyAlignment="1">
      <alignment vertical="center" wrapText="1"/>
    </xf>
    <xf numFmtId="0" fontId="11" fillId="0" borderId="0" xfId="1" applyAlignment="1">
      <alignment horizontal="center" vertical="center" wrapText="1"/>
    </xf>
    <xf numFmtId="0" fontId="72" fillId="0" borderId="0" xfId="0" applyFont="1" applyAlignment="1">
      <alignment vertical="center" wrapText="1"/>
    </xf>
    <xf numFmtId="165" fontId="0" fillId="0" borderId="4" xfId="12" applyFont="1" applyBorder="1" applyAlignment="1">
      <alignment vertical="center" wrapText="1"/>
    </xf>
    <xf numFmtId="0" fontId="11" fillId="0" borderId="4" xfId="1" applyBorder="1"/>
    <xf numFmtId="0" fontId="11" fillId="0" borderId="4" xfId="1" applyBorder="1" applyAlignment="1">
      <alignment vertical="center" wrapText="1"/>
    </xf>
    <xf numFmtId="0" fontId="11" fillId="0" borderId="0" xfId="1" applyAlignment="1">
      <alignment vertical="center" wrapText="1"/>
    </xf>
    <xf numFmtId="165" fontId="0" fillId="0" borderId="2" xfId="10" quotePrefix="1" applyFont="1" applyBorder="1" applyAlignment="1">
      <alignment vertical="center" wrapText="1"/>
    </xf>
    <xf numFmtId="165" fontId="0" fillId="0" borderId="6" xfId="10" quotePrefix="1" applyFont="1" applyBorder="1" applyAlignment="1">
      <alignment vertical="center" wrapText="1"/>
    </xf>
    <xf numFmtId="165" fontId="0" fillId="0" borderId="4" xfId="10" quotePrefix="1" applyFont="1" applyBorder="1" applyAlignment="1">
      <alignment vertical="center" wrapText="1"/>
    </xf>
    <xf numFmtId="0" fontId="6" fillId="2" borderId="0" xfId="0" applyFont="1" applyFill="1" applyAlignment="1">
      <alignment vertical="center" wrapText="1"/>
    </xf>
    <xf numFmtId="169" fontId="6" fillId="2" borderId="0" xfId="0" applyNumberFormat="1" applyFont="1" applyFill="1" applyAlignment="1">
      <alignment vertical="center" wrapText="1"/>
    </xf>
    <xf numFmtId="0" fontId="27" fillId="0" borderId="4" xfId="0" applyFont="1" applyBorder="1" applyAlignment="1">
      <alignment vertical="center" wrapText="1"/>
    </xf>
    <xf numFmtId="0" fontId="41" fillId="0" borderId="4" xfId="0" applyFont="1" applyBorder="1" applyAlignment="1">
      <alignment horizontal="center" vertical="center" wrapText="1"/>
    </xf>
    <xf numFmtId="0" fontId="40" fillId="0" borderId="4" xfId="0" applyFont="1" applyBorder="1" applyAlignment="1">
      <alignment horizontal="center" vertical="center" wrapText="1"/>
    </xf>
    <xf numFmtId="0" fontId="35" fillId="0" borderId="4" xfId="0" applyFont="1" applyBorder="1" applyAlignment="1">
      <alignment wrapText="1"/>
    </xf>
    <xf numFmtId="10" fontId="8" fillId="0" borderId="4" xfId="11" applyNumberFormat="1" applyFont="1" applyFill="1" applyBorder="1" applyAlignment="1">
      <alignment horizontal="center" vertical="center" wrapText="1"/>
    </xf>
    <xf numFmtId="174" fontId="8" fillId="0" borderId="4" xfId="0" applyNumberFormat="1" applyFont="1" applyBorder="1" applyAlignment="1">
      <alignment horizontal="center" vertical="center" wrapText="1"/>
    </xf>
    <xf numFmtId="0" fontId="0" fillId="0" borderId="6" xfId="0" applyBorder="1" applyAlignment="1">
      <alignment wrapText="1"/>
    </xf>
    <xf numFmtId="0" fontId="42" fillId="0" borderId="22" xfId="0" applyFont="1" applyBorder="1" applyAlignment="1">
      <alignment vertical="center" wrapText="1"/>
    </xf>
    <xf numFmtId="0" fontId="36" fillId="0" borderId="22" xfId="0" applyFont="1" applyBorder="1" applyAlignment="1">
      <alignment vertical="center"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9" fontId="0" fillId="0" borderId="0" xfId="11" applyFont="1" applyAlignment="1">
      <alignment horizontal="left" vertical="top"/>
    </xf>
    <xf numFmtId="0" fontId="0" fillId="28" borderId="0" xfId="0" applyFill="1" applyAlignment="1">
      <alignment horizontal="left" vertical="top"/>
    </xf>
    <xf numFmtId="9" fontId="0" fillId="0" borderId="0" xfId="11" applyFont="1" applyAlignment="1">
      <alignment horizontal="left" vertical="top" wrapText="1"/>
    </xf>
    <xf numFmtId="172" fontId="0" fillId="0" borderId="0" xfId="10" applyNumberFormat="1" applyFont="1" applyAlignment="1">
      <alignment horizontal="left" vertical="top"/>
    </xf>
    <xf numFmtId="14" fontId="0" fillId="0" borderId="0" xfId="0" applyNumberFormat="1" applyAlignment="1">
      <alignment horizontal="left" vertical="top" wrapText="1"/>
    </xf>
    <xf numFmtId="172" fontId="0" fillId="0" borderId="0" xfId="0" applyNumberFormat="1" applyAlignment="1">
      <alignment horizontal="left" vertical="top"/>
    </xf>
    <xf numFmtId="0" fontId="53" fillId="0" borderId="0" xfId="0" applyFont="1" applyAlignment="1">
      <alignment horizontal="left" vertical="top"/>
    </xf>
    <xf numFmtId="0" fontId="53" fillId="28" borderId="0" xfId="0" applyFont="1" applyFill="1" applyAlignment="1">
      <alignment horizontal="left" vertical="top"/>
    </xf>
    <xf numFmtId="0" fontId="53" fillId="0" borderId="0" xfId="0" applyFont="1" applyAlignment="1">
      <alignment horizontal="left" vertical="top" wrapText="1"/>
    </xf>
    <xf numFmtId="14" fontId="53" fillId="0" borderId="0" xfId="0" applyNumberFormat="1" applyFont="1" applyAlignment="1">
      <alignment horizontal="left" vertical="top"/>
    </xf>
    <xf numFmtId="9" fontId="53" fillId="0" borderId="0" xfId="11" applyFont="1" applyAlignment="1">
      <alignment horizontal="left" vertical="top" wrapText="1"/>
    </xf>
    <xf numFmtId="172" fontId="53" fillId="0" borderId="0" xfId="0" applyNumberFormat="1" applyFont="1" applyAlignment="1">
      <alignment horizontal="left" vertical="top"/>
    </xf>
    <xf numFmtId="0" fontId="69" fillId="0" borderId="0" xfId="0" applyFont="1" applyAlignment="1">
      <alignment horizontal="left" vertical="top" wrapText="1"/>
    </xf>
    <xf numFmtId="0" fontId="35" fillId="0" borderId="0" xfId="0" applyFont="1" applyAlignment="1">
      <alignment horizontal="left" vertical="top" wrapText="1"/>
    </xf>
    <xf numFmtId="0" fontId="70" fillId="0" borderId="0" xfId="0" applyFont="1" applyAlignment="1">
      <alignment horizontal="left" vertical="top" wrapText="1"/>
    </xf>
    <xf numFmtId="9" fontId="0" fillId="0" borderId="0" xfId="11" applyFont="1" applyFill="1" applyAlignment="1">
      <alignment horizontal="left" vertical="top" wrapText="1"/>
    </xf>
    <xf numFmtId="14" fontId="53" fillId="0" borderId="0" xfId="0" applyNumberFormat="1" applyFont="1" applyAlignment="1">
      <alignment horizontal="left" vertical="top" wrapText="1"/>
    </xf>
    <xf numFmtId="9" fontId="53" fillId="0" borderId="0" xfId="11" applyFont="1" applyFill="1" applyAlignment="1">
      <alignment horizontal="left" vertical="top" wrapText="1"/>
    </xf>
    <xf numFmtId="0" fontId="36" fillId="0" borderId="4" xfId="0" applyFont="1" applyBorder="1"/>
    <xf numFmtId="9" fontId="8" fillId="0" borderId="4" xfId="11" applyFont="1" applyBorder="1" applyAlignment="1" applyProtection="1">
      <alignment horizontal="center" vertical="center" wrapText="1"/>
      <protection locked="0"/>
    </xf>
    <xf numFmtId="0" fontId="35" fillId="0" borderId="1" xfId="0" applyFont="1" applyBorder="1" applyAlignment="1">
      <alignment vertical="center" wrapText="1"/>
    </xf>
    <xf numFmtId="0" fontId="55" fillId="0" borderId="1" xfId="0" applyFont="1" applyBorder="1" applyAlignment="1">
      <alignment horizontal="left" vertical="center" wrapText="1"/>
    </xf>
    <xf numFmtId="4" fontId="0" fillId="0" borderId="1" xfId="0" applyNumberFormat="1" applyBorder="1"/>
    <xf numFmtId="0" fontId="41" fillId="0" borderId="0" xfId="0" applyFont="1" applyAlignment="1">
      <alignment vertical="center"/>
    </xf>
    <xf numFmtId="0" fontId="15" fillId="0" borderId="0" xfId="0" applyFont="1" applyAlignment="1">
      <alignment vertical="center"/>
    </xf>
    <xf numFmtId="0" fontId="0" fillId="0" borderId="16" xfId="0" applyBorder="1"/>
    <xf numFmtId="0" fontId="55" fillId="0" borderId="20" xfId="0" applyFont="1" applyBorder="1" applyAlignment="1">
      <alignment horizontal="left" vertical="center" wrapText="1"/>
    </xf>
    <xf numFmtId="0" fontId="35" fillId="0" borderId="20" xfId="0" applyFont="1" applyBorder="1" applyAlignment="1">
      <alignment vertical="center" wrapText="1"/>
    </xf>
    <xf numFmtId="0" fontId="8" fillId="0" borderId="4" xfId="0" applyFont="1" applyBorder="1" applyAlignment="1" applyProtection="1">
      <alignment horizontal="center" vertical="center"/>
      <protection locked="0"/>
    </xf>
    <xf numFmtId="14" fontId="0" fillId="0" borderId="2" xfId="0" applyNumberFormat="1" applyBorder="1" applyAlignment="1">
      <alignment horizontal="center" vertical="center" wrapText="1"/>
    </xf>
    <xf numFmtId="0" fontId="11" fillId="0" borderId="3" xfId="1" applyFill="1" applyBorder="1" applyAlignment="1">
      <alignment horizontal="center" vertical="center" wrapText="1"/>
    </xf>
    <xf numFmtId="175" fontId="0" fillId="0" borderId="4" xfId="0" applyNumberFormat="1" applyBorder="1" applyAlignment="1">
      <alignment horizontal="left" vertical="center" wrapText="1"/>
    </xf>
    <xf numFmtId="0" fontId="0" fillId="18" borderId="31" xfId="0" applyFill="1" applyBorder="1"/>
    <xf numFmtId="0" fontId="19" fillId="5" borderId="4" xfId="0" applyFont="1" applyFill="1" applyBorder="1" applyAlignment="1">
      <alignment horizontal="left" vertical="center" wrapText="1"/>
    </xf>
    <xf numFmtId="169" fontId="0" fillId="5" borderId="4" xfId="0" applyNumberFormat="1" applyFill="1" applyBorder="1" applyAlignment="1">
      <alignment horizontal="center" vertical="center"/>
    </xf>
    <xf numFmtId="0" fontId="0" fillId="18" borderId="4" xfId="0" applyFill="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10" fillId="0" borderId="0" xfId="0" applyFont="1" applyAlignment="1">
      <alignment vertical="center"/>
    </xf>
    <xf numFmtId="0" fontId="0" fillId="18" borderId="33" xfId="0" applyFill="1" applyBorder="1" applyAlignment="1">
      <alignment horizontal="center" vertical="center"/>
    </xf>
    <xf numFmtId="0" fontId="0" fillId="0" borderId="33" xfId="0" applyBorder="1" applyAlignment="1">
      <alignment horizontal="center" vertical="center"/>
    </xf>
    <xf numFmtId="0" fontId="0" fillId="16" borderId="33" xfId="0" applyFill="1" applyBorder="1" applyAlignment="1">
      <alignment horizontal="center" vertical="center"/>
    </xf>
    <xf numFmtId="0" fontId="0" fillId="18" borderId="1" xfId="0" applyFill="1" applyBorder="1" applyAlignment="1">
      <alignment horizontal="center" vertical="center"/>
    </xf>
    <xf numFmtId="0" fontId="0" fillId="0" borderId="33" xfId="0" applyBorder="1" applyAlignment="1">
      <alignment horizontal="center"/>
    </xf>
    <xf numFmtId="0" fontId="0" fillId="18" borderId="34" xfId="0" applyFill="1" applyBorder="1" applyAlignment="1">
      <alignment horizontal="center"/>
    </xf>
    <xf numFmtId="0" fontId="0" fillId="0" borderId="34" xfId="0" applyBorder="1" applyAlignment="1">
      <alignment horizontal="center"/>
    </xf>
    <xf numFmtId="0" fontId="8" fillId="0" borderId="34" xfId="0" applyFont="1" applyBorder="1" applyAlignment="1">
      <alignment horizontal="center" vertical="center" wrapText="1"/>
    </xf>
    <xf numFmtId="0" fontId="8" fillId="18" borderId="34" xfId="0" applyFont="1" applyFill="1" applyBorder="1" applyAlignment="1">
      <alignment horizontal="center" vertical="center" wrapText="1"/>
    </xf>
    <xf numFmtId="0" fontId="8" fillId="16" borderId="34" xfId="0" applyFont="1" applyFill="1" applyBorder="1" applyAlignment="1">
      <alignment horizontal="center" vertical="center" wrapText="1"/>
    </xf>
    <xf numFmtId="0" fontId="8" fillId="18" borderId="24" xfId="0" applyFont="1" applyFill="1" applyBorder="1" applyAlignment="1">
      <alignment horizontal="center" vertical="center" wrapText="1"/>
    </xf>
    <xf numFmtId="0" fontId="8" fillId="0" borderId="24" xfId="0" applyFont="1" applyBorder="1" applyAlignment="1">
      <alignment horizontal="center" vertical="center" wrapText="1"/>
    </xf>
    <xf numFmtId="0" fontId="0" fillId="18" borderId="34" xfId="0" applyFill="1" applyBorder="1" applyAlignment="1">
      <alignment horizontal="center" vertical="center"/>
    </xf>
    <xf numFmtId="0" fontId="0" fillId="16" borderId="34" xfId="0" applyFill="1" applyBorder="1" applyAlignment="1">
      <alignment horizontal="center" vertical="center"/>
    </xf>
    <xf numFmtId="0" fontId="0" fillId="0" borderId="34" xfId="0" applyBorder="1" applyAlignment="1">
      <alignment horizontal="center" vertical="center"/>
    </xf>
    <xf numFmtId="0" fontId="0" fillId="18" borderId="34" xfId="0" applyFill="1" applyBorder="1" applyAlignment="1">
      <alignment horizontal="center" vertical="center" wrapText="1"/>
    </xf>
    <xf numFmtId="0" fontId="23" fillId="0" borderId="34" xfId="0" applyFont="1" applyBorder="1" applyAlignment="1">
      <alignment horizontal="center" vertical="center" wrapText="1"/>
    </xf>
    <xf numFmtId="0" fontId="23" fillId="18" borderId="34" xfId="0" applyFont="1" applyFill="1" applyBorder="1" applyAlignment="1">
      <alignment horizontal="center" vertical="center" wrapText="1"/>
    </xf>
    <xf numFmtId="0" fontId="0" fillId="18" borderId="35" xfId="0" applyFill="1" applyBorder="1" applyAlignment="1">
      <alignment horizontal="center" vertical="center"/>
    </xf>
    <xf numFmtId="0" fontId="11" fillId="0" borderId="0" xfId="1" applyFill="1" applyBorder="1" applyAlignment="1">
      <alignment vertical="center" wrapText="1"/>
    </xf>
    <xf numFmtId="0" fontId="11" fillId="0" borderId="4" xfId="1" applyFill="1" applyBorder="1"/>
    <xf numFmtId="0" fontId="0" fillId="0" borderId="1" xfId="0" applyBorder="1" applyAlignment="1" applyProtection="1">
      <alignment horizontal="center" vertical="center" wrapText="1"/>
      <protection locked="0"/>
    </xf>
    <xf numFmtId="0" fontId="0" fillId="18" borderId="3" xfId="0" applyFill="1" applyBorder="1" applyAlignment="1">
      <alignment wrapText="1"/>
    </xf>
    <xf numFmtId="0" fontId="0" fillId="0" borderId="3" xfId="0" applyBorder="1" applyAlignment="1">
      <alignment horizontal="left" vertical="center" wrapText="1"/>
    </xf>
    <xf numFmtId="0" fontId="0" fillId="0" borderId="3" xfId="0" applyBorder="1" applyAlignment="1">
      <alignment wrapText="1"/>
    </xf>
    <xf numFmtId="0" fontId="0" fillId="0" borderId="7" xfId="0" applyBorder="1"/>
    <xf numFmtId="0" fontId="0" fillId="0" borderId="8" xfId="0" applyBorder="1"/>
    <xf numFmtId="0" fontId="0" fillId="0" borderId="17" xfId="0" applyBorder="1"/>
    <xf numFmtId="0" fontId="0" fillId="18" borderId="36" xfId="0" applyFill="1" applyBorder="1"/>
    <xf numFmtId="0" fontId="10" fillId="0" borderId="36" xfId="0" applyFont="1" applyBorder="1" applyAlignment="1">
      <alignment vertical="center" wrapText="1"/>
    </xf>
    <xf numFmtId="0" fontId="10" fillId="18" borderId="36" xfId="0" applyFont="1" applyFill="1" applyBorder="1" applyAlignment="1">
      <alignment vertical="center" wrapText="1"/>
    </xf>
    <xf numFmtId="0" fontId="73" fillId="18" borderId="3" xfId="0" applyFont="1" applyFill="1" applyBorder="1" applyAlignment="1">
      <alignment wrapText="1"/>
    </xf>
    <xf numFmtId="0" fontId="8" fillId="0" borderId="6" xfId="0" applyFont="1" applyBorder="1" applyAlignment="1">
      <alignment wrapText="1"/>
    </xf>
    <xf numFmtId="0" fontId="23" fillId="3" borderId="20" xfId="0" applyFont="1" applyFill="1" applyBorder="1" applyAlignment="1">
      <alignment horizontal="left" vertical="center" wrapText="1"/>
    </xf>
    <xf numFmtId="0" fontId="23" fillId="10" borderId="20" xfId="0" applyFont="1" applyFill="1" applyBorder="1" applyAlignment="1">
      <alignment horizontal="left" vertical="center" wrapText="1"/>
    </xf>
    <xf numFmtId="0" fontId="68" fillId="0" borderId="4" xfId="0" applyFont="1" applyBorder="1"/>
    <xf numFmtId="0" fontId="48" fillId="0" borderId="0" xfId="0" applyFont="1" applyAlignment="1">
      <alignment horizontal="center" vertical="center"/>
    </xf>
    <xf numFmtId="0" fontId="35" fillId="0" borderId="0" xfId="0" applyFont="1" applyAlignment="1">
      <alignment horizontal="left" vertical="center" wrapText="1"/>
    </xf>
    <xf numFmtId="0" fontId="67" fillId="0" borderId="1" xfId="0" applyFont="1" applyBorder="1"/>
    <xf numFmtId="0" fontId="40" fillId="0" borderId="0" xfId="0" applyFont="1" applyAlignment="1">
      <alignment horizontal="center" vertical="center" wrapText="1"/>
    </xf>
    <xf numFmtId="0" fontId="36" fillId="0" borderId="0" xfId="0" applyFont="1" applyAlignment="1">
      <alignment horizontal="center" vertical="center"/>
    </xf>
    <xf numFmtId="0" fontId="10" fillId="0" borderId="2" xfId="0" applyFont="1" applyBorder="1" applyAlignment="1">
      <alignment vertical="center" wrapText="1"/>
    </xf>
    <xf numFmtId="0" fontId="10" fillId="0" borderId="1" xfId="0" applyFont="1" applyBorder="1" applyAlignment="1">
      <alignment horizontal="center" vertical="center" wrapText="1"/>
    </xf>
    <xf numFmtId="10" fontId="8" fillId="0" borderId="3" xfId="0" applyNumberFormat="1" applyFont="1" applyBorder="1" applyAlignment="1">
      <alignment horizontal="center" vertical="center" wrapText="1"/>
    </xf>
    <xf numFmtId="14" fontId="0" fillId="0" borderId="1" xfId="0" applyNumberFormat="1" applyBorder="1" applyAlignment="1">
      <alignment vertical="center" wrapText="1"/>
    </xf>
    <xf numFmtId="165" fontId="0" fillId="0" borderId="4" xfId="10" quotePrefix="1" applyFont="1" applyFill="1" applyBorder="1" applyAlignment="1">
      <alignment vertical="center" wrapText="1"/>
    </xf>
    <xf numFmtId="0" fontId="41" fillId="0" borderId="1" xfId="0" applyFont="1" applyBorder="1" applyAlignment="1">
      <alignment vertical="center"/>
    </xf>
    <xf numFmtId="0" fontId="41" fillId="0" borderId="4" xfId="0" applyFont="1" applyBorder="1" applyAlignment="1">
      <alignment vertical="center"/>
    </xf>
    <xf numFmtId="0" fontId="15" fillId="0" borderId="16" xfId="0" applyFont="1" applyBorder="1" applyAlignment="1">
      <alignment horizontal="center" vertical="center" wrapText="1"/>
    </xf>
    <xf numFmtId="0" fontId="36" fillId="0" borderId="0" xfId="0" applyFont="1" applyAlignment="1">
      <alignment vertical="center" wrapText="1"/>
    </xf>
    <xf numFmtId="0" fontId="0" fillId="0" borderId="16" xfId="0" quotePrefix="1" applyBorder="1" applyAlignment="1">
      <alignment vertical="center" wrapText="1"/>
    </xf>
    <xf numFmtId="165" fontId="0" fillId="0" borderId="6" xfId="10" quotePrefix="1" applyFont="1" applyFill="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xf>
    <xf numFmtId="0" fontId="0" fillId="0" borderId="6" xfId="0" applyBorder="1" applyAlignment="1">
      <alignment horizontal="center"/>
    </xf>
    <xf numFmtId="0" fontId="0" fillId="0" borderId="4" xfId="0" applyBorder="1" applyAlignment="1">
      <alignment horizontal="center"/>
    </xf>
    <xf numFmtId="0" fontId="8" fillId="0" borderId="0" xfId="0" applyFont="1" applyAlignment="1">
      <alignment horizontal="center" vertical="center"/>
    </xf>
    <xf numFmtId="0" fontId="0" fillId="0" borderId="9" xfId="0" applyBorder="1" applyAlignment="1">
      <alignment horizontal="center"/>
    </xf>
    <xf numFmtId="0" fontId="0" fillId="0" borderId="10" xfId="0" applyBorder="1" applyAlignment="1">
      <alignment wrapText="1"/>
    </xf>
    <xf numFmtId="0" fontId="0" fillId="0" borderId="8" xfId="0" applyBorder="1" applyAlignment="1">
      <alignment wrapText="1"/>
    </xf>
    <xf numFmtId="0" fontId="0" fillId="0" borderId="6"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8" fillId="15" borderId="3" xfId="0" applyFont="1" applyFill="1" applyBorder="1" applyAlignment="1">
      <alignment horizontal="center" vertical="center" wrapText="1"/>
    </xf>
    <xf numFmtId="0" fontId="36" fillId="0" borderId="0" xfId="0" applyFont="1" applyAlignment="1" applyProtection="1">
      <alignment horizontal="center" vertical="center"/>
      <protection locked="0"/>
    </xf>
    <xf numFmtId="0" fontId="60" fillId="0" borderId="4" xfId="0" applyFont="1" applyBorder="1" applyAlignment="1" applyProtection="1">
      <alignment horizontal="center" vertical="center"/>
      <protection locked="0"/>
    </xf>
    <xf numFmtId="0" fontId="8" fillId="0" borderId="4" xfId="0" applyFont="1" applyBorder="1" applyAlignment="1" applyProtection="1">
      <alignment horizontal="center" vertical="center" wrapText="1"/>
      <protection locked="0"/>
    </xf>
    <xf numFmtId="0" fontId="74" fillId="0" borderId="8" xfId="0" applyFont="1" applyBorder="1" applyAlignment="1">
      <alignment horizontal="center" vertical="center" wrapText="1"/>
    </xf>
    <xf numFmtId="0" fontId="74" fillId="0" borderId="0" xfId="0" applyFont="1" applyAlignment="1">
      <alignment horizontal="center" vertical="center" wrapText="1"/>
    </xf>
    <xf numFmtId="0" fontId="75" fillId="0" borderId="1" xfId="0" applyFont="1" applyBorder="1" applyAlignment="1">
      <alignment horizontal="left" vertical="center" wrapText="1"/>
    </xf>
    <xf numFmtId="0" fontId="74" fillId="0" borderId="1" xfId="0" applyFont="1" applyBorder="1" applyAlignment="1">
      <alignment horizontal="center" vertical="center" wrapText="1"/>
    </xf>
    <xf numFmtId="9" fontId="0" fillId="0" borderId="1" xfId="11" applyFont="1" applyBorder="1" applyAlignment="1">
      <alignment horizontal="center" vertical="center"/>
    </xf>
    <xf numFmtId="0" fontId="0" fillId="0" borderId="1" xfId="0" quotePrefix="1" applyBorder="1" applyAlignment="1">
      <alignment wrapText="1"/>
    </xf>
    <xf numFmtId="14" fontId="0" fillId="0" borderId="1" xfId="11" applyNumberFormat="1" applyFont="1" applyBorder="1" applyAlignment="1">
      <alignment horizontal="center" vertical="center"/>
    </xf>
    <xf numFmtId="0" fontId="74" fillId="0" borderId="1" xfId="0" applyFont="1" applyBorder="1" applyAlignment="1">
      <alignment horizontal="left" vertical="top" wrapText="1"/>
    </xf>
    <xf numFmtId="0" fontId="0" fillId="0" borderId="1" xfId="0" applyBorder="1" applyAlignment="1">
      <alignment horizontal="left" vertical="top" wrapText="1"/>
    </xf>
    <xf numFmtId="0" fontId="76" fillId="0" borderId="1" xfId="0" applyFont="1" applyBorder="1" applyAlignment="1">
      <alignment horizontal="left" vertical="center" wrapText="1"/>
    </xf>
    <xf numFmtId="0" fontId="0" fillId="0" borderId="23" xfId="0" applyBorder="1" applyAlignment="1">
      <alignment horizontal="center" vertical="center"/>
    </xf>
    <xf numFmtId="9" fontId="0" fillId="0" borderId="1" xfId="11" applyFont="1" applyBorder="1" applyAlignment="1">
      <alignment horizontal="center" vertical="center" wrapText="1"/>
    </xf>
    <xf numFmtId="0" fontId="29" fillId="0" borderId="3" xfId="0" applyFont="1" applyBorder="1" applyAlignment="1">
      <alignment horizontal="center" vertical="center" wrapText="1"/>
    </xf>
    <xf numFmtId="0" fontId="34" fillId="0" borderId="3" xfId="0" applyFont="1" applyBorder="1" applyAlignment="1">
      <alignment horizontal="center" vertical="center" wrapText="1"/>
    </xf>
    <xf numFmtId="0" fontId="0" fillId="0" borderId="2" xfId="0" applyBorder="1" applyAlignment="1">
      <alignment horizontal="center" vertical="center"/>
    </xf>
    <xf numFmtId="9" fontId="0" fillId="0" borderId="0" xfId="11" applyFont="1" applyBorder="1" applyAlignment="1">
      <alignment horizontal="center" vertical="center"/>
    </xf>
    <xf numFmtId="0" fontId="56" fillId="0" borderId="1" xfId="0" applyFont="1" applyBorder="1" applyAlignment="1">
      <alignment horizontal="center" vertical="center"/>
    </xf>
    <xf numFmtId="0" fontId="56" fillId="0" borderId="1" xfId="0" applyFont="1" applyBorder="1" applyAlignment="1">
      <alignment horizontal="center" vertical="center" wrapText="1"/>
    </xf>
    <xf numFmtId="0" fontId="75" fillId="0" borderId="1" xfId="0" applyFont="1" applyBorder="1" applyAlignment="1">
      <alignment horizontal="center" vertical="center"/>
    </xf>
    <xf numFmtId="14" fontId="0" fillId="0" borderId="4" xfId="11" applyNumberFormat="1" applyFont="1" applyBorder="1" applyAlignment="1">
      <alignment horizontal="center" vertical="center"/>
    </xf>
    <xf numFmtId="9" fontId="0" fillId="0" borderId="1" xfId="0" applyNumberFormat="1" applyBorder="1" applyAlignment="1">
      <alignment wrapText="1"/>
    </xf>
    <xf numFmtId="9" fontId="0" fillId="0" borderId="1" xfId="11" applyFont="1" applyBorder="1" applyAlignment="1">
      <alignment horizontal="center" vertical="top"/>
    </xf>
    <xf numFmtId="0" fontId="0" fillId="0" borderId="1" xfId="0" quotePrefix="1" applyBorder="1" applyAlignment="1">
      <alignment vertical="top" wrapText="1"/>
    </xf>
    <xf numFmtId="0" fontId="0" fillId="0" borderId="0" xfId="0" applyAlignment="1">
      <alignment vertical="top"/>
    </xf>
    <xf numFmtId="0" fontId="74" fillId="0" borderId="1" xfId="0" applyFont="1" applyBorder="1" applyAlignment="1">
      <alignment horizontal="left" vertical="center" wrapText="1"/>
    </xf>
    <xf numFmtId="0" fontId="48" fillId="0" borderId="0" xfId="0" quotePrefix="1" applyFont="1" applyAlignment="1">
      <alignment vertical="center" wrapText="1"/>
    </xf>
    <xf numFmtId="0" fontId="0" fillId="0" borderId="0" xfId="0" quotePrefix="1" applyAlignment="1">
      <alignment horizontal="left" vertical="top" wrapText="1"/>
    </xf>
    <xf numFmtId="0" fontId="0" fillId="0" borderId="0" xfId="0" quotePrefix="1" applyAlignment="1">
      <alignment horizontal="left" vertical="center" wrapText="1"/>
    </xf>
    <xf numFmtId="0" fontId="8" fillId="0" borderId="4" xfId="0" applyFont="1" applyBorder="1" applyAlignment="1">
      <alignment horizontal="left" vertical="center" wrapText="1"/>
    </xf>
    <xf numFmtId="0" fontId="0" fillId="0" borderId="0" xfId="0" quotePrefix="1" applyAlignment="1">
      <alignment wrapText="1"/>
    </xf>
    <xf numFmtId="0" fontId="56" fillId="0" borderId="1" xfId="0" applyFont="1" applyBorder="1" applyAlignment="1">
      <alignment horizontal="left" vertical="center" wrapText="1"/>
    </xf>
    <xf numFmtId="9" fontId="56" fillId="0" borderId="1" xfId="11" applyFont="1" applyBorder="1" applyAlignment="1">
      <alignment horizontal="center" vertical="center" wrapText="1"/>
    </xf>
    <xf numFmtId="0" fontId="34" fillId="0" borderId="1" xfId="0" applyFont="1" applyBorder="1" applyAlignment="1">
      <alignment horizontal="center" vertical="center" wrapText="1"/>
    </xf>
    <xf numFmtId="0" fontId="81" fillId="0" borderId="0" xfId="0" applyFont="1"/>
    <xf numFmtId="0" fontId="82" fillId="0" borderId="0" xfId="0" applyFont="1"/>
    <xf numFmtId="0" fontId="8" fillId="31" borderId="0" xfId="0" applyFont="1" applyFill="1" applyAlignment="1">
      <alignment wrapText="1"/>
    </xf>
    <xf numFmtId="0" fontId="84" fillId="30" borderId="0" xfId="0" applyFont="1" applyFill="1"/>
    <xf numFmtId="0" fontId="85" fillId="0" borderId="0" xfId="0" applyFont="1"/>
    <xf numFmtId="0" fontId="83" fillId="0" borderId="0" xfId="0" applyFont="1"/>
    <xf numFmtId="0" fontId="8" fillId="31" borderId="0" xfId="0" applyFont="1" applyFill="1"/>
    <xf numFmtId="0" fontId="86" fillId="0" borderId="0" xfId="0" applyFont="1"/>
    <xf numFmtId="0" fontId="84" fillId="30" borderId="0" xfId="0" applyFont="1" applyFill="1" applyAlignment="1">
      <alignment wrapText="1"/>
    </xf>
    <xf numFmtId="0" fontId="56" fillId="0" borderId="1" xfId="0" applyFont="1" applyBorder="1" applyAlignment="1">
      <alignment wrapText="1"/>
    </xf>
    <xf numFmtId="0" fontId="74" fillId="0" borderId="23" xfId="0" applyFont="1" applyBorder="1" applyAlignment="1">
      <alignment horizontal="left" vertical="top" wrapText="1"/>
    </xf>
    <xf numFmtId="0" fontId="8" fillId="0" borderId="4" xfId="0" applyFont="1" applyBorder="1" applyAlignment="1">
      <alignment horizontal="center" vertical="top" wrapText="1"/>
    </xf>
    <xf numFmtId="0" fontId="79" fillId="0" borderId="1" xfId="0" applyFont="1" applyBorder="1"/>
    <xf numFmtId="0" fontId="8" fillId="0" borderId="6" xfId="0" applyFont="1" applyBorder="1" applyAlignment="1">
      <alignment horizontal="center" vertical="top" wrapText="1"/>
    </xf>
    <xf numFmtId="0" fontId="0" fillId="0" borderId="4" xfId="0" applyBorder="1" applyAlignment="1">
      <alignment horizontal="left" vertical="top" wrapText="1"/>
    </xf>
    <xf numFmtId="0" fontId="80" fillId="0" borderId="1" xfId="0" applyFont="1" applyBorder="1"/>
    <xf numFmtId="0" fontId="0" fillId="0" borderId="23" xfId="0" applyBorder="1" applyAlignment="1">
      <alignment horizontal="left" vertical="center" wrapText="1"/>
    </xf>
    <xf numFmtId="0" fontId="0" fillId="0" borderId="4" xfId="0" applyBorder="1" applyAlignment="1">
      <alignment horizontal="center" vertical="center"/>
    </xf>
    <xf numFmtId="0" fontId="77" fillId="0" borderId="1" xfId="0" applyFont="1" applyBorder="1" applyAlignment="1">
      <alignment horizontal="center" vertical="center"/>
    </xf>
    <xf numFmtId="14" fontId="0" fillId="0" borderId="4" xfId="11" applyNumberFormat="1" applyFont="1" applyBorder="1" applyAlignment="1">
      <alignment horizontal="center" vertical="top"/>
    </xf>
    <xf numFmtId="9" fontId="0" fillId="0" borderId="0" xfId="11" applyFont="1" applyBorder="1" applyAlignment="1">
      <alignment horizontal="center" vertical="center" wrapText="1"/>
    </xf>
    <xf numFmtId="0" fontId="0" fillId="0" borderId="0" xfId="0" quotePrefix="1" applyAlignment="1">
      <alignment vertical="center" wrapText="1"/>
    </xf>
    <xf numFmtId="0" fontId="0" fillId="0" borderId="1" xfId="0" quotePrefix="1" applyBorder="1" applyAlignment="1">
      <alignment horizontal="left" vertical="top" wrapText="1"/>
    </xf>
    <xf numFmtId="0" fontId="0" fillId="0" borderId="0" xfId="0" quotePrefix="1" applyAlignment="1">
      <alignment vertical="top" wrapText="1"/>
    </xf>
    <xf numFmtId="0" fontId="78" fillId="0" borderId="1" xfId="0" quotePrefix="1" applyFont="1" applyBorder="1" applyAlignment="1">
      <alignment vertical="center" wrapText="1"/>
    </xf>
    <xf numFmtId="0" fontId="67" fillId="0" borderId="1" xfId="0" applyFont="1" applyBorder="1" applyAlignment="1">
      <alignment vertical="center"/>
    </xf>
    <xf numFmtId="0" fontId="0" fillId="0" borderId="0" xfId="0" applyAlignment="1">
      <alignment vertical="top" wrapText="1"/>
    </xf>
    <xf numFmtId="0" fontId="34" fillId="0" borderId="4" xfId="0" applyFont="1" applyBorder="1" applyAlignment="1">
      <alignment horizontal="center" vertical="center" wrapText="1"/>
    </xf>
    <xf numFmtId="0" fontId="0" fillId="0" borderId="3" xfId="0" applyBorder="1"/>
    <xf numFmtId="0" fontId="8" fillId="0" borderId="1" xfId="0" applyFont="1" applyBorder="1" applyAlignment="1">
      <alignment horizontal="left" vertical="center" wrapText="1"/>
    </xf>
    <xf numFmtId="0" fontId="80" fillId="0" borderId="4" xfId="0" applyFont="1" applyBorder="1"/>
    <xf numFmtId="0" fontId="76" fillId="0" borderId="4" xfId="0" applyFont="1" applyBorder="1" applyAlignment="1">
      <alignment horizontal="left" vertical="center" wrapText="1"/>
    </xf>
    <xf numFmtId="0" fontId="56" fillId="0" borderId="0" xfId="0" applyFont="1" applyAlignment="1">
      <alignment horizontal="center" vertical="center"/>
    </xf>
    <xf numFmtId="0" fontId="56" fillId="0" borderId="0" xfId="0" applyFont="1" applyAlignment="1">
      <alignment horizontal="center" vertical="top" wrapText="1"/>
    </xf>
    <xf numFmtId="9" fontId="0" fillId="0" borderId="0" xfId="11" applyFont="1" applyBorder="1" applyAlignment="1">
      <alignment horizontal="center" vertical="top"/>
    </xf>
    <xf numFmtId="0" fontId="8" fillId="0" borderId="0" xfId="0" applyFont="1" applyAlignment="1">
      <alignment wrapText="1"/>
    </xf>
    <xf numFmtId="0" fontId="78" fillId="0" borderId="0" xfId="0" applyFont="1" applyAlignment="1">
      <alignment vertical="center"/>
    </xf>
    <xf numFmtId="0" fontId="0" fillId="0" borderId="1" xfId="0" quotePrefix="1" applyBorder="1" applyAlignment="1">
      <alignment horizontal="left" vertical="center" wrapText="1"/>
    </xf>
    <xf numFmtId="0" fontId="36" fillId="0" borderId="1" xfId="0" applyFont="1" applyBorder="1" applyAlignment="1" applyProtection="1">
      <alignment horizontal="center" vertical="center"/>
      <protection locked="0"/>
    </xf>
    <xf numFmtId="0" fontId="35" fillId="0" borderId="1" xfId="0" applyFont="1" applyBorder="1" applyAlignment="1">
      <alignment wrapText="1"/>
    </xf>
    <xf numFmtId="0" fontId="48" fillId="0" borderId="1" xfId="0" applyFont="1" applyBorder="1" applyAlignment="1">
      <alignment vertical="center"/>
    </xf>
    <xf numFmtId="0" fontId="67" fillId="0" borderId="0" xfId="0" applyFont="1"/>
    <xf numFmtId="0" fontId="36" fillId="0" borderId="20" xfId="0" applyFont="1" applyBorder="1" applyAlignment="1">
      <alignment vertical="center" wrapText="1"/>
    </xf>
    <xf numFmtId="0" fontId="38" fillId="0" borderId="1" xfId="0" applyFont="1" applyBorder="1" applyAlignment="1">
      <alignment vertical="center" wrapText="1"/>
    </xf>
    <xf numFmtId="0" fontId="38" fillId="0" borderId="0" xfId="0" applyFont="1" applyAlignment="1">
      <alignment vertical="center" wrapText="1"/>
    </xf>
    <xf numFmtId="0" fontId="36" fillId="0" borderId="16" xfId="0" applyFont="1" applyBorder="1" applyAlignment="1">
      <alignment vertical="center" wrapText="1"/>
    </xf>
    <xf numFmtId="0" fontId="48" fillId="0" borderId="4" xfId="0" applyFont="1" applyBorder="1" applyAlignment="1">
      <alignment horizontal="center" vertical="center"/>
    </xf>
    <xf numFmtId="0" fontId="38" fillId="0" borderId="0" xfId="0" applyFont="1" applyAlignment="1">
      <alignment horizontal="center" vertical="center" wrapText="1"/>
    </xf>
    <xf numFmtId="0" fontId="48" fillId="0" borderId="4" xfId="0" applyFont="1" applyBorder="1" applyAlignment="1">
      <alignment vertical="center"/>
    </xf>
    <xf numFmtId="0" fontId="38" fillId="0" borderId="0" xfId="0" applyFont="1" applyAlignment="1">
      <alignment vertical="center"/>
    </xf>
    <xf numFmtId="0" fontId="48" fillId="0" borderId="0" xfId="0" applyFont="1" applyAlignment="1">
      <alignment horizontal="center" vertical="center" wrapText="1"/>
    </xf>
    <xf numFmtId="0" fontId="10" fillId="0" borderId="2" xfId="0" applyFont="1" applyBorder="1" applyAlignment="1">
      <alignment horizontal="center" vertical="center" wrapText="1"/>
    </xf>
    <xf numFmtId="0" fontId="48" fillId="0" borderId="0" xfId="0" applyFont="1" applyAlignment="1">
      <alignment vertical="center"/>
    </xf>
    <xf numFmtId="0" fontId="48" fillId="0" borderId="22" xfId="0" applyFont="1" applyBorder="1" applyAlignment="1">
      <alignment vertical="center" wrapText="1"/>
    </xf>
    <xf numFmtId="0" fontId="27" fillId="0" borderId="0" xfId="0" applyFont="1" applyAlignment="1">
      <alignment vertical="center" wrapText="1"/>
    </xf>
    <xf numFmtId="0" fontId="68" fillId="0" borderId="0" xfId="0" applyFont="1"/>
    <xf numFmtId="0" fontId="74" fillId="0" borderId="27" xfId="0" applyFont="1" applyBorder="1" applyAlignment="1">
      <alignment horizontal="left" vertical="top" wrapText="1"/>
    </xf>
    <xf numFmtId="0" fontId="74" fillId="0" borderId="37" xfId="0" applyFont="1" applyBorder="1" applyAlignment="1">
      <alignment horizontal="left" vertical="top" wrapText="1"/>
    </xf>
    <xf numFmtId="16" fontId="0" fillId="0" borderId="0" xfId="0" applyNumberFormat="1"/>
    <xf numFmtId="174" fontId="0" fillId="0" borderId="0" xfId="0" applyNumberFormat="1"/>
    <xf numFmtId="170" fontId="0" fillId="0" borderId="1" xfId="0" applyNumberFormat="1" applyBorder="1" applyAlignment="1" applyProtection="1">
      <alignment horizontal="center" vertical="center"/>
      <protection locked="0"/>
    </xf>
    <xf numFmtId="170" fontId="0" fillId="0" borderId="4" xfId="0" applyNumberFormat="1" applyBorder="1" applyAlignment="1" applyProtection="1">
      <alignment horizontal="center" vertical="center"/>
      <protection locked="0"/>
    </xf>
    <xf numFmtId="170" fontId="0" fillId="18" borderId="4" xfId="0" applyNumberFormat="1" applyFill="1" applyBorder="1" applyAlignment="1" applyProtection="1">
      <alignment horizontal="center" vertical="center"/>
      <protection locked="0"/>
    </xf>
    <xf numFmtId="0" fontId="20" fillId="0" borderId="0" xfId="0" applyFont="1"/>
    <xf numFmtId="0" fontId="87" fillId="0" borderId="0" xfId="0" applyFont="1"/>
    <xf numFmtId="0" fontId="0" fillId="32" borderId="0" xfId="0" applyFill="1" applyAlignment="1">
      <alignment wrapText="1"/>
    </xf>
    <xf numFmtId="0" fontId="19" fillId="0" borderId="0" xfId="0" applyFont="1"/>
    <xf numFmtId="0" fontId="88" fillId="0" borderId="0" xfId="0" applyFont="1" applyAlignment="1">
      <alignment vertical="center"/>
    </xf>
    <xf numFmtId="0" fontId="32" fillId="0" borderId="0" xfId="0" applyFont="1"/>
    <xf numFmtId="9" fontId="0" fillId="0" borderId="0" xfId="11" applyFont="1" applyBorder="1"/>
    <xf numFmtId="0" fontId="0" fillId="32" borderId="4" xfId="0" applyFill="1" applyBorder="1" applyAlignment="1">
      <alignment wrapText="1"/>
    </xf>
    <xf numFmtId="0" fontId="8" fillId="32" borderId="4" xfId="0" applyFont="1" applyFill="1" applyBorder="1" applyAlignment="1">
      <alignment wrapText="1"/>
    </xf>
    <xf numFmtId="0" fontId="0" fillId="32" borderId="1" xfId="0" applyFill="1" applyBorder="1" applyAlignment="1">
      <alignment horizontal="left" vertical="center" wrapText="1"/>
    </xf>
    <xf numFmtId="0" fontId="38" fillId="0" borderId="38" xfId="0" applyFont="1" applyBorder="1" applyAlignment="1">
      <alignment vertical="center" wrapText="1"/>
    </xf>
    <xf numFmtId="0" fontId="0" fillId="3" borderId="1" xfId="0" applyFill="1" applyBorder="1" applyAlignment="1">
      <alignment horizontal="left" vertical="center" wrapText="1"/>
    </xf>
    <xf numFmtId="0" fontId="0" fillId="32" borderId="0" xfId="0" applyFill="1" applyAlignment="1">
      <alignment vertical="center" wrapText="1"/>
    </xf>
    <xf numFmtId="165" fontId="2" fillId="0" borderId="4" xfId="10" applyFont="1" applyFill="1" applyBorder="1" applyAlignment="1">
      <alignment vertical="center" wrapText="1"/>
    </xf>
    <xf numFmtId="0" fontId="16" fillId="0" borderId="4" xfId="0" applyFont="1" applyBorder="1"/>
    <xf numFmtId="10" fontId="90" fillId="0" borderId="6" xfId="0" applyNumberFormat="1" applyFont="1" applyBorder="1" applyAlignment="1">
      <alignment horizontal="center" vertical="center" wrapText="1"/>
    </xf>
    <xf numFmtId="10" fontId="90" fillId="0" borderId="4" xfId="0" applyNumberFormat="1" applyFont="1" applyBorder="1" applyAlignment="1">
      <alignment horizontal="center" vertical="center" wrapText="1"/>
    </xf>
    <xf numFmtId="0" fontId="90" fillId="0" borderId="4" xfId="0" applyFont="1" applyBorder="1" applyAlignment="1">
      <alignment horizontal="center" vertical="center" wrapText="1"/>
    </xf>
    <xf numFmtId="165" fontId="2" fillId="0" borderId="1" xfId="10" applyFont="1" applyFill="1" applyBorder="1" applyAlignment="1">
      <alignment vertical="center" wrapText="1"/>
    </xf>
    <xf numFmtId="0" fontId="15" fillId="0" borderId="1" xfId="0" applyFont="1" applyBorder="1" applyAlignment="1">
      <alignment vertical="center" wrapText="1"/>
    </xf>
    <xf numFmtId="165" fontId="2" fillId="0" borderId="0" xfId="10" applyFont="1" applyFill="1" applyBorder="1" applyAlignment="1">
      <alignment vertical="center" wrapText="1"/>
    </xf>
    <xf numFmtId="165" fontId="2" fillId="0" borderId="2" xfId="10" quotePrefix="1" applyFont="1" applyFill="1" applyBorder="1" applyAlignment="1">
      <alignment vertical="center" wrapText="1"/>
    </xf>
    <xf numFmtId="165" fontId="2" fillId="0" borderId="4" xfId="10" quotePrefix="1" applyFont="1" applyFill="1" applyBorder="1" applyAlignment="1">
      <alignment vertical="center" wrapText="1"/>
    </xf>
    <xf numFmtId="0" fontId="2" fillId="0" borderId="4" xfId="0" applyFont="1" applyBorder="1" applyAlignment="1">
      <alignment horizontal="left" vertical="center" wrapText="1"/>
    </xf>
    <xf numFmtId="165" fontId="2" fillId="0" borderId="4" xfId="12" applyFont="1" applyFill="1" applyBorder="1" applyAlignment="1">
      <alignment vertical="center" wrapText="1"/>
    </xf>
    <xf numFmtId="0" fontId="2" fillId="0" borderId="0" xfId="0" applyFont="1" applyAlignment="1">
      <alignment horizontal="center" vertical="center"/>
    </xf>
    <xf numFmtId="0" fontId="2" fillId="0" borderId="0" xfId="0" applyFont="1" applyAlignment="1">
      <alignment wrapText="1"/>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left" wrapText="1"/>
    </xf>
    <xf numFmtId="0" fontId="2" fillId="16" borderId="0" xfId="0" applyFont="1" applyFill="1" applyAlignment="1">
      <alignment horizontal="left" wrapText="1"/>
    </xf>
    <xf numFmtId="0" fontId="2" fillId="0" borderId="0" xfId="0" applyFont="1" applyAlignment="1">
      <alignment horizontal="left" wrapText="1"/>
    </xf>
    <xf numFmtId="0" fontId="2" fillId="0" borderId="6" xfId="0" applyFont="1" applyBorder="1" applyAlignment="1">
      <alignment horizontal="center" vertical="center"/>
    </xf>
    <xf numFmtId="0" fontId="2" fillId="16" borderId="4" xfId="0" applyFont="1" applyFill="1" applyBorder="1" applyAlignment="1">
      <alignment horizontal="left" vertical="center" wrapText="1"/>
    </xf>
    <xf numFmtId="0" fontId="2" fillId="0" borderId="4" xfId="0" applyFont="1" applyBorder="1" applyAlignment="1" applyProtection="1">
      <alignment horizontal="center" vertical="center"/>
      <protection locked="0"/>
    </xf>
    <xf numFmtId="0" fontId="91" fillId="0" borderId="4" xfId="0" applyFont="1" applyBorder="1" applyAlignment="1" applyProtection="1">
      <alignment horizontal="center" vertical="center"/>
      <protection locked="0"/>
    </xf>
    <xf numFmtId="0" fontId="92" fillId="0" borderId="4" xfId="0" applyFont="1"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8" fillId="16" borderId="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0" fontId="0" fillId="18" borderId="19" xfId="0" applyFill="1" applyBorder="1" applyAlignment="1">
      <alignment horizontal="center" vertical="center" wrapText="1"/>
    </xf>
    <xf numFmtId="0" fontId="0" fillId="0" borderId="19" xfId="0" applyBorder="1" applyAlignment="1">
      <alignment horizontal="center" vertical="center"/>
    </xf>
    <xf numFmtId="0" fontId="23" fillId="18" borderId="0" xfId="0" applyFont="1" applyFill="1" applyAlignment="1">
      <alignment horizontal="center" vertical="center" wrapText="1"/>
    </xf>
    <xf numFmtId="0" fontId="23" fillId="29" borderId="0" xfId="0" applyFont="1" applyFill="1" applyAlignment="1">
      <alignment horizontal="center" vertical="center" wrapText="1"/>
    </xf>
    <xf numFmtId="0" fontId="23" fillId="16" borderId="1" xfId="0" applyFont="1" applyFill="1" applyBorder="1" applyAlignment="1">
      <alignment horizontal="center" vertical="center" wrapText="1"/>
    </xf>
    <xf numFmtId="0" fontId="23" fillId="10" borderId="0" xfId="0" applyFont="1" applyFill="1" applyAlignment="1">
      <alignment horizontal="center" vertical="center" wrapText="1"/>
    </xf>
    <xf numFmtId="0" fontId="23" fillId="18" borderId="1" xfId="0" applyFont="1" applyFill="1" applyBorder="1" applyAlignment="1">
      <alignment horizontal="center" vertical="center" wrapText="1"/>
    </xf>
    <xf numFmtId="169" fontId="24" fillId="10" borderId="20" xfId="0" applyNumberFormat="1" applyFont="1" applyFill="1" applyBorder="1" applyAlignment="1">
      <alignment horizontal="center" vertical="center" wrapText="1"/>
    </xf>
    <xf numFmtId="169" fontId="0" fillId="10" borderId="16" xfId="0" applyNumberFormat="1" applyFill="1" applyBorder="1" applyAlignment="1">
      <alignment horizontal="center" vertical="center" wrapText="1"/>
    </xf>
    <xf numFmtId="169" fontId="24" fillId="0" borderId="0" xfId="0" applyNumberFormat="1" applyFont="1" applyAlignment="1">
      <alignment horizontal="center" vertical="center" wrapText="1"/>
    </xf>
    <xf numFmtId="10" fontId="0" fillId="10" borderId="16" xfId="11" applyNumberFormat="1" applyFont="1" applyFill="1" applyBorder="1" applyAlignment="1">
      <alignment horizontal="center" vertical="center" wrapText="1"/>
    </xf>
    <xf numFmtId="10" fontId="8" fillId="18" borderId="20" xfId="11" applyNumberFormat="1" applyFont="1" applyFill="1" applyBorder="1" applyAlignment="1">
      <alignment horizontal="left"/>
    </xf>
    <xf numFmtId="0" fontId="70" fillId="0" borderId="4" xfId="0" applyFont="1" applyBorder="1"/>
    <xf numFmtId="0" fontId="11" fillId="0" borderId="4" xfId="1" applyBorder="1" applyAlignment="1">
      <alignment wrapText="1"/>
    </xf>
    <xf numFmtId="0" fontId="0" fillId="10" borderId="19" xfId="0" applyFill="1" applyBorder="1" applyAlignment="1">
      <alignment horizontal="center" vertical="center" wrapText="1"/>
    </xf>
    <xf numFmtId="0" fontId="0" fillId="8" borderId="19" xfId="0" applyFill="1" applyBorder="1" applyAlignment="1">
      <alignment horizontal="center" vertical="center" wrapText="1"/>
    </xf>
    <xf numFmtId="0" fontId="0" fillId="15" borderId="19" xfId="0" applyFill="1" applyBorder="1" applyAlignment="1">
      <alignment horizontal="center" vertical="center" wrapText="1"/>
    </xf>
    <xf numFmtId="0" fontId="0" fillId="3" borderId="19" xfId="0" applyFill="1" applyBorder="1" applyAlignment="1">
      <alignment horizontal="center" vertical="center" wrapText="1"/>
    </xf>
    <xf numFmtId="0" fontId="23" fillId="7" borderId="20" xfId="0" applyFont="1" applyFill="1" applyBorder="1" applyAlignment="1">
      <alignment horizontal="center" vertical="center" wrapText="1"/>
    </xf>
    <xf numFmtId="0" fontId="0" fillId="0" borderId="28" xfId="0" applyBorder="1" applyAlignment="1">
      <alignment horizontal="center" vertical="center" wrapText="1"/>
    </xf>
    <xf numFmtId="0" fontId="0" fillId="16" borderId="0" xfId="0" applyFill="1" applyAlignment="1" applyProtection="1">
      <alignment horizontal="center" vertical="center"/>
      <protection locked="0"/>
    </xf>
    <xf numFmtId="0" fontId="0" fillId="15" borderId="19" xfId="0" applyFill="1" applyBorder="1" applyAlignment="1">
      <alignment horizontal="center" vertical="center"/>
    </xf>
    <xf numFmtId="0" fontId="23" fillId="7" borderId="0" xfId="0" applyFont="1" applyFill="1" applyAlignment="1">
      <alignment horizontal="center" vertical="center" wrapText="1"/>
    </xf>
    <xf numFmtId="0" fontId="23" fillId="10" borderId="1" xfId="0" applyFont="1" applyFill="1" applyBorder="1" applyAlignment="1">
      <alignment horizontal="center" vertical="center" wrapText="1"/>
    </xf>
    <xf numFmtId="169" fontId="0" fillId="18" borderId="16" xfId="0" applyNumberFormat="1" applyFill="1" applyBorder="1" applyAlignment="1">
      <alignment horizontal="center" vertical="center" wrapText="1"/>
    </xf>
    <xf numFmtId="10" fontId="0" fillId="18" borderId="16" xfId="11" applyNumberFormat="1" applyFont="1" applyFill="1" applyBorder="1" applyAlignment="1">
      <alignment horizontal="center" vertical="center" wrapText="1"/>
    </xf>
    <xf numFmtId="0" fontId="23" fillId="16" borderId="0" xfId="0" applyFont="1" applyFill="1" applyAlignment="1">
      <alignment horizontal="center" vertical="center" wrapText="1"/>
    </xf>
    <xf numFmtId="0" fontId="48" fillId="23" borderId="8" xfId="0" applyFont="1" applyFill="1" applyBorder="1" applyAlignment="1">
      <alignment horizontal="center" vertical="center" wrapText="1"/>
    </xf>
    <xf numFmtId="0" fontId="48" fillId="25" borderId="8" xfId="0" applyFont="1" applyFill="1" applyBorder="1" applyAlignment="1" applyProtection="1">
      <alignment horizontal="center" vertical="center" wrapText="1"/>
      <protection locked="0"/>
    </xf>
    <xf numFmtId="0" fontId="0" fillId="16" borderId="20" xfId="0" applyFill="1" applyBorder="1" applyAlignment="1" applyProtection="1">
      <alignment horizontal="center" vertical="center"/>
      <protection locked="0"/>
    </xf>
    <xf numFmtId="0" fontId="0" fillId="0" borderId="20" xfId="0" applyBorder="1" applyAlignment="1">
      <alignment horizontal="center"/>
    </xf>
    <xf numFmtId="0" fontId="23" fillId="28" borderId="0" xfId="0" applyFont="1" applyFill="1" applyAlignment="1">
      <alignment horizontal="left" vertical="center" wrapText="1"/>
    </xf>
    <xf numFmtId="0" fontId="23" fillId="16" borderId="0" xfId="0" applyFont="1" applyFill="1" applyAlignment="1">
      <alignment horizontal="left" vertical="center" wrapText="1"/>
    </xf>
    <xf numFmtId="0" fontId="23" fillId="21" borderId="0" xfId="0" applyFont="1" applyFill="1" applyAlignment="1">
      <alignment horizontal="center" vertical="center" wrapText="1"/>
    </xf>
    <xf numFmtId="0" fontId="23" fillId="0" borderId="22" xfId="0" applyFont="1" applyBorder="1" applyAlignment="1">
      <alignment horizontal="center" vertical="center" wrapText="1"/>
    </xf>
    <xf numFmtId="0" fontId="23" fillId="21" borderId="1" xfId="0" applyFont="1" applyFill="1" applyBorder="1" applyAlignment="1">
      <alignment horizontal="center" vertical="center" wrapText="1"/>
    </xf>
    <xf numFmtId="0" fontId="6" fillId="2" borderId="0" xfId="0" applyFont="1" applyFill="1" applyAlignment="1">
      <alignment horizontal="center" vertical="center" wrapText="1"/>
    </xf>
    <xf numFmtId="169" fontId="6" fillId="2" borderId="0" xfId="0" applyNumberFormat="1" applyFont="1" applyFill="1" applyAlignment="1">
      <alignment horizontal="center" vertical="center" wrapText="1"/>
    </xf>
    <xf numFmtId="0" fontId="0" fillId="0" borderId="0" xfId="0" applyAlignment="1">
      <alignment horizontal="center"/>
    </xf>
    <xf numFmtId="0" fontId="19" fillId="20" borderId="20" xfId="0" applyFont="1" applyFill="1" applyBorder="1" applyAlignment="1">
      <alignment horizontal="center" vertical="center" wrapText="1"/>
    </xf>
    <xf numFmtId="0" fontId="19" fillId="10" borderId="20" xfId="0" applyFont="1" applyFill="1" applyBorder="1" applyAlignment="1">
      <alignment horizontal="center" vertical="center" wrapText="1"/>
    </xf>
    <xf numFmtId="0" fontId="0" fillId="0" borderId="20" xfId="0" applyBorder="1" applyAlignment="1">
      <alignment horizontal="left" vertical="center" wrapText="1"/>
    </xf>
    <xf numFmtId="10" fontId="0" fillId="0" borderId="20" xfId="0" applyNumberFormat="1" applyBorder="1" applyAlignment="1">
      <alignment horizontal="center" vertical="center" wrapText="1"/>
    </xf>
    <xf numFmtId="14" fontId="0" fillId="0" borderId="20" xfId="0" applyNumberFormat="1" applyBorder="1" applyAlignment="1">
      <alignment horizontal="center" vertical="center" wrapText="1"/>
    </xf>
    <xf numFmtId="0" fontId="0" fillId="0" borderId="20" xfId="0" applyBorder="1" applyAlignment="1">
      <alignment horizontal="center" vertical="center" wrapText="1"/>
    </xf>
    <xf numFmtId="0" fontId="39" fillId="19" borderId="21" xfId="0" applyFont="1" applyFill="1" applyBorder="1" applyAlignment="1">
      <alignment horizontal="center" vertical="center"/>
    </xf>
    <xf numFmtId="168" fontId="0" fillId="0" borderId="20" xfId="0" applyNumberFormat="1" applyBorder="1" applyAlignment="1">
      <alignment horizontal="center" vertical="center" wrapText="1"/>
    </xf>
    <xf numFmtId="0" fontId="17" fillId="11" borderId="2" xfId="0" applyFont="1" applyFill="1" applyBorder="1" applyAlignment="1">
      <alignment horizontal="center" vertical="center" wrapText="1"/>
    </xf>
    <xf numFmtId="0" fontId="17" fillId="11" borderId="3"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21" fillId="7" borderId="1" xfId="0" applyFont="1" applyFill="1" applyBorder="1" applyAlignment="1">
      <alignment horizontal="center" vertical="center"/>
    </xf>
    <xf numFmtId="165" fontId="1" fillId="0" borderId="4" xfId="10" applyFont="1" applyFill="1" applyBorder="1" applyAlignment="1">
      <alignment vertical="center" wrapText="1"/>
    </xf>
  </cellXfs>
  <cellStyles count="15">
    <cellStyle name="Hiperlink" xfId="1" builtinId="8"/>
    <cellStyle name="Hyperlink" xfId="13" xr:uid="{00000000-000B-0000-0000-000008000000}"/>
    <cellStyle name="Moeda" xfId="10" builtinId="4"/>
    <cellStyle name="Moeda 2" xfId="2" xr:uid="{00000000-0005-0000-0000-000002000000}"/>
    <cellStyle name="Moeda 2 2" xfId="4" xr:uid="{00000000-0005-0000-0000-000003000000}"/>
    <cellStyle name="Moeda 2 2 2" xfId="8" xr:uid="{00000000-0005-0000-0000-000004000000}"/>
    <cellStyle name="Moeda 2 3" xfId="6" xr:uid="{00000000-0005-0000-0000-000005000000}"/>
    <cellStyle name="Moeda 3" xfId="12" xr:uid="{F5D2D0B5-9CBE-4A30-92D8-D79BC72637FF}"/>
    <cellStyle name="Normal" xfId="0" builtinId="0"/>
    <cellStyle name="Porcentagem" xfId="11" builtinId="5"/>
    <cellStyle name="Porcentagem 2" xfId="14" xr:uid="{4E1DA1A4-496D-46D7-87FB-7E904C626857}"/>
    <cellStyle name="Vírgula 2" xfId="3" xr:uid="{00000000-0005-0000-0000-000008000000}"/>
    <cellStyle name="Vírgula 2 2" xfId="5" xr:uid="{00000000-0005-0000-0000-000009000000}"/>
    <cellStyle name="Vírgula 2 2 2" xfId="9" xr:uid="{00000000-0005-0000-0000-00000A000000}"/>
    <cellStyle name="Vírgula 2 3" xfId="7" xr:uid="{00000000-0005-0000-0000-00000B000000}"/>
  </cellStyles>
  <dxfs count="573">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76"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indent="0" justifyLastLine="0" shrinkToFit="0" readingOrder="0"/>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dxf>
    <dxf>
      <font>
        <b/>
        <i val="0"/>
        <strike val="0"/>
        <condense val="0"/>
        <extend val="0"/>
        <outline val="0"/>
        <shadow val="0"/>
        <u val="none"/>
        <vertAlign val="baseline"/>
        <sz val="14"/>
        <color auto="1"/>
        <name val="Segoe UI"/>
        <family val="2"/>
        <scheme val="none"/>
      </font>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Segoe UI"/>
        <family val="2"/>
        <scheme val="none"/>
      </font>
      <alignment horizontal="general" vertical="center" textRotation="0" wrapText="1" indent="0" justifyLastLine="0" shrinkToFit="0" readingOrder="0"/>
    </dxf>
    <dxf>
      <font>
        <strike val="0"/>
        <outline val="0"/>
        <shadow val="0"/>
        <u val="none"/>
        <vertAlign val="baseline"/>
        <name val="Calibri"/>
        <scheme val="minor"/>
      </font>
      <numFmt numFmtId="0" formatCode="General"/>
      <fill>
        <patternFill patternType="none">
          <bgColor auto="1"/>
        </patternFill>
      </fill>
    </dxf>
    <dxf>
      <font>
        <strike val="0"/>
        <outline val="0"/>
        <shadow val="0"/>
        <u val="none"/>
        <vertAlign val="baseline"/>
        <name val="Calibri"/>
        <scheme val="minor"/>
      </font>
      <numFmt numFmtId="0" formatCode="General"/>
      <fill>
        <patternFill patternType="none">
          <bgColor auto="1"/>
        </patternFill>
      </fill>
    </dxf>
    <dxf>
      <font>
        <strike val="0"/>
        <outline val="0"/>
        <shadow val="0"/>
        <u val="none"/>
        <vertAlign val="baseline"/>
        <name val="Calibri"/>
        <scheme val="minor"/>
      </font>
      <numFmt numFmtId="0" formatCode="General"/>
      <fill>
        <patternFill patternType="none">
          <bgColor auto="1"/>
        </patternFill>
      </fill>
    </dxf>
    <dxf>
      <font>
        <strike val="0"/>
        <outline val="0"/>
        <shadow val="0"/>
        <u val="none"/>
        <vertAlign val="baseline"/>
        <name val="Calibri"/>
        <scheme val="minor"/>
      </font>
      <numFmt numFmtId="0" formatCode="General"/>
      <fill>
        <patternFill patternType="none">
          <bgColor auto="1"/>
        </patternFill>
      </fill>
    </dxf>
    <dxf>
      <font>
        <b val="0"/>
        <i val="0"/>
        <strike val="0"/>
        <condense val="0"/>
        <extend val="0"/>
        <outline val="0"/>
        <shadow val="0"/>
        <u val="none"/>
        <vertAlign val="baseline"/>
        <sz val="12"/>
        <color theme="1"/>
        <name val="Calibri"/>
        <scheme val="minor"/>
      </font>
      <fill>
        <patternFill patternType="none">
          <bgColor auto="1"/>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ont>
        <strike val="0"/>
        <outline val="0"/>
        <shadow val="0"/>
        <u val="none"/>
        <vertAlign val="baseline"/>
        <name val="Calibri"/>
        <scheme val="minor"/>
      </font>
      <fill>
        <patternFill patternType="none">
          <bgColor auto="1"/>
        </patternFill>
      </fill>
      <alignment horizontal="left" textRotation="0" wrapText="1" indent="0" justifyLastLine="0" shrinkToFit="0" readingOrder="0"/>
    </dxf>
    <dxf>
      <font>
        <strike val="0"/>
        <outline val="0"/>
        <shadow val="0"/>
        <u val="none"/>
        <vertAlign val="baseline"/>
        <name val="Calibri"/>
        <scheme val="minor"/>
      </font>
      <fill>
        <patternFill patternType="none">
          <bgColor auto="1"/>
        </patternFill>
      </fill>
      <alignment horizontal="center" vertical="center" textRotation="0" indent="0" justifyLastLine="0" shrinkToFit="0" readingOrder="0"/>
    </dxf>
    <dxf>
      <border outline="0">
        <bottom style="thin">
          <color auto="1"/>
        </bottom>
      </border>
    </dxf>
    <dxf>
      <border outline="0">
        <left style="thin">
          <color auto="1"/>
        </left>
        <top style="thin">
          <color auto="1"/>
        </top>
      </border>
    </dxf>
    <dxf>
      <font>
        <strike val="0"/>
        <outline val="0"/>
        <shadow val="0"/>
        <u val="none"/>
        <vertAlign val="baseline"/>
        <name val="Calibri"/>
        <scheme val="minor"/>
      </font>
      <fill>
        <patternFill patternType="none">
          <bgColor auto="1"/>
        </patternFill>
      </fill>
    </dxf>
    <dxf>
      <font>
        <b/>
        <i val="0"/>
        <strike val="0"/>
        <condense val="0"/>
        <extend val="0"/>
        <outline val="0"/>
        <shadow val="0"/>
        <u val="none"/>
        <vertAlign val="baseline"/>
        <sz val="11"/>
        <color theme="1"/>
        <name val="Segoe U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alignment horizontal="general" vertical="bottom" textRotation="0" wrapText="1" indent="0" justifyLastLine="0" shrinkToFit="0" readingOrder="0"/>
    </dxf>
    <dxf>
      <fill>
        <patternFill patternType="none">
          <bgColor auto="1"/>
        </patternFill>
      </fill>
    </dxf>
    <dxf>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0" formatCode="General"/>
      <fill>
        <patternFill patternType="none">
          <bgColor auto="1"/>
        </patternFill>
      </fill>
    </dxf>
    <dxf>
      <numFmt numFmtId="176" formatCode="dd/mm/yyyy"/>
      <fill>
        <patternFill patternType="none">
          <bgColor auto="1"/>
        </patternFill>
      </fill>
    </dxf>
    <dxf>
      <fill>
        <patternFill patternType="none">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ill>
        <patternFill patternType="none">
          <bgColor auto="1"/>
        </patternFill>
      </fill>
      <alignment horizontal="general" textRotation="0" wrapText="1" indent="0" justifyLastLine="0" shrinkToFit="0" readingOrder="0"/>
    </dxf>
    <dxf>
      <fill>
        <patternFill patternType="none">
          <bgColor auto="1"/>
        </patternFill>
      </fill>
      <alignment horizontal="center" textRotation="0" indent="0" justifyLastLine="0" shrinkToFit="0" readingOrder="0"/>
    </dxf>
    <dxf>
      <border outline="0">
        <bottom style="thin">
          <color auto="1"/>
        </bottom>
      </border>
    </dxf>
    <dxf>
      <border outline="0">
        <top style="thin">
          <color auto="1"/>
        </top>
      </border>
    </dxf>
    <dxf>
      <fill>
        <patternFill patternType="none">
          <bgColor auto="1"/>
        </patternFill>
      </fill>
    </dxf>
    <dxf>
      <font>
        <b/>
        <i val="0"/>
        <strike val="0"/>
        <condense val="0"/>
        <extend val="0"/>
        <outline val="0"/>
        <shadow val="0"/>
        <u val="none"/>
        <vertAlign val="baseline"/>
        <sz val="11"/>
        <color theme="8" tint="-0.499984740745262"/>
        <name val="Segoe U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ill>
        <patternFill patternType="solid">
          <fgColor indexed="64"/>
          <bgColor theme="0"/>
        </patternFill>
      </fill>
      <alignment horizontal="center" vertical="center" textRotation="0" wrapText="1" indent="0" justifyLastLine="0" shrinkToFit="0" readingOrder="0"/>
      <border diagonalUp="0" diagonalDown="0">
        <left/>
        <right style="thin">
          <color auto="1"/>
        </right>
        <top style="thin">
          <color auto="1"/>
        </top>
        <bottom/>
        <vertical/>
        <horizontal/>
      </border>
    </dxf>
    <dxf>
      <border outline="0">
        <bottom style="thin">
          <color auto="1"/>
        </bottom>
      </border>
    </dxf>
    <dxf>
      <border outline="0">
        <left style="thin">
          <color auto="1"/>
        </left>
        <top style="thin">
          <color auto="1"/>
        </top>
      </border>
    </dxf>
    <dxf>
      <font>
        <b/>
        <i val="0"/>
        <strike val="0"/>
        <condense val="0"/>
        <extend val="0"/>
        <outline val="0"/>
        <shadow val="0"/>
        <u val="none"/>
        <vertAlign val="baseline"/>
        <sz val="11"/>
        <color theme="8" tint="-0.499984740745262"/>
        <name val="Segoe UI"/>
        <scheme val="none"/>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
      <alignment horizontal="left" vertical="top" textRotation="0" indent="0" justifyLastLine="0" shrinkToFit="0" readingOrder="0"/>
    </dxf>
    <dxf>
      <alignment horizontal="left" vertical="top" textRotation="0" indent="0" justifyLastLine="0" shrinkToFit="0" readingOrder="0"/>
    </dxf>
    <dxf>
      <numFmt numFmtId="172" formatCode="_-[$R$-416]\ * #,##0.00_-;\-[$R$-416]\ * #,##0.00_-;_-[$R$-416]\ * &quot;-&quot;??_-;_-@_-"/>
      <alignment horizontal="left" vertical="top" textRotation="0" indent="0" justifyLastLine="0" shrinkToFit="0" readingOrder="0"/>
    </dxf>
    <dxf>
      <numFmt numFmtId="172" formatCode="_-[$R$-416]\ * #,##0.00_-;\-[$R$-416]\ * #,##0.00_-;_-[$R$-416]\ * &quot;-&quot;??_-;_-@_-"/>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color rgb="FF9C0006"/>
      </font>
      <fill>
        <patternFill patternType="solid">
          <bgColor theme="7" tint="0.39997558519241921"/>
        </patternFill>
      </fill>
    </dxf>
    <dxf>
      <font>
        <color rgb="FF002060"/>
      </font>
      <fill>
        <patternFill patternType="solid">
          <bgColor theme="2" tint="-9.9978637043366805E-2"/>
        </patternFill>
      </fill>
    </dxf>
    <dxf>
      <font>
        <color rgb="FF006100"/>
      </font>
      <fill>
        <patternFill>
          <bgColor rgb="FFC6EFCE"/>
        </patternFill>
      </fill>
    </dxf>
    <dxf>
      <font>
        <color theme="1"/>
      </font>
      <fill>
        <patternFill patternType="solid">
          <bgColor rgb="FFB48ED1"/>
        </patternFill>
      </fill>
    </dxf>
    <dxf>
      <font>
        <color rgb="FF9C0006"/>
      </font>
      <fill>
        <patternFill patternType="solid">
          <bgColor theme="7" tint="0.39997558519241921"/>
        </patternFill>
      </fill>
    </dxf>
    <dxf>
      <font>
        <color rgb="FF002060"/>
      </font>
      <fill>
        <patternFill patternType="solid">
          <bgColor theme="2" tint="-9.9978637043366805E-2"/>
        </patternFill>
      </fill>
    </dxf>
    <dxf>
      <font>
        <color rgb="FF006100"/>
      </font>
      <fill>
        <patternFill>
          <bgColor rgb="FFC6EFCE"/>
        </patternFill>
      </fill>
    </dxf>
    <dxf>
      <font>
        <color theme="1"/>
      </font>
      <fill>
        <patternFill patternType="solid">
          <bgColor rgb="FFB48ED1"/>
        </patternFill>
      </fill>
    </dxf>
    <dxf>
      <font>
        <color rgb="FF9C0006"/>
      </font>
      <fill>
        <patternFill patternType="solid">
          <bgColor theme="7" tint="0.39997558519241921"/>
        </patternFill>
      </fill>
    </dxf>
    <dxf>
      <font>
        <color rgb="FF002060"/>
      </font>
      <fill>
        <patternFill patternType="solid">
          <bgColor theme="2" tint="-9.9978637043366805E-2"/>
        </patternFill>
      </fill>
    </dxf>
    <dxf>
      <font>
        <color rgb="FF006100"/>
      </font>
      <fill>
        <patternFill>
          <bgColor rgb="FFC6EFCE"/>
        </patternFill>
      </fill>
    </dxf>
    <dxf>
      <font>
        <color theme="1"/>
      </font>
      <fill>
        <patternFill patternType="solid">
          <bgColor rgb="FFB48ED1"/>
        </patternFill>
      </fill>
    </dxf>
    <dxf>
      <font>
        <color rgb="FF9C0006"/>
      </font>
      <fill>
        <patternFill>
          <bgColor rgb="FFFFC7CE"/>
        </patternFill>
      </fill>
    </dxf>
    <dxf>
      <font>
        <color rgb="FF9C0006"/>
      </font>
      <fill>
        <patternFill>
          <bgColor rgb="FFFFC7CE"/>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auto="1"/>
        </left>
        <right/>
        <top/>
        <bottom/>
      </border>
    </dxf>
    <dxf>
      <font>
        <b/>
        <i val="0"/>
        <strike val="0"/>
        <condense val="0"/>
        <extend val="0"/>
        <outline val="0"/>
        <shadow val="0"/>
        <u val="none"/>
        <vertAlign val="baseline"/>
        <sz val="11"/>
        <color theme="1" tint="4.9989318521683403E-2"/>
        <name val="Calibri"/>
        <family val="2"/>
        <scheme val="minor"/>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top/>
        <bottom/>
      </border>
    </dxf>
    <dxf>
      <font>
        <b/>
        <i val="0"/>
        <strike val="0"/>
        <condense val="0"/>
        <extend val="0"/>
        <outline val="0"/>
        <shadow val="0"/>
        <u val="none"/>
        <vertAlign val="baseline"/>
        <sz val="11"/>
        <color theme="1" tint="4.9989318521683403E-2"/>
        <name val="Calibri"/>
        <family val="2"/>
        <scheme val="minor"/>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top/>
        <bottom/>
      </border>
    </dxf>
    <dxf>
      <font>
        <b/>
        <i val="0"/>
        <strike val="0"/>
        <condense val="0"/>
        <extend val="0"/>
        <outline val="0"/>
        <shadow val="0"/>
        <u val="none"/>
        <vertAlign val="baseline"/>
        <sz val="11"/>
        <color theme="1" tint="4.9989318521683403E-2"/>
        <name val="Calibri"/>
        <family val="2"/>
        <scheme val="minor"/>
      </font>
      <numFmt numFmtId="169" formatCode="dd/mm/yy;@"/>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top/>
        <bottom/>
      </border>
    </dxf>
    <dxf>
      <numFmt numFmtId="0" formatCode="General"/>
      <alignment horizontal="center" vertical="center" textRotation="0" wrapText="1" indent="0" justifyLastLine="0" shrinkToFit="0" readingOrder="0"/>
      <border diagonalUp="0" diagonalDown="0">
        <left/>
        <right/>
        <top style="thin">
          <color auto="1"/>
        </top>
        <bottom/>
        <vertical/>
        <horizontal/>
      </border>
    </dxf>
    <dxf>
      <alignment horizontal="center" vertical="center" textRotation="0" wrapText="1" indent="0" justifyLastLine="0" shrinkToFit="0" readingOrder="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border outline="0">
        <left style="thin">
          <color auto="1"/>
        </left>
        <right style="thin">
          <color auto="1"/>
        </right>
        <top style="thin">
          <color auto="1"/>
        </top>
      </border>
    </dxf>
    <dxf>
      <font>
        <b/>
        <i val="0"/>
        <strike val="0"/>
        <condense val="0"/>
        <extend val="0"/>
        <outline val="0"/>
        <shadow val="0"/>
        <u val="none"/>
        <vertAlign val="baseline"/>
        <sz val="11"/>
        <color theme="0"/>
        <name val="Arial"/>
        <scheme val="none"/>
      </font>
      <numFmt numFmtId="171" formatCode="[$-416]mmm\-yy;@"/>
      <fill>
        <patternFill patternType="solid">
          <fgColor indexed="64"/>
          <bgColor theme="9" tint="-0.249977111117893"/>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theme="1"/>
      </font>
      <fill>
        <patternFill patternType="solid">
          <bgColor theme="9" tint="0.39997558519241921"/>
        </patternFill>
      </fill>
    </dxf>
    <dxf>
      <font>
        <color theme="1"/>
      </font>
      <fill>
        <patternFill patternType="solid">
          <bgColor rgb="FF00B0F0"/>
        </patternFill>
      </fill>
    </dxf>
    <dxf>
      <font>
        <color theme="9" tint="-0.499984740745262"/>
      </font>
      <fill>
        <patternFill patternType="none">
          <bgColor auto="1"/>
        </patternFill>
      </fill>
    </dxf>
    <dxf>
      <font>
        <color theme="5" tint="-0.24994659260841701"/>
      </font>
      <fill>
        <patternFill patternType="none">
          <bgColor auto="1"/>
        </patternFill>
      </fill>
    </dxf>
    <dxf>
      <font>
        <color rgb="FF9C0006"/>
      </font>
    </dxf>
    <dxf>
      <font>
        <color rgb="FFFF0000"/>
      </font>
    </dxf>
    <dxf>
      <font>
        <color rgb="FF00B050"/>
      </font>
      <fill>
        <patternFill patternType="none">
          <bgColor auto="1"/>
        </patternFill>
      </fill>
    </dxf>
    <dxf>
      <font>
        <b/>
        <i val="0"/>
        <color theme="0"/>
      </font>
      <fill>
        <patternFill>
          <bgColor rgb="FFFF0000"/>
        </patternFill>
      </fill>
    </dxf>
    <dxf>
      <font>
        <color rgb="FF9C0006"/>
      </font>
      <fill>
        <patternFill>
          <bgColor theme="7" tint="0.39994506668294322"/>
        </patternFill>
      </fill>
    </dxf>
    <dxf>
      <font>
        <color rgb="FF9C0006"/>
      </font>
      <fill>
        <patternFill patternType="solid">
          <bgColor theme="7" tint="0.39997558519241921"/>
        </patternFill>
      </fill>
    </dxf>
    <dxf>
      <font>
        <color rgb="FF002060"/>
      </font>
      <fill>
        <patternFill patternType="solid">
          <bgColor theme="2" tint="-9.9978637043366805E-2"/>
        </patternFill>
      </fill>
    </dxf>
    <dxf>
      <font>
        <color rgb="FF006100"/>
      </font>
      <fill>
        <patternFill>
          <bgColor rgb="FFC6EFCE"/>
        </patternFill>
      </fill>
    </dxf>
    <dxf>
      <font>
        <color theme="1"/>
      </font>
      <fill>
        <patternFill patternType="solid">
          <bgColor rgb="FFB48ED1"/>
        </patternFill>
      </fill>
    </dxf>
    <dxf>
      <numFmt numFmtId="0" formatCode="General"/>
      <fill>
        <patternFill patternType="none">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bgColor auto="1"/>
        </patternFill>
      </fill>
      <alignment horizontal="center" vertical="bottom" textRotation="0" wrapText="0" indent="0" justifyLastLine="0" shrinkToFit="0" readingOrder="0"/>
    </dxf>
    <dxf>
      <numFmt numFmtId="0" formatCode="General"/>
      <fill>
        <patternFill patternType="none">
          <bgColor auto="1"/>
        </patternFill>
      </fill>
    </dxf>
    <dxf>
      <numFmt numFmtId="0" formatCode="General"/>
      <fill>
        <patternFill patternType="none">
          <bgColor auto="1"/>
        </patternFill>
      </fill>
      <alignment horizontal="center" vertical="bottom" textRotation="0" wrapText="0" indent="0" justifyLastLine="0" shrinkToFit="0" readingOrder="0"/>
    </dxf>
    <dxf>
      <numFmt numFmtId="0" formatCode="General"/>
      <fill>
        <patternFill patternType="none">
          <bgColor auto="1"/>
        </patternFill>
      </fill>
    </dxf>
    <dxf>
      <fill>
        <patternFill patternType="none">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ill>
        <patternFill patternType="none">
          <bgColor auto="1"/>
        </patternFill>
      </fill>
      <alignment horizontal="general" textRotation="0" wrapText="1" indent="0" justifyLastLine="0" shrinkToFit="0" readingOrder="0"/>
    </dxf>
    <dxf>
      <fill>
        <patternFill patternType="none">
          <bgColor auto="1"/>
        </patternFill>
      </fill>
      <alignment horizontal="center" textRotation="0" indent="0" justifyLastLine="0" shrinkToFit="0" readingOrder="0"/>
    </dxf>
    <dxf>
      <border outline="0">
        <bottom style="thin">
          <color auto="1"/>
        </bottom>
      </border>
    </dxf>
    <dxf>
      <border outline="0">
        <top style="thin">
          <color auto="1"/>
        </top>
      </border>
    </dxf>
    <dxf>
      <fill>
        <patternFill patternType="none">
          <bgColor auto="1"/>
        </patternFill>
      </fill>
    </dxf>
    <dxf>
      <font>
        <b/>
        <i val="0"/>
        <strike val="0"/>
        <condense val="0"/>
        <extend val="0"/>
        <outline val="0"/>
        <shadow val="0"/>
        <u val="none"/>
        <vertAlign val="baseline"/>
        <sz val="11"/>
        <color theme="8" tint="-0.499984740745262"/>
        <name val="Segoe U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50"/>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indexed="64"/>
        </bottom>
      </border>
    </dxf>
    <dxf>
      <border outline="0">
        <left style="thin">
          <color auto="1"/>
        </left>
        <right style="thin">
          <color auto="1"/>
        </right>
        <top style="thin">
          <color auto="1"/>
        </top>
        <bottom style="thin">
          <color auto="1"/>
        </bottom>
      </border>
    </dxf>
    <dxf>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style="thin">
          <color auto="1"/>
        </left>
        <right/>
        <top style="thin">
          <color theme="4" tint="0.39997558519241921"/>
        </top>
        <bottom style="thin">
          <color theme="4" tint="0.39997558519241921"/>
        </bottom>
      </border>
    </dxf>
    <dxf>
      <numFmt numFmtId="0" formatCode="General"/>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numFmt numFmtId="19"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border diagonalUp="0" diagonalDown="0" outline="0">
        <left style="thin">
          <color auto="1"/>
        </left>
        <right/>
        <top style="thin">
          <color auto="1"/>
        </top>
        <bottom/>
      </border>
    </dxf>
    <dxf>
      <fill>
        <patternFill patternType="none">
          <fgColor indexed="64"/>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border diagonalUp="0" diagonalDown="0" outline="0">
        <left/>
        <right/>
        <top style="thin">
          <color indexed="64"/>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numFmt numFmtId="13"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ertAlign val="baseline"/>
        <sz val="11"/>
        <color theme="10"/>
        <name val="Calibri"/>
        <family val="2"/>
        <scheme val="minor"/>
      </font>
      <alignment horizontal="center" vertical="center" textRotation="0" wrapText="1" indent="0" justifyLastLine="0" shrinkToFit="0" readingOrder="0"/>
      <border diagonalUp="0" diagonalDown="0" outline="0">
        <left/>
        <right style="thin">
          <color auto="1"/>
        </right>
        <top style="thin">
          <color auto="1"/>
        </top>
        <bottom/>
      </border>
    </dxf>
    <dxf>
      <font>
        <b/>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top style="thin">
          <color auto="1"/>
        </top>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family val="2"/>
        <scheme val="minor"/>
      </font>
      <numFmt numFmtId="176" formatCode="dd/mm/yyyy"/>
      <alignment horizontal="center" vertical="center" textRotation="0" wrapText="1" indent="0" justifyLastLine="0" shrinkToFit="0" readingOrder="0"/>
      <border diagonalUp="0" diagonalDown="0">
        <left style="thin">
          <color auto="1"/>
        </left>
        <right style="thin">
          <color auto="1"/>
        </right>
        <top style="thin">
          <color auto="1"/>
        </top>
        <bottom/>
        <vertical/>
        <horizontal/>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font>
      <alignment horizontal="center" vertical="center" textRotation="0" wrapText="1" indent="0" justifyLastLine="0" shrinkToFit="0" readingOrder="0"/>
      <border diagonalUp="0" diagonalDown="0">
        <left/>
        <right style="thin">
          <color auto="1"/>
        </right>
        <top style="thin">
          <color auto="1"/>
        </top>
        <bottom/>
        <vertical/>
        <horizontal/>
      </border>
    </dxf>
    <dxf>
      <alignment horizontal="center" vertical="center" textRotation="0" wrapText="1" indent="0" justifyLastLine="0" shrinkToFit="0" readingOrder="0"/>
      <border diagonalUp="0" diagonalDown="0">
        <left style="thin">
          <color auto="1"/>
        </left>
        <right/>
        <top style="thin">
          <color auto="1"/>
        </top>
        <bottom/>
        <vertical/>
        <horizontal/>
      </border>
    </dxf>
    <dxf>
      <alignment horizontal="general" vertical="center" textRotation="0" wrapText="1" indent="0" justifyLastLine="0" shrinkToFit="0" readingOrder="0"/>
      <border diagonalUp="0" diagonalDown="0">
        <left style="thin">
          <color auto="1"/>
        </left>
        <right style="thin">
          <color auto="1"/>
        </right>
        <top style="thin">
          <color auto="1"/>
        </top>
        <bottom/>
        <vertical/>
        <horizontal/>
      </border>
    </dxf>
    <dxf>
      <numFmt numFmtId="176" formatCode="dd/mm/yyyy"/>
      <alignment horizontal="general" vertical="center" textRotation="0" wrapText="1" indent="0" justifyLastLine="0" shrinkToFit="0" readingOrder="0"/>
      <border diagonalUp="0" diagonalDown="0" outline="0">
        <left style="thin">
          <color auto="1"/>
        </left>
        <right/>
        <top style="thin">
          <color auto="1"/>
        </top>
        <bottom/>
      </border>
    </dxf>
    <dxf>
      <numFmt numFmtId="176"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auto="1"/>
        </right>
        <top style="thin">
          <color auto="1"/>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dxf>
    <dxf>
      <font>
        <b/>
        <i val="0"/>
        <strike val="0"/>
        <condense val="0"/>
        <extend val="0"/>
        <outline val="0"/>
        <shadow val="0"/>
        <u val="none"/>
        <vertAlign val="baseline"/>
        <sz val="14"/>
        <color theme="0"/>
        <name val="Segoe U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color theme="5" tint="-0.24994659260841701"/>
      </font>
      <fill>
        <patternFill>
          <bgColor theme="5" tint="0.59996337778862885"/>
        </patternFill>
      </fill>
    </dxf>
    <dxf>
      <fill>
        <patternFill>
          <bgColor rgb="FF00B0F0"/>
        </patternFill>
      </fill>
    </dxf>
    <dxf>
      <fill>
        <patternFill>
          <bgColor rgb="FF00B050"/>
        </patternFill>
      </fill>
    </dxf>
    <dxf>
      <fill>
        <patternFill>
          <bgColor rgb="FF00B0F0"/>
        </patternFill>
      </fill>
    </dxf>
    <dxf>
      <fill>
        <patternFill>
          <bgColor rgb="FF00B050"/>
        </patternFill>
      </fill>
    </dxf>
    <dxf>
      <fill>
        <patternFill>
          <bgColor rgb="FF00B0F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5" tint="0.59996337778862885"/>
        </patternFill>
      </fill>
    </dxf>
    <dxf>
      <fill>
        <patternFill>
          <bgColor rgb="FF00B0F0"/>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general" vertical="center" textRotation="0" wrapText="0" indent="0" justifyLastLine="0" shrinkToFit="0" readingOrder="0"/>
      <protection locked="0" hidden="0"/>
    </dxf>
    <dxf>
      <alignment horizontal="general" vertical="center" textRotation="0" wrapText="0" indent="0" justifyLastLine="0" shrinkToFit="0" readingOrder="0"/>
      <protection locked="0" hidden="0"/>
    </dxf>
    <dxf>
      <alignment horizontal="general" vertical="center" textRotation="0" wrapText="0" indent="0" justifyLastLine="0" shrinkToFit="0" readingOrder="0"/>
      <protection locked="0" hidden="0"/>
    </dxf>
    <dxf>
      <numFmt numFmtId="167" formatCode="[$-416]mmmm\-yy;@"/>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numFmt numFmtId="0" formatCode="Genera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numFmt numFmtId="169" formatCode="dd/mm/yy;@"/>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protection locked="0" hidden="0"/>
    </dxf>
    <dxf>
      <numFmt numFmtId="177" formatCode="mmm/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numFmt numFmtId="176"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general" vertical="center" textRotation="0" wrapText="0" indent="0" justifyLastLine="0" shrinkToFit="0" readingOrder="0"/>
      <protection locked="0" hidden="0"/>
    </dxf>
    <dxf>
      <font>
        <b/>
        <i val="0"/>
        <strike val="0"/>
        <condense val="0"/>
        <extend val="0"/>
        <outline val="0"/>
        <shadow val="0"/>
        <u val="none"/>
        <vertAlign val="baseline"/>
        <sz val="12"/>
        <color theme="1"/>
        <name val="Calibri"/>
        <family val="2"/>
        <scheme val="minor"/>
      </font>
      <fill>
        <patternFill patternType="solid">
          <fgColor indexed="64"/>
          <bgColor theme="0" tint="-0.14999847407452621"/>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general" vertical="center" textRotation="0" wrapText="0" indent="0" justifyLastLine="0" shrinkToFit="0" readingOrder="0"/>
      <protection locked="0" hidden="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numFmt numFmtId="176" formatCode="dd/mm/yyyy"/>
    </dxf>
    <dxf>
      <numFmt numFmtId="13" formatCode="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border outline="0">
        <bottom style="thin">
          <color auto="1"/>
        </bottom>
      </border>
    </dxf>
    <dxf>
      <border outline="0">
        <top style="thin">
          <color auto="1"/>
        </top>
      </border>
    </dxf>
    <dxf>
      <numFmt numFmtId="0" formatCode="General"/>
      <fill>
        <patternFill patternType="none">
          <fgColor indexed="64"/>
          <bgColor auto="1"/>
        </patternFill>
      </fill>
      <alignment vertical="center" textRotation="0" wrapText="1" indent="0" justifyLastLine="0" shrinkToFit="0" readingOrder="0"/>
    </dxf>
    <dxf>
      <numFmt numFmtId="0" formatCode="General"/>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numFmt numFmtId="19"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border diagonalUp="0" diagonalDown="0" outline="0">
        <left style="thin">
          <color auto="1"/>
        </left>
        <right/>
        <top style="thin">
          <color auto="1"/>
        </top>
        <bottom/>
      </border>
    </dxf>
    <dxf>
      <fill>
        <patternFill patternType="none">
          <fgColor indexed="64"/>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border diagonalUp="0" diagonalDown="0" outline="0">
        <left/>
        <right/>
        <top style="thin">
          <color indexed="64"/>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numFmt numFmtId="13"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ertAlign val="baseline"/>
        <sz val="11"/>
        <color theme="10"/>
        <name val="Calibri"/>
        <family val="2"/>
        <scheme val="minor"/>
      </font>
      <alignment horizontal="center" vertical="center" textRotation="0" wrapText="1" indent="0" justifyLastLine="0" shrinkToFit="0" readingOrder="0"/>
      <border diagonalUp="0" diagonalDown="0" outline="0">
        <left/>
        <right style="thin">
          <color auto="1"/>
        </right>
        <top style="thin">
          <color auto="1"/>
        </top>
        <bottom/>
      </border>
    </dxf>
    <dxf>
      <font>
        <b/>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top style="thin">
          <color auto="1"/>
        </top>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family val="2"/>
        <scheme val="minor"/>
      </font>
      <numFmt numFmtId="176" formatCode="dd/mm/yyyy"/>
      <alignment horizontal="center" vertical="center" textRotation="0" wrapText="1" indent="0" justifyLastLine="0" shrinkToFit="0" readingOrder="0"/>
      <border diagonalUp="0" diagonalDown="0">
        <left style="thin">
          <color auto="1"/>
        </left>
        <right style="thin">
          <color auto="1"/>
        </right>
        <top style="thin">
          <color auto="1"/>
        </top>
        <bottom/>
        <vertical/>
        <horizontal/>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auto="1"/>
        </right>
        <top style="thin">
          <color auto="1"/>
        </top>
        <bottom/>
      </border>
    </dxf>
    <dxf>
      <font>
        <b/>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76"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auto="1"/>
        </right>
        <top style="thin">
          <color auto="1"/>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1" indent="0" justifyLastLine="0" shrinkToFit="0" readingOrder="0"/>
    </dxf>
    <dxf>
      <font>
        <b/>
        <i val="0"/>
        <strike val="0"/>
        <condense val="0"/>
        <extend val="0"/>
        <outline val="0"/>
        <shadow val="0"/>
        <u val="none"/>
        <vertAlign val="baseline"/>
        <sz val="14"/>
        <color theme="0"/>
        <name val="Segoe U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color theme="5" tint="-0.24994659260841701"/>
      </font>
      <fill>
        <patternFill>
          <bgColor theme="5" tint="0.59996337778862885"/>
        </patternFill>
      </fill>
    </dxf>
    <dxf>
      <fill>
        <patternFill>
          <bgColor rgb="FF00B0F0"/>
        </patternFill>
      </fill>
    </dxf>
    <dxf>
      <fill>
        <patternFill>
          <bgColor rgb="FF00B050"/>
        </patternFill>
      </fill>
    </dxf>
    <dxf>
      <fill>
        <patternFill>
          <bgColor rgb="FF00B0F0"/>
        </patternFill>
      </fill>
    </dxf>
    <dxf>
      <fill>
        <patternFill>
          <bgColor rgb="FF00B050"/>
        </patternFill>
      </fill>
    </dxf>
    <dxf>
      <fill>
        <patternFill>
          <bgColor rgb="FF00B0F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5" tint="0.59996337778862885"/>
        </patternFill>
      </fill>
    </dxf>
    <dxf>
      <fill>
        <patternFill>
          <bgColor rgb="FF00B0F0"/>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fill>
        <patternFill patternType="none">
          <fgColor indexed="64"/>
          <bgColor auto="1"/>
        </patternFill>
      </fill>
      <alignment vertical="center" textRotation="0" wrapText="1" indent="0" justifyLastLine="0" shrinkToFit="0" readingOrder="0"/>
    </dxf>
    <dxf>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border outline="0">
        <left style="thin">
          <color rgb="FF000000"/>
        </left>
        <right style="thin">
          <color rgb="FF000000"/>
        </right>
        <top style="thin">
          <color rgb="FF000000"/>
        </top>
        <bottom style="thin">
          <color rgb="FF000000"/>
        </bottom>
      </border>
    </dxf>
    <dxf>
      <numFmt numFmtId="19"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border diagonalUp="0" diagonalDown="0" outline="0">
        <left style="thin">
          <color auto="1"/>
        </left>
        <right/>
        <top style="thin">
          <color auto="1"/>
        </top>
        <bottom/>
      </border>
    </dxf>
    <dxf>
      <fill>
        <patternFill patternType="none">
          <fgColor indexed="64"/>
          <bgColor auto="1"/>
        </patternFill>
      </fill>
      <alignment vertical="center" textRotation="0" wrapText="1" indent="0" justifyLastLine="0" shrinkToFit="0" readingOrder="0"/>
      <border outline="0">
        <left style="thin">
          <color rgb="FF000000"/>
        </left>
        <right style="thin">
          <color rgb="FF000000"/>
        </right>
        <top style="thin">
          <color rgb="FF000000"/>
        </top>
        <bottom style="thin">
          <color rgb="FF000000"/>
        </bottom>
      </border>
    </dxf>
    <dxf>
      <border diagonalUp="0" diagonalDown="0" outline="0">
        <left/>
        <right/>
        <top style="thin">
          <color indexed="64"/>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Calibri"/>
        <scheme val="minor"/>
      </font>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numFmt numFmtId="13"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ertAlign val="baseline"/>
        <sz val="11"/>
        <color theme="10"/>
        <name val="Calibri"/>
        <family val="2"/>
        <scheme val="minor"/>
      </font>
      <alignment horizontal="center" vertical="center" textRotation="0" wrapText="1" indent="0" justifyLastLine="0" shrinkToFit="0" readingOrder="0"/>
      <border diagonalUp="0" diagonalDown="0" outline="0">
        <left/>
        <right style="thin">
          <color auto="1"/>
        </right>
        <top style="thin">
          <color auto="1"/>
        </top>
        <bottom/>
      </border>
    </dxf>
    <dxf>
      <font>
        <b/>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1" indent="0" justifyLastLine="0" shrinkToFit="0" readingOrder="0"/>
      <border diagonalUp="0" diagonalDown="0" outline="0">
        <left style="thin">
          <color auto="1"/>
        </left>
        <right/>
        <top style="thin">
          <color auto="1"/>
        </top>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family val="2"/>
        <scheme val="minor"/>
      </font>
      <numFmt numFmtId="176" formatCode="dd/mm/yyyy"/>
      <alignment horizontal="center" vertical="center" textRotation="0" wrapText="1" indent="0" justifyLastLine="0" shrinkToFit="0" readingOrder="0"/>
      <border diagonalUp="0" diagonalDown="0">
        <left style="thin">
          <color auto="1"/>
        </left>
        <right style="thin">
          <color auto="1"/>
        </right>
        <top style="thin">
          <color auto="1"/>
        </top>
        <bottom/>
        <vertical/>
        <horizontal/>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auto="1"/>
        </right>
        <top style="thin">
          <color auto="1"/>
        </top>
        <bottom/>
      </border>
    </dxf>
    <dxf>
      <font>
        <b/>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numFmt numFmtId="176"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auto="1"/>
        </left>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general" vertical="center" textRotation="0" wrapText="0" indent="0" justifyLastLine="0" shrinkToFit="0" readingOrder="0"/>
    </dxf>
    <dxf>
      <fill>
        <patternFill patternType="none">
          <fgColor indexed="64"/>
          <bgColor auto="1"/>
        </patternFill>
      </fill>
      <alignmen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ill>
        <patternFill patternType="none">
          <fgColor indexed="64"/>
          <bgColor auto="1"/>
        </patternFill>
      </fill>
      <alignment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alignment horizontal="general" vertical="center" textRotation="0" wrapText="1" indent="0" justifyLastLine="0" shrinkToFit="0" readingOrder="0"/>
    </dxf>
    <dxf>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alignment horizontal="general"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font>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style="thin">
          <color auto="1"/>
        </right>
        <top style="thin">
          <color auto="1"/>
        </top>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ill>
        <patternFill patternType="none">
          <fgColor rgb="FF000000"/>
          <bgColor auto="1"/>
        </patternFill>
      </fill>
      <alignment vertical="center" textRotation="0" wrapText="1" indent="0" justifyLastLine="0" shrinkToFit="0" readingOrder="0"/>
    </dxf>
    <dxf>
      <font>
        <b/>
        <i val="0"/>
        <strike val="0"/>
        <condense val="0"/>
        <extend val="0"/>
        <outline val="0"/>
        <shadow val="0"/>
        <u val="none"/>
        <vertAlign val="baseline"/>
        <sz val="14"/>
        <color theme="0"/>
        <name val="Segoe UI"/>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color theme="5" tint="-0.24994659260841701"/>
      </font>
      <fill>
        <patternFill>
          <bgColor theme="5" tint="0.59996337778862885"/>
        </patternFill>
      </fill>
    </dxf>
    <dxf>
      <fill>
        <patternFill>
          <bgColor rgb="FF00B0F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5" tint="0.59996337778862885"/>
        </patternFill>
      </fill>
    </dxf>
    <dxf>
      <fill>
        <patternFill>
          <bgColor rgb="FF00B0F0"/>
        </patternFill>
      </fill>
    </dxf>
    <dxf>
      <fill>
        <patternFill>
          <bgColor rgb="FF00B05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B48E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Planejamento Estratégico - Projetos</a:t>
            </a:r>
            <a:r>
              <a:rPr lang="en-US" baseline="0"/>
              <a:t> </a:t>
            </a:r>
            <a:r>
              <a:rPr lang="en-US"/>
              <a:t>2021 a 2025</a:t>
            </a:r>
          </a:p>
        </c:rich>
      </c:tx>
      <c:layout>
        <c:manualLayout>
          <c:xMode val="edge"/>
          <c:yMode val="edge"/>
          <c:x val="0.30028893208099589"/>
          <c:y val="4.002945799516589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'Consolidado 2021-2026'!$J$4</c:f>
              <c:strCache>
                <c:ptCount val="1"/>
                <c:pt idx="0">
                  <c:v>Total</c:v>
                </c:pt>
              </c:strCache>
            </c:strRef>
          </c:tx>
          <c:spPr>
            <a:solidFill>
              <a:srgbClr val="00206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'Consolidado 2021-2026'!$C$5:$C$22</c:f>
              <c:strCache>
                <c:ptCount val="18"/>
                <c:pt idx="0">
                  <c:v>01. Desenvolver políticas judiciárias e outros instrumentos para o aperfeiçoamento das atividades dos órgãos do Poder Judiciário e dos seus serviços auxiliares e dos serviços notariais e de registro, e dos demais órgãos correicionais</c:v>
                </c:pt>
                <c:pt idx="1">
                  <c:v>02. Aperfeiçoar os mecanismos de monitoramento de políticas judiciárias</c:v>
                </c:pt>
                <c:pt idx="2">
                  <c:v>03. Fomentar a gestão da qualidade dos dados no Poder Judiciário</c:v>
                </c:pt>
                <c:pt idx="3">
                  <c:v>04. Promover a disseminação das informações, de forma padronizada e sistêmica</c:v>
                </c:pt>
                <c:pt idx="4">
                  <c:v>05. Aprimorar as inspeções e correições</c:v>
                </c:pt>
                <c:pt idx="5">
                  <c:v>06. Fomentar a melhoria dos serviços extrajudiciais</c:v>
                </c:pt>
                <c:pt idx="6">
                  <c:v>07. Fomentar e fortalecer a atuação interinstitucional do CNJ para garantir os direitos dos cidadãos</c:v>
                </c:pt>
                <c:pt idx="7">
                  <c:v>08. Fortalecer a política judiciária de soluções alternativas de conflitos e a desjudicialização</c:v>
                </c:pt>
                <c:pt idx="8">
                  <c:v>09. Fomentar e incrementar a produção de soluções tecnológicas, com foco em inovação e transformação digital</c:v>
                </c:pt>
                <c:pt idx="9">
                  <c:v>10. Aprimorar a governança e a gestão da tecnologia e comunicação sob a ótica de soluções colaborativas</c:v>
                </c:pt>
                <c:pt idx="10">
                  <c:v>11. Garantir Infraestrutura adequada ao funcionamento do CNJ</c:v>
                </c:pt>
                <c:pt idx="11">
                  <c:v>12. Promover práticas inovadoras de gestão e de incentivo ao trabalho colaborativo</c:v>
                </c:pt>
                <c:pt idx="12">
                  <c:v>13. Estimular a desburocratização no Poder Judiciário</c:v>
                </c:pt>
                <c:pt idx="13">
                  <c:v>14. Impulsionar a implantação e a gestão das  Políticas de Sustentabilidade e Acessibilidade</c:v>
                </c:pt>
                <c:pt idx="14">
                  <c:v>15. Estimular a comunicação ao cidadão, a integração e a colaboração no âmbito do Poder Judiciário</c:v>
                </c:pt>
                <c:pt idx="15">
                  <c:v>16. Aperfeiçoar políticas e práticas de Gestão de Pessoas</c:v>
                </c:pt>
                <c:pt idx="16">
                  <c:v>17.Promover  a saúde e a qualidade de vida no trabalho de forma integrada e contínua</c:v>
                </c:pt>
                <c:pt idx="17">
                  <c:v>18. Aprimorar sistemas de gestão de planejamento, orçamento e finanças no Poder Judiciário</c:v>
                </c:pt>
              </c:strCache>
            </c:strRef>
          </c:cat>
          <c:val>
            <c:numRef>
              <c:f>'Consolidado 2021-2026'!$J$5:$J$22</c:f>
              <c:numCache>
                <c:formatCode>General</c:formatCode>
                <c:ptCount val="18"/>
                <c:pt idx="0">
                  <c:v>54</c:v>
                </c:pt>
                <c:pt idx="1">
                  <c:v>7</c:v>
                </c:pt>
                <c:pt idx="2">
                  <c:v>16</c:v>
                </c:pt>
                <c:pt idx="3">
                  <c:v>10</c:v>
                </c:pt>
                <c:pt idx="4">
                  <c:v>3</c:v>
                </c:pt>
                <c:pt idx="5">
                  <c:v>1</c:v>
                </c:pt>
                <c:pt idx="6">
                  <c:v>65</c:v>
                </c:pt>
                <c:pt idx="7">
                  <c:v>6</c:v>
                </c:pt>
                <c:pt idx="8">
                  <c:v>34</c:v>
                </c:pt>
                <c:pt idx="9">
                  <c:v>8</c:v>
                </c:pt>
                <c:pt idx="10">
                  <c:v>0</c:v>
                </c:pt>
                <c:pt idx="11">
                  <c:v>5</c:v>
                </c:pt>
                <c:pt idx="12">
                  <c:v>13</c:v>
                </c:pt>
                <c:pt idx="13">
                  <c:v>7</c:v>
                </c:pt>
                <c:pt idx="14">
                  <c:v>5</c:v>
                </c:pt>
                <c:pt idx="15">
                  <c:v>8</c:v>
                </c:pt>
                <c:pt idx="16">
                  <c:v>0</c:v>
                </c:pt>
                <c:pt idx="17">
                  <c:v>0</c:v>
                </c:pt>
              </c:numCache>
            </c:numRef>
          </c:val>
          <c:extLst>
            <c:ext xmlns:c16="http://schemas.microsoft.com/office/drawing/2014/chart" uri="{C3380CC4-5D6E-409C-BE32-E72D297353CC}">
              <c16:uniqueId val="{00000000-4F5D-494E-B28F-684FCFD73030}"/>
            </c:ext>
          </c:extLst>
        </c:ser>
        <c:dLbls>
          <c:showLegendKey val="0"/>
          <c:showVal val="1"/>
          <c:showCatName val="0"/>
          <c:showSerName val="0"/>
          <c:showPercent val="0"/>
          <c:showBubbleSize val="0"/>
        </c:dLbls>
        <c:gapWidth val="150"/>
        <c:shape val="box"/>
        <c:axId val="1947923503"/>
        <c:axId val="1947913423"/>
        <c:axId val="1334088320"/>
      </c:bar3DChart>
      <c:catAx>
        <c:axId val="1947923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pt-BR"/>
          </a:p>
        </c:txPr>
        <c:crossAx val="1947913423"/>
        <c:crosses val="autoZero"/>
        <c:auto val="1"/>
        <c:lblAlgn val="ctr"/>
        <c:lblOffset val="100"/>
        <c:noMultiLvlLbl val="0"/>
      </c:catAx>
      <c:valAx>
        <c:axId val="19479134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7923503"/>
        <c:crosses val="autoZero"/>
        <c:crossBetween val="between"/>
      </c:valAx>
      <c:serAx>
        <c:axId val="13340883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crossAx val="1947913423"/>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Estratégia Nacional</a:t>
            </a:r>
            <a:br>
              <a:rPr lang="en-US"/>
            </a:br>
            <a:r>
              <a:rPr lang="en-US"/>
              <a:t>2021 a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'Consolidado 2021-2026'!$C$29</c:f>
              <c:strCache>
                <c:ptCount val="1"/>
                <c:pt idx="0">
                  <c:v>01. Garantia dos direitos fundamentais</c:v>
                </c:pt>
              </c:strCache>
            </c:strRef>
          </c:tx>
          <c:spPr>
            <a:solidFill>
              <a:schemeClr val="accent2">
                <a:shade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2021-2026'!$J$29</c:f>
              <c:numCache>
                <c:formatCode>General</c:formatCode>
                <c:ptCount val="1"/>
                <c:pt idx="0">
                  <c:v>57</c:v>
                </c:pt>
              </c:numCache>
            </c:numRef>
          </c:val>
          <c:extLst>
            <c:ext xmlns:c16="http://schemas.microsoft.com/office/drawing/2014/chart" uri="{C3380CC4-5D6E-409C-BE32-E72D297353CC}">
              <c16:uniqueId val="{00000000-0B80-4734-B914-458AE644F7B5}"/>
            </c:ext>
          </c:extLst>
        </c:ser>
        <c:ser>
          <c:idx val="1"/>
          <c:order val="1"/>
          <c:tx>
            <c:strRef>
              <c:f>'Consolidado 2021-2026'!$C$30</c:f>
              <c:strCache>
                <c:ptCount val="1"/>
                <c:pt idx="0">
                  <c:v>02. Fortalecimento da Relação Institucional do Judiciário com a Sociedade</c:v>
                </c:pt>
              </c:strCache>
            </c:strRef>
          </c:tx>
          <c:spPr>
            <a:solidFill>
              <a:schemeClr val="accent2">
                <a:shade val="51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2021-2026'!$J$30</c:f>
              <c:numCache>
                <c:formatCode>General</c:formatCode>
                <c:ptCount val="1"/>
                <c:pt idx="0">
                  <c:v>21</c:v>
                </c:pt>
              </c:numCache>
            </c:numRef>
          </c:val>
          <c:extLst>
            <c:ext xmlns:c16="http://schemas.microsoft.com/office/drawing/2014/chart" uri="{C3380CC4-5D6E-409C-BE32-E72D297353CC}">
              <c16:uniqueId val="{00000000-2715-4F29-920D-A3BB8F5B8310}"/>
            </c:ext>
          </c:extLst>
        </c:ser>
        <c:ser>
          <c:idx val="2"/>
          <c:order val="2"/>
          <c:tx>
            <c:strRef>
              <c:f>'Consolidado 2021-2026'!$C$31</c:f>
              <c:strCache>
                <c:ptCount val="1"/>
                <c:pt idx="0">
                  <c:v>03. Agilidade e produtividade na prestação jurisdicional</c:v>
                </c:pt>
              </c:strCache>
            </c:strRef>
          </c:tx>
          <c:spPr>
            <a:solidFill>
              <a:schemeClr val="accent2">
                <a:shade val="62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2021-2026'!$J$31</c:f>
              <c:numCache>
                <c:formatCode>General</c:formatCode>
                <c:ptCount val="1"/>
                <c:pt idx="0">
                  <c:v>27</c:v>
                </c:pt>
              </c:numCache>
            </c:numRef>
          </c:val>
          <c:extLst>
            <c:ext xmlns:c16="http://schemas.microsoft.com/office/drawing/2014/chart" uri="{C3380CC4-5D6E-409C-BE32-E72D297353CC}">
              <c16:uniqueId val="{00000001-2715-4F29-920D-A3BB8F5B8310}"/>
            </c:ext>
          </c:extLst>
        </c:ser>
        <c:ser>
          <c:idx val="3"/>
          <c:order val="3"/>
          <c:tx>
            <c:strRef>
              <c:f>'Consolidado 2021-2026'!$C$32</c:f>
              <c:strCache>
                <c:ptCount val="1"/>
                <c:pt idx="0">
                  <c:v>04. Enfrentamento à corrupção, à improbidade administrativa e aos ilícitos eleitorais</c:v>
                </c:pt>
              </c:strCache>
            </c:strRef>
          </c:tx>
          <c:spPr>
            <a:solidFill>
              <a:schemeClr val="accent2">
                <a:shade val="7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2021-2026'!$J$32</c:f>
              <c:numCache>
                <c:formatCode>General</c:formatCode>
                <c:ptCount val="1"/>
                <c:pt idx="0">
                  <c:v>6</c:v>
                </c:pt>
              </c:numCache>
            </c:numRef>
          </c:val>
          <c:extLst>
            <c:ext xmlns:c16="http://schemas.microsoft.com/office/drawing/2014/chart" uri="{C3380CC4-5D6E-409C-BE32-E72D297353CC}">
              <c16:uniqueId val="{00000002-2715-4F29-920D-A3BB8F5B8310}"/>
            </c:ext>
          </c:extLst>
        </c:ser>
        <c:ser>
          <c:idx val="4"/>
          <c:order val="4"/>
          <c:tx>
            <c:strRef>
              <c:f>'Consolidado 2021-2026'!$C$33</c:f>
              <c:strCache>
                <c:ptCount val="1"/>
                <c:pt idx="0">
                  <c:v>05. Prevenção de litígios e adoção de soluções consensuais para os conflitos</c:v>
                </c:pt>
              </c:strCache>
            </c:strRef>
          </c:tx>
          <c:spPr>
            <a:solidFill>
              <a:schemeClr val="accent2">
                <a:shade val="8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2021-2026'!$J$33</c:f>
              <c:numCache>
                <c:formatCode>General</c:formatCode>
                <c:ptCount val="1"/>
                <c:pt idx="0">
                  <c:v>6</c:v>
                </c:pt>
              </c:numCache>
            </c:numRef>
          </c:val>
          <c:extLst>
            <c:ext xmlns:c16="http://schemas.microsoft.com/office/drawing/2014/chart" uri="{C3380CC4-5D6E-409C-BE32-E72D297353CC}">
              <c16:uniqueId val="{00000003-2715-4F29-920D-A3BB8F5B8310}"/>
            </c:ext>
          </c:extLst>
        </c:ser>
        <c:ser>
          <c:idx val="5"/>
          <c:order val="5"/>
          <c:tx>
            <c:strRef>
              <c:f>'Consolidado 2021-2026'!$C$34</c:f>
              <c:strCache>
                <c:ptCount val="1"/>
                <c:pt idx="0">
                  <c:v>06. Consolidação do sistema de precedentes obrigatórios</c:v>
                </c:pt>
              </c:strCache>
            </c:strRef>
          </c:tx>
          <c:spPr>
            <a:solidFill>
              <a:schemeClr val="accent2">
                <a:shade val="9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2021-2026'!$J$34</c:f>
              <c:numCache>
                <c:formatCode>General</c:formatCode>
                <c:ptCount val="1"/>
                <c:pt idx="0">
                  <c:v>1</c:v>
                </c:pt>
              </c:numCache>
            </c:numRef>
          </c:val>
          <c:extLst>
            <c:ext xmlns:c16="http://schemas.microsoft.com/office/drawing/2014/chart" uri="{C3380CC4-5D6E-409C-BE32-E72D297353CC}">
              <c16:uniqueId val="{00000004-2715-4F29-920D-A3BB8F5B8310}"/>
            </c:ext>
          </c:extLst>
        </c:ser>
        <c:ser>
          <c:idx val="6"/>
          <c:order val="6"/>
          <c:tx>
            <c:strRef>
              <c:f>'Consolidado 2021-2026'!$C$35</c:f>
              <c:strCache>
                <c:ptCount val="1"/>
                <c:pt idx="0">
                  <c:v>07. Promoção da sustentabilidade</c:v>
                </c:pt>
              </c:strCache>
            </c:strRef>
          </c:tx>
          <c:spPr>
            <a:solidFill>
              <a:schemeClr val="accent2">
                <a:tint val="9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2021-2026'!$J$35</c:f>
              <c:numCache>
                <c:formatCode>General</c:formatCode>
                <c:ptCount val="1"/>
                <c:pt idx="0">
                  <c:v>4</c:v>
                </c:pt>
              </c:numCache>
            </c:numRef>
          </c:val>
          <c:extLst>
            <c:ext xmlns:c16="http://schemas.microsoft.com/office/drawing/2014/chart" uri="{C3380CC4-5D6E-409C-BE32-E72D297353CC}">
              <c16:uniqueId val="{00000005-2715-4F29-920D-A3BB8F5B8310}"/>
            </c:ext>
          </c:extLst>
        </c:ser>
        <c:ser>
          <c:idx val="7"/>
          <c:order val="7"/>
          <c:tx>
            <c:strRef>
              <c:f>'Consolidado 2021-2026'!$C$36</c:f>
              <c:strCache>
                <c:ptCount val="1"/>
                <c:pt idx="0">
                  <c:v>08. Aperfeiçoamento da gestão da justiça criminal</c:v>
                </c:pt>
              </c:strCache>
            </c:strRef>
          </c:tx>
          <c:spPr>
            <a:solidFill>
              <a:schemeClr val="accent2">
                <a:tint val="8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2021-2026'!$J$36</c:f>
              <c:numCache>
                <c:formatCode>General</c:formatCode>
                <c:ptCount val="1"/>
                <c:pt idx="0">
                  <c:v>39</c:v>
                </c:pt>
              </c:numCache>
            </c:numRef>
          </c:val>
          <c:extLst>
            <c:ext xmlns:c16="http://schemas.microsoft.com/office/drawing/2014/chart" uri="{C3380CC4-5D6E-409C-BE32-E72D297353CC}">
              <c16:uniqueId val="{00000006-2715-4F29-920D-A3BB8F5B8310}"/>
            </c:ext>
          </c:extLst>
        </c:ser>
        <c:ser>
          <c:idx val="8"/>
          <c:order val="8"/>
          <c:tx>
            <c:strRef>
              <c:f>'Consolidado 2021-2026'!$C$37</c:f>
              <c:strCache>
                <c:ptCount val="1"/>
                <c:pt idx="0">
                  <c:v>09. Aperfeiçoamento da gestão administrativa e da governança judiciária</c:v>
                </c:pt>
              </c:strCache>
            </c:strRef>
          </c:tx>
          <c:spPr>
            <a:solidFill>
              <a:schemeClr val="accent2">
                <a:tint val="74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2021-2026'!$J$37</c:f>
              <c:numCache>
                <c:formatCode>General</c:formatCode>
                <c:ptCount val="1"/>
                <c:pt idx="0">
                  <c:v>36</c:v>
                </c:pt>
              </c:numCache>
            </c:numRef>
          </c:val>
          <c:extLst>
            <c:ext xmlns:c16="http://schemas.microsoft.com/office/drawing/2014/chart" uri="{C3380CC4-5D6E-409C-BE32-E72D297353CC}">
              <c16:uniqueId val="{00000007-2715-4F29-920D-A3BB8F5B8310}"/>
            </c:ext>
          </c:extLst>
        </c:ser>
        <c:ser>
          <c:idx val="9"/>
          <c:order val="9"/>
          <c:tx>
            <c:strRef>
              <c:f>'Consolidado 2021-2026'!$C$38</c:f>
              <c:strCache>
                <c:ptCount val="1"/>
                <c:pt idx="0">
                  <c:v>10. Aperfeiçoamento da gestão de pessoas</c:v>
                </c:pt>
              </c:strCache>
            </c:strRef>
          </c:tx>
          <c:spPr>
            <a:solidFill>
              <a:schemeClr val="accent2">
                <a:tint val="63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2021-2026'!$J$38</c:f>
              <c:numCache>
                <c:formatCode>General</c:formatCode>
                <c:ptCount val="1"/>
                <c:pt idx="0">
                  <c:v>19</c:v>
                </c:pt>
              </c:numCache>
            </c:numRef>
          </c:val>
          <c:extLst>
            <c:ext xmlns:c16="http://schemas.microsoft.com/office/drawing/2014/chart" uri="{C3380CC4-5D6E-409C-BE32-E72D297353CC}">
              <c16:uniqueId val="{00000008-2715-4F29-920D-A3BB8F5B8310}"/>
            </c:ext>
          </c:extLst>
        </c:ser>
        <c:ser>
          <c:idx val="10"/>
          <c:order val="10"/>
          <c:tx>
            <c:strRef>
              <c:f>'Consolidado 2021-2026'!$C$39</c:f>
              <c:strCache>
                <c:ptCount val="1"/>
                <c:pt idx="0">
                  <c:v>11. Aperfeiçoamento da gestão orçamentária e financeira</c:v>
                </c:pt>
              </c:strCache>
            </c:strRef>
          </c:tx>
          <c:spPr>
            <a:solidFill>
              <a:schemeClr val="accent2">
                <a:tint val="52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2021-2026'!$J$39</c:f>
              <c:numCache>
                <c:formatCode>General</c:formatCode>
                <c:ptCount val="1"/>
                <c:pt idx="0">
                  <c:v>0</c:v>
                </c:pt>
              </c:numCache>
            </c:numRef>
          </c:val>
          <c:extLst>
            <c:ext xmlns:c16="http://schemas.microsoft.com/office/drawing/2014/chart" uri="{C3380CC4-5D6E-409C-BE32-E72D297353CC}">
              <c16:uniqueId val="{00000009-2715-4F29-920D-A3BB8F5B8310}"/>
            </c:ext>
          </c:extLst>
        </c:ser>
        <c:ser>
          <c:idx val="11"/>
          <c:order val="11"/>
          <c:tx>
            <c:strRef>
              <c:f>'Consolidado 2021-2026'!$C$40</c:f>
              <c:strCache>
                <c:ptCount val="1"/>
                <c:pt idx="0">
                  <c:v>12. Fortalecimento da estratégia nacional de TIC e de proteção de dados</c:v>
                </c:pt>
              </c:strCache>
            </c:strRef>
          </c:tx>
          <c:spPr>
            <a:solidFill>
              <a:schemeClr val="accent2">
                <a:tint val="41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'Consolidado 2021-2026'!$J$28</c:f>
              <c:strCache>
                <c:ptCount val="1"/>
                <c:pt idx="0">
                  <c:v>Total</c:v>
                </c:pt>
              </c:strCache>
            </c:strRef>
          </c:cat>
          <c:val>
            <c:numRef>
              <c:f>'Consolidado 2021-2026'!$J$40</c:f>
              <c:numCache>
                <c:formatCode>General</c:formatCode>
                <c:ptCount val="1"/>
                <c:pt idx="0">
                  <c:v>42</c:v>
                </c:pt>
              </c:numCache>
            </c:numRef>
          </c:val>
          <c:extLst>
            <c:ext xmlns:c16="http://schemas.microsoft.com/office/drawing/2014/chart" uri="{C3380CC4-5D6E-409C-BE32-E72D297353CC}">
              <c16:uniqueId val="{0000000A-2715-4F29-920D-A3BB8F5B8310}"/>
            </c:ext>
          </c:extLst>
        </c:ser>
        <c:dLbls>
          <c:showLegendKey val="0"/>
          <c:showVal val="1"/>
          <c:showCatName val="0"/>
          <c:showSerName val="0"/>
          <c:showPercent val="0"/>
          <c:showBubbleSize val="0"/>
        </c:dLbls>
        <c:gapWidth val="150"/>
        <c:shape val="box"/>
        <c:axId val="1993468751"/>
        <c:axId val="1993469231"/>
        <c:axId val="1337256704"/>
      </c:bar3DChart>
      <c:catAx>
        <c:axId val="1993468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93469231"/>
        <c:crosses val="autoZero"/>
        <c:auto val="1"/>
        <c:lblAlgn val="ctr"/>
        <c:lblOffset val="100"/>
        <c:noMultiLvlLbl val="0"/>
      </c:catAx>
      <c:valAx>
        <c:axId val="199346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93468751"/>
        <c:crosses val="autoZero"/>
        <c:crossBetween val="between"/>
      </c:valAx>
      <c:serAx>
        <c:axId val="13372567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93469231"/>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PROJETOS POR OBJETIVO ESTRATÉGICO</a:t>
            </a:r>
            <a:br>
              <a:rPr lang="en-US"/>
            </a:br>
            <a:r>
              <a:rPr lang="en-US"/>
              <a:t>Portfólio de 2024</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pt-BR"/>
        </a:p>
      </c:txPr>
    </c:title>
    <c:autoTitleDeleted val="0"/>
    <c:plotArea>
      <c:layout>
        <c:manualLayout>
          <c:layoutTarget val="inner"/>
          <c:xMode val="edge"/>
          <c:yMode val="edge"/>
          <c:x val="0.1335164015266615"/>
          <c:y val="0.17327290923166977"/>
          <c:w val="0.86648359847333845"/>
          <c:h val="0.35343265545044278"/>
        </c:manualLayout>
      </c:layout>
      <c:barChart>
        <c:barDir val="col"/>
        <c:grouping val="clustered"/>
        <c:varyColors val="0"/>
        <c:ser>
          <c:idx val="0"/>
          <c:order val="0"/>
          <c:tx>
            <c:strRef>
              <c:f>Simulação!$B$4:$B$5</c:f>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Simulação!$A$6:$A$23</c:f>
              <c:strCache>
                <c:ptCount val="18"/>
                <c:pt idx="0">
                  <c:v>01. Desenvolver políticas judiciárias e outros instrumentos para o aperfeiçoamento das atividades dos órgãos do Poder Judiciário e dos seus serviços auxiliares e dos serviços notariais e de registro, e dos demais órgãos correicionais</c:v>
                </c:pt>
                <c:pt idx="1">
                  <c:v>02. Aperfeiçoar os mecanismos de monitoramento de políticas judiciárias</c:v>
                </c:pt>
                <c:pt idx="2">
                  <c:v>03. Fomentar a gestão da qualidade dos dados no Poder Judiciário</c:v>
                </c:pt>
                <c:pt idx="3">
                  <c:v>04. Promover a disseminação das informações, de forma padronizada e sistêmica</c:v>
                </c:pt>
                <c:pt idx="4">
                  <c:v>05. Aprimorar as inspeções e correições</c:v>
                </c:pt>
                <c:pt idx="5">
                  <c:v>06. Fomentar a melhoria dos serviços extrajudiciais</c:v>
                </c:pt>
                <c:pt idx="6">
                  <c:v>07. Fomentar e fortalecer a atuação interinstitucional do CNJ para garantir os direitos dos cidadãos</c:v>
                </c:pt>
                <c:pt idx="7">
                  <c:v>08. Fortalecer a política judiciária de soluções alternativas de conflitos e a desjudicialização</c:v>
                </c:pt>
                <c:pt idx="8">
                  <c:v>09. Fomentar e incrementar a produção de soluções tecnológicas, com foco em inovação e transformação digital</c:v>
                </c:pt>
                <c:pt idx="9">
                  <c:v>10. Aprimorar a governança e a gestão da tecnologia e comunicação sob a ótica de soluções colaborativas</c:v>
                </c:pt>
                <c:pt idx="10">
                  <c:v>11. Garantir Infraestrutura adequada ao funcionamento do CNJ</c:v>
                </c:pt>
                <c:pt idx="11">
                  <c:v>12. Promover práticas inovadoras de gestão e de incentivo ao trabalho colaborativo</c:v>
                </c:pt>
                <c:pt idx="12">
                  <c:v>13. Estimular a desburocratização no Poder Judiciário</c:v>
                </c:pt>
                <c:pt idx="13">
                  <c:v>14. Impulsionar a implantação e a gestão das  Políticas de Sustentabilidade e Acessibilidade</c:v>
                </c:pt>
                <c:pt idx="14">
                  <c:v>15. Estimular a comunicação ao cidadão, a integração e a colaboração no âmbito do Poder Judiciário</c:v>
                </c:pt>
                <c:pt idx="15">
                  <c:v>16. Aperfeiçoar políticas e práticas de Gestão de Pessoas</c:v>
                </c:pt>
                <c:pt idx="16">
                  <c:v>17.Promover  a saúde e a qualidade de vida no trabalho de forma integrada e contínua</c:v>
                </c:pt>
                <c:pt idx="17">
                  <c:v>18. Aprimorar sistemas de gestão de planejamento, orçamento e finanças no Poder Judiciário</c:v>
                </c:pt>
              </c:strCache>
            </c:strRef>
          </c:cat>
          <c:val>
            <c:numRef>
              <c:f>Simulação!$B$6:$B$23</c:f>
            </c:numRef>
          </c:val>
          <c:extLst>
            <c:ext xmlns:c16="http://schemas.microsoft.com/office/drawing/2014/chart" uri="{C3380CC4-5D6E-409C-BE32-E72D297353CC}">
              <c16:uniqueId val="{00000000-39D6-4633-86EA-665DB0075E80}"/>
            </c:ext>
          </c:extLst>
        </c:ser>
        <c:dLbls>
          <c:dLblPos val="outEnd"/>
          <c:showLegendKey val="0"/>
          <c:showVal val="1"/>
          <c:showCatName val="0"/>
          <c:showSerName val="0"/>
          <c:showPercent val="0"/>
          <c:showBubbleSize val="0"/>
        </c:dLbls>
        <c:gapWidth val="170"/>
        <c:overlap val="30"/>
        <c:axId val="932445631"/>
        <c:axId val="932451455"/>
      </c:barChart>
      <c:catAx>
        <c:axId val="9324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2451455"/>
        <c:crosses val="autoZero"/>
        <c:auto val="1"/>
        <c:lblAlgn val="ctr"/>
        <c:lblOffset val="100"/>
        <c:noMultiLvlLbl val="0"/>
      </c:catAx>
      <c:valAx>
        <c:axId val="9324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2445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PROJETOS POR MACRODESAFIO</a:t>
            </a:r>
            <a:br>
              <a:rPr lang="en-US"/>
            </a:br>
            <a:r>
              <a:rPr lang="en-US"/>
              <a:t>Portfólio de 2024</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pt-BR"/>
        </a:p>
      </c:txPr>
    </c:title>
    <c:autoTitleDeleted val="0"/>
    <c:plotArea>
      <c:layout>
        <c:manualLayout>
          <c:layoutTarget val="inner"/>
          <c:xMode val="edge"/>
          <c:yMode val="edge"/>
          <c:x val="0.11743790018212624"/>
          <c:y val="0.16243654822335024"/>
          <c:w val="0.86695096001246208"/>
          <c:h val="0.34929400322421628"/>
        </c:manualLayout>
      </c:layout>
      <c:barChart>
        <c:barDir val="col"/>
        <c:grouping val="clustered"/>
        <c:varyColors val="0"/>
        <c:ser>
          <c:idx val="0"/>
          <c:order val="0"/>
          <c:tx>
            <c:strRef>
              <c:f>Simulação!$B$51</c:f>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Simulação!$A$52:$A$63</c:f>
              <c:strCache>
                <c:ptCount val="12"/>
                <c:pt idx="0">
                  <c:v>01. Garantia dos direitos fundamentais</c:v>
                </c:pt>
                <c:pt idx="1">
                  <c:v>02. Fortalecimento da Relação Institucional do Judiciário com a Sociedade</c:v>
                </c:pt>
                <c:pt idx="2">
                  <c:v>03. Agilidade e produtividade na prestação jurisdicional</c:v>
                </c:pt>
                <c:pt idx="3">
                  <c:v>04. Enfrentamento à corrupção, à improbidade administrativa e aos ilícitos eleitorais</c:v>
                </c:pt>
                <c:pt idx="4">
                  <c:v>05. Prevenção de litígios e adoção de soluções consensuais para os conflitos</c:v>
                </c:pt>
                <c:pt idx="5">
                  <c:v>06. Consolidação do sistema de precedentes obrigatórios</c:v>
                </c:pt>
                <c:pt idx="6">
                  <c:v>07. Promoção da sustentabilidade</c:v>
                </c:pt>
                <c:pt idx="7">
                  <c:v>08. Aperfeiçoamento da gestão da justiça criminal</c:v>
                </c:pt>
                <c:pt idx="8">
                  <c:v>09. Aperfeiçoamento da gestão administrativa e da governança judiciária</c:v>
                </c:pt>
                <c:pt idx="9">
                  <c:v>10. Aperfeiçoamento da gestão de pessoas</c:v>
                </c:pt>
                <c:pt idx="10">
                  <c:v>11. Aperfeiçoamento da gestão orçamentária e financeira</c:v>
                </c:pt>
                <c:pt idx="11">
                  <c:v>12. Fortalecimento da estratégia nacional de TIC e de proteção de dados</c:v>
                </c:pt>
              </c:strCache>
            </c:strRef>
          </c:cat>
          <c:val>
            <c:numRef>
              <c:f>Simulação!$B$52:$B$63</c:f>
            </c:numRef>
          </c:val>
          <c:extLst>
            <c:ext xmlns:c16="http://schemas.microsoft.com/office/drawing/2014/chart" uri="{C3380CC4-5D6E-409C-BE32-E72D297353CC}">
              <c16:uniqueId val="{00000000-DB24-4F3B-AF80-61B249809FB7}"/>
            </c:ext>
          </c:extLst>
        </c:ser>
        <c:dLbls>
          <c:showLegendKey val="0"/>
          <c:showVal val="0"/>
          <c:showCatName val="0"/>
          <c:showSerName val="0"/>
          <c:showPercent val="0"/>
          <c:showBubbleSize val="0"/>
        </c:dLbls>
        <c:gapWidth val="219"/>
        <c:overlap val="-27"/>
        <c:axId val="935904943"/>
        <c:axId val="935914927"/>
      </c:barChart>
      <c:catAx>
        <c:axId val="9359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5914927"/>
        <c:crosses val="autoZero"/>
        <c:auto val="1"/>
        <c:lblAlgn val="ctr"/>
        <c:lblOffset val="100"/>
        <c:noMultiLvlLbl val="0"/>
      </c:catAx>
      <c:valAx>
        <c:axId val="93591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5904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PROJETOS POR MACRODESAFIO</a:t>
            </a:r>
            <a:br>
              <a:rPr lang="en-US"/>
            </a:br>
            <a:r>
              <a:rPr lang="en-US"/>
              <a:t>Portfólio de 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pt-BR"/>
        </a:p>
      </c:txPr>
    </c:title>
    <c:autoTitleDeleted val="0"/>
    <c:plotArea>
      <c:layout>
        <c:manualLayout>
          <c:layoutTarget val="inner"/>
          <c:xMode val="edge"/>
          <c:yMode val="edge"/>
          <c:x val="0.11743790018212624"/>
          <c:y val="0.16243654822335024"/>
          <c:w val="0.86695096001246208"/>
          <c:h val="0.34929400322421628"/>
        </c:manualLayout>
      </c:layout>
      <c:barChart>
        <c:barDir val="col"/>
        <c:grouping val="clustered"/>
        <c:varyColors val="0"/>
        <c:ser>
          <c:idx val="0"/>
          <c:order val="0"/>
          <c:tx>
            <c:strRef>
              <c:f>Simulação!$E$51</c:f>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Simulação!$A$52:$A$63</c:f>
              <c:strCache>
                <c:ptCount val="12"/>
                <c:pt idx="0">
                  <c:v>01. Garantia dos direitos fundamentais</c:v>
                </c:pt>
                <c:pt idx="1">
                  <c:v>02. Fortalecimento da Relação Institucional do Judiciário com a Sociedade</c:v>
                </c:pt>
                <c:pt idx="2">
                  <c:v>03. Agilidade e produtividade na prestação jurisdicional</c:v>
                </c:pt>
                <c:pt idx="3">
                  <c:v>04. Enfrentamento à corrupção, à improbidade administrativa e aos ilícitos eleitorais</c:v>
                </c:pt>
                <c:pt idx="4">
                  <c:v>05. Prevenção de litígios e adoção de soluções consensuais para os conflitos</c:v>
                </c:pt>
                <c:pt idx="5">
                  <c:v>06. Consolidação do sistema de precedentes obrigatórios</c:v>
                </c:pt>
                <c:pt idx="6">
                  <c:v>07. Promoção da sustentabilidade</c:v>
                </c:pt>
                <c:pt idx="7">
                  <c:v>08. Aperfeiçoamento da gestão da justiça criminal</c:v>
                </c:pt>
                <c:pt idx="8">
                  <c:v>09. Aperfeiçoamento da gestão administrativa e da governança judiciária</c:v>
                </c:pt>
                <c:pt idx="9">
                  <c:v>10. Aperfeiçoamento da gestão de pessoas</c:v>
                </c:pt>
                <c:pt idx="10">
                  <c:v>11. Aperfeiçoamento da gestão orçamentária e financeira</c:v>
                </c:pt>
                <c:pt idx="11">
                  <c:v>12. Fortalecimento da estratégia nacional de TIC e de proteção de dados</c:v>
                </c:pt>
              </c:strCache>
            </c:strRef>
          </c:cat>
          <c:val>
            <c:numRef>
              <c:f>Simulação!$E$52:$E$63</c:f>
            </c:numRef>
          </c:val>
          <c:extLst>
            <c:ext xmlns:c16="http://schemas.microsoft.com/office/drawing/2014/chart" uri="{C3380CC4-5D6E-409C-BE32-E72D297353CC}">
              <c16:uniqueId val="{00000000-D137-4F9D-907B-32049A5BDB20}"/>
            </c:ext>
          </c:extLst>
        </c:ser>
        <c:dLbls>
          <c:showLegendKey val="0"/>
          <c:showVal val="0"/>
          <c:showCatName val="0"/>
          <c:showSerName val="0"/>
          <c:showPercent val="0"/>
          <c:showBubbleSize val="0"/>
        </c:dLbls>
        <c:gapWidth val="219"/>
        <c:overlap val="-27"/>
        <c:axId val="935904943"/>
        <c:axId val="935914927"/>
      </c:barChart>
      <c:catAx>
        <c:axId val="9359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5914927"/>
        <c:crosses val="autoZero"/>
        <c:auto val="1"/>
        <c:lblAlgn val="ctr"/>
        <c:lblOffset val="100"/>
        <c:noMultiLvlLbl val="0"/>
      </c:catAx>
      <c:valAx>
        <c:axId val="93591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5904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PROJETOS POR OBJETIVO ESTRATÉGICO</a:t>
            </a:r>
            <a:br>
              <a:rPr lang="en-US"/>
            </a:br>
            <a:r>
              <a:rPr lang="en-US"/>
              <a:t>Portfólio de 2025</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pt-BR"/>
        </a:p>
      </c:txPr>
    </c:title>
    <c:autoTitleDeleted val="0"/>
    <c:plotArea>
      <c:layout>
        <c:manualLayout>
          <c:layoutTarget val="inner"/>
          <c:xMode val="edge"/>
          <c:yMode val="edge"/>
          <c:x val="0.1335164015266615"/>
          <c:y val="0.17327290923166977"/>
          <c:w val="0.86648359847333845"/>
          <c:h val="0.35343265545044278"/>
        </c:manualLayout>
      </c:layout>
      <c:barChart>
        <c:barDir val="col"/>
        <c:grouping val="clustered"/>
        <c:varyColors val="0"/>
        <c:ser>
          <c:idx val="0"/>
          <c:order val="0"/>
          <c:tx>
            <c:strRef>
              <c:f>Simulação!$E$4:$E$5</c:f>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Simulação!$A$6:$A$23</c:f>
              <c:strCache>
                <c:ptCount val="18"/>
                <c:pt idx="0">
                  <c:v>01. Desenvolver políticas judiciárias e outros instrumentos para o aperfeiçoamento das atividades dos órgãos do Poder Judiciário e dos seus serviços auxiliares e dos serviços notariais e de registro, e dos demais órgãos correicionais</c:v>
                </c:pt>
                <c:pt idx="1">
                  <c:v>02. Aperfeiçoar os mecanismos de monitoramento de políticas judiciárias</c:v>
                </c:pt>
                <c:pt idx="2">
                  <c:v>03. Fomentar a gestão da qualidade dos dados no Poder Judiciário</c:v>
                </c:pt>
                <c:pt idx="3">
                  <c:v>04. Promover a disseminação das informações, de forma padronizada e sistêmica</c:v>
                </c:pt>
                <c:pt idx="4">
                  <c:v>05. Aprimorar as inspeções e correições</c:v>
                </c:pt>
                <c:pt idx="5">
                  <c:v>06. Fomentar a melhoria dos serviços extrajudiciais</c:v>
                </c:pt>
                <c:pt idx="6">
                  <c:v>07. Fomentar e fortalecer a atuação interinstitucional do CNJ para garantir os direitos dos cidadãos</c:v>
                </c:pt>
                <c:pt idx="7">
                  <c:v>08. Fortalecer a política judiciária de soluções alternativas de conflitos e a desjudicialização</c:v>
                </c:pt>
                <c:pt idx="8">
                  <c:v>09. Fomentar e incrementar a produção de soluções tecnológicas, com foco em inovação e transformação digital</c:v>
                </c:pt>
                <c:pt idx="9">
                  <c:v>10. Aprimorar a governança e a gestão da tecnologia e comunicação sob a ótica de soluções colaborativas</c:v>
                </c:pt>
                <c:pt idx="10">
                  <c:v>11. Garantir Infraestrutura adequada ao funcionamento do CNJ</c:v>
                </c:pt>
                <c:pt idx="11">
                  <c:v>12. Promover práticas inovadoras de gestão e de incentivo ao trabalho colaborativo</c:v>
                </c:pt>
                <c:pt idx="12">
                  <c:v>13. Estimular a desburocratização no Poder Judiciário</c:v>
                </c:pt>
                <c:pt idx="13">
                  <c:v>14. Impulsionar a implantação e a gestão das  Políticas de Sustentabilidade e Acessibilidade</c:v>
                </c:pt>
                <c:pt idx="14">
                  <c:v>15. Estimular a comunicação ao cidadão, a integração e a colaboração no âmbito do Poder Judiciário</c:v>
                </c:pt>
                <c:pt idx="15">
                  <c:v>16. Aperfeiçoar políticas e práticas de Gestão de Pessoas</c:v>
                </c:pt>
                <c:pt idx="16">
                  <c:v>17.Promover  a saúde e a qualidade de vida no trabalho de forma integrada e contínua</c:v>
                </c:pt>
                <c:pt idx="17">
                  <c:v>18. Aprimorar sistemas de gestão de planejamento, orçamento e finanças no Poder Judiciário</c:v>
                </c:pt>
              </c:strCache>
            </c:strRef>
          </c:cat>
          <c:val>
            <c:numRef>
              <c:f>Simulação!$E$6:$E$23</c:f>
            </c:numRef>
          </c:val>
          <c:extLst>
            <c:ext xmlns:c16="http://schemas.microsoft.com/office/drawing/2014/chart" uri="{C3380CC4-5D6E-409C-BE32-E72D297353CC}">
              <c16:uniqueId val="{00000000-E36F-4473-8DD8-836DADCDCB34}"/>
            </c:ext>
          </c:extLst>
        </c:ser>
        <c:dLbls>
          <c:dLblPos val="outEnd"/>
          <c:showLegendKey val="0"/>
          <c:showVal val="1"/>
          <c:showCatName val="0"/>
          <c:showSerName val="0"/>
          <c:showPercent val="0"/>
          <c:showBubbleSize val="0"/>
        </c:dLbls>
        <c:gapWidth val="170"/>
        <c:overlap val="30"/>
        <c:axId val="932445631"/>
        <c:axId val="932451455"/>
      </c:barChart>
      <c:catAx>
        <c:axId val="9324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2451455"/>
        <c:crosses val="autoZero"/>
        <c:auto val="1"/>
        <c:lblAlgn val="ctr"/>
        <c:lblOffset val="100"/>
        <c:noMultiLvlLbl val="0"/>
      </c:catAx>
      <c:valAx>
        <c:axId val="9324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2445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rgbClr val="000000"/>
                </a:solidFill>
                <a:latin typeface="+mn-lt"/>
                <a:ea typeface="+mn-ea"/>
                <a:cs typeface="+mn-cs"/>
              </a:defRPr>
            </a:pPr>
            <a:r>
              <a:rPr lang="en-US" sz="1600" b="1" i="0" u="none" strike="noStrike" kern="1200" spc="0" baseline="0">
                <a:solidFill>
                  <a:srgbClr val="000000"/>
                </a:solidFill>
                <a:latin typeface="+mn-lt"/>
                <a:ea typeface="+mn-ea"/>
                <a:cs typeface="+mn-cs"/>
              </a:rPr>
              <a:t>PROJETOS POR MACRODESAFIO</a:t>
            </a:r>
            <a:br>
              <a:rPr lang="en-US" sz="1600" b="1" i="0" u="none" strike="noStrike" kern="1200" spc="0" baseline="0">
                <a:solidFill>
                  <a:srgbClr val="000000"/>
                </a:solidFill>
                <a:latin typeface="+mn-lt"/>
                <a:ea typeface="+mn-ea"/>
                <a:cs typeface="+mn-cs"/>
              </a:rPr>
            </a:br>
            <a:r>
              <a:rPr lang="en-US" sz="1600" b="1" i="0" u="none" strike="noStrike" kern="1200" spc="0" baseline="0">
                <a:solidFill>
                  <a:srgbClr val="000000"/>
                </a:solidFill>
                <a:latin typeface="+mn-lt"/>
                <a:ea typeface="+mn-ea"/>
                <a:cs typeface="+mn-cs"/>
              </a:rPr>
              <a:t>Portfólio de 2026</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0000"/>
              </a:solidFill>
              <a:latin typeface="+mn-lt"/>
              <a:ea typeface="+mn-ea"/>
              <a:cs typeface="+mn-cs"/>
            </a:defRPr>
          </a:pPr>
          <a:endParaRPr lang="pt-BR"/>
        </a:p>
      </c:txPr>
    </c:title>
    <c:autoTitleDeleted val="0"/>
    <c:plotArea>
      <c:layout>
        <c:manualLayout>
          <c:layoutTarget val="inner"/>
          <c:xMode val="edge"/>
          <c:yMode val="edge"/>
          <c:x val="0.11743790018212624"/>
          <c:y val="0.16243654822335024"/>
          <c:w val="0.86695096001246208"/>
          <c:h val="0.34929400322421628"/>
        </c:manualLayout>
      </c:layout>
      <c:barChart>
        <c:barDir val="col"/>
        <c:grouping val="clustered"/>
        <c:varyColors val="0"/>
        <c:ser>
          <c:idx val="0"/>
          <c:order val="0"/>
          <c:tx>
            <c:strRef>
              <c:f>Simulação!$H$51</c:f>
              <c:strCache>
                <c:ptCount val="1"/>
                <c:pt idx="0">
                  <c:v>TOTAL 2026</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Simulação!$A$52:$A$63</c:f>
              <c:strCache>
                <c:ptCount val="12"/>
                <c:pt idx="0">
                  <c:v>01. Garantia dos direitos fundamentais</c:v>
                </c:pt>
                <c:pt idx="1">
                  <c:v>02. Fortalecimento da Relação Institucional do Judiciário com a Sociedade</c:v>
                </c:pt>
                <c:pt idx="2">
                  <c:v>03. Agilidade e produtividade na prestação jurisdicional</c:v>
                </c:pt>
                <c:pt idx="3">
                  <c:v>04. Enfrentamento à corrupção, à improbidade administrativa e aos ilícitos eleitorais</c:v>
                </c:pt>
                <c:pt idx="4">
                  <c:v>05. Prevenção de litígios e adoção de soluções consensuais para os conflitos</c:v>
                </c:pt>
                <c:pt idx="5">
                  <c:v>06. Consolidação do sistema de precedentes obrigatórios</c:v>
                </c:pt>
                <c:pt idx="6">
                  <c:v>07. Promoção da sustentabilidade</c:v>
                </c:pt>
                <c:pt idx="7">
                  <c:v>08. Aperfeiçoamento da gestão da justiça criminal</c:v>
                </c:pt>
                <c:pt idx="8">
                  <c:v>09. Aperfeiçoamento da gestão administrativa e da governança judiciária</c:v>
                </c:pt>
                <c:pt idx="9">
                  <c:v>10. Aperfeiçoamento da gestão de pessoas</c:v>
                </c:pt>
                <c:pt idx="10">
                  <c:v>11. Aperfeiçoamento da gestão orçamentária e financeira</c:v>
                </c:pt>
                <c:pt idx="11">
                  <c:v>12. Fortalecimento da estratégia nacional de TIC e de proteção de dados</c:v>
                </c:pt>
              </c:strCache>
            </c:strRef>
          </c:cat>
          <c:val>
            <c:numRef>
              <c:f>Simulação!$H$52:$H$63</c:f>
              <c:numCache>
                <c:formatCode>General</c:formatCode>
                <c:ptCount val="12"/>
                <c:pt idx="0">
                  <c:v>21</c:v>
                </c:pt>
                <c:pt idx="1">
                  <c:v>18</c:v>
                </c:pt>
                <c:pt idx="2">
                  <c:v>15</c:v>
                </c:pt>
                <c:pt idx="3">
                  <c:v>3</c:v>
                </c:pt>
                <c:pt idx="4">
                  <c:v>2</c:v>
                </c:pt>
                <c:pt idx="5">
                  <c:v>1</c:v>
                </c:pt>
                <c:pt idx="6">
                  <c:v>2</c:v>
                </c:pt>
                <c:pt idx="7">
                  <c:v>11</c:v>
                </c:pt>
                <c:pt idx="8">
                  <c:v>23</c:v>
                </c:pt>
                <c:pt idx="9">
                  <c:v>3</c:v>
                </c:pt>
                <c:pt idx="10">
                  <c:v>0</c:v>
                </c:pt>
                <c:pt idx="11">
                  <c:v>22</c:v>
                </c:pt>
              </c:numCache>
            </c:numRef>
          </c:val>
          <c:extLst>
            <c:ext xmlns:c16="http://schemas.microsoft.com/office/drawing/2014/chart" uri="{C3380CC4-5D6E-409C-BE32-E72D297353CC}">
              <c16:uniqueId val="{00000000-1F86-440A-AE94-01DB9866A1DB}"/>
            </c:ext>
          </c:extLst>
        </c:ser>
        <c:dLbls>
          <c:dLblPos val="outEnd"/>
          <c:showLegendKey val="0"/>
          <c:showVal val="1"/>
          <c:showCatName val="0"/>
          <c:showSerName val="0"/>
          <c:showPercent val="0"/>
          <c:showBubbleSize val="0"/>
        </c:dLbls>
        <c:gapWidth val="219"/>
        <c:overlap val="-27"/>
        <c:axId val="935904943"/>
        <c:axId val="935914927"/>
      </c:barChart>
      <c:catAx>
        <c:axId val="9359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pt-BR"/>
          </a:p>
        </c:txPr>
        <c:crossAx val="935914927"/>
        <c:crosses val="autoZero"/>
        <c:auto val="1"/>
        <c:lblAlgn val="ctr"/>
        <c:lblOffset val="100"/>
        <c:noMultiLvlLbl val="0"/>
      </c:catAx>
      <c:valAx>
        <c:axId val="93591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pt-BR"/>
          </a:p>
        </c:txPr>
        <c:crossAx val="935904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r>
              <a:rPr lang="en-US"/>
              <a:t>PROJETOS POR OBJETIVO ESTRATÉGICO</a:t>
            </a:r>
            <a:br>
              <a:rPr lang="en-US"/>
            </a:br>
            <a:r>
              <a:rPr lang="en-US"/>
              <a:t>Portfólio de 2026</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000000"/>
              </a:solidFill>
              <a:latin typeface="+mn-lt"/>
              <a:ea typeface="+mn-ea"/>
              <a:cs typeface="+mn-cs"/>
            </a:defRPr>
          </a:pPr>
          <a:endParaRPr lang="pt-BR"/>
        </a:p>
      </c:txPr>
    </c:title>
    <c:autoTitleDeleted val="0"/>
    <c:plotArea>
      <c:layout>
        <c:manualLayout>
          <c:layoutTarget val="inner"/>
          <c:xMode val="edge"/>
          <c:yMode val="edge"/>
          <c:x val="0.1335164015266615"/>
          <c:y val="0.17327290923166977"/>
          <c:w val="0.86648359847333845"/>
          <c:h val="0.35343265545044278"/>
        </c:manualLayout>
      </c:layout>
      <c:barChart>
        <c:barDir val="col"/>
        <c:grouping val="clustered"/>
        <c:varyColors val="0"/>
        <c:ser>
          <c:idx val="0"/>
          <c:order val="0"/>
          <c:tx>
            <c:strRef>
              <c:f>Simulação!$H$4:$H$5</c:f>
              <c:strCache>
                <c:ptCount val="2"/>
                <c:pt idx="0">
                  <c:v>PROJETOS POR OBJETIVO ESTRATÉGICO</c:v>
                </c:pt>
                <c:pt idx="1">
                  <c:v>TOTAL 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Simulação!$A$6:$A$23</c:f>
              <c:strCache>
                <c:ptCount val="18"/>
                <c:pt idx="0">
                  <c:v>01. Desenvolver políticas judiciárias e outros instrumentos para o aperfeiçoamento das atividades dos órgãos do Poder Judiciário e dos seus serviços auxiliares e dos serviços notariais e de registro, e dos demais órgãos correicionais</c:v>
                </c:pt>
                <c:pt idx="1">
                  <c:v>02. Aperfeiçoar os mecanismos de monitoramento de políticas judiciárias</c:v>
                </c:pt>
                <c:pt idx="2">
                  <c:v>03. Fomentar a gestão da qualidade dos dados no Poder Judiciário</c:v>
                </c:pt>
                <c:pt idx="3">
                  <c:v>04. Promover a disseminação das informações, de forma padronizada e sistêmica</c:v>
                </c:pt>
                <c:pt idx="4">
                  <c:v>05. Aprimorar as inspeções e correições</c:v>
                </c:pt>
                <c:pt idx="5">
                  <c:v>06. Fomentar a melhoria dos serviços extrajudiciais</c:v>
                </c:pt>
                <c:pt idx="6">
                  <c:v>07. Fomentar e fortalecer a atuação interinstitucional do CNJ para garantir os direitos dos cidadãos</c:v>
                </c:pt>
                <c:pt idx="7">
                  <c:v>08. Fortalecer a política judiciária de soluções alternativas de conflitos e a desjudicialização</c:v>
                </c:pt>
                <c:pt idx="8">
                  <c:v>09. Fomentar e incrementar a produção de soluções tecnológicas, com foco em inovação e transformação digital</c:v>
                </c:pt>
                <c:pt idx="9">
                  <c:v>10. Aprimorar a governança e a gestão da tecnologia e comunicação sob a ótica de soluções colaborativas</c:v>
                </c:pt>
                <c:pt idx="10">
                  <c:v>11. Garantir Infraestrutura adequada ao funcionamento do CNJ</c:v>
                </c:pt>
                <c:pt idx="11">
                  <c:v>12. Promover práticas inovadoras de gestão e de incentivo ao trabalho colaborativo</c:v>
                </c:pt>
                <c:pt idx="12">
                  <c:v>13. Estimular a desburocratização no Poder Judiciário</c:v>
                </c:pt>
                <c:pt idx="13">
                  <c:v>14. Impulsionar a implantação e a gestão das  Políticas de Sustentabilidade e Acessibilidade</c:v>
                </c:pt>
                <c:pt idx="14">
                  <c:v>15. Estimular a comunicação ao cidadão, a integração e a colaboração no âmbito do Poder Judiciário</c:v>
                </c:pt>
                <c:pt idx="15">
                  <c:v>16. Aperfeiçoar políticas e práticas de Gestão de Pessoas</c:v>
                </c:pt>
                <c:pt idx="16">
                  <c:v>17.Promover  a saúde e a qualidade de vida no trabalho de forma integrada e contínua</c:v>
                </c:pt>
                <c:pt idx="17">
                  <c:v>18. Aprimorar sistemas de gestão de planejamento, orçamento e finanças no Poder Judiciário</c:v>
                </c:pt>
              </c:strCache>
            </c:strRef>
          </c:cat>
          <c:val>
            <c:numRef>
              <c:f>Simulação!$H$6:$H$23</c:f>
              <c:numCache>
                <c:formatCode>General</c:formatCode>
                <c:ptCount val="18"/>
                <c:pt idx="0">
                  <c:v>16</c:v>
                </c:pt>
                <c:pt idx="1">
                  <c:v>9</c:v>
                </c:pt>
                <c:pt idx="2">
                  <c:v>11</c:v>
                </c:pt>
                <c:pt idx="3">
                  <c:v>3</c:v>
                </c:pt>
                <c:pt idx="4">
                  <c:v>1</c:v>
                </c:pt>
                <c:pt idx="5">
                  <c:v>0</c:v>
                </c:pt>
                <c:pt idx="6">
                  <c:v>28</c:v>
                </c:pt>
                <c:pt idx="7">
                  <c:v>2</c:v>
                </c:pt>
                <c:pt idx="8">
                  <c:v>19</c:v>
                </c:pt>
                <c:pt idx="9">
                  <c:v>4</c:v>
                </c:pt>
                <c:pt idx="10">
                  <c:v>0</c:v>
                </c:pt>
                <c:pt idx="11">
                  <c:v>5</c:v>
                </c:pt>
                <c:pt idx="12">
                  <c:v>12</c:v>
                </c:pt>
                <c:pt idx="13">
                  <c:v>4</c:v>
                </c:pt>
                <c:pt idx="14">
                  <c:v>1</c:v>
                </c:pt>
                <c:pt idx="15">
                  <c:v>2</c:v>
                </c:pt>
                <c:pt idx="16">
                  <c:v>0</c:v>
                </c:pt>
                <c:pt idx="17">
                  <c:v>0</c:v>
                </c:pt>
              </c:numCache>
            </c:numRef>
          </c:val>
          <c:extLst>
            <c:ext xmlns:c16="http://schemas.microsoft.com/office/drawing/2014/chart" uri="{C3380CC4-5D6E-409C-BE32-E72D297353CC}">
              <c16:uniqueId val="{00000000-3A73-4E5D-A57B-E9DE275A30E6}"/>
            </c:ext>
          </c:extLst>
        </c:ser>
        <c:dLbls>
          <c:dLblPos val="outEnd"/>
          <c:showLegendKey val="0"/>
          <c:showVal val="1"/>
          <c:showCatName val="0"/>
          <c:showSerName val="0"/>
          <c:showPercent val="0"/>
          <c:showBubbleSize val="0"/>
        </c:dLbls>
        <c:gapWidth val="170"/>
        <c:overlap val="30"/>
        <c:axId val="932445631"/>
        <c:axId val="932451455"/>
      </c:barChart>
      <c:catAx>
        <c:axId val="9324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2451455"/>
        <c:crosses val="autoZero"/>
        <c:auto val="1"/>
        <c:lblAlgn val="ctr"/>
        <c:lblOffset val="100"/>
        <c:noMultiLvlLbl val="0"/>
      </c:catAx>
      <c:valAx>
        <c:axId val="93245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2445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888888888888888E-2"/>
          <c:y val="0.2152666937212441"/>
          <c:w val="0.96944444444444444"/>
          <c:h val="0.64301956037253583"/>
        </c:manualLayout>
      </c:layout>
      <c:lineChart>
        <c:grouping val="standard"/>
        <c:varyColors val="0"/>
        <c:ser>
          <c:idx val="0"/>
          <c:order val="0"/>
          <c:tx>
            <c:strRef>
              <c:f>'Gráficos 2025'!$B$9</c:f>
              <c:strCache>
                <c:ptCount val="1"/>
                <c:pt idx="0">
                  <c:v>PREVISTO</c:v>
                </c:pt>
              </c:strCache>
            </c:strRef>
          </c:tx>
          <c:spPr>
            <a:ln w="28575" cap="rnd">
              <a:solidFill>
                <a:srgbClr val="00B050"/>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rgbClr val="00B050"/>
                </a:solidFill>
              </a:ln>
              <a:effectLst/>
            </c:spPr>
          </c:marker>
          <c:dLbls>
            <c:dLbl>
              <c:idx val="6"/>
              <c:layout>
                <c:manualLayout>
                  <c:x val="-1.1312308049192381E-2"/>
                  <c:y val="4.2808760727187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F9-4A6D-9EE1-FC8E2FEAE9A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'Gráficos 2025'!$C$8:$N$8</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'Gráficos 2025'!$C$9:$N$9</c:f>
              <c:numCache>
                <c:formatCode>0.00%</c:formatCode>
                <c:ptCount val="12"/>
                <c:pt idx="0">
                  <c:v>#N/A</c:v>
                </c:pt>
                <c:pt idx="1">
                  <c:v>1</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E9F9-4A6D-9EE1-FC8E2FEAE9AF}"/>
            </c:ext>
          </c:extLst>
        </c:ser>
        <c:ser>
          <c:idx val="1"/>
          <c:order val="1"/>
          <c:tx>
            <c:strRef>
              <c:f>'Gráficos 2025'!$B$10</c:f>
              <c:strCache>
                <c:ptCount val="1"/>
                <c:pt idx="0">
                  <c:v>EXECUTADO</c:v>
                </c:pt>
              </c:strCache>
            </c:strRef>
          </c:tx>
          <c:spPr>
            <a:ln w="28575" cap="rnd">
              <a:solidFill>
                <a:srgbClr val="00B0F0"/>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rgbClr val="00B0F0"/>
                </a:solidFill>
              </a:ln>
              <a:effectLst/>
            </c:spPr>
          </c:marker>
          <c:dLbls>
            <c:dLbl>
              <c:idx val="6"/>
              <c:layout>
                <c:manualLayout>
                  <c:x val="1.3102745294388297E-2"/>
                  <c:y val="-1.5203527731412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F9-4A6D-9EE1-FC8E2FEAE9AF}"/>
                </c:ext>
              </c:extLst>
            </c:dLbl>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chemeClr val="accent5">
                        <a:lumMod val="75000"/>
                      </a:schemeClr>
                    </a:solidFill>
                    <a:latin typeface="+mn-lt"/>
                    <a:ea typeface="+mn-ea"/>
                    <a:cs typeface="+mn-cs"/>
                  </a:defRPr>
                </a:pPr>
                <a:endParaRPr lang="pt-B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'Gráficos 2025'!$C$8:$N$8</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'Gráficos 2025'!$C$10:$N$10</c:f>
              <c:numCache>
                <c:formatCode>0.00%</c:formatCode>
                <c:ptCount val="12"/>
                <c:pt idx="0">
                  <c:v>#N/A</c:v>
                </c:pt>
                <c:pt idx="1">
                  <c:v>1</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3-E9F9-4A6D-9EE1-FC8E2FEAE9AF}"/>
            </c:ext>
          </c:extLst>
        </c:ser>
        <c:dLbls>
          <c:showLegendKey val="0"/>
          <c:showVal val="0"/>
          <c:showCatName val="0"/>
          <c:showSerName val="0"/>
          <c:showPercent val="0"/>
          <c:showBubbleSize val="0"/>
        </c:dLbls>
        <c:marker val="1"/>
        <c:smooth val="0"/>
        <c:axId val="2042089712"/>
        <c:axId val="2042097200"/>
      </c:lineChart>
      <c:valAx>
        <c:axId val="2042097200"/>
        <c:scaling>
          <c:orientation val="minMax"/>
          <c:max val="1"/>
        </c:scaling>
        <c:delete val="0"/>
        <c:axPos val="l"/>
        <c:minorGridlines>
          <c:spPr>
            <a:ln w="9525" cap="flat" cmpd="sng" algn="ctr">
              <a:solidFill>
                <a:schemeClr val="tx1">
                  <a:lumMod val="5000"/>
                  <a:lumOff val="95000"/>
                </a:schemeClr>
              </a:solidFill>
              <a:round/>
            </a:ln>
            <a:effectLst/>
          </c:spPr>
        </c:min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2089712"/>
        <c:crosses val="autoZero"/>
        <c:crossBetween val="between"/>
      </c:valAx>
      <c:dateAx>
        <c:axId val="2042089712"/>
        <c:scaling>
          <c:orientation val="minMax"/>
        </c:scaling>
        <c:delete val="0"/>
        <c:axPos val="b"/>
        <c:majorGridlines>
          <c:spPr>
            <a:ln w="9525" cap="flat" cmpd="sng" algn="ctr">
              <a:solidFill>
                <a:schemeClr val="tx1">
                  <a:lumMod val="15000"/>
                  <a:lumOff val="85000"/>
                </a:schemeClr>
              </a:solidFill>
              <a:round/>
            </a:ln>
            <a:effectLst/>
          </c:spPr>
        </c:majorGridlines>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2097200"/>
        <c:crosses val="autoZero"/>
        <c:auto val="1"/>
        <c:lblOffset val="100"/>
        <c:baseTimeUnit val="months"/>
        <c:majorUnit val="1"/>
        <c:minorUnit val="1"/>
      </c:dateAx>
      <c:spPr>
        <a:noFill/>
        <a:ln>
          <a:noFill/>
        </a:ln>
        <a:effectLst/>
      </c:spPr>
    </c:plotArea>
    <c:legend>
      <c:legendPos val="b"/>
      <c:layout>
        <c:manualLayout>
          <c:xMode val="edge"/>
          <c:yMode val="edge"/>
          <c:x val="0.40291523853912964"/>
          <c:y val="0.92642618523719955"/>
          <c:w val="0.20982356652877748"/>
          <c:h val="4.65841567264280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888888888888888E-2"/>
          <c:y val="0.2152666937212441"/>
          <c:w val="0.96944444444444444"/>
          <c:h val="0.64301956037253583"/>
        </c:manualLayout>
      </c:layout>
      <c:lineChart>
        <c:grouping val="standard"/>
        <c:varyColors val="0"/>
        <c:ser>
          <c:idx val="0"/>
          <c:order val="0"/>
          <c:tx>
            <c:strRef>
              <c:f>'Gráficos 2024'!$B$9</c:f>
              <c:strCache>
                <c:ptCount val="1"/>
                <c:pt idx="0">
                  <c:v>PREVISTO</c:v>
                </c:pt>
              </c:strCache>
            </c:strRef>
          </c:tx>
          <c:spPr>
            <a:ln w="28575" cap="rnd">
              <a:solidFill>
                <a:srgbClr val="00B050"/>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rgbClr val="00B050"/>
                </a:solidFill>
              </a:ln>
              <a:effectLst/>
            </c:spPr>
          </c:marker>
          <c:dLbls>
            <c:dLbl>
              <c:idx val="6"/>
              <c:layout>
                <c:manualLayout>
                  <c:x val="-1.1312308049192381E-2"/>
                  <c:y val="4.2808760727187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E1-439A-8A85-03C294839D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'Gráficos 2024'!$C$8:$N$8</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'Gráficos 2024'!$C$9:$N$9</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0</c:v>
                </c:pt>
              </c:numCache>
            </c:numRef>
          </c:val>
          <c:smooth val="0"/>
          <c:extLst>
            <c:ext xmlns:c16="http://schemas.microsoft.com/office/drawing/2014/chart" uri="{C3380CC4-5D6E-409C-BE32-E72D297353CC}">
              <c16:uniqueId val="{00000001-D3E1-439A-8A85-03C294839DE8}"/>
            </c:ext>
          </c:extLst>
        </c:ser>
        <c:ser>
          <c:idx val="1"/>
          <c:order val="1"/>
          <c:tx>
            <c:strRef>
              <c:f>'Gráficos 2024'!$B$10</c:f>
              <c:strCache>
                <c:ptCount val="1"/>
                <c:pt idx="0">
                  <c:v>EXECUTADO</c:v>
                </c:pt>
              </c:strCache>
            </c:strRef>
          </c:tx>
          <c:spPr>
            <a:ln w="28575" cap="rnd">
              <a:solidFill>
                <a:srgbClr val="00B0F0"/>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rgbClr val="00B0F0"/>
                </a:solidFill>
              </a:ln>
              <a:effectLst/>
            </c:spPr>
          </c:marker>
          <c:dLbls>
            <c:dLbl>
              <c:idx val="6"/>
              <c:layout>
                <c:manualLayout>
                  <c:x val="1.3102745294388297E-2"/>
                  <c:y val="-1.5203527731412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E1-439A-8A85-03C294839DE8}"/>
                </c:ext>
              </c:extLst>
            </c:dLbl>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chemeClr val="accent5">
                        <a:lumMod val="75000"/>
                      </a:schemeClr>
                    </a:solidFill>
                    <a:latin typeface="+mn-lt"/>
                    <a:ea typeface="+mn-ea"/>
                    <a:cs typeface="+mn-cs"/>
                  </a:defRPr>
                </a:pPr>
                <a:endParaRPr lang="pt-B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'Gráficos 2024'!$C$8:$N$8</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'Gráficos 2024'!$C$10:$N$10</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0</c:v>
                </c:pt>
              </c:numCache>
            </c:numRef>
          </c:val>
          <c:smooth val="0"/>
          <c:extLst>
            <c:ext xmlns:c16="http://schemas.microsoft.com/office/drawing/2014/chart" uri="{C3380CC4-5D6E-409C-BE32-E72D297353CC}">
              <c16:uniqueId val="{00000003-D3E1-439A-8A85-03C294839DE8}"/>
            </c:ext>
          </c:extLst>
        </c:ser>
        <c:dLbls>
          <c:showLegendKey val="0"/>
          <c:showVal val="0"/>
          <c:showCatName val="0"/>
          <c:showSerName val="0"/>
          <c:showPercent val="0"/>
          <c:showBubbleSize val="0"/>
        </c:dLbls>
        <c:marker val="1"/>
        <c:smooth val="0"/>
        <c:axId val="2042089712"/>
        <c:axId val="2042097200"/>
      </c:lineChart>
      <c:valAx>
        <c:axId val="2042097200"/>
        <c:scaling>
          <c:orientation val="minMax"/>
          <c:max val="1"/>
        </c:scaling>
        <c:delete val="0"/>
        <c:axPos val="l"/>
        <c:minorGridlines>
          <c:spPr>
            <a:ln w="9525" cap="flat" cmpd="sng" algn="ctr">
              <a:solidFill>
                <a:schemeClr val="tx1">
                  <a:lumMod val="5000"/>
                  <a:lumOff val="95000"/>
                </a:schemeClr>
              </a:solidFill>
              <a:round/>
            </a:ln>
            <a:effectLst/>
          </c:spPr>
        </c:min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2089712"/>
        <c:crosses val="autoZero"/>
        <c:crossBetween val="between"/>
      </c:valAx>
      <c:dateAx>
        <c:axId val="2042089712"/>
        <c:scaling>
          <c:orientation val="minMax"/>
        </c:scaling>
        <c:delete val="0"/>
        <c:axPos val="b"/>
        <c:majorGridlines>
          <c:spPr>
            <a:ln w="9525" cap="flat" cmpd="sng" algn="ctr">
              <a:solidFill>
                <a:schemeClr val="tx1">
                  <a:lumMod val="15000"/>
                  <a:lumOff val="85000"/>
                </a:schemeClr>
              </a:solidFill>
              <a:round/>
            </a:ln>
            <a:effectLst/>
          </c:spPr>
        </c:majorGridlines>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2097200"/>
        <c:crosses val="autoZero"/>
        <c:auto val="1"/>
        <c:lblOffset val="100"/>
        <c:baseTimeUnit val="months"/>
        <c:majorUnit val="1"/>
        <c:minorUnit val="1"/>
      </c:dateAx>
      <c:spPr>
        <a:noFill/>
        <a:ln>
          <a:noFill/>
        </a:ln>
        <a:effectLst/>
      </c:spPr>
    </c:plotArea>
    <c:legend>
      <c:legendPos val="b"/>
      <c:layout>
        <c:manualLayout>
          <c:xMode val="edge"/>
          <c:yMode val="edge"/>
          <c:x val="0.40291523853912964"/>
          <c:y val="0.92642618523719955"/>
          <c:w val="0.20982356652877748"/>
          <c:h val="4.65841567264280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6ª edição da Série Justiça e pesquisa</a:t>
            </a:r>
          </a:p>
        </c:rich>
      </c:tx>
      <c:layout>
        <c:manualLayout>
          <c:xMode val="edge"/>
          <c:yMode val="edge"/>
          <c:x val="0.35729732408452092"/>
          <c:y val="8.07453065126396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1.3888888888888888E-2"/>
          <c:y val="0.2152666937212441"/>
          <c:w val="0.96944444444444444"/>
          <c:h val="0.64301956037253583"/>
        </c:manualLayout>
      </c:layout>
      <c:lineChart>
        <c:grouping val="standard"/>
        <c:varyColors val="0"/>
        <c:ser>
          <c:idx val="0"/>
          <c:order val="0"/>
          <c:tx>
            <c:strRef>
              <c:f>'Gráficos 2023'!$B$9</c:f>
              <c:strCache>
                <c:ptCount val="1"/>
                <c:pt idx="0">
                  <c:v>PREVISTO</c:v>
                </c:pt>
              </c:strCache>
            </c:strRef>
          </c:tx>
          <c:spPr>
            <a:ln w="28575" cap="rnd">
              <a:solidFill>
                <a:srgbClr val="5B9BD5"/>
              </a:solidFill>
              <a:prstDash val="solid"/>
              <a:round/>
            </a:ln>
            <a:effectLst>
              <a:outerShdw blurRad="50800" dist="38100" dir="2700000" algn="tl" rotWithShape="0">
                <a:prstClr val="black">
                  <a:alpha val="40000"/>
                </a:prstClr>
              </a:outerShdw>
            </a:effectLst>
          </c:spPr>
          <c:marker>
            <c:symbol val="circle"/>
            <c:size val="5"/>
            <c:spPr>
              <a:solidFill>
                <a:srgbClr val="4472C4"/>
              </a:solidFill>
              <a:ln w="9525">
                <a:solidFill>
                  <a:srgbClr val="305496"/>
                </a:solidFill>
                <a:prstDash val="solid"/>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72C4"/>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'Gráficos 2023'!$C$7:$N$8</c:f>
              <c:multiLvlStrCache>
                <c:ptCount val="12"/>
                <c:lvl>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lvl>
                <c:lvl/>
              </c:multiLvlStrCache>
            </c:multiLvlStrRef>
          </c:cat>
          <c:val>
            <c:numRef>
              <c:f>'Gráficos 2023'!$C$9:$N$9</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D145-414A-8647-D73DE72CE485}"/>
            </c:ext>
          </c:extLst>
        </c:ser>
        <c:ser>
          <c:idx val="1"/>
          <c:order val="1"/>
          <c:tx>
            <c:strRef>
              <c:f>'Gráficos 2023'!$B$10</c:f>
              <c:strCache>
                <c:ptCount val="1"/>
                <c:pt idx="0">
                  <c:v>EXECUTADO</c:v>
                </c:pt>
              </c:strCache>
            </c:strRef>
          </c:tx>
          <c:spPr>
            <a:ln w="28575" cap="rnd">
              <a:solidFill>
                <a:srgbClr val="ED7D31"/>
              </a:solidFill>
              <a:prstDash val="solid"/>
              <a:round/>
            </a:ln>
            <a:effectLst>
              <a:outerShdw blurRad="50800" dist="38100" dir="2700000" algn="tl" rotWithShape="0">
                <a:prstClr val="black">
                  <a:alpha val="40000"/>
                </a:prstClr>
              </a:outerShdw>
            </a:effectLst>
          </c:spPr>
          <c:marker>
            <c:symbol val="circle"/>
            <c:size val="5"/>
            <c:spPr>
              <a:solidFill>
                <a:schemeClr val="accent2"/>
              </a:solidFill>
              <a:ln w="9525">
                <a:solidFill>
                  <a:srgbClr val="ED7D31"/>
                </a:solidFill>
                <a:prstDash val="solid"/>
              </a:ln>
              <a:effectLst/>
            </c:spPr>
          </c:marker>
          <c:dLbls>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rgbClr val="ED7D31"/>
                    </a:solidFill>
                    <a:latin typeface="+mn-lt"/>
                    <a:ea typeface="+mn-ea"/>
                    <a:cs typeface="+mn-cs"/>
                  </a:defRPr>
                </a:pPr>
                <a:endParaRPr lang="pt-B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'Gráficos 2023'!$C$7:$N$8</c:f>
              <c:multiLvlStrCache>
                <c:ptCount val="12"/>
                <c:lvl>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lvl>
                <c:lvl/>
              </c:multiLvlStrCache>
            </c:multiLvlStrRef>
          </c:cat>
          <c:val>
            <c:numRef>
              <c:f>'Gráficos 2023'!$C$10:$N$10</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2-D145-414A-8647-D73DE72CE485}"/>
            </c:ext>
          </c:extLst>
        </c:ser>
        <c:dLbls>
          <c:showLegendKey val="0"/>
          <c:showVal val="0"/>
          <c:showCatName val="0"/>
          <c:showSerName val="0"/>
          <c:showPercent val="0"/>
          <c:showBubbleSize val="0"/>
        </c:dLbls>
        <c:marker val="1"/>
        <c:smooth val="0"/>
        <c:axId val="2042089712"/>
        <c:axId val="2042097200"/>
      </c:lineChart>
      <c:valAx>
        <c:axId val="2042097200"/>
        <c:scaling>
          <c:orientation val="minMax"/>
          <c:max val="1"/>
        </c:scaling>
        <c:delete val="0"/>
        <c:axPos val="l"/>
        <c:minorGridlines>
          <c:spPr>
            <a:ln w="9525" cap="flat" cmpd="sng" algn="ctr">
              <a:solidFill>
                <a:schemeClr val="tx1">
                  <a:lumMod val="5000"/>
                  <a:lumOff val="95000"/>
                </a:schemeClr>
              </a:solidFill>
              <a:round/>
            </a:ln>
            <a:effectLst/>
          </c:spPr>
        </c:min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2089712"/>
        <c:crosses val="autoZero"/>
        <c:crossBetween val="between"/>
      </c:valAx>
      <c:catAx>
        <c:axId val="204208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2097200"/>
        <c:crosses val="autoZero"/>
        <c:auto val="1"/>
        <c:lblAlgn val="ctr"/>
        <c:lblOffset val="100"/>
        <c:tickLblSkip val="1"/>
        <c:tickMarkSkip val="1"/>
        <c:noMultiLvlLbl val="1"/>
      </c:catAx>
      <c:spPr>
        <a:noFill/>
        <a:ln>
          <a:noFill/>
        </a:ln>
        <a:effectLst/>
      </c:spPr>
    </c:plotArea>
    <c:legend>
      <c:legendPos val="b"/>
      <c:layout>
        <c:manualLayout>
          <c:xMode val="edge"/>
          <c:yMode val="edge"/>
          <c:x val="0.40291523853912964"/>
          <c:y val="0.92642618523719955"/>
          <c:w val="0.20982356652877748"/>
          <c:h val="4.65841567264280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userShapes r:id="rId3"/>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425824</xdr:colOff>
      <xdr:row>0</xdr:row>
      <xdr:rowOff>134471</xdr:rowOff>
    </xdr:from>
    <xdr:to>
      <xdr:col>33</xdr:col>
      <xdr:colOff>582706</xdr:colOff>
      <xdr:row>26</xdr:row>
      <xdr:rowOff>56029</xdr:rowOff>
    </xdr:to>
    <xdr:graphicFrame macro="">
      <xdr:nvGraphicFramePr>
        <xdr:cNvPr id="2" name="Gráfico 1">
          <a:extLst>
            <a:ext uri="{FF2B5EF4-FFF2-40B4-BE49-F238E27FC236}">
              <a16:creationId xmlns:a16="http://schemas.microsoft.com/office/drawing/2014/main" id="{4491D825-20CD-1B0A-90F9-10ECD4D71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184896</xdr:colOff>
      <xdr:row>27</xdr:row>
      <xdr:rowOff>1121</xdr:rowOff>
    </xdr:from>
    <xdr:to>
      <xdr:col>30</xdr:col>
      <xdr:colOff>69273</xdr:colOff>
      <xdr:row>43</xdr:row>
      <xdr:rowOff>85725</xdr:rowOff>
    </xdr:to>
    <xdr:graphicFrame macro="">
      <xdr:nvGraphicFramePr>
        <xdr:cNvPr id="3" name="Gráfico 2">
          <a:extLst>
            <a:ext uri="{FF2B5EF4-FFF2-40B4-BE49-F238E27FC236}">
              <a16:creationId xmlns:a16="http://schemas.microsoft.com/office/drawing/2014/main" id="{5DCDDDF0-8F17-810A-90FA-F95346FE4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25</xdr:row>
      <xdr:rowOff>47625</xdr:rowOff>
    </xdr:from>
    <xdr:to>
      <xdr:col>3</xdr:col>
      <xdr:colOff>947738</xdr:colOff>
      <xdr:row>46</xdr:row>
      <xdr:rowOff>133351</xdr:rowOff>
    </xdr:to>
    <xdr:graphicFrame macro="">
      <xdr:nvGraphicFramePr>
        <xdr:cNvPr id="2" name="Gráfico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66</xdr:row>
      <xdr:rowOff>57150</xdr:rowOff>
    </xdr:from>
    <xdr:to>
      <xdr:col>3</xdr:col>
      <xdr:colOff>757238</xdr:colOff>
      <xdr:row>85</xdr:row>
      <xdr:rowOff>152400</xdr:rowOff>
    </xdr:to>
    <xdr:graphicFrame macro="">
      <xdr:nvGraphicFramePr>
        <xdr:cNvPr id="7" name="Gráfico 3">
          <a:extLst>
            <a:ext uri="{FF2B5EF4-FFF2-40B4-BE49-F238E27FC236}">
              <a16:creationId xmlns:a16="http://schemas.microsoft.com/office/drawing/2014/main" id="{00000000-0008-0000-0300-000004000000}"/>
            </a:ext>
            <a:ext uri="{147F2762-F138-4A5C-976F-8EAC2B608ADB}">
              <a16:predDERef xmlns:a16="http://schemas.microsoft.com/office/drawing/2014/main" pre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66</xdr:row>
      <xdr:rowOff>59055</xdr:rowOff>
    </xdr:from>
    <xdr:to>
      <xdr:col>8</xdr:col>
      <xdr:colOff>27214</xdr:colOff>
      <xdr:row>85</xdr:row>
      <xdr:rowOff>146685</xdr:rowOff>
    </xdr:to>
    <xdr:graphicFrame macro="">
      <xdr:nvGraphicFramePr>
        <xdr:cNvPr id="3" name="Gráfico 2">
          <a:extLst>
            <a:ext uri="{FF2B5EF4-FFF2-40B4-BE49-F238E27FC236}">
              <a16:creationId xmlns:a16="http://schemas.microsoft.com/office/drawing/2014/main" id="{532F30AE-6561-476C-B154-E3E3C3ABFEFD}"/>
            </a:ext>
            <a:ext uri="{147F2762-F138-4A5C-976F-8EAC2B608ADB}">
              <a16:predDERef xmlns:a16="http://schemas.microsoft.com/office/drawing/2014/main" pre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55790</xdr:colOff>
      <xdr:row>25</xdr:row>
      <xdr:rowOff>39460</xdr:rowOff>
    </xdr:from>
    <xdr:to>
      <xdr:col>6</xdr:col>
      <xdr:colOff>1034144</xdr:colOff>
      <xdr:row>46</xdr:row>
      <xdr:rowOff>125186</xdr:rowOff>
    </xdr:to>
    <xdr:graphicFrame macro="">
      <xdr:nvGraphicFramePr>
        <xdr:cNvPr id="4" name="Gráfico 2">
          <a:extLst>
            <a:ext uri="{FF2B5EF4-FFF2-40B4-BE49-F238E27FC236}">
              <a16:creationId xmlns:a16="http://schemas.microsoft.com/office/drawing/2014/main" id="{93AB443A-F501-4F2E-BE71-43700E083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65</xdr:row>
      <xdr:rowOff>149679</xdr:rowOff>
    </xdr:from>
    <xdr:to>
      <xdr:col>16</xdr:col>
      <xdr:colOff>517071</xdr:colOff>
      <xdr:row>85</xdr:row>
      <xdr:rowOff>46809</xdr:rowOff>
    </xdr:to>
    <xdr:graphicFrame macro="">
      <xdr:nvGraphicFramePr>
        <xdr:cNvPr id="5" name="Gráfico 4">
          <a:extLst>
            <a:ext uri="{FF2B5EF4-FFF2-40B4-BE49-F238E27FC236}">
              <a16:creationId xmlns:a16="http://schemas.microsoft.com/office/drawing/2014/main" id="{A855C9E6-645A-4E50-B90D-35B9ABAABCB1}"/>
            </a:ext>
            <a:ext uri="{147F2762-F138-4A5C-976F-8EAC2B608ADB}">
              <a16:predDERef xmlns:a16="http://schemas.microsoft.com/office/drawing/2014/main" pred="{93AB443A-F501-4F2E-BE71-43700E083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25</xdr:row>
      <xdr:rowOff>190499</xdr:rowOff>
    </xdr:from>
    <xdr:to>
      <xdr:col>16</xdr:col>
      <xdr:colOff>114300</xdr:colOff>
      <xdr:row>46</xdr:row>
      <xdr:rowOff>99332</xdr:rowOff>
    </xdr:to>
    <xdr:graphicFrame macro="">
      <xdr:nvGraphicFramePr>
        <xdr:cNvPr id="6" name="Gráfico 2">
          <a:extLst>
            <a:ext uri="{FF2B5EF4-FFF2-40B4-BE49-F238E27FC236}">
              <a16:creationId xmlns:a16="http://schemas.microsoft.com/office/drawing/2014/main" id="{005A64DB-D2D6-4C1D-B762-A23573587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0.24534</cdr:x>
      <cdr:y>0.02792</cdr:y>
    </cdr:from>
    <cdr:to>
      <cdr:x>0.83608</cdr:x>
      <cdr:y>0.11929</cdr:y>
    </cdr:to>
    <cdr:sp macro="" textlink="">
      <cdr:nvSpPr>
        <cdr:cNvPr id="2" name="CaixaDeTexto 1"/>
        <cdr:cNvSpPr txBox="1"/>
      </cdr:nvSpPr>
      <cdr:spPr>
        <a:xfrm xmlns:a="http://schemas.openxmlformats.org/drawingml/2006/main">
          <a:off x="2195513" y="104775"/>
          <a:ext cx="5286375"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userShapes>
</file>

<file path=xl/drawings/drawing4.xml><?xml version="1.0" encoding="utf-8"?>
<c:userShapes xmlns:c="http://schemas.openxmlformats.org/drawingml/2006/chart">
  <cdr:relSizeAnchor xmlns:cdr="http://schemas.openxmlformats.org/drawingml/2006/chartDrawing">
    <cdr:from>
      <cdr:x>0.24534</cdr:x>
      <cdr:y>0.02792</cdr:y>
    </cdr:from>
    <cdr:to>
      <cdr:x>0.83608</cdr:x>
      <cdr:y>0.11929</cdr:y>
    </cdr:to>
    <cdr:sp macro="" textlink="">
      <cdr:nvSpPr>
        <cdr:cNvPr id="2" name="CaixaDeTexto 1"/>
        <cdr:cNvSpPr txBox="1"/>
      </cdr:nvSpPr>
      <cdr:spPr>
        <a:xfrm xmlns:a="http://schemas.openxmlformats.org/drawingml/2006/main">
          <a:off x="2195513" y="104775"/>
          <a:ext cx="5286375"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userShapes>
</file>

<file path=xl/drawings/drawing5.xml><?xml version="1.0" encoding="utf-8"?>
<c:userShapes xmlns:c="http://schemas.openxmlformats.org/drawingml/2006/chart">
  <cdr:relSizeAnchor xmlns:cdr="http://schemas.openxmlformats.org/drawingml/2006/chartDrawing">
    <cdr:from>
      <cdr:x>0.24534</cdr:x>
      <cdr:y>0.02792</cdr:y>
    </cdr:from>
    <cdr:to>
      <cdr:x>0.83608</cdr:x>
      <cdr:y>0.11929</cdr:y>
    </cdr:to>
    <cdr:sp macro="" textlink="">
      <cdr:nvSpPr>
        <cdr:cNvPr id="2" name="CaixaDeTexto 1"/>
        <cdr:cNvSpPr txBox="1"/>
      </cdr:nvSpPr>
      <cdr:spPr>
        <a:xfrm xmlns:a="http://schemas.openxmlformats.org/drawingml/2006/main">
          <a:off x="2195513" y="104775"/>
          <a:ext cx="5286375"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209549</xdr:colOff>
      <xdr:row>12</xdr:row>
      <xdr:rowOff>47623</xdr:rowOff>
    </xdr:from>
    <xdr:to>
      <xdr:col>12</xdr:col>
      <xdr:colOff>809625</xdr:colOff>
      <xdr:row>36</xdr:row>
      <xdr:rowOff>76200</xdr:rowOff>
    </xdr:to>
    <xdr:graphicFrame macro="">
      <xdr:nvGraphicFramePr>
        <xdr:cNvPr id="8" name="Gráfico 1">
          <a:extLst>
            <a:ext uri="{FF2B5EF4-FFF2-40B4-BE49-F238E27FC236}">
              <a16:creationId xmlns:a16="http://schemas.microsoft.com/office/drawing/2014/main" id="{3A1AAEEC-12E5-41CC-837C-F13DD16E0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0.25417</cdr:x>
      <cdr:y>0.05011</cdr:y>
    </cdr:from>
    <cdr:to>
      <cdr:x>0.55938</cdr:x>
      <cdr:y>0.11983</cdr:y>
    </cdr:to>
    <cdr:sp macro="" textlink="">
      <cdr:nvSpPr>
        <cdr:cNvPr id="2" name="CaixaDeTexto 1"/>
        <cdr:cNvSpPr txBox="1"/>
      </cdr:nvSpPr>
      <cdr:spPr>
        <a:xfrm xmlns:a="http://schemas.openxmlformats.org/drawingml/2006/main">
          <a:off x="2324100" y="219076"/>
          <a:ext cx="279082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dr:relSizeAnchor xmlns:cdr="http://schemas.openxmlformats.org/drawingml/2006/chartDrawing">
    <cdr:from>
      <cdr:x>0.01866</cdr:x>
      <cdr:y>0.0243</cdr:y>
    </cdr:from>
    <cdr:to>
      <cdr:x>0.98513</cdr:x>
      <cdr:y>0.14787</cdr:y>
    </cdr:to>
    <cdr:sp macro="" textlink="'Gráficos 2024'!$B$7">
      <cdr:nvSpPr>
        <cdr:cNvPr id="3" name="CaixaDeTexto 2"/>
        <cdr:cNvSpPr txBox="1"/>
      </cdr:nvSpPr>
      <cdr:spPr>
        <a:xfrm xmlns:a="http://schemas.openxmlformats.org/drawingml/2006/main">
          <a:off x="174700" y="111793"/>
          <a:ext cx="9049132" cy="568494"/>
        </a:xfrm>
        <a:prstGeom xmlns:a="http://schemas.openxmlformats.org/drawingml/2006/main" prst="rect">
          <a:avLst/>
        </a:prstGeom>
        <a:solidFill xmlns:a="http://schemas.openxmlformats.org/drawingml/2006/main">
          <a:schemeClr val="accent5">
            <a:lumMod val="75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C4E13A8-3F04-400C-9584-E44E708E7CC2}" type="TxLink">
            <a:rPr lang="en-US" sz="1200" b="1" i="0" u="none" strike="noStrike">
              <a:solidFill>
                <a:schemeClr val="bg1"/>
              </a:solidFill>
              <a:latin typeface="Calibri"/>
              <a:ea typeface="Calibri"/>
              <a:cs typeface="Calibri"/>
            </a:rPr>
            <a:pPr algn="ctr"/>
            <a:t>Painel do Programa Desjudicializa</a:t>
          </a:fld>
          <a:endParaRPr lang="pt-BR" sz="1200" b="1" i="0" u="none">
            <a:solidFill>
              <a:schemeClr val="bg1"/>
            </a:solidFill>
            <a:latin typeface="Segoe UI Semibold" panose="020B0702040204020203" pitchFamily="34" charset="0"/>
            <a:cs typeface="Segoe UI Semibold" panose="020B0702040204020203"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209549</xdr:colOff>
      <xdr:row>12</xdr:row>
      <xdr:rowOff>47623</xdr:rowOff>
    </xdr:from>
    <xdr:to>
      <xdr:col>12</xdr:col>
      <xdr:colOff>809625</xdr:colOff>
      <xdr:row>36</xdr:row>
      <xdr:rowOff>76200</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0.25417</cdr:x>
      <cdr:y>0.05011</cdr:y>
    </cdr:from>
    <cdr:to>
      <cdr:x>0.55938</cdr:x>
      <cdr:y>0.11983</cdr:y>
    </cdr:to>
    <cdr:sp macro="" textlink="">
      <cdr:nvSpPr>
        <cdr:cNvPr id="2" name="CaixaDeTexto 1"/>
        <cdr:cNvSpPr txBox="1"/>
      </cdr:nvSpPr>
      <cdr:spPr>
        <a:xfrm xmlns:a="http://schemas.openxmlformats.org/drawingml/2006/main">
          <a:off x="2324100" y="219076"/>
          <a:ext cx="279082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dr:relSizeAnchor xmlns:cdr="http://schemas.openxmlformats.org/drawingml/2006/chartDrawing">
    <cdr:from>
      <cdr:x>0.01866</cdr:x>
      <cdr:y>0.0243</cdr:y>
    </cdr:from>
    <cdr:to>
      <cdr:x>0.98513</cdr:x>
      <cdr:y>0.14787</cdr:y>
    </cdr:to>
    <cdr:sp macro="" textlink="'Gráficos 2024'!$B$7">
      <cdr:nvSpPr>
        <cdr:cNvPr id="3" name="CaixaDeTexto 2"/>
        <cdr:cNvSpPr txBox="1"/>
      </cdr:nvSpPr>
      <cdr:spPr>
        <a:xfrm xmlns:a="http://schemas.openxmlformats.org/drawingml/2006/main">
          <a:off x="174700" y="111793"/>
          <a:ext cx="9049132" cy="568494"/>
        </a:xfrm>
        <a:prstGeom xmlns:a="http://schemas.openxmlformats.org/drawingml/2006/main" prst="rect">
          <a:avLst/>
        </a:prstGeom>
        <a:solidFill xmlns:a="http://schemas.openxmlformats.org/drawingml/2006/main">
          <a:schemeClr val="accent5">
            <a:lumMod val="75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C4E13A8-3F04-400C-9584-E44E708E7CC2}" type="TxLink">
            <a:rPr lang="en-US" sz="1200" b="1" i="0" u="none" strike="noStrike">
              <a:solidFill>
                <a:schemeClr val="bg1"/>
              </a:solidFill>
              <a:latin typeface="Calibri"/>
              <a:cs typeface="Calibri"/>
            </a:rPr>
            <a:pPr algn="ctr"/>
            <a:t>Painel do Programa Desjudicializa</a:t>
          </a:fld>
          <a:endParaRPr lang="pt-BR" sz="1200" b="1" i="0" u="none">
            <a:solidFill>
              <a:schemeClr val="bg1"/>
            </a:solidFill>
            <a:latin typeface="Segoe UI Semibold" panose="020B0702040204020203" pitchFamily="34" charset="0"/>
            <a:cs typeface="Segoe UI Semibold" panose="020B0702040204020203"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1</xdr:col>
      <xdr:colOff>371474</xdr:colOff>
      <xdr:row>13</xdr:row>
      <xdr:rowOff>104773</xdr:rowOff>
    </xdr:from>
    <xdr:to>
      <xdr:col>12</xdr:col>
      <xdr:colOff>66675</xdr:colOff>
      <xdr:row>37</xdr:row>
      <xdr:rowOff>133350</xdr:rowOff>
    </xdr:to>
    <xdr:graphicFrame macro="">
      <xdr:nvGraphicFramePr>
        <xdr:cNvPr id="4" name="Gráfico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0.25417</cdr:x>
      <cdr:y>0.05011</cdr:y>
    </cdr:from>
    <cdr:to>
      <cdr:x>0.55938</cdr:x>
      <cdr:y>0.11983</cdr:y>
    </cdr:to>
    <cdr:sp macro="" textlink="">
      <cdr:nvSpPr>
        <cdr:cNvPr id="2" name="CaixaDeTexto 1"/>
        <cdr:cNvSpPr txBox="1"/>
      </cdr:nvSpPr>
      <cdr:spPr>
        <a:xfrm xmlns:a="http://schemas.openxmlformats.org/drawingml/2006/main">
          <a:off x="2324100" y="219076"/>
          <a:ext cx="279082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pt-BR" sz="1100"/>
        </a:p>
      </cdr:txBody>
    </cdr:sp>
  </cdr:relSizeAnchor>
  <cdr:relSizeAnchor xmlns:cdr="http://schemas.openxmlformats.org/drawingml/2006/chartDrawing">
    <cdr:from>
      <cdr:x>0.01866</cdr:x>
      <cdr:y>0.0243</cdr:y>
    </cdr:from>
    <cdr:to>
      <cdr:x>0.98513</cdr:x>
      <cdr:y>0.14787</cdr:y>
    </cdr:to>
    <cdr:sp macro="" textlink="'Gráficos 2023'!$B$7">
      <cdr:nvSpPr>
        <cdr:cNvPr id="3" name="CaixaDeTexto 2"/>
        <cdr:cNvSpPr txBox="1"/>
      </cdr:nvSpPr>
      <cdr:spPr>
        <a:xfrm xmlns:a="http://schemas.openxmlformats.org/drawingml/2006/main">
          <a:off x="174700" y="111793"/>
          <a:ext cx="9049132" cy="568494"/>
        </a:xfrm>
        <a:prstGeom xmlns:a="http://schemas.openxmlformats.org/drawingml/2006/main" prst="rect">
          <a:avLst/>
        </a:prstGeom>
        <a:solidFill xmlns:a="http://schemas.openxmlformats.org/drawingml/2006/main">
          <a:schemeClr val="accent5">
            <a:lumMod val="7500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C4E13A8-3F04-400C-9584-E44E708E7CC2}" type="TxLink">
            <a:rPr lang="en-US" sz="1200" b="1" i="0" u="none" strike="noStrike">
              <a:solidFill>
                <a:schemeClr val="bg1"/>
              </a:solidFill>
              <a:latin typeface="Calibri"/>
              <a:cs typeface="Calibri"/>
            </a:rPr>
            <a:pPr algn="ctr"/>
            <a:t>Painel do Programa Desjudicializa</a:t>
          </a:fld>
          <a:endParaRPr lang="pt-BR" sz="1200" b="1" i="0" u="none">
            <a:solidFill>
              <a:schemeClr val="bg1"/>
            </a:solidFill>
            <a:latin typeface="Segoe UI Semibold" panose="020B0702040204020203" pitchFamily="34" charset="0"/>
            <a:cs typeface="Segoe UI Semibold" panose="020B0702040204020203" pitchFamily="34" charset="0"/>
          </a:endParaRPr>
        </a:p>
      </cdr:txBody>
    </cdr:sp>
  </cdr:relSizeAnchor>
</c:userShapes>
</file>

<file path=xl/persons/person.xml><?xml version="1.0" encoding="utf-8"?>
<personList xmlns="http://schemas.microsoft.com/office/spreadsheetml/2018/threadedcomments" xmlns:x="http://schemas.openxmlformats.org/spreadsheetml/2006/main">
  <person displayName="FABIO LOPES FERNANDES RAMOS" id="{A6CE6FFF-C22F-479B-BAD1-6F24EA080F3F}" userId="S::fabio.fernandes@cnj.jus.br::c79cfb8b-8f61-42b3-803f-c7690911979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F906C10-1D18-481B-A4A1-6DC8DB11C5E3}" name="Tb_PortfólioNão" displayName="Tb_PortfólioNão" ref="A2:AM3" totalsRowShown="0" headerRowDxfId="555" dataDxfId="554" headerRowBorderDxfId="552" tableBorderDxfId="553" totalsRowBorderDxfId="551">
  <autoFilter ref="A2:AM3" xr:uid="{00000000-0009-0000-0100-000002000000}"/>
  <sortState xmlns:xlrd2="http://schemas.microsoft.com/office/spreadsheetml/2017/richdata2" ref="A3:AM3">
    <sortCondition ref="A2:A3"/>
  </sortState>
  <tableColumns count="39">
    <tableColumn id="1" xr3:uid="{A81DF468-2E17-4A83-A31A-86C5E1D07DA7}" name="SEI" dataDxfId="549" totalsRowDxfId="550"/>
    <tableColumn id="2" xr3:uid="{BD8762EC-1567-4AFF-A2B6-AB893AFD50CD}" name="PROJETO" dataDxfId="547" totalsRowDxfId="548"/>
    <tableColumn id="3" xr3:uid="{A4114E29-AB5C-4FD1-B49C-0B2E5370BCDD}" name="OBJETO" dataDxfId="545" totalsRowDxfId="546"/>
    <tableColumn id="4" xr3:uid="{37E2877F-BF86-44EA-BCEF-702B508E7E6F}" name="OBJETIVO" dataDxfId="543" totalsRowDxfId="544"/>
    <tableColumn id="5" xr3:uid="{6AE2FA75-5F88-4A8B-95A9-11D9A6C8F3F9}" name="Patrocinador" dataDxfId="541" totalsRowDxfId="542"/>
    <tableColumn id="6" xr3:uid="{BB30CD06-4D9A-49CB-827A-7C9CA2C92C1A}" name="UNIDADE PATROCINADORA" dataDxfId="539" totalsRowDxfId="540"/>
    <tableColumn id="7" xr3:uid="{2843C38E-9639-4047-BBBB-71878322FE56}" name="GERENTE DO PROJETO" dataDxfId="538"/>
    <tableColumn id="8" xr3:uid="{659D85F3-C5D1-4361-B3F4-07B2ECD6D1CF}" name="UNIDADE GERENTE DO PROJETO" dataDxfId="537"/>
    <tableColumn id="9" xr3:uid="{F5016020-912F-4410-A8C5-DA378BD37A20}" name="ALINHAMENTO ESTRATÉGICO" dataDxfId="535" totalsRowDxfId="536"/>
    <tableColumn id="10" xr3:uid="{D26CD944-B241-4B27-9CE2-D3D3B4F97B9F}" name="MACRODESAFIO" dataDxfId="533" totalsRowDxfId="534"/>
    <tableColumn id="11" xr3:uid="{7F0FDD0D-3BCD-417C-91A3-074C59E1FA06}" name="POLÍTICA JUDICIÁRIA" dataDxfId="531" totalsRowDxfId="532"/>
    <tableColumn id="12" xr3:uid="{7B86EC67-67D7-411F-A086-69508448242F}" name="ÍNICIO DO PROJETO" dataDxfId="529" totalsRowDxfId="530"/>
    <tableColumn id="13" xr3:uid="{95C01032-1E57-459F-9E96-780B8EA8A509}" name="PREVISÃO DE TERMINO" dataDxfId="527" totalsRowDxfId="528"/>
    <tableColumn id="14" xr3:uid="{BF21236E-8DD8-4049-94E4-1BA538B652D7}" name="% PREVISTO" dataDxfId="525" totalsRowDxfId="526"/>
    <tableColumn id="15" xr3:uid="{47726BA1-9A02-4B84-9BC3-B6C097F8949A}" name="% EXECUTADO" dataDxfId="523" totalsRowDxfId="524"/>
    <tableColumn id="16" xr3:uid="{3F305B2E-4E4E-4562-B4A5-42C2615CA29D}" name="MEDIÇÃO DE STATUS" dataDxfId="521" totalsRowDxfId="522">
      <calculatedColumnFormula>IFERROR(Tb_PortfólioNão[[#This Row],[% EXECUTADO]]/Tb_PortfólioNão[[#This Row],[% PREVISTO]],"0%")</calculatedColumnFormula>
    </tableColumn>
    <tableColumn id="17" xr3:uid="{C6510093-B2BE-4D39-A308-DCD34CC2E847}" name="DATA DE ATUALIZAÇÃO" dataDxfId="519" totalsRowDxfId="520">
      <calculatedColumnFormula>_xlfn.XLOOKUP(Tb_PortfólioNão[[#This Row],[SEI]],Tb_Atualizações[PROCESSO SEI],Tb_Atualizações[DATA DE ATUALIZAÇÃO],"",0,-1)</calculatedColumnFormula>
    </tableColumn>
    <tableColumn id="39" xr3:uid="{9FEBD9DB-CF02-4934-832E-C32250E64085}" name="Dados de" dataDxfId="517" totalsRowDxfId="518"/>
    <tableColumn id="18" xr3:uid="{03434CD7-957B-458F-8888-A449B7D746ED}" name="LINK PARA O PAINEL DO CNJ" dataDxfId="515" totalsRowDxfId="516"/>
    <tableColumn id="19" xr3:uid="{B0E91474-132C-49F7-8BFC-11AD9A422686}" name="Programa" dataDxfId="513" totalsRowDxfId="514"/>
    <tableColumn id="20" xr3:uid="{AF67AF24-49E0-471E-BF3A-4DDB3A73FBA5}" name="Situação" dataDxfId="511" totalsRowDxfId="512"/>
    <tableColumn id="21" xr3:uid="{48D7FF1C-C511-49F5-837A-101BF1A51FE6}" name="LINK PARA A PÁGINA DO PROJETO" dataDxfId="509" totalsRowDxfId="510" dataCellStyle="Hiperlink"/>
    <tableColumn id="22" xr3:uid="{D5F39E1E-60E6-4E0C-AABB-A151FEF6B004}" name="Status" dataDxfId="507" totalsRowDxfId="508">
      <calculatedColumnFormula>IFERROR(Tb_PortfólioNão[[#This Row],[% EXECUTADO]]/Tb_PortfólioNão[[#This Row],[% PREVISTO]],0)</calculatedColumnFormula>
    </tableColumn>
    <tableColumn id="23" xr3:uid="{5CCD3AA5-3D71-48CC-9C08-A8DBDCA6167A}" name="Entregas Previstas" dataDxfId="505" totalsRowDxfId="506"/>
    <tableColumn id="24" xr3:uid="{89FFFAF0-E790-40BF-ABE5-8B2BBA840A1A}" name="Orçamento Previsto" dataDxfId="504" dataCellStyle="Moeda"/>
    <tableColumn id="25" xr3:uid="{54E4B6A4-76D7-4C52-99F5-05AB2560221A}" name="Orçamento Executado" dataDxfId="502" totalsRowDxfId="503" dataCellStyle="Moeda"/>
    <tableColumn id="26" xr3:uid="{B1ACF286-43F7-45CC-9285-60EDC528564D}" name="Link para a página do programa" dataDxfId="500" totalsRowDxfId="501"/>
    <tableColumn id="27" xr3:uid="{E43A8C7F-6673-4496-8F04-1299B1F0BDEF}" name="Supervisor" dataDxfId="498" totalsRowDxfId="499"/>
    <tableColumn id="38" xr3:uid="{A13147B5-EABB-4C54-8838-2B266C81C14B}" name="Unidade Gestora (Negocial)" dataDxfId="496" totalsRowDxfId="497"/>
    <tableColumn id="28" xr3:uid="{5A0D498C-A951-48D0-8BBF-980FB66060F5}" name="Capacidade / Benefício Estruturante" dataDxfId="494" totalsRowDxfId="495"/>
    <tableColumn id="30" xr3:uid="{875B5348-F3A0-48E9-AA8A-155BA673FDD6}" name="ENTREGAS REALIZADAS" dataDxfId="492" totalsRowDxfId="493"/>
    <tableColumn id="29" xr3:uid="{7B8F7F57-E226-4375-817A-83580F4DA67A}" name="Hoje" dataDxfId="490" totalsRowDxfId="491">
      <calculatedColumnFormula>TODAY()</calculatedColumnFormula>
    </tableColumn>
    <tableColumn id="31" xr3:uid="{4B1E39E3-60E7-4D14-B5B4-AA3E45313E30}" name="GERENTE  INSTITUCIONAL" dataDxfId="489"/>
    <tableColumn id="32" xr3:uid="{66594173-8A7A-49E8-B040-4EFC24D965E1}" name="UNIDADE DO GERENTE INSTITUCIONAL" dataDxfId="488"/>
    <tableColumn id="33" xr3:uid="{8C9E4ABE-CFE9-4C6D-98A1-3FCA831B7B97}" name="Lições Aprendidas " dataDxfId="487"/>
    <tableColumn id="35" xr3:uid="{EBBA104D-BF33-4C73-8D58-9C8A37DA8971}" name="Portfólio 2024" dataDxfId="486"/>
    <tableColumn id="37" xr3:uid="{CEA76A47-5578-47D5-A70D-D8EEB25F0BCF}" name="Portfólio 2025" dataDxfId="485"/>
    <tableColumn id="41" xr3:uid="{A91A72F5-8886-474A-90B7-C0192AA12841}" name="Portfólio 2026" dataDxfId="484">
      <calculatedColumnFormula>IFERROR(IF(MATCH(#REF!,Atualizações!$P$1:$P$2994,0)&gt;0, "Sim"), "Não")</calculatedColumnFormula>
    </tableColumn>
    <tableColumn id="40" xr3:uid="{75D3AF95-F30C-4003-93D7-F6C87F89092E}" name="Observações" dataDxfId="483"/>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_Portfólio" displayName="Tb_Portfólio" ref="A2:AQ129" totalsRowShown="0" headerRowDxfId="455" dataDxfId="454" headerRowBorderDxfId="452" tableBorderDxfId="453" totalsRowBorderDxfId="451">
  <autoFilter ref="A2:AQ129" xr:uid="{00000000-0009-0000-0100-000002000000}">
    <filterColumn colId="0">
      <filters>
        <filter val="01247/2025"/>
      </filters>
    </filterColumn>
    <filterColumn colId="40">
      <filters>
        <filter val="Sim"/>
      </filters>
    </filterColumn>
  </autoFilter>
  <sortState xmlns:xlrd2="http://schemas.microsoft.com/office/spreadsheetml/2017/richdata2" ref="A10:AQ10">
    <sortCondition ref="A2:A129"/>
  </sortState>
  <tableColumns count="43">
    <tableColumn id="1" xr3:uid="{00000000-0010-0000-0000-000001000000}" name="SEI" dataDxfId="449" totalsRowDxfId="450"/>
    <tableColumn id="2" xr3:uid="{00000000-0010-0000-0000-000002000000}" name="PROJETO" dataDxfId="447" totalsRowDxfId="448"/>
    <tableColumn id="3" xr3:uid="{00000000-0010-0000-0000-000003000000}" name="OBJETO" dataDxfId="445" totalsRowDxfId="446"/>
    <tableColumn id="4" xr3:uid="{00000000-0010-0000-0000-000004000000}" name="OBJETIVO" dataDxfId="443" totalsRowDxfId="444"/>
    <tableColumn id="5" xr3:uid="{00000000-0010-0000-0000-000005000000}" name="Patrocinador" dataDxfId="441" totalsRowDxfId="442"/>
    <tableColumn id="6" xr3:uid="{00000000-0010-0000-0000-000006000000}" name="UNIDADE PATROCINADORA" dataDxfId="439" totalsRowDxfId="440"/>
    <tableColumn id="7" xr3:uid="{00000000-0010-0000-0000-000007000000}" name="GERENTE DO PROJETO" dataDxfId="438"/>
    <tableColumn id="8" xr3:uid="{00000000-0010-0000-0000-000008000000}" name="UNIDADE GERENTE DO PROJETO" dataDxfId="437"/>
    <tableColumn id="9" xr3:uid="{00000000-0010-0000-0000-000009000000}" name="ALINHAMENTO ESTRATÉGICO" dataDxfId="435" totalsRowDxfId="436"/>
    <tableColumn id="10" xr3:uid="{00000000-0010-0000-0000-00000A000000}" name="MACRODESAFIO" dataDxfId="433" totalsRowDxfId="434"/>
    <tableColumn id="11" xr3:uid="{00000000-0010-0000-0000-00000B000000}" name="POLÍTICA JUDICIÁRIA" dataDxfId="431" totalsRowDxfId="432"/>
    <tableColumn id="12" xr3:uid="{00000000-0010-0000-0000-00000C000000}" name="ÍNICIO DO PROJETO" dataDxfId="429" totalsRowDxfId="430"/>
    <tableColumn id="13" xr3:uid="{00000000-0010-0000-0000-00000D000000}" name="PREVISÃO DE TERMINO" dataDxfId="427" totalsRowDxfId="428"/>
    <tableColumn id="14" xr3:uid="{00000000-0010-0000-0000-00000E000000}" name="% PREVISTO" dataDxfId="425" totalsRowDxfId="426">
      <calculatedColumnFormula>_xlfn.XLOOKUP(Tb_Portfólio[[#This Row],[SEI]],Tb_Atualizações[PROCESSO SEI],Tb_Atualizações[% PREVISTO],"",0,-1)</calculatedColumnFormula>
    </tableColumn>
    <tableColumn id="15" xr3:uid="{00000000-0010-0000-0000-00000F000000}" name="% EXECUTADO" dataDxfId="423" totalsRowDxfId="424">
      <calculatedColumnFormula>_xlfn.XLOOKUP(Tb_Portfólio[[#This Row],[SEI]],Tb_Atualizações[PROCESSO SEI],Tb_Atualizações[% EXECUTADO],"",0,-1)</calculatedColumnFormula>
    </tableColumn>
    <tableColumn id="16" xr3:uid="{00000000-0010-0000-0000-000010000000}" name="MEDIÇÃO DE STATUS" dataDxfId="421" totalsRowDxfId="422">
      <calculatedColumnFormula>IFERROR(Tb_Portfólio[[#This Row],[% EXECUTADO]]/Tb_Portfólio[[#This Row],[% PREVISTO]],"0%")</calculatedColumnFormula>
    </tableColumn>
    <tableColumn id="17" xr3:uid="{00000000-0010-0000-0000-000011000000}" name="DATA DE ATUALIZAÇÃO" dataDxfId="419" totalsRowDxfId="420">
      <calculatedColumnFormula>_xlfn.XLOOKUP(Tb_Portfólio[[#This Row],[SEI]],Tb_Atualizações[PROCESSO SEI],Tb_Atualizações[DATA DE ATUALIZAÇÃO],"",0,-1)</calculatedColumnFormula>
    </tableColumn>
    <tableColumn id="39" xr3:uid="{6101A9C0-C9B9-4B25-B3E2-120E615B9077}" name="Dados de" dataDxfId="417" totalsRowDxfId="418">
      <calculatedColumnFormula>_xlfn.XLOOKUP(Tb_Portfólio[[#This Row],[SEI]],Tb_Atualizações[PROCESSO SEI],Tb_Atualizações[Mês],,0,-1)</calculatedColumnFormula>
    </tableColumn>
    <tableColumn id="18" xr3:uid="{00000000-0010-0000-0000-000012000000}" name="LINK PARA O PAINEL DO CNJ" dataDxfId="415" totalsRowDxfId="416"/>
    <tableColumn id="19" xr3:uid="{00000000-0010-0000-0000-000013000000}" name="Programa" dataDxfId="413" totalsRowDxfId="414"/>
    <tableColumn id="20" xr3:uid="{00000000-0010-0000-0000-000014000000}" name="Situação" dataDxfId="411" totalsRowDxfId="412">
      <calculatedColumnFormula>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calculatedColumnFormula>
    </tableColumn>
    <tableColumn id="21" xr3:uid="{00000000-0010-0000-0000-000015000000}" name="LINK PARA A PÁGINA DO PROJETO" dataDxfId="409" totalsRowDxfId="410" dataCellStyle="Hiperlink"/>
    <tableColumn id="22" xr3:uid="{00000000-0010-0000-0000-000016000000}" name="Status" dataDxfId="407" totalsRowDxfId="408">
      <calculatedColumnFormula>IFERROR(Tb_Portfólio[[#This Row],[% EXECUTADO]]/Tb_Portfólio[[#This Row],[% PREVISTO]],0)</calculatedColumnFormula>
    </tableColumn>
    <tableColumn id="23" xr3:uid="{00000000-0010-0000-0000-000017000000}" name="Entregas Previstas" dataDxfId="405" totalsRowDxfId="406"/>
    <tableColumn id="24" xr3:uid="{00000000-0010-0000-0000-000018000000}" name="Orçamento Previsto" dataDxfId="404" dataCellStyle="Moeda"/>
    <tableColumn id="25" xr3:uid="{00000000-0010-0000-0000-000019000000}" name="Orçamento Executado" dataDxfId="402" totalsRowDxfId="403" dataCellStyle="Moeda"/>
    <tableColumn id="26" xr3:uid="{00000000-0010-0000-0000-00001A000000}" name="Link para a página do programa" dataDxfId="400" totalsRowDxfId="401"/>
    <tableColumn id="27" xr3:uid="{00000000-0010-0000-0000-00001B000000}" name="Supervisor" dataDxfId="398" totalsRowDxfId="399"/>
    <tableColumn id="38" xr3:uid="{7025394B-871D-4076-9326-209AAA3A77EC}" name="Unidade Gestora (Negocial)" dataDxfId="396" totalsRowDxfId="397"/>
    <tableColumn id="28" xr3:uid="{00000000-0010-0000-0000-00001C000000}" name="Capacidade / Benefício Estruturante" dataDxfId="394" totalsRowDxfId="395"/>
    <tableColumn id="30" xr3:uid="{00000000-0010-0000-0000-00001E000000}" name="ENTREGAS REALIZADAS" dataDxfId="392" totalsRowDxfId="393"/>
    <tableColumn id="29" xr3:uid="{00000000-0010-0000-0000-00001D000000}" name="Hoje" dataDxfId="390" totalsRowDxfId="391">
      <calculatedColumnFormula>TODAY()</calculatedColumnFormula>
    </tableColumn>
    <tableColumn id="31" xr3:uid="{C6978BD7-2863-4CED-9933-C84D8B85EFC0}" name="GERENTE  INSTITUCIONAL" dataDxfId="389"/>
    <tableColumn id="32" xr3:uid="{E2E3697F-5160-4B37-B8C2-4CC8CADB57E0}" name="UNIDADE DO GERENTE INSTITUCIONAL" dataDxfId="388"/>
    <tableColumn id="33" xr3:uid="{D2136EB1-6297-4F91-8D09-5335A1CFEAB3}" name="Lições Aprendidas " dataDxfId="387"/>
    <tableColumn id="34" xr3:uid="{5B05F37C-2EBD-4C6B-BC9A-6CE89A64F9AF}" name="Aux2024" dataDxfId="386">
      <calculatedColumnFormula>2024&amp;Tb_Portfólio[[#This Row],[SEI]]</calculatedColumnFormula>
    </tableColumn>
    <tableColumn id="35" xr3:uid="{37CBE2D4-E4E0-4C8B-93DA-72ECC6E22973}" name="Portfólio 2024" dataDxfId="385">
      <calculatedColumnFormula>IFERROR(IF(MATCH(AJ3,Atualizações!$P$1:$P$1265,0)&gt;0, "Sim"), "Não")</calculatedColumnFormula>
    </tableColumn>
    <tableColumn id="36" xr3:uid="{1C94DE23-B2FF-4224-91CB-17B401EB6402}" name="Aux2025" dataDxfId="384">
      <calculatedColumnFormula>2025&amp;Tb_Portfólio[[#This Row],[SEI]]</calculatedColumnFormula>
    </tableColumn>
    <tableColumn id="37" xr3:uid="{5F0D0C3D-EFBD-4EBD-B460-3DF09B6D1774}" name="Portfólio 2025" dataDxfId="383">
      <calculatedColumnFormula>IFERROR(IF(MATCH(AL3,Atualizações!$P$1:$P$2994,0)&gt;0, "Sim"), "Não")</calculatedColumnFormula>
    </tableColumn>
    <tableColumn id="42" xr3:uid="{6C2F495E-BC87-4FF7-878D-50B1DAB9F499}" name="Aux2026">
      <calculatedColumnFormula>2026&amp;Tb_Portfólio[[#This Row],[SEI]]</calculatedColumnFormula>
    </tableColumn>
    <tableColumn id="41" xr3:uid="{8B45D729-B953-47C8-BBEB-202104B048F3}" name="Portfólio 2026">
      <calculatedColumnFormula>IFERROR(IF(MATCH(AN3,Atualizações!$P$1:$P$2994,0)&gt;0, "Sim"), "Não")</calculatedColumnFormula>
    </tableColumn>
    <tableColumn id="40" xr3:uid="{33B2368F-0A07-473F-9C71-38049688044A}" name="Observações" dataDxfId="382">
      <calculatedColumnFormula>_xlfn.XLOOKUP(Tb_Portfólio[[#This Row],[SEI]],Tb_Atualizações[PROCESSO SEI],Tb_Atualizações[Explicações],"",0,-1)</calculatedColumnFormula>
    </tableColumn>
    <tableColumn id="43" xr3:uid="{19BDCDE6-7747-49C2-BACC-ED1E8EBE1249}" name="Consultor" dataDxfId="381">
      <calculatedColumnFormula>_xlfn.XLOOKUP(Tb_Portfólio[[#This Row],[SEI]],Tb_Mapa[SEI],Tb_Mapa[CONSULTOR RESPONSÁVEL],"",0,-1)</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C0477C7-5765-4FE8-B205-8D38EB663D47}" name="Tb_Beneficios" displayName="Tb_Beneficios" ref="A1:H115" totalsRowShown="0" headerRowBorderDxfId="379" tableBorderDxfId="380">
  <autoFilter ref="A1:H115" xr:uid="{6C0477C7-5765-4FE8-B205-8D38EB663D47}"/>
  <sortState xmlns:xlrd2="http://schemas.microsoft.com/office/spreadsheetml/2017/richdata2" ref="A2:G110">
    <sortCondition ref="G1:G110"/>
  </sortState>
  <tableColumns count="8">
    <tableColumn id="1" xr3:uid="{65A7D5B4-6A20-45CF-92A4-15EECF7558B3}" name="PROCESSO SEI" dataDxfId="378"/>
    <tableColumn id="2" xr3:uid="{4DB1AF1F-6C8A-4E7A-B597-3F558DD9C63A}" name="PROJETO" dataDxfId="377">
      <calculatedColumnFormula>_xlfn.XLOOKUP(Tb_Beneficios[[#This Row],[PROCESSO SEI]],Tb_Portfólio[SEI],Tb_Portfólio[PROJETO],"",0)</calculatedColumnFormula>
    </tableColumn>
    <tableColumn id="6" xr3:uid="{8DDC9B50-8011-41B8-94F7-123C61A13452}" name="Benefício" dataDxfId="376"/>
    <tableColumn id="7" xr3:uid="{D1A71333-F693-4733-B77F-EA2A75507C85}" name="Descrição" dataDxfId="375"/>
    <tableColumn id="4" xr3:uid="{FDD494E7-F2F9-4FA4-B24B-A0DE6B48DA4B}" name="% EXECUTADO" dataDxfId="374"/>
    <tableColumn id="5" xr3:uid="{EEDBA904-E304-4E10-A9EC-6E35479F75A1}" name="DATA DE ATUALIZAÇÃO" dataDxfId="373"/>
    <tableColumn id="9" xr3:uid="{0958D1BC-E329-4C96-B146-F6575A295AFC}" name="Consultor" dataDxfId="372">
      <calculatedColumnFormula>_xlfn.XLOOKUP(Tb_Beneficios[[#This Row],[PROCESSO SEI]],Tb_Mapa[SEI],Tb_Mapa[CONSULTOR RESPONSÁVEL],"Não encontrado no mapa",0)</calculatedColumnFormula>
    </tableColumn>
    <tableColumn id="3" xr3:uid="{B52AE588-757F-4298-B039-BCB128AD4761}" name="Observações" dataDxfId="37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6F3727-8274-4F6C-B3CE-78E63C995EC2}" name="Tb_Atualizações" displayName="Tb_Atualizações" ref="A1:Q1265" totalsRowShown="0" dataDxfId="306">
  <autoFilter ref="A1:Q1265" xr:uid="{B76F3727-8274-4F6C-B3CE-78E63C995EC2}">
    <filterColumn colId="0">
      <filters>
        <filter val="18150/2025"/>
      </filters>
    </filterColumn>
  </autoFilter>
  <sortState xmlns:xlrd2="http://schemas.microsoft.com/office/spreadsheetml/2017/richdata2" ref="A1148:Q1265">
    <sortCondition ref="F1:F1265"/>
  </sortState>
  <tableColumns count="17">
    <tableColumn id="1" xr3:uid="{8EF685D6-8932-40F7-98E9-EB1A16DC690D}" name="PROCESSO SEI" dataDxfId="305"/>
    <tableColumn id="2" xr3:uid="{5AB5BC29-7470-4635-B4EE-BF04322DCFE0}" name="PROJETO" dataDxfId="304">
      <calculatedColumnFormula>IFERROR(INDEX(Projetos!$B$3:$B$129,MATCH(A2,Projetos!$A$3:$A$129,0))," ")</calculatedColumnFormula>
    </tableColumn>
    <tableColumn id="3" xr3:uid="{4A400F9C-6140-4502-946A-7D6703BECB00}" name="PROJETO2" dataDxfId="303"/>
    <tableColumn id="4" xr3:uid="{D225AF75-C0F1-4A2A-AD24-ECFE8E6D42C1}" name="% PREVISTO" dataDxfId="302" dataCellStyle="Porcentagem"/>
    <tableColumn id="5" xr3:uid="{237AE711-9E62-46D4-8726-ECA814D45007}" name="% EXECUTADO" dataDxfId="301" dataCellStyle="Porcentagem"/>
    <tableColumn id="6" xr3:uid="{3238FA42-3AD9-4238-AF0F-7A758AB49684}" name="DATA DE ATUALIZAÇÃO" dataDxfId="300"/>
    <tableColumn id="7" xr3:uid="{C5A984C5-394A-413B-80EB-F672BA33894C}" name="Mês" dataDxfId="299"/>
    <tableColumn id="8" xr3:uid="{84A89CAC-9D3A-4AB5-BACB-033721A10D8F}" name="AUX" dataDxfId="298">
      <calculatedColumnFormula>A2&amp;G2</calculatedColumnFormula>
    </tableColumn>
    <tableColumn id="9" xr3:uid="{7563B4FA-C3B1-4F37-951F-3A4B75299E99}" name="PREVISÃO DE TÉRMINO" dataDxfId="297">
      <calculatedColumnFormula>IFERROR(INDEX(Projetos!$M$2:$M$129,MATCH(Atualizações!A2,Projetos!$A$2:$A$129,0))," ")</calculatedColumnFormula>
    </tableColumn>
    <tableColumn id="10" xr3:uid="{34585384-3E2A-4A6A-8725-D7D6EC4FCA6B}" name="Explicações" dataDxfId="296"/>
    <tableColumn id="11" xr3:uid="{31D98AAD-E45B-47AF-BB71-2C100859E2EA}" name="Medição de status" dataDxfId="295"/>
    <tableColumn id="12" xr3:uid="{CE90D38B-EB04-4F6D-BD94-17E2721F082C}" name="Situação" dataDxfId="294">
      <calculatedColumnFormula array="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calculatedColumnFormula>
    </tableColumn>
    <tableColumn id="13" xr3:uid="{B83EA062-A583-4C21-8444-F0CDA7947D45}" name="Coluna3" dataDxfId="293"/>
    <tableColumn id="14" xr3:uid="{3E82F12C-6BEC-4C86-8884-7883FFD35D41}" name="Coluna4" dataDxfId="292"/>
    <tableColumn id="15" xr3:uid="{B233399B-9FDE-4938-8926-A19F3BD4ED89}" name="AUXILIAR 2" dataDxfId="291">
      <calculatedColumnFormula>YEAR(F2)</calculatedColumnFormula>
    </tableColumn>
    <tableColumn id="16" xr3:uid="{A97CEBB4-988F-4301-A780-0E5727D82143}" name="AUXILIAR 3" dataDxfId="290">
      <calculatedColumnFormula>O2&amp;A2</calculatedColumnFormula>
    </tableColumn>
    <tableColumn id="17" xr3:uid="{96099E59-C187-46BF-8611-5BACC1EC1EDF}" name="AUXILIAR 4" dataDxfId="28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4F38C5-6B8A-4643-B987-60E7151FB764}" name="Tb_Portfólio11" displayName="Tb_Portfólio11" ref="A2:AQ109" totalsRowShown="0" headerRowDxfId="260" dataDxfId="259" headerRowBorderDxfId="257" tableBorderDxfId="258" totalsRowBorderDxfId="256">
  <autoFilter ref="A2:AQ109" xr:uid="{00000000-0009-0000-0100-000002000000}">
    <filterColumn colId="5">
      <filters>
        <filter val="SEP - Secretaria de Estratégia e Projetos"/>
      </filters>
    </filterColumn>
  </autoFilter>
  <sortState xmlns:xlrd2="http://schemas.microsoft.com/office/spreadsheetml/2017/richdata2" ref="A3:AQ3">
    <sortCondition ref="A2:A103"/>
  </sortState>
  <tableColumns count="43">
    <tableColumn id="1" xr3:uid="{79BC1ECF-3A7B-46D9-B905-F9DF3A3ABF7F}" name="SEI" dataDxfId="254" totalsRowDxfId="255"/>
    <tableColumn id="2" xr3:uid="{D8AAAB07-9EE5-443F-A092-459EC6F3C4F4}" name="PROJETO" dataDxfId="252" totalsRowDxfId="253"/>
    <tableColumn id="3" xr3:uid="{079B0A58-FF15-4AC2-9126-CAE1F9B98A02}" name="OBJETO" dataDxfId="250" totalsRowDxfId="251"/>
    <tableColumn id="4" xr3:uid="{71041E09-3904-4A78-B48E-15D513F1E5FD}" name="OBJETIVO" dataDxfId="248" totalsRowDxfId="249"/>
    <tableColumn id="5" xr3:uid="{D89E8D2A-7D8B-4FDC-94E7-90F0F48C5BE6}" name="Patrocinador" dataDxfId="246" totalsRowDxfId="247"/>
    <tableColumn id="6" xr3:uid="{5E3B105F-4C76-4573-9488-342EF9354E32}" name="UNIDADE PATROCINADORA" dataDxfId="244" totalsRowDxfId="245"/>
    <tableColumn id="7" xr3:uid="{397D3D8C-87D2-49BA-AAA9-579EA0E60740}" name="GERENTE DO PROJETO" dataDxfId="243"/>
    <tableColumn id="8" xr3:uid="{3734220D-1094-4F19-9407-E9C6490E933B}" name="UNIDADE GERENTE DO PROJETO" dataDxfId="242"/>
    <tableColumn id="9" xr3:uid="{108648FD-D5A9-4AAC-B676-FA65F13AE3C3}" name="ALINHAMENTO ESTRATÉGICO" dataDxfId="240" totalsRowDxfId="241"/>
    <tableColumn id="10" xr3:uid="{964CEFE3-48F2-4157-AC6E-17B2B8C6839E}" name="MACRODESAFIO" dataDxfId="238" totalsRowDxfId="239"/>
    <tableColumn id="11" xr3:uid="{AEF1EFF0-62E7-468F-BF9A-EF22AD89E33C}" name="POLÍTICA JUDICIÁRIA" dataDxfId="236" totalsRowDxfId="237"/>
    <tableColumn id="12" xr3:uid="{CEF5F9E3-0499-4678-8087-7CAEFD631962}" name="ÍNICIO DO PROJETO" dataDxfId="234" totalsRowDxfId="235"/>
    <tableColumn id="14" xr3:uid="{FEB04CBF-D3A0-4176-9C51-40BD5F014019}" name="Supervisor" dataDxfId="233"/>
    <tableColumn id="41" xr3:uid="{DFF8169B-4DFD-4D51-B2DA-B3378B448E27}" name="Unidade Gestora (Negocial)" dataDxfId="232"/>
    <tableColumn id="42" xr3:uid="{1C4F150E-2A5D-4C23-96F1-59CD7F4D3ADB}" name="Programa" dataDxfId="231"/>
    <tableColumn id="43" xr3:uid="{5A00E138-B7AB-46D0-BDCF-FF2B1EA3C48F}" name="SEI2" dataDxfId="230"/>
    <tableColumn id="13" xr3:uid="{A96BF539-CC02-4722-9B44-53D74C7932CC}" name="PREVISÃO DE TERMINO" dataDxfId="228" totalsRowDxfId="229"/>
    <tableColumn id="15" xr3:uid="{C6A7D608-9393-4EEF-A1A2-F744CE47D4F7}" name="% EXECUTADO" dataDxfId="226" totalsRowDxfId="227">
      <calculatedColumnFormula>_xlfn.XLOOKUP(Tb_Portfólio11[[#This Row],[SEI]],Tb_Atualizações[PROCESSO SEI],Tb_Atualizações[% EXECUTADO],"",0,-1)</calculatedColumnFormula>
    </tableColumn>
    <tableColumn id="16" xr3:uid="{0B263EDE-5CAF-4863-B8CE-245D75ABF591}" name="MEDIÇÃO DE STATUS" dataDxfId="224" totalsRowDxfId="225">
      <calculatedColumnFormula>IFERROR(Tb_Portfólio11[[#This Row],[% EXECUTADO]]/#REF!,"0%")</calculatedColumnFormula>
    </tableColumn>
    <tableColumn id="17" xr3:uid="{CB70E4B7-9771-4DD9-A65E-A931D819C26E}" name="DATA DE ATUALIZAÇÃO" dataDxfId="222" totalsRowDxfId="223">
      <calculatedColumnFormula>_xlfn.XLOOKUP(Tb_Portfólio11[[#This Row],[SEI]],Tb_Atualizações[PROCESSO SEI],Tb_Atualizações[DATA DE ATUALIZAÇÃO],"",0,-1)</calculatedColumnFormula>
    </tableColumn>
    <tableColumn id="39" xr3:uid="{55BFA3BD-A15E-4FFF-AF01-A9F65BB30248}" name="Dados de" dataDxfId="220" totalsRowDxfId="221">
      <calculatedColumnFormula>_xlfn.XLOOKUP(Tb_Portfólio11[[#This Row],[SEI]],Tb_Atualizações[PROCESSO SEI],Tb_Atualizações[Mês],,0,-1)</calculatedColumnFormula>
    </tableColumn>
    <tableColumn id="18" xr3:uid="{00580804-4CAC-435B-A154-1B2E6A238B20}" name="LINK PARA O PAINEL DO CNJ" dataDxfId="218" totalsRowDxfId="219"/>
    <tableColumn id="19" xr3:uid="{ECC3A882-9C4C-47E4-83EE-1A38C1C38529}" name="Programa2" dataDxfId="216" totalsRowDxfId="217"/>
    <tableColumn id="20" xr3:uid="{710E5963-EAB0-4081-9E71-3422A38ECC86}" name="Situação" dataDxfId="214" totalsRowDxfId="215">
      <calculatedColumnFormula>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calculatedColumnFormula>
    </tableColumn>
    <tableColumn id="21" xr3:uid="{83BCCE13-3641-4E9D-896B-1841C4D6121B}" name="LINK PARA A PÁGINA DO PROJETO" dataDxfId="212" totalsRowDxfId="213" dataCellStyle="Hiperlink"/>
    <tableColumn id="22" xr3:uid="{AB91D28F-9E7A-478B-A753-ECB2CA3D83DF}" name="Status" dataDxfId="210" totalsRowDxfId="211">
      <calculatedColumnFormula>IFERROR(Tb_Portfólio11[[#This Row],[% EXECUTADO]]/#REF!,0)</calculatedColumnFormula>
    </tableColumn>
    <tableColumn id="23" xr3:uid="{BA3EE5F1-2E3B-4C83-BAE4-146A7C4BBA7B}" name="Entregas Previstas" dataDxfId="208" totalsRowDxfId="209"/>
    <tableColumn id="24" xr3:uid="{D50E342E-FC31-4FBF-BA68-641831F40E1D}" name="Orçamento Previsto" dataDxfId="207" dataCellStyle="Moeda"/>
    <tableColumn id="25" xr3:uid="{0D3F0852-2F06-4836-A2F7-D03580E2F49C}" name="Orçamento Executado" dataDxfId="205" totalsRowDxfId="206" dataCellStyle="Moeda"/>
    <tableColumn id="26" xr3:uid="{AB0C37E1-3D11-4C50-8DAD-13BB07B8E228}" name="Link para a página do programa" dataDxfId="203" totalsRowDxfId="204"/>
    <tableColumn id="27" xr3:uid="{A9CC1A25-D95C-4643-A3BE-9FBDB685752D}" name="Supervisor2" dataDxfId="201" totalsRowDxfId="202"/>
    <tableColumn id="38" xr3:uid="{C461671B-C760-4F29-95C8-FE44B411D792}" name="Unidade Gestora (Negocial)2" dataDxfId="199" totalsRowDxfId="200"/>
    <tableColumn id="28" xr3:uid="{2767CDAB-147D-4E27-8BD1-0F0B6E67313E}" name="Capacidade / Benefício Estruturante" dataDxfId="197" totalsRowDxfId="198"/>
    <tableColumn id="30" xr3:uid="{DFDBA6A9-6A45-45BB-A98F-AC0031135EFC}" name="ENTREGAS REALIZADAS" dataDxfId="195" totalsRowDxfId="196"/>
    <tableColumn id="29" xr3:uid="{C27F05FB-3E0E-49C5-818F-F060E5F29DFB}" name="Hoje" dataDxfId="193" totalsRowDxfId="194">
      <calculatedColumnFormula>TODAY()</calculatedColumnFormula>
    </tableColumn>
    <tableColumn id="31" xr3:uid="{B3867C8B-021C-462B-99E7-D0AEDCE4F5E6}" name="GERENTE  INSTITUCIONAL" dataDxfId="192"/>
    <tableColumn id="32" xr3:uid="{532EA8CB-AB89-4CB7-96F1-893426095B22}" name="UNIDADE DO GERENTE INSTITUCIONAL" dataDxfId="191"/>
    <tableColumn id="33" xr3:uid="{A7F6DFB9-DD2B-4AC4-A291-55D17AFEBCCB}" name="Lições Aprendidas " dataDxfId="190"/>
    <tableColumn id="34" xr3:uid="{AB2F342E-3100-424C-BE93-36D8EDA1BEFF}" name="Aux2024" dataDxfId="189">
      <calculatedColumnFormula>2024&amp;Tb_Portfólio11[[#This Row],[SEI]]</calculatedColumnFormula>
    </tableColumn>
    <tableColumn id="35" xr3:uid="{4CF84515-F5BD-476F-BAFD-968A131BCD59}" name="Portfólio 2024" dataDxfId="188">
      <calculatedColumnFormula>IFERROR(IF(MATCH(AM3,Atualizações!$P$1:$P$1265,0)&gt;0, "Sim"), "Não")</calculatedColumnFormula>
    </tableColumn>
    <tableColumn id="36" xr3:uid="{5D450FBF-F036-4609-B339-48DBFD268D34}" name="Aux2025" dataDxfId="187">
      <calculatedColumnFormula>2025&amp;Tb_Portfólio11[[#This Row],[SEI]]</calculatedColumnFormula>
    </tableColumn>
    <tableColumn id="37" xr3:uid="{3F50A0B1-537D-45E3-9C8D-7C4C99C95245}" name="Portfólio 2025" dataDxfId="186">
      <calculatedColumnFormula>IFERROR(IF(MATCH(AO3,Atualizações!$P$1:$P$1265,0)&gt;0, "Sim"), "Não")</calculatedColumnFormula>
    </tableColumn>
    <tableColumn id="40" xr3:uid="{E89091CD-4A98-446C-93D9-7B34BBBD340D}" name="Observações" dataDxfId="185">
      <calculatedColumnFormula>_xlfn.XLOOKUP(Tb_Portfólio11[[#This Row],[SEI]],Tb_Atualizações[PROCESSO SEI],Tb_Atualizações[Explicações],"",0,-1)</calculatedColumnFormula>
    </tableColumn>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0E5537F-47BD-49BA-BDA7-3DDAD8B085A9}" name="Tb_Politicas" displayName="Tb_Politicas" ref="A1:E70" totalsRowShown="0">
  <autoFilter ref="A1:E70" xr:uid="{87DB163D-F5F7-46D5-AFF6-D0D70F23B7D3}"/>
  <tableColumns count="5">
    <tableColumn id="1" xr3:uid="{E2DF81CB-EFB0-4C95-A90D-67B6E02C9AA3}" name="SEI" dataDxfId="184"/>
    <tableColumn id="2" xr3:uid="{8BBE7679-2DED-403E-9701-B72FC3B47A97}" name="Projeto" dataDxfId="183">
      <calculatedColumnFormula>_xlfn.XLOOKUP(Tb_Politicas[[#This Row],[SEI]],Tb_Portfólio[SEI],Tb_Portfólio[PROJETO],"Não cadastrado")</calculatedColumnFormula>
    </tableColumn>
    <tableColumn id="3" xr3:uid="{B893507D-0315-4517-B985-F3469D744BF1}" name="Política Programática" dataDxfId="182"/>
    <tableColumn id="5" xr3:uid="{02350108-2D30-4F7A-B750-D0E7BF905308}" name="Programática?">
      <calculatedColumnFormula>IF(Tb_Politicas[[#This Row],[Política Programática]]="","Não","Sim")</calculatedColumnFormula>
    </tableColumn>
    <tableColumn id="6" xr3:uid="{48B8C9EB-5909-4D49-A254-F6C4D52C7C5D}" name="Qtd">
      <calculatedColumnFormula>IF(Tb_Politicas[[#This Row],[Programática?]]="Sim", 1, 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36053D9-C160-4BC8-BD5F-E4F662A3FFE7}" name="Tabela14" displayName="Tabela14" ref="C4:J22" totalsRowShown="0" headerRowDxfId="181" headerRowBorderDxfId="179" tableBorderDxfId="180" totalsRowBorderDxfId="178">
  <autoFilter ref="C4:J22" xr:uid="{336053D9-C160-4BC8-BD5F-E4F662A3FFE7}"/>
  <tableColumns count="8">
    <tableColumn id="1" xr3:uid="{4F4D5FB7-4EEE-44B0-8030-803188D4AB4D}" name="Objetivos Estratégicos" dataDxfId="177"/>
    <tableColumn id="2" xr3:uid="{3316CFF0-D7E3-4962-8A7B-5B4B92260281}" name="2021" dataDxfId="176"/>
    <tableColumn id="3" xr3:uid="{A8DB73FC-CCB9-42E9-8B06-C759CF7B3C7C}" name="2022" dataDxfId="175"/>
    <tableColumn id="4" xr3:uid="{8EA5DD1A-372E-464B-8863-D23E037F9ED2}" name="2023" dataDxfId="174"/>
    <tableColumn id="5" xr3:uid="{183A00BA-A885-489B-B59A-1E82991799E3}" name="2024" dataDxfId="173"/>
    <tableColumn id="6" xr3:uid="{1096A6FE-5802-4296-A1AC-A0034865C6A0}" name="2025" dataDxfId="172"/>
    <tableColumn id="7" xr3:uid="{1A04AD1C-D981-4A41-9232-7D46496F51CC}" name="2026" dataDxfId="171"/>
    <tableColumn id="8" xr3:uid="{7B8B57D4-D788-4CC6-A3A8-E65CA5D25306}" name="Total" dataDxfId="170">
      <calculatedColumnFormula>SUM(D5:I5)</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ACD3B0-D8CC-430A-85B2-A360F2314D41}" name="Tb_Alinhamento" displayName="Tb_Alinhamento" ref="A1:J480" totalsRowShown="0" headerRowDxfId="165" dataDxfId="164" headerRowBorderDxfId="162" tableBorderDxfId="163">
  <autoFilter ref="A1:J480" xr:uid="{00000000-0009-0000-0100-000004000000}">
    <filterColumn colId="8">
      <filters>
        <filter val="1"/>
      </filters>
    </filterColumn>
  </autoFilter>
  <sortState xmlns:xlrd2="http://schemas.microsoft.com/office/spreadsheetml/2017/richdata2" ref="A19:J466">
    <sortCondition ref="J1:J466"/>
  </sortState>
  <tableColumns count="10">
    <tableColumn id="1" xr3:uid="{B617252D-5B80-4010-9571-F0107BEF0D8B}" name="SEI" dataDxfId="161"/>
    <tableColumn id="2" xr3:uid="{B689DD11-6000-47C9-B263-8C04D1F23C82}" name="PROJETO" dataDxfId="160"/>
    <tableColumn id="3" xr3:uid="{8FBA5CAF-A13D-4D20-938F-489A1CADEF71}" name="ALINHAMENTO ESTRATÉGICO" dataDxfId="159"/>
    <tableColumn id="6" xr3:uid="{5B5F298C-7DAB-44AD-8C91-7F5A605D88D6}" name="AUXILIAR 1" dataDxfId="158">
      <calculatedColumnFormula>$E$1&amp;Tb_Alinhamento[[#This Row],[SEI]]</calculatedColumnFormula>
    </tableColumn>
    <tableColumn id="7" xr3:uid="{0C9D26F1-8F3D-41D2-9806-E1DAA3FF3FB5}" name="2024" dataDxfId="157">
      <calculatedColumnFormula>IFERROR(INDEX(Atualizações!$Q$1:$Q$1265,MATCH(D2,Atualizações!$P$1:$P$1265,0)),"0")</calculatedColumnFormula>
    </tableColumn>
    <tableColumn id="8" xr3:uid="{39F824D9-8F4B-49E5-B055-6F438AF798CD}" name="Auxiliar 2" dataDxfId="156">
      <calculatedColumnFormula>$G$1&amp;Tb_Alinhamento[[#This Row],[SEI]]</calculatedColumnFormula>
    </tableColumn>
    <tableColumn id="9" xr3:uid="{2856DFDE-0406-421D-8588-68034A421C3B}" name="2025" dataDxfId="155">
      <calculatedColumnFormula>IFERROR(INDEX(Atualizações!$Q$1:$Q$1265,MATCH(F2,Atualizações!$P$1:$P$1265,0)),"0")</calculatedColumnFormula>
    </tableColumn>
    <tableColumn id="10" xr3:uid="{7066B34D-8B75-4F46-B878-A14BBEBC5ABC}" name="Auxiliar 3" dataDxfId="154">
      <calculatedColumnFormula>$I$1&amp;Tb_Alinhamento[[#This Row],[SEI]]</calculatedColumnFormula>
    </tableColumn>
    <tableColumn id="11" xr3:uid="{90FBE344-003D-4100-B974-0ADE45CF5EEF}" name="2026" dataDxfId="153">
      <calculatedColumnFormula>IFERROR(INDEX(Atualizações!$Q$1:$Q$1265,MATCH(H2,Atualizações!$P$1:$P$1265,0)),"0")</calculatedColumnFormula>
    </tableColumn>
    <tableColumn id="4" xr3:uid="{5C7126A1-5A59-4419-94E3-F4B4CB943837}" name="Rótulo" dataDxfId="152">
      <calculatedColumnFormula>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C5253E-1DAF-4F29-9F2F-F396C1460395}" name="Tb_Mapa" displayName="Tb_Mapa" ref="B3:AX132" totalsRowCount="1" headerRowDxfId="137" tableBorderDxfId="136">
  <autoFilter ref="B3:AX131" xr:uid="{1CC5253E-1DAF-4F29-9F2F-F396C1460395}">
    <filterColumn colId="2">
      <filters>
        <filter val="Sim"/>
      </filters>
    </filterColumn>
    <filterColumn colId="5">
      <filters>
        <filter val="Raphael"/>
      </filters>
    </filterColumn>
  </autoFilter>
  <sortState xmlns:xlrd2="http://schemas.microsoft.com/office/spreadsheetml/2017/richdata2" ref="B43:AX125">
    <sortCondition descending="1" ref="AO3:AO131"/>
  </sortState>
  <tableColumns count="49">
    <tableColumn id="1" xr3:uid="{2FD79F5F-1C30-4AEC-9B14-78E6DF000293}" name="SEI" totalsRowLabel="Total"/>
    <tableColumn id="36" xr3:uid="{4C9124A8-7993-4CC3-AE12-2A8CCF779D6D}" name="Portfólio 2025?" dataDxfId="135">
      <calculatedColumnFormula>_xlfn.XLOOKUP(Tb_Mapa[[#This Row],[SEI]],Tb_Portfólio[SEI],Tb_Portfólio[Portfólio 2025],"",0)</calculatedColumnFormula>
    </tableColumn>
    <tableColumn id="37" xr3:uid="{CE3C2DE6-6477-48FF-ACB2-9497843610A2}" name="Portfólio 2026?" dataDxfId="134"/>
    <tableColumn id="2" xr3:uid="{7271D105-57AA-4D45-A396-E271A89F4C9B}" name="PROJETO"/>
    <tableColumn id="23" xr3:uid="{57A25741-E8A6-4C3E-9D5A-FF16815CB23A}" name="GERENTE/GESTOR" dataDxfId="132" totalsRowDxfId="133">
      <calculatedColumnFormula>INDEX(Projetos!$G$3:$G$129,MATCH(B4,Projetos!$A$3:$A$129,0))</calculatedColumnFormula>
    </tableColumn>
    <tableColumn id="3" xr3:uid="{DD781340-40B1-4908-BCAB-A1310B176D02}" name="CONSULTOR RESPONSÁVEL"/>
    <tableColumn id="4" xr3:uid="{809F4FD5-0B35-4A40-9045-E49284D5A87B}" name="PROGRAMA"/>
    <tableColumn id="5" xr3:uid="{C5723CF1-232D-4D91-9092-0A9AE2629E78}" name="DATA DE TÉRMINO" dataDxfId="130" totalsRowDxfId="131"/>
    <tableColumn id="6" xr3:uid="{996F17A0-2C74-46B9-B3B7-BA3A692E8971}" name="STATUS"/>
    <tableColumn id="7" xr3:uid="{D36E0F9B-56C5-4012-97A2-A658C45CDB2D}" name="% PREVISTO" dataDxfId="128" totalsRowDxfId="129" dataCellStyle="Porcentagem"/>
    <tableColumn id="8" xr3:uid="{3F09F738-3E32-4A66-83D8-9DAFADCA425D}" name="% EXECUTADO" dataDxfId="126" totalsRowDxfId="127" dataCellStyle="Porcentagem"/>
    <tableColumn id="9" xr3:uid="{FEA4771A-200D-4A90-8347-09017FF9108F}" name="SITUAÇÃO">
      <calculatedColumnFormula>_xlfn.XLOOKUP(Tb_Mapa[[#This Row],[SEI]],Tb_Portfólio[SEI],Tb_Portfólio[Situação],"N/A",0)</calculatedColumnFormula>
    </tableColumn>
    <tableColumn id="10" xr3:uid="{6F71AE19-EA60-4491-9709-C42E13B48153}" name="Jan-23" dataDxfId="124" totalsRowDxfId="125" dataCellStyle="Porcentagem">
      <calculatedColumnFormula array="1">IFERROR(LOOKUP(2,1/(Atualizações!$H$1:$H$486=Mapa!$B4&amp;Mapa!BG$3),Atualizações!$E$1:$E$486),"NÃO")</calculatedColumnFormula>
    </tableColumn>
    <tableColumn id="11" xr3:uid="{26EFD1AA-813E-4FCF-B1D1-B724D9A61514}" name="Jan-24"/>
    <tableColumn id="12" xr3:uid="{1780403B-9A60-4FBD-A4F1-E6BA24CA5854}" name="Feb-24"/>
    <tableColumn id="13" xr3:uid="{38F31773-AB67-46FF-A5A4-70FA9DBE753E}" name="Mar-24"/>
    <tableColumn id="14" xr3:uid="{691ABBCE-258C-4129-8135-3841166A1144}" name="Apr-24"/>
    <tableColumn id="15" xr3:uid="{CD7143A7-32B4-49FE-8D30-4E8DEA300DEC}" name="May-24"/>
    <tableColumn id="16" xr3:uid="{8697E7CD-CBC2-4D50-B976-AECEF5E7D877}" name="Jun-24"/>
    <tableColumn id="17" xr3:uid="{0FD4E7A6-B195-4F99-80FF-97B914EB93D2}" name="Jul-24"/>
    <tableColumn id="18" xr3:uid="{2BDC1764-56F1-4CAA-947C-643E21395DE1}" name="Aug-24"/>
    <tableColumn id="19" xr3:uid="{8182BD62-A7FF-455D-A0FC-3A1124DDF644}" name="Sep-24"/>
    <tableColumn id="20" xr3:uid="{7D74F49E-152E-4F2E-B409-A4D6121F0E39}" name="Oct-24"/>
    <tableColumn id="21" xr3:uid="{D7C16E77-5C4C-4F08-BE8F-6230A1E6E994}" name="Nov-24"/>
    <tableColumn id="22" xr3:uid="{0A56C175-B72E-4B41-BC20-3F660AE7747D}" name="Dec-24" totalsRowFunction="custom" totalsRowDxfId="123">
      <totalsRowFormula>COUNTIF(Tb_Mapa[Dec-24],"Não")</totalsRowFormula>
    </tableColumn>
    <tableColumn id="24" xr3:uid="{8541897F-CDE8-4000-832E-FDB01D282790}" name="jan-25" totalsRowFunction="custom" dataDxfId="121" totalsRowDxfId="122">
      <totalsRowFormula>COUNTIF(Tb_Mapa[jan-25],"Não")</totalsRowFormula>
    </tableColumn>
    <tableColumn id="25" xr3:uid="{BC1EBC17-B1C4-478E-B314-A6F6A283275F}" name="fev/25" totalsRowFunction="custom" dataDxfId="119" totalsRowDxfId="120">
      <totalsRowFormula>COUNTIF(Tb_Mapa[fev/25],"Não")</totalsRowFormula>
    </tableColumn>
    <tableColumn id="26" xr3:uid="{E0F1D443-CDD1-4B64-A2C2-3DD5AEDE247F}" name="mar/25" totalsRowFunction="custom" dataDxfId="117" totalsRowDxfId="118">
      <totalsRowFormula>COUNTIF(Tb_Mapa[mar/25],"Não")</totalsRowFormula>
    </tableColumn>
    <tableColumn id="27" xr3:uid="{64440991-3C08-41D9-B246-CA0D58D95D21}" name="abr/25" totalsRowFunction="custom" dataDxfId="115" totalsRowDxfId="116">
      <totalsRowFormula>COUNTIF(Tb_Mapa[abr/25],"Não")</totalsRowFormula>
    </tableColumn>
    <tableColumn id="28" xr3:uid="{BCCA94E2-3259-4016-93B9-40ACF9761D43}" name="mai/25" totalsRowFunction="custom" dataDxfId="113" totalsRowDxfId="114">
      <totalsRowFormula>COUNTIF(Tb_Mapa[mai/25],"Não")</totalsRowFormula>
    </tableColumn>
    <tableColumn id="29" xr3:uid="{7FC5D8CF-34FC-4571-B97F-5DD9E72F5847}" name="jun/25" totalsRowFunction="custom" dataDxfId="111" totalsRowDxfId="112">
      <totalsRowFormula>COUNTIF(Tb_Mapa[jun/25],"Não")</totalsRowFormula>
    </tableColumn>
    <tableColumn id="30" xr3:uid="{7C9BFB78-A1A2-4D0B-956C-F6A372259D79}" name="jul/25" totalsRowFunction="custom" dataDxfId="109" totalsRowDxfId="110">
      <totalsRowFormula>COUNTIF(Tb_Mapa[jul/25],"Não")</totalsRowFormula>
    </tableColumn>
    <tableColumn id="31" xr3:uid="{29A48C36-DFA3-4AE3-AA91-959A2E6B27E3}" name="ago/25" totalsRowFunction="custom" dataDxfId="107" totalsRowDxfId="108">
      <totalsRowFormula>COUNTIF(Tb_Mapa[ago/25],"Não")</totalsRowFormula>
    </tableColumn>
    <tableColumn id="32" xr3:uid="{10771D2D-577B-43BD-84FB-8837DA5E642A}" name="set/25" totalsRowFunction="custom" dataDxfId="105" totalsRowDxfId="106">
      <totalsRowFormula>COUNTIF(Tb_Mapa[set/25],"Não")</totalsRowFormula>
    </tableColumn>
    <tableColumn id="33" xr3:uid="{548C8C39-63CB-4054-A589-A14A81C565A2}" name="out/25" totalsRowFunction="custom" dataDxfId="103" totalsRowDxfId="104">
      <totalsRowFormula>COUNTIF(Tb_Mapa[out/25],"Não")</totalsRowFormula>
    </tableColumn>
    <tableColumn id="34" xr3:uid="{BE30DEBD-2325-415B-AF18-F46245BC478C}" name="nov/25" totalsRowFunction="custom" dataDxfId="101" totalsRowDxfId="102">
      <totalsRowFormula>COUNTIF(Tb_Mapa[nov/25],"Não")</totalsRowFormula>
    </tableColumn>
    <tableColumn id="35" xr3:uid="{B1F4C79F-DF83-4FEF-A49C-C30746B8189D}" name="dez/25" totalsRowFunction="custom" dataDxfId="99" totalsRowDxfId="100">
      <calculatedColumnFormula array="1">IFERROR(LOOKUP(2,1/(Atualizações!$H$1:$H$1265=Mapa!$B4&amp;Mapa!CE$3),Atualizações!$E$1:$E$2994),"NÃO")</calculatedColumnFormula>
      <totalsRowFormula>COUNTIF(Tb_Mapa[dez/25],"Não")</totalsRowFormula>
    </tableColumn>
    <tableColumn id="38" xr3:uid="{BB31F807-6249-41A8-B330-F714DE2A1B75}" name="jan/26" totalsRowFunction="custom" dataDxfId="97" totalsRowDxfId="98">
      <calculatedColumnFormula array="1">IFERROR(LOOKUP(2,1/(Atualizações!$H$1:$H$2994=Tb_Mapa[[#This Row],[SEI]]&amp;Mapa!CF$3),Atualizações!$E$1:$E$2994),"NÃO")</calculatedColumnFormula>
      <totalsRowFormula>COUNTIF(Tb_Mapa[jan/26],"Não")</totalsRowFormula>
    </tableColumn>
    <tableColumn id="39" xr3:uid="{B80E627B-D2E6-4ECE-9DA0-8EBEC3242950}" name="fev/26" totalsRowFunction="custom" dataDxfId="95" totalsRowDxfId="96">
      <calculatedColumnFormula array="1">IFERROR(LOOKUP(2,1/(Atualizações!$H$1:$H$2994=Tb_Mapa[[#This Row],[SEI]]&amp;Mapa!CG$3),Atualizações!$E$1:$E$2994),"NÃO")</calculatedColumnFormula>
      <totalsRowFormula>COUNTIF(Tb_Mapa[fev/26],"Não")</totalsRowFormula>
    </tableColumn>
    <tableColumn id="40" xr3:uid="{96C60D4D-39F6-4D09-AF72-95F04C73D856}" name="mar/26" totalsRowFunction="custom" dataDxfId="93" totalsRowDxfId="94">
      <calculatedColumnFormula array="1">IFERROR(LOOKUP(2,1/(Atualizações!$H$1:$H$2994=Tb_Mapa[[#This Row],[SEI]]&amp;Mapa!CH$3),Atualizações!$E$1:$E$2994),"NÃO")</calculatedColumnFormula>
      <totalsRowFormula>COUNTIF(Tb_Mapa[mar/26],"Não")</totalsRowFormula>
    </tableColumn>
    <tableColumn id="41" xr3:uid="{200C6B4A-BD74-476D-B86D-402854714C4B}" name="abr/26" totalsRowFunction="custom" dataDxfId="91" totalsRowDxfId="92">
      <calculatedColumnFormula array="1">IFERROR(LOOKUP(2,1/(Atualizações!$H$1:$H$2994=Tb_Mapa[[#This Row],[SEI]]&amp;Mapa!CI$3),Atualizações!$E$1:$E$2994),"NÃO")</calculatedColumnFormula>
      <totalsRowFormula>COUNTIF(Tb_Mapa[abr/26],"Não")</totalsRowFormula>
    </tableColumn>
    <tableColumn id="42" xr3:uid="{4C2395D3-2D2E-4783-86B5-A5B7DBC697A0}" name="mai/26" totalsRowFunction="custom" dataDxfId="89" totalsRowDxfId="90">
      <calculatedColumnFormula array="1">IFERROR(LOOKUP(2,1/(Atualizações!$H$1:$H$2994=Tb_Mapa[[#This Row],[SEI]]&amp;Mapa!CJ$3),Atualizações!$E$1:$E$2994),"NÃO")</calculatedColumnFormula>
      <totalsRowFormula>COUNTIF(Tb_Mapa[mai/26],"Não")</totalsRowFormula>
    </tableColumn>
    <tableColumn id="43" xr3:uid="{576CF573-2623-481F-ABED-EEBBDDD80CB0}" name="jun/26" totalsRowFunction="custom" dataDxfId="87" totalsRowDxfId="88">
      <calculatedColumnFormula array="1">IFERROR(LOOKUP(2,1/(Atualizações!$H$1:$H$2994=Tb_Mapa[[#This Row],[SEI]]&amp;Mapa!CK$3),Atualizações!$E$1:$E$2994),"NÃO")</calculatedColumnFormula>
      <totalsRowFormula>COUNTIF(Tb_Mapa[jun/26],"Não")</totalsRowFormula>
    </tableColumn>
    <tableColumn id="44" xr3:uid="{94FFC929-5519-49B7-B136-942A743A839B}" name="jul/26" totalsRowFunction="custom" dataDxfId="85" totalsRowDxfId="86">
      <calculatedColumnFormula array="1">IFERROR(LOOKUP(2,1/(Atualizações!$H$1:$H$2994=Tb_Mapa[[#This Row],[SEI]]&amp;Mapa!CL$3),Atualizações!$E$1:$E$2994),"NÃO")</calculatedColumnFormula>
      <totalsRowFormula>COUNTIF(Tb_Mapa[jul/26],"Não")</totalsRowFormula>
    </tableColumn>
    <tableColumn id="45" xr3:uid="{DFEC3CF6-444A-4A22-A902-6F67D3945250}" name="ago/26" totalsRowFunction="custom" dataDxfId="83" totalsRowDxfId="84">
      <calculatedColumnFormula array="1">IFERROR(LOOKUP(2,1/(Atualizações!$H$1:$H$2994=Tb_Mapa[[#This Row],[SEI]]&amp;Mapa!CM$3),Atualizações!$E$1:$E$2994),"NÃO")</calculatedColumnFormula>
      <totalsRowFormula>COUNTIF(Tb_Mapa[ago/26],"Não")</totalsRowFormula>
    </tableColumn>
    <tableColumn id="46" xr3:uid="{0B2AFC17-1ACD-4048-B34E-B3F3DF317333}" name="set/26" totalsRowFunction="custom" dataDxfId="81" totalsRowDxfId="82">
      <calculatedColumnFormula array="1">IFERROR(LOOKUP(2,1/(Atualizações!$H$1:$H$2994=Tb_Mapa[[#This Row],[SEI]]&amp;Mapa!CN$3),Atualizações!$E$1:$E$2994),"NÃO")</calculatedColumnFormula>
      <totalsRowFormula>COUNTIF(Tb_Mapa[set/26],"Não")</totalsRowFormula>
    </tableColumn>
    <tableColumn id="47" xr3:uid="{E10F62EF-487C-4C11-BC47-FFBE5ACF1CCD}" name="out/26" totalsRowFunction="custom" dataDxfId="79" totalsRowDxfId="80">
      <calculatedColumnFormula array="1">IFERROR(LOOKUP(2,1/(Atualizações!$H$1:$H$2994=Tb_Mapa[[#This Row],[SEI]]&amp;Mapa!CO$3),Atualizações!$E$1:$E$2994),"NÃO")</calculatedColumnFormula>
      <totalsRowFormula>COUNTIF(Tb_Mapa[out/26],"Não")</totalsRowFormula>
    </tableColumn>
    <tableColumn id="48" xr3:uid="{B36CA459-CEA7-4EED-A81E-3F9531E61538}" name="nov/26" totalsRowFunction="custom" dataDxfId="77" totalsRowDxfId="78">
      <calculatedColumnFormula array="1">IFERROR(LOOKUP(2,1/(Atualizações!$H$1:$H$2994=Tb_Mapa[[#This Row],[SEI]]&amp;Mapa!CP$3),Atualizações!$E$1:$E$2994),"NÃO")</calculatedColumnFormula>
      <totalsRowFormula>COUNTIF(Tb_Mapa[nov/26],"Não")</totalsRowFormula>
    </tableColumn>
    <tableColumn id="49" xr3:uid="{E06E4943-FB12-422E-B9DB-6DA769470813}" name="dez/26" totalsRowFunction="custom" dataDxfId="75" totalsRowDxfId="76">
      <calculatedColumnFormula array="1">IFERROR(LOOKUP(2,1/(Atualizações!$H$1:$H$2994=Tb_Mapa[[#This Row],[SEI]]&amp;Mapa!CQ$3),Atualizações!$E$1:$E$2994),"NÃO")</calculatedColumnFormula>
      <totalsRowFormula>COUNTIF(Tb_Mapa[dez/26],"Não")</totalsRow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5CBB5D-2B86-4BAA-ACD8-3D474E9A9393}" name="Tb_Entregas" displayName="Tb_Entregas" ref="A1:J469" totalsRowShown="0" headerRowDxfId="60" dataDxfId="59">
  <autoFilter ref="A1:J469" xr:uid="{2D5CBB5D-2B86-4BAA-ACD8-3D474E9A9393}">
    <filterColumn colId="8">
      <filters>
        <filter val="Igor"/>
        <filter val="Igor/Finalizado"/>
      </filters>
    </filterColumn>
  </autoFilter>
  <tableColumns count="10">
    <tableColumn id="1" xr3:uid="{BD4DE15B-F109-4414-A37E-2B73F012D21C}" name="SEI" dataDxfId="58"/>
    <tableColumn id="2" xr3:uid="{F395DCAA-6739-4312-A3CF-95CAAB8F2A72}" name="Projeto" dataDxfId="57">
      <calculatedColumnFormula>_xlfn.XLOOKUP(Tb_Entregas[[#This Row],[SEI]],Tb_Portfólio[SEI],Tb_Portfólio[PROJETO],"",0)</calculatedColumnFormula>
    </tableColumn>
    <tableColumn id="3" xr3:uid="{F6D0AB32-78F6-4F17-9ADB-839F7C3B3CBF}" name="Entregas de Valor" dataDxfId="56"/>
    <tableColumn id="7" xr3:uid="{59CEEA4E-BF5F-4E48-9B14-1DE1FAAEA9BC}" name="Data prevista" dataDxfId="55"/>
    <tableColumn id="6" xr3:uid="{F4C986C0-E261-40ED-8FAD-B2D45150AACA}" name="Data realizada" dataDxfId="54"/>
    <tableColumn id="9" xr3:uid="{DB25896E-78B6-4A1E-847B-174E8858191A}" name="% Execução" dataDxfId="53" dataCellStyle="Porcentagem"/>
    <tableColumn id="10" xr3:uid="{6D7614C8-70D1-4FBB-902C-B0FF5A686D49}" name="Valor orçado" dataDxfId="52"/>
    <tableColumn id="11" xr3:uid="{C9D0152A-31DB-4D44-808E-43C3FEB79556}" name="Valor pago" dataDxfId="51"/>
    <tableColumn id="4" xr3:uid="{74E2675C-D9D5-4962-ACB0-9DAFDC0B2C6A}" name="Consultor" dataDxfId="50"/>
    <tableColumn id="5" xr3:uid="{15F9D74D-26D2-4F41-862F-F6BCC44AD4B2}" name="Observação" dataDxfId="4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3" displayName="Tabela3" ref="A1:C49" totalsRowShown="0" headerRowDxfId="48" headerRowBorderDxfId="46" tableBorderDxfId="47">
  <autoFilter ref="A1:C49" xr:uid="{00000000-0009-0000-0100-000003000000}"/>
  <tableColumns count="3">
    <tableColumn id="1" xr3:uid="{00000000-0010-0000-0100-000001000000}" name="PROJETO" dataDxfId="45"/>
    <tableColumn id="2" xr3:uid="{00000000-0010-0000-0100-000002000000}" name="Entregas realizadas"/>
    <tableColumn id="3" xr3:uid="{00000000-0010-0000-0100-000003000000}" name="Entregas prevista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Projeto_Objetivo" displayName="Projeto_Objetivo" ref="A1:I176" totalsRowShown="0" headerRowDxfId="42" dataDxfId="41" headerRowBorderDxfId="39" tableBorderDxfId="40">
  <autoFilter ref="A1:I176" xr:uid="{00000000-0009-0000-0100-000004000000}"/>
  <tableColumns count="9">
    <tableColumn id="1" xr3:uid="{00000000-0010-0000-0200-000001000000}" name="SEI" dataDxfId="38"/>
    <tableColumn id="2" xr3:uid="{00000000-0010-0000-0200-000002000000}" name="PROJETO" dataDxfId="37"/>
    <tableColumn id="3" xr3:uid="{00000000-0010-0000-0200-000003000000}" name="ALINHAMENTO ESTRATÉGICO" dataDxfId="36"/>
    <tableColumn id="4" xr3:uid="{96DFD481-6092-438C-8643-900DDA0AB6B7}" name="Status" dataDxfId="35">
      <calculatedColumnFormula>IFERROR(INDEX(Projetos!$Q$3:$Q$129,MATCH(Projeto_Objetivo[[#This Row],[SEI]],Projetos!$A$3:$A$129,0))," ")</calculatedColumnFormula>
    </tableColumn>
    <tableColumn id="5" xr3:uid="{DA916624-4928-49F5-B778-823E85E6D9CF}" name="ano" dataDxfId="34">
      <calculatedColumnFormula>YEAR(Projeto_Objetivo[[#This Row],[Status]])</calculatedColumnFormula>
    </tableColumn>
    <tableColumn id="6" xr3:uid="{66F1CEC7-06B3-4764-8E78-0677F2A813F2}" name="AUXILIAR 1" dataDxfId="33">
      <calculatedColumnFormula>$G$1&amp;Projeto_Objetivo[[#This Row],[SEI]]</calculatedColumnFormula>
    </tableColumn>
    <tableColumn id="7" xr3:uid="{25B12132-6686-432E-9B7A-AA0F8464DBD7}" name="2024" dataDxfId="32">
      <calculatedColumnFormula>IFERROR(INDEX(Atualizações!$Q$1:$Q$1265,MATCH(F2,Atualizações!$P$1:$P$1265,0)),"0")</calculatedColumnFormula>
    </tableColumn>
    <tableColumn id="8" xr3:uid="{FC1FC321-33D8-4E71-9AAB-85B6F685CEE8}" name="Auxiliar 2" dataDxfId="31">
      <calculatedColumnFormula>$I$1&amp;Projeto_Objetivo[[#This Row],[SEI]]</calculatedColumnFormula>
    </tableColumn>
    <tableColumn id="9" xr3:uid="{C9F8C797-1817-4D18-9B7D-3F9A049480A5}" name="2025" dataDxfId="30">
      <calculatedColumnFormula>IFERROR(INDEX(Atualizações!$Q$1:$Q$1265,MATCH(H2,Atualizações!$P$1:$P$1265,0)),"0")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F92B19-5AB9-42F7-BBA2-3135A8502979}" name="TB_ObjetivosEstrat" displayName="TB_ObjetivosEstrat" ref="F1:G19" totalsRowShown="0" headerRowDxfId="29" dataDxfId="28">
  <autoFilter ref="F1:G19" xr:uid="{4DF92B19-5AB9-42F7-BBA2-3135A8502979}"/>
  <tableColumns count="2">
    <tableColumn id="1" xr3:uid="{229ED03C-06D1-4FCD-8739-C14D6328DAFF}" name="Objetivos Estratégicos do CNJ" dataDxfId="27"/>
    <tableColumn id="2" xr3:uid="{EA2F2FC9-D00A-4595-B74E-E33B6DFA27E6}" name="Rótulo" dataDxfId="2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Projeto_e_Macro" displayName="Projeto_e_Macro" ref="A1:G166" totalsRowShown="0" headerRowDxfId="23" dataDxfId="22" headerRowBorderDxfId="20" tableBorderDxfId="21">
  <autoFilter ref="A1:G166" xr:uid="{00000000-0009-0000-0100-000001000000}"/>
  <tableColumns count="7">
    <tableColumn id="1" xr3:uid="{00000000-0010-0000-0300-000001000000}" name="SEI" dataDxfId="19"/>
    <tableColumn id="2" xr3:uid="{00000000-0010-0000-0300-000002000000}" name="PROJETO" dataDxfId="18"/>
    <tableColumn id="3" xr3:uid="{00000000-0010-0000-0300-000003000000}" name="MACRODESAFIO" dataDxfId="17"/>
    <tableColumn id="4" xr3:uid="{983F4EAB-7CF3-46E2-92DC-31BCCF6C9257}" name="AUXILIAR 1" dataDxfId="16">
      <calculatedColumnFormula>$E$1&amp;Projeto_e_Macro[[#This Row],[SEI]]</calculatedColumnFormula>
    </tableColumn>
    <tableColumn id="5" xr3:uid="{FAB72D53-7A08-4A9B-82C9-A492E5E84500}" name="2024" dataDxfId="15">
      <calculatedColumnFormula>IFERROR(INDEX(Atualizações!$Q$1:$Q$1265,MATCH(Projeto_e_Macro[[#This Row],[AUXILIAR 1]],Atualizações!$P$1:$P$1265,0)),"0")</calculatedColumnFormula>
    </tableColumn>
    <tableColumn id="6" xr3:uid="{CF19457A-808E-4E32-80C0-B74A290B2657}" name="Auxiliar 2" dataDxfId="14">
      <calculatedColumnFormula>$G$1&amp;Projeto_e_Macro[[#This Row],[SEI]]</calculatedColumnFormula>
    </tableColumn>
    <tableColumn id="7" xr3:uid="{7C05CFF6-07F8-48B3-86C0-70D15AE52D04}" name="2025" dataDxfId="13">
      <calculatedColumnFormula>IFERROR(INDEX(Atualizações!$Q$1:$Q$1265,MATCH(Projeto_e_Macro[[#This Row],[Auxiliar 2]],Atualizações!$P$1:$P$1265,0)),"0")</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3536CC-D8AB-4422-BB8F-0406C9D5C901}" name="Tb_Macro" displayName="Tb_Macro" ref="F1:G13" totalsRowShown="0">
  <autoFilter ref="F1:G13" xr:uid="{6B3536CC-D8AB-4422-BB8F-0406C9D5C901}"/>
  <tableColumns count="2">
    <tableColumn id="1" xr3:uid="{29E9D098-DD38-41CF-8368-299E37C1D3F4}" name="Alinhamento Estratégia Nacional  do Poder Judiciário 2021 a 2026:" dataDxfId="12"/>
    <tableColumn id="2" xr3:uid="{2BCBF6C4-0408-41E8-8BE1-73CF8F10CC77}" name="Rótulo"/>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676554D-87A4-4D62-B3E4-182844DDA22E}" name="Tabela16" displayName="Tabela16" ref="A2:R92" totalsRowShown="0" headerRowDxfId="11">
  <autoFilter ref="A2:R92" xr:uid="{45817B8C-4671-4002-B22A-855F9F147C8F}">
    <filterColumn colId="6">
      <filters>
        <filter val="Previdência e Saúde"/>
        <filter val="Previdenciário"/>
        <filter val="Previdênciário e Saúde"/>
      </filters>
    </filterColumn>
  </autoFilter>
  <sortState xmlns:xlrd2="http://schemas.microsoft.com/office/spreadsheetml/2017/richdata2" ref="A3:O78">
    <sortCondition ref="D2:D78"/>
  </sortState>
  <tableColumns count="18">
    <tableColumn id="6" xr3:uid="{4385393B-C70B-4B78-92CC-5EF9CB03EA9B}" name="Área Patrocinadora" dataDxfId="10"/>
    <tableColumn id="1" xr3:uid="{0574BF6E-BFD3-48C6-9218-0EBFB0490CF2}" name="SEI" dataDxfId="9"/>
    <tableColumn id="2" xr3:uid="{5BE09CE9-F8C9-4EA1-B04E-AB5F9229D572}" name="Consultor" dataDxfId="8">
      <calculatedColumnFormula>_xlfn.XLOOKUP(B3,Tb_Portfólio[SEI],Tb_Portfólio[Consultor],"Não cadastrado")</calculatedColumnFormula>
    </tableColumn>
    <tableColumn id="3" xr3:uid="{2DB0202D-2BB3-464B-9BA6-77C31659AF40}" name="Projeto" dataDxfId="7">
      <calculatedColumnFormula>_xlfn.XLOOKUP(B3,Tb_Portfólio[SEI],Tb_Portfólio[PROJETO],"Não cadastrado")</calculatedColumnFormula>
    </tableColumn>
    <tableColumn id="4" xr3:uid="{D30684A0-6572-473A-B47D-72E11E3AA3FF}" name="Objeto" dataDxfId="6"/>
    <tableColumn id="5" xr3:uid="{56BDDF76-67F6-49BF-B6D7-A6755446CD39}" name="Eixo" dataDxfId="5"/>
    <tableColumn id="7" xr3:uid="{79EC8AAC-6EDD-49AC-BA96-93A9946D3AD1}" name="TEMÁTICA" dataDxfId="4"/>
    <tableColumn id="8" xr3:uid="{AB71807A-6D89-4AE6-8724-F89A4BF0C375}" name="Juiz auxiliar" dataDxfId="3"/>
    <tableColumn id="9" xr3:uid="{B2BE0993-8F30-479D-9A4A-493FC1B85B8C}" name="Previsão de Término" dataDxfId="2" dataCellStyle="Porcentagem"/>
    <tableColumn id="10" xr3:uid="{6D492F22-9001-42F2-80AB-68F4CCA12972}" name="Percentual de Execução"/>
    <tableColumn id="11" xr3:uid="{5DD9CDDB-615C-499D-80D2-E464071EC284}" name="Situação"/>
    <tableColumn id="12" xr3:uid="{E76B53F6-3741-45AB-BB7A-8F543727B4D1}" name="Avanço até o momento"/>
    <tableColumn id="13" xr3:uid="{C73B4753-FB07-45A8-AEEA-75130C7AAD65}" name="Entregas no último mês"/>
    <tableColumn id="14" xr3:uid="{68D15E89-77F3-4174-9E0F-20740DF24685}" name="Próximos passos"/>
    <tableColumn id="15" xr3:uid="{4A461BCE-42D2-48B7-870F-F057B57D643D}" name="Observações"/>
    <tableColumn id="16" xr3:uid="{725D7FBC-BBCD-4CC1-A634-35EAD3DD34B3}" name="Mês de referência"/>
    <tableColumn id="17" xr3:uid="{FF5F6487-0452-4A6D-8510-109CDF4CC1F3}" name="Mês de coleta"/>
    <tableColumn id="18" xr3:uid="{13BC5F16-9CDD-4E62-A2DB-3D9FEF86D1B7}" name="Formalizado?"/>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80A0293-CD4A-4E63-8F39-D716355CED31}" name="Tb_Mag" displayName="Tb_Mag" ref="A1:C82" totalsRowShown="0">
  <autoFilter ref="A1:C82" xr:uid="{90CA9E5D-FD19-46B1-B59A-3BB67587D368}"/>
  <tableColumns count="3">
    <tableColumn id="1" xr3:uid="{508F074C-400C-4CE2-AF82-09C3FEA2BC05}" name="Projeto" dataDxfId="1"/>
    <tableColumn id="2" xr3:uid="{57673E9B-5B78-47D0-90B7-5F64412F16CC}" name="EixoTemaMag"/>
    <tableColumn id="4" xr3:uid="{372DE380-F479-4EAB-B9C7-444C842BFB55}" name="Classificação"/>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0CA9E5D-FD19-46B1-B59A-3BB67587D368}" name="Tb_Eixo" displayName="Tb_Eixo" ref="A1:C72" totalsRowShown="0">
  <autoFilter ref="A1:C72" xr:uid="{90CA9E5D-FD19-46B1-B59A-3BB67587D368}"/>
  <tableColumns count="3">
    <tableColumn id="1" xr3:uid="{EEEC1288-7693-4B85-8606-A4DA382B7543}" name="Projeto" dataDxfId="0"/>
    <tableColumn id="2" xr3:uid="{79DE9BD4-373F-4ED8-9B0B-E15FEAAF7E34}" name="EixoTemaMag"/>
    <tableColumn id="4" xr3:uid="{73A781A2-F900-4BDF-82C8-0150A7730741}" name="Classificaçã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0" dT="2024-10-04T19:31:14.35" personId="{A6CE6FFF-C22F-479B-BAD1-6F24EA080F3F}" id="{16D85D61-B445-418B-9914-F88DF34B5246}">
    <text>O projeto PDPJ-BR Compliance teve o nome alterado para PDPJ-BR Conecta. (04/10/2024)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B36" dT="2024-10-04T19:31:14.35" personId="{A6CE6FFF-C22F-479B-BAD1-6F24EA080F3F}" id="{E303AD52-F51F-4536-8879-577AEEA11CF8}">
    <text>O projeto PDPJ-BR Compliance teve o nome alterado para PDPJ-BR Conecta. (04/10/2024)</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atos.cnj.jus.br/atos/detalhar/4712" TargetMode="External"/><Relationship Id="rId13" Type="http://schemas.openxmlformats.org/officeDocument/2006/relationships/table" Target="../tables/table2.xml"/><Relationship Id="rId3" Type="http://schemas.openxmlformats.org/officeDocument/2006/relationships/hyperlink" Target="https://atos.cnj.jus.br/atos/detalhar/98" TargetMode="External"/><Relationship Id="rId7" Type="http://schemas.openxmlformats.org/officeDocument/2006/relationships/hyperlink" Target="https://www.cnj.jus.br/sistema-carcerario/fazendo-justica/" TargetMode="External"/><Relationship Id="rId12" Type="http://schemas.openxmlformats.org/officeDocument/2006/relationships/vmlDrawing" Target="../drawings/vmlDrawing1.vml"/><Relationship Id="rId2" Type="http://schemas.openxmlformats.org/officeDocument/2006/relationships/hyperlink" Target="https://www.cnj.jus.br/tecnologia-da-informacao-e-comunicacao/justica-4-0/domicilio-judicial-eletronico/" TargetMode="External"/><Relationship Id="rId1" Type="http://schemas.openxmlformats.org/officeDocument/2006/relationships/hyperlink" Target="https://www.cnj.jus.br/tecnologia-da-informacao-e-comunicacao/justica-4-0/sniper/" TargetMode="External"/><Relationship Id="rId6" Type="http://schemas.openxmlformats.org/officeDocument/2006/relationships/hyperlink" Target="https://www.cnj.jus.br/programas-e-acoes/direitos-humanos/pacto-nacional-do-judiciario-pela-equidade-racial/" TargetMode="External"/><Relationship Id="rId11" Type="http://schemas.openxmlformats.org/officeDocument/2006/relationships/printerSettings" Target="../printerSettings/printerSettings2.bin"/><Relationship Id="rId5" Type="http://schemas.openxmlformats.org/officeDocument/2006/relationships/hyperlink" Target="https://www.cnj.jus.br/programas-e-acoes/direitos-humanos/pacto-nacional-do-judiciario-pela-equidade-racial/" TargetMode="External"/><Relationship Id="rId15" Type="http://schemas.microsoft.com/office/2017/10/relationships/threadedComment" Target="../threadedComments/threadedComment1.xml"/><Relationship Id="rId10" Type="http://schemas.openxmlformats.org/officeDocument/2006/relationships/hyperlink" Target="https://atos.cnj.jus.br/atos/detalhar/3365" TargetMode="External"/><Relationship Id="rId4" Type="http://schemas.openxmlformats.org/officeDocument/2006/relationships/hyperlink" Target="https://app.powerbi.com/view?r=eyJrIjoiMjA5YmQwMjYtY2QwYy00YmYzLThmYmEtODg5YmUxZjJhNDg4IiwidCI6ImFkOTE5MGU2LWM0NWQtNDYwMC1iYzVjLWVjYTU1NGNjZjQ5NyIsImMiOjJ9" TargetMode="External"/><Relationship Id="rId9" Type="http://schemas.openxmlformats.org/officeDocument/2006/relationships/hyperlink" Target="https://atos.cnj.jus.br/atos/detalhar/156" TargetMode="External"/><Relationship Id="rId1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justica-em-numeros.cnj.jus.br/painel-juri/"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cnj.jus.br/programas-e-acoes/direitos-humanos/pacto-nacional-do-judiciario-pela-equidade-racial/" TargetMode="External"/><Relationship Id="rId13" Type="http://schemas.microsoft.com/office/2017/10/relationships/threadedComment" Target="../threadedComments/threadedComment2.xml"/><Relationship Id="rId3" Type="http://schemas.openxmlformats.org/officeDocument/2006/relationships/hyperlink" Target="https://atos.cnj.jus.br/atos/detalhar/156" TargetMode="External"/><Relationship Id="rId7" Type="http://schemas.openxmlformats.org/officeDocument/2006/relationships/hyperlink" Target="https://www.cnj.jus.br/programas-e-acoes/direitos-humanos/pacto-nacional-do-judiciario-pela-equidade-racial/" TargetMode="External"/><Relationship Id="rId12" Type="http://schemas.openxmlformats.org/officeDocument/2006/relationships/comments" Target="../comments2.xml"/><Relationship Id="rId2" Type="http://schemas.openxmlformats.org/officeDocument/2006/relationships/hyperlink" Target="https://www.cnj.jus.br/tecnologia-da-informacao-e-comunicacao/justica-4-0/domicilio-judicial-eletronico/" TargetMode="External"/><Relationship Id="rId1" Type="http://schemas.openxmlformats.org/officeDocument/2006/relationships/hyperlink" Target="https://www.cnj.jus.br/tecnologia-da-informacao-e-comunicacao/justica-4-0/sniper/" TargetMode="External"/><Relationship Id="rId6" Type="http://schemas.openxmlformats.org/officeDocument/2006/relationships/hyperlink" Target="https://atos.cnj.jus.br/atos/detalhar/3365" TargetMode="External"/><Relationship Id="rId11" Type="http://schemas.openxmlformats.org/officeDocument/2006/relationships/table" Target="../tables/table5.xml"/><Relationship Id="rId5" Type="http://schemas.openxmlformats.org/officeDocument/2006/relationships/hyperlink" Target="https://app.powerbi.com/view?r=eyJrIjoiMjA5YmQwMjYtY2QwYy00YmYzLThmYmEtODg5YmUxZjJhNDg4IiwidCI6ImFkOTE5MGU2LWM0NWQtNDYwMC1iYzVjLWVjYTU1NGNjZjQ5NyIsImMiOjJ9" TargetMode="External"/><Relationship Id="rId10" Type="http://schemas.openxmlformats.org/officeDocument/2006/relationships/vmlDrawing" Target="../drawings/vmlDrawing2.vml"/><Relationship Id="rId4" Type="http://schemas.openxmlformats.org/officeDocument/2006/relationships/hyperlink" Target="https://atos.cnj.jus.br/atos/detalhar/98" TargetMode="External"/><Relationship Id="rId9"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543A-F39E-4316-BAFB-0345A336222D}">
  <sheetPr>
    <tabColor rgb="FFFF0000"/>
  </sheetPr>
  <dimension ref="A1:AN3"/>
  <sheetViews>
    <sheetView workbookViewId="0">
      <selection activeCell="B11" sqref="B11"/>
    </sheetView>
  </sheetViews>
  <sheetFormatPr defaultColWidth="9.140625" defaultRowHeight="15"/>
  <cols>
    <col min="1" max="1" width="14.5703125" style="151" bestFit="1" customWidth="1"/>
    <col min="2" max="2" width="44.42578125" style="139" customWidth="1"/>
    <col min="3" max="3" width="62.5703125" style="79" customWidth="1"/>
    <col min="4" max="4" width="57.5703125" style="79" customWidth="1"/>
    <col min="5" max="5" width="43.5703125" style="79" customWidth="1"/>
    <col min="6" max="6" width="46.42578125" style="79" customWidth="1"/>
    <col min="7" max="7" width="31.5703125" style="79" customWidth="1"/>
    <col min="8" max="8" width="29.85546875" style="19" customWidth="1"/>
    <col min="9" max="9" width="46.42578125" style="79" customWidth="1"/>
    <col min="10" max="10" width="36.140625" style="79" customWidth="1"/>
    <col min="11" max="11" width="38.5703125" style="79" customWidth="1"/>
    <col min="12" max="12" width="30.42578125" style="79" customWidth="1"/>
    <col min="13" max="13" width="23.5703125" style="152" customWidth="1"/>
    <col min="14" max="14" width="18.5703125" style="79" customWidth="1"/>
    <col min="15" max="15" width="19.5703125" style="79" customWidth="1"/>
    <col min="16" max="16" width="26.5703125" style="79" customWidth="1"/>
    <col min="17" max="18" width="29.42578125" style="79" customWidth="1"/>
    <col min="19" max="19" width="42.5703125" style="79" customWidth="1"/>
    <col min="20" max="20" width="9.140625" style="79" customWidth="1"/>
    <col min="21" max="21" width="19.42578125" style="153" customWidth="1"/>
    <col min="22" max="22" width="42.42578125" style="79" customWidth="1"/>
    <col min="23" max="23" width="11.42578125" style="19" customWidth="1"/>
    <col min="24" max="24" width="51" style="79" customWidth="1"/>
    <col min="25" max="25" width="54.5703125" style="79" customWidth="1"/>
    <col min="26" max="26" width="27.5703125" style="79" customWidth="1"/>
    <col min="27" max="27" width="65.85546875" style="79" customWidth="1"/>
    <col min="28" max="29" width="31.42578125" style="79" customWidth="1"/>
    <col min="30" max="30" width="63.85546875" style="79" customWidth="1"/>
    <col min="31" max="31" width="54.85546875" style="79" customWidth="1"/>
    <col min="32" max="32" width="15.42578125" style="19" customWidth="1"/>
    <col min="33" max="33" width="35.42578125" style="79" customWidth="1"/>
    <col min="34" max="34" width="40.42578125" style="79" customWidth="1"/>
    <col min="35" max="35" width="18.85546875" style="79" customWidth="1"/>
    <col min="36" max="36" width="14.42578125" style="79" customWidth="1"/>
    <col min="37" max="38" width="22.5703125" style="79" customWidth="1"/>
    <col min="39" max="39" width="28.140625" style="79" customWidth="1"/>
    <col min="40" max="40" width="10.5703125" style="79" customWidth="1"/>
    <col min="41" max="16384" width="9.140625" style="79"/>
  </cols>
  <sheetData>
    <row r="1" spans="1:40" ht="33">
      <c r="A1" s="716" t="s">
        <v>0</v>
      </c>
      <c r="B1" s="716"/>
      <c r="C1" s="716"/>
      <c r="D1" s="716"/>
      <c r="E1" s="716"/>
      <c r="F1" s="716"/>
      <c r="G1" s="716"/>
      <c r="H1" s="716"/>
      <c r="I1" s="716"/>
      <c r="J1" s="716"/>
      <c r="K1" s="716"/>
      <c r="L1" s="716"/>
      <c r="M1" s="717"/>
      <c r="N1" s="716"/>
      <c r="O1" s="716"/>
      <c r="P1" s="716"/>
      <c r="Q1" s="716"/>
      <c r="R1" s="716"/>
      <c r="S1" s="716"/>
      <c r="T1" s="716"/>
      <c r="U1" s="716"/>
      <c r="V1" s="716"/>
      <c r="W1" s="716"/>
      <c r="X1" s="716"/>
      <c r="Y1" s="716"/>
      <c r="Z1" s="716"/>
      <c r="AA1" s="716"/>
      <c r="AB1" s="1"/>
      <c r="AC1" s="1"/>
      <c r="AN1" s="145">
        <f ca="1">TODAY()</f>
        <v>46176</v>
      </c>
    </row>
    <row r="2" spans="1:40" s="154" customFormat="1" ht="40.5">
      <c r="A2" s="227" t="s">
        <v>1</v>
      </c>
      <c r="B2" s="228" t="s">
        <v>2</v>
      </c>
      <c r="C2" s="228" t="s">
        <v>3</v>
      </c>
      <c r="D2" s="228" t="s">
        <v>4</v>
      </c>
      <c r="E2" s="228" t="s">
        <v>5</v>
      </c>
      <c r="F2" s="228" t="s">
        <v>6</v>
      </c>
      <c r="G2" s="228" t="s">
        <v>7</v>
      </c>
      <c r="H2" s="228" t="s">
        <v>8</v>
      </c>
      <c r="I2" s="228" t="s">
        <v>9</v>
      </c>
      <c r="J2" s="228" t="s">
        <v>10</v>
      </c>
      <c r="K2" s="228" t="s">
        <v>11</v>
      </c>
      <c r="L2" s="228" t="s">
        <v>12</v>
      </c>
      <c r="M2" s="229" t="s">
        <v>13</v>
      </c>
      <c r="N2" s="228" t="s">
        <v>14</v>
      </c>
      <c r="O2" s="228" t="s">
        <v>15</v>
      </c>
      <c r="P2" s="228" t="s">
        <v>16</v>
      </c>
      <c r="Q2" s="228" t="s">
        <v>17</v>
      </c>
      <c r="R2" s="228" t="s">
        <v>18</v>
      </c>
      <c r="S2" s="228" t="s">
        <v>19</v>
      </c>
      <c r="T2" s="228" t="s">
        <v>20</v>
      </c>
      <c r="U2" s="228" t="s">
        <v>21</v>
      </c>
      <c r="V2" s="228" t="s">
        <v>22</v>
      </c>
      <c r="W2" s="228" t="s">
        <v>23</v>
      </c>
      <c r="X2" s="228" t="s">
        <v>24</v>
      </c>
      <c r="Y2" s="228" t="s">
        <v>25</v>
      </c>
      <c r="Z2" s="228" t="s">
        <v>26</v>
      </c>
      <c r="AA2" s="228" t="s">
        <v>27</v>
      </c>
      <c r="AB2" s="228" t="s">
        <v>28</v>
      </c>
      <c r="AC2" s="230" t="s">
        <v>29</v>
      </c>
      <c r="AD2" s="230" t="s">
        <v>30</v>
      </c>
      <c r="AE2" s="231" t="s">
        <v>31</v>
      </c>
      <c r="AF2" s="231" t="s">
        <v>32</v>
      </c>
      <c r="AG2" s="231" t="s">
        <v>33</v>
      </c>
      <c r="AH2" s="228" t="s">
        <v>34</v>
      </c>
      <c r="AI2" s="228" t="s">
        <v>35</v>
      </c>
      <c r="AJ2" s="228" t="s">
        <v>36</v>
      </c>
      <c r="AK2" s="228" t="s">
        <v>37</v>
      </c>
      <c r="AL2" s="228" t="s">
        <v>38</v>
      </c>
      <c r="AM2" s="228" t="s">
        <v>39</v>
      </c>
    </row>
    <row r="3" spans="1:40" ht="165">
      <c r="A3" s="232" t="s">
        <v>40</v>
      </c>
      <c r="B3" s="18" t="s">
        <v>41</v>
      </c>
      <c r="C3" s="79" t="s">
        <v>42</v>
      </c>
      <c r="D3" s="73"/>
      <c r="E3" s="79" t="s">
        <v>43</v>
      </c>
      <c r="F3" s="73" t="s">
        <v>44</v>
      </c>
      <c r="G3" s="18" t="s">
        <v>45</v>
      </c>
      <c r="H3" s="2" t="s">
        <v>46</v>
      </c>
      <c r="I3" s="73" t="s">
        <v>47</v>
      </c>
      <c r="J3" s="73" t="s">
        <v>47</v>
      </c>
      <c r="K3" s="73" t="s">
        <v>47</v>
      </c>
      <c r="L3" s="233">
        <v>45006</v>
      </c>
      <c r="M3" s="238">
        <v>45607</v>
      </c>
      <c r="N3" s="234">
        <v>0.998</v>
      </c>
      <c r="O3" s="234">
        <v>1</v>
      </c>
      <c r="P3" s="147">
        <f>IFERROR(Tb_PortfólioNão[[#This Row],[% EXECUTADO]]/Tb_PortfólioNão[[#This Row],[% PREVISTO]],"0%")</f>
        <v>1.002004008016032</v>
      </c>
      <c r="Q3" s="146" t="str">
        <f>_xlfn.XLOOKUP(Tb_PortfólioNão[[#This Row],[SEI]],Tb_Atualizações[PROCESSO SEI],Tb_Atualizações[DATA DE ATUALIZAÇÃO],"",0,-1)</f>
        <v/>
      </c>
      <c r="R3" s="336">
        <v>45627</v>
      </c>
      <c r="S3" s="233"/>
      <c r="T3" s="2" t="s">
        <v>48</v>
      </c>
      <c r="U3" s="235" t="s">
        <v>49</v>
      </c>
      <c r="V3" s="72"/>
      <c r="W3" s="236">
        <f>IFERROR(Tb_PortfólioNão[[#This Row],[% EXECUTADO]]/Tb_PortfólioNão[[#This Row],[% PREVISTO]],0)</f>
        <v>1.002004008016032</v>
      </c>
      <c r="X3" s="264" t="s">
        <v>50</v>
      </c>
      <c r="Y3" s="657">
        <v>3100000</v>
      </c>
      <c r="Z3" s="657">
        <v>1890848.17</v>
      </c>
      <c r="AA3" s="73" t="s">
        <v>51</v>
      </c>
      <c r="AB3" s="241"/>
      <c r="AC3" s="240"/>
      <c r="AD3" s="98"/>
      <c r="AE3" s="264" t="s">
        <v>50</v>
      </c>
      <c r="AF3" s="225">
        <f ca="1">TODAY()</f>
        <v>46176</v>
      </c>
      <c r="AG3" s="73"/>
      <c r="AH3" s="73"/>
      <c r="AJ3" s="79" t="s">
        <v>52</v>
      </c>
      <c r="AK3" s="18" t="s">
        <v>52</v>
      </c>
      <c r="AL3" s="18" t="str">
        <f>IFERROR(IF(MATCH(#REF!,Atualizações!$P$1:$P$2994,0)&gt;0, "Sim"), "Não")</f>
        <v>Não</v>
      </c>
      <c r="AM3" s="79" t="s">
        <v>53</v>
      </c>
    </row>
  </sheetData>
  <mergeCells count="1">
    <mergeCell ref="A1:AA1"/>
  </mergeCells>
  <conditionalFormatting sqref="A1:A1048576">
    <cfRule type="duplicateValues" dxfId="572" priority="403"/>
  </conditionalFormatting>
  <conditionalFormatting sqref="M3">
    <cfRule type="cellIs" dxfId="571" priority="22" operator="greaterThan">
      <formula>$AN$1</formula>
    </cfRule>
    <cfRule type="cellIs" dxfId="570" priority="27" operator="lessThan">
      <formula>$AN$1</formula>
    </cfRule>
  </conditionalFormatting>
  <conditionalFormatting sqref="P3">
    <cfRule type="cellIs" dxfId="569" priority="1" operator="equal">
      <formula>"0%"</formula>
    </cfRule>
    <cfRule type="cellIs" dxfId="568" priority="3" operator="lessThan">
      <formula>0.85</formula>
    </cfRule>
    <cfRule type="cellIs" dxfId="567" priority="23" operator="between">
      <formula>0.85</formula>
      <formula>0.95</formula>
    </cfRule>
  </conditionalFormatting>
  <conditionalFormatting sqref="P3:P115">
    <cfRule type="cellIs" dxfId="566" priority="24" operator="greaterThan">
      <formula>0.9499</formula>
    </cfRule>
  </conditionalFormatting>
  <conditionalFormatting sqref="U1:U1048576">
    <cfRule type="cellIs" dxfId="565" priority="25" operator="equal">
      <formula>"Autorizado"</formula>
    </cfRule>
    <cfRule type="cellIs" dxfId="564" priority="26" operator="equal">
      <formula>"Finalizado"</formula>
    </cfRule>
  </conditionalFormatting>
  <conditionalFormatting sqref="U3">
    <cfRule type="cellIs" dxfId="563" priority="7" operator="equal">
      <formula>"Em Atenção"</formula>
    </cfRule>
    <cfRule type="cellIs" dxfId="562" priority="8" operator="equal">
      <formula>"No prazo"</formula>
    </cfRule>
    <cfRule type="cellIs" dxfId="561" priority="9" operator="equal">
      <formula>"Atrasado ou crítico"</formula>
    </cfRule>
  </conditionalFormatting>
  <conditionalFormatting sqref="V3">
    <cfRule type="cellIs" dxfId="560" priority="17" operator="equal">
      <formula>"Autorizado"</formula>
    </cfRule>
    <cfRule type="cellIs" dxfId="559" priority="18" operator="equal">
      <formula>"Concluído"</formula>
    </cfRule>
    <cfRule type="cellIs" dxfId="558" priority="19" operator="equal">
      <formula>"Em Atenção"</formula>
    </cfRule>
    <cfRule type="cellIs" dxfId="557" priority="20" operator="equal">
      <formula>"No prazo"</formula>
    </cfRule>
    <cfRule type="cellIs" dxfId="556" priority="21" operator="equal">
      <formula>"Atrasado ou crítico"</formula>
    </cfRule>
  </conditionalFormatting>
  <pageMargins left="0.511811024" right="0.511811024" top="0.78740157499999996" bottom="0.78740157499999996" header="0.31496062000000002" footer="0.31496062000000002"/>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Q129"/>
  <sheetViews>
    <sheetView topLeftCell="E1" zoomScale="70" zoomScaleNormal="55" workbookViewId="0">
      <selection activeCell="E146" sqref="E146"/>
    </sheetView>
  </sheetViews>
  <sheetFormatPr defaultColWidth="9.140625" defaultRowHeight="15"/>
  <cols>
    <col min="1" max="1" width="14.5703125" style="151" bestFit="1" customWidth="1"/>
    <col min="2" max="2" width="44.42578125" style="139" customWidth="1"/>
    <col min="3" max="3" width="62.5703125" style="79" customWidth="1"/>
    <col min="4" max="4" width="57.5703125" style="79" hidden="1" customWidth="1"/>
    <col min="5" max="5" width="43.28515625" style="79" bestFit="1" customWidth="1"/>
    <col min="6" max="6" width="46.42578125" style="79" customWidth="1"/>
    <col min="7" max="7" width="31.5703125" style="79" customWidth="1"/>
    <col min="8" max="8" width="29.85546875" style="19" customWidth="1"/>
    <col min="9" max="9" width="46.42578125" style="79" customWidth="1"/>
    <col min="10" max="10" width="36.140625" style="79" customWidth="1"/>
    <col min="11" max="11" width="38.5703125" style="79" customWidth="1"/>
    <col min="12" max="12" width="30.42578125" style="79" customWidth="1"/>
    <col min="13" max="13" width="23.5703125" style="152" customWidth="1"/>
    <col min="14" max="14" width="18.5703125" style="79" customWidth="1"/>
    <col min="15" max="15" width="19.5703125" style="79" customWidth="1"/>
    <col min="16" max="16" width="26.5703125" style="79" customWidth="1"/>
    <col min="17" max="18" width="29.42578125" style="79" customWidth="1"/>
    <col min="19" max="19" width="42.5703125" style="79" customWidth="1"/>
    <col min="20" max="20" width="9.140625" style="79" customWidth="1"/>
    <col min="21" max="21" width="19.42578125" style="153" customWidth="1"/>
    <col min="22" max="22" width="42.42578125" style="79" customWidth="1"/>
    <col min="23" max="23" width="11.42578125" style="19" customWidth="1"/>
    <col min="24" max="24" width="51" style="79" customWidth="1"/>
    <col min="25" max="25" width="54.5703125" style="79" customWidth="1"/>
    <col min="26" max="26" width="27.5703125" style="79" customWidth="1"/>
    <col min="27" max="27" width="65.85546875" style="79" customWidth="1"/>
    <col min="28" max="29" width="31.42578125" style="79" customWidth="1"/>
    <col min="30" max="30" width="63.85546875" style="79" customWidth="1"/>
    <col min="31" max="31" width="54.85546875" style="79" customWidth="1"/>
    <col min="32" max="32" width="15.42578125" style="19" customWidth="1"/>
    <col min="33" max="33" width="35.42578125" style="79" customWidth="1"/>
    <col min="34" max="34" width="40.42578125" style="79" customWidth="1"/>
    <col min="35" max="35" width="18.85546875" style="79" customWidth="1"/>
    <col min="36" max="36" width="12.5703125" style="79" customWidth="1"/>
    <col min="37" max="37" width="14.42578125" style="79" customWidth="1"/>
    <col min="38" max="38" width="9.140625" style="79" customWidth="1"/>
    <col min="39" max="41" width="22.5703125" style="79" customWidth="1"/>
    <col min="42" max="42" width="28.140625" style="79" customWidth="1"/>
    <col min="43" max="43" width="65.5703125" style="79" customWidth="1"/>
    <col min="44" max="16384" width="9.140625" style="79"/>
  </cols>
  <sheetData>
    <row r="1" spans="1:43" ht="33">
      <c r="A1" s="716" t="s">
        <v>0</v>
      </c>
      <c r="B1" s="716"/>
      <c r="C1" s="716"/>
      <c r="D1" s="716"/>
      <c r="E1" s="716"/>
      <c r="F1" s="716"/>
      <c r="G1" s="716"/>
      <c r="H1" s="716"/>
      <c r="I1" s="716"/>
      <c r="J1" s="716"/>
      <c r="K1" s="716"/>
      <c r="L1" s="716"/>
      <c r="M1" s="717"/>
      <c r="N1" s="716"/>
      <c r="O1" s="716"/>
      <c r="P1" s="716"/>
      <c r="Q1" s="716"/>
      <c r="R1" s="716"/>
      <c r="S1" s="716"/>
      <c r="T1" s="716"/>
      <c r="U1" s="716"/>
      <c r="V1" s="716"/>
      <c r="W1" s="716"/>
      <c r="X1" s="716"/>
      <c r="Y1" s="716"/>
      <c r="Z1" s="716"/>
      <c r="AA1" s="716"/>
      <c r="AB1" s="1"/>
      <c r="AC1" s="1"/>
      <c r="AQ1" s="145">
        <f ca="1">TODAY()</f>
        <v>46176</v>
      </c>
    </row>
    <row r="2" spans="1:43" s="154" customFormat="1" ht="40.5">
      <c r="A2" s="227" t="s">
        <v>1</v>
      </c>
      <c r="B2" s="228" t="s">
        <v>2</v>
      </c>
      <c r="C2" s="228" t="s">
        <v>3</v>
      </c>
      <c r="D2" s="228" t="s">
        <v>4</v>
      </c>
      <c r="E2" s="228" t="s">
        <v>5</v>
      </c>
      <c r="F2" s="228" t="s">
        <v>6</v>
      </c>
      <c r="G2" s="228" t="s">
        <v>7</v>
      </c>
      <c r="H2" s="228" t="s">
        <v>8</v>
      </c>
      <c r="I2" s="228" t="s">
        <v>9</v>
      </c>
      <c r="J2" s="228" t="s">
        <v>10</v>
      </c>
      <c r="K2" s="228" t="s">
        <v>11</v>
      </c>
      <c r="L2" s="228" t="s">
        <v>12</v>
      </c>
      <c r="M2" s="229" t="s">
        <v>13</v>
      </c>
      <c r="N2" s="228" t="s">
        <v>14</v>
      </c>
      <c r="O2" s="228" t="s">
        <v>15</v>
      </c>
      <c r="P2" s="228" t="s">
        <v>16</v>
      </c>
      <c r="Q2" s="228" t="s">
        <v>17</v>
      </c>
      <c r="R2" s="228" t="s">
        <v>18</v>
      </c>
      <c r="S2" s="228" t="s">
        <v>19</v>
      </c>
      <c r="T2" s="228" t="s">
        <v>20</v>
      </c>
      <c r="U2" s="228" t="s">
        <v>21</v>
      </c>
      <c r="V2" s="228" t="s">
        <v>22</v>
      </c>
      <c r="W2" s="228" t="s">
        <v>23</v>
      </c>
      <c r="X2" s="228" t="s">
        <v>24</v>
      </c>
      <c r="Y2" s="228" t="s">
        <v>25</v>
      </c>
      <c r="Z2" s="228" t="s">
        <v>26</v>
      </c>
      <c r="AA2" s="228" t="s">
        <v>27</v>
      </c>
      <c r="AB2" s="228" t="s">
        <v>28</v>
      </c>
      <c r="AC2" s="230" t="s">
        <v>29</v>
      </c>
      <c r="AD2" s="230" t="s">
        <v>30</v>
      </c>
      <c r="AE2" s="231" t="s">
        <v>31</v>
      </c>
      <c r="AF2" s="231" t="s">
        <v>32</v>
      </c>
      <c r="AG2" s="231" t="s">
        <v>33</v>
      </c>
      <c r="AH2" s="228" t="s">
        <v>34</v>
      </c>
      <c r="AI2" s="228" t="s">
        <v>35</v>
      </c>
      <c r="AJ2" s="228" t="s">
        <v>54</v>
      </c>
      <c r="AK2" s="228" t="s">
        <v>36</v>
      </c>
      <c r="AL2" s="228" t="s">
        <v>55</v>
      </c>
      <c r="AM2" s="228" t="s">
        <v>37</v>
      </c>
      <c r="AN2" s="228" t="s">
        <v>56</v>
      </c>
      <c r="AO2" s="228" t="s">
        <v>38</v>
      </c>
      <c r="AP2" s="228" t="s">
        <v>39</v>
      </c>
      <c r="AQ2" s="228" t="s">
        <v>57</v>
      </c>
    </row>
    <row r="3" spans="1:43" ht="165" hidden="1">
      <c r="A3" s="232" t="s">
        <v>58</v>
      </c>
      <c r="B3" s="75" t="s">
        <v>59</v>
      </c>
      <c r="C3" s="73" t="s">
        <v>60</v>
      </c>
      <c r="D3" s="73"/>
      <c r="E3" s="79" t="s">
        <v>43</v>
      </c>
      <c r="F3" s="73" t="s">
        <v>44</v>
      </c>
      <c r="G3" s="73" t="s">
        <v>61</v>
      </c>
      <c r="H3" s="2" t="s">
        <v>46</v>
      </c>
      <c r="I3" s="73" t="s">
        <v>62</v>
      </c>
      <c r="J3" s="73" t="s">
        <v>63</v>
      </c>
      <c r="K3" s="2" t="s">
        <v>64</v>
      </c>
      <c r="L3" s="233">
        <v>45659</v>
      </c>
      <c r="M3" s="238">
        <v>46387</v>
      </c>
      <c r="N3" s="234">
        <f>_xlfn.XLOOKUP(Tb_Portfólio[[#This Row],[SEI]],Tb_Atualizações[PROCESSO SEI],Tb_Atualizações[% PREVISTO],"",0,-1)</f>
        <v>0.69</v>
      </c>
      <c r="O3" s="234">
        <f>_xlfn.XLOOKUP(Tb_Portfólio[[#This Row],[SEI]],Tb_Atualizações[PROCESSO SEI],Tb_Atualizações[% EXECUTADO],"",0,-1)</f>
        <v>0.39</v>
      </c>
      <c r="P3" s="147">
        <f>IFERROR(Tb_Portfólio[[#This Row],[% EXECUTADO]]/Tb_Portfólio[[#This Row],[% PREVISTO]],"0%")</f>
        <v>0.56521739130434789</v>
      </c>
      <c r="Q3" s="146">
        <f>_xlfn.XLOOKUP(Tb_Portfólio[[#This Row],[SEI]],Tb_Atualizações[PROCESSO SEI],Tb_Atualizações[DATA DE ATUALIZAÇÃO],"",0,-1)</f>
        <v>46167</v>
      </c>
      <c r="R3" s="336">
        <f>_xlfn.XLOOKUP(Tb_Portfólio[[#This Row],[SEI]],Tb_Atualizações[PROCESSO SEI],Tb_Atualizações[Mês],,0,-1)</f>
        <v>46143</v>
      </c>
      <c r="S3" s="233"/>
      <c r="T3" s="2" t="s">
        <v>48</v>
      </c>
      <c r="U3"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3" s="72"/>
      <c r="W3" s="236">
        <f>IFERROR(Tb_Portfólio[[#This Row],[% EXECUTADO]]/Tb_Portfólio[[#This Row],[% PREVISTO]],0)</f>
        <v>0.56521739130434789</v>
      </c>
      <c r="X3" s="242" t="s">
        <v>65</v>
      </c>
      <c r="Y3" s="657">
        <v>409011.54</v>
      </c>
      <c r="Z3" s="657"/>
      <c r="AA3" s="73" t="s">
        <v>51</v>
      </c>
      <c r="AB3" s="241" t="s">
        <v>66</v>
      </c>
      <c r="AC3" s="240" t="s">
        <v>67</v>
      </c>
      <c r="AD3" s="98" t="s">
        <v>68</v>
      </c>
      <c r="AE3" s="239"/>
      <c r="AF3" s="225">
        <f t="shared" ref="AF3:AF8" ca="1" si="0">TODAY()</f>
        <v>46176</v>
      </c>
      <c r="AG3" s="73" t="s">
        <v>69</v>
      </c>
      <c r="AH3" s="73" t="s">
        <v>67</v>
      </c>
      <c r="AJ3" s="79" t="str">
        <f>2024&amp;Tb_Portfólio[[#This Row],[SEI]]</f>
        <v>202400030/2025</v>
      </c>
      <c r="AK3" s="79" t="str">
        <f>IFERROR(IF(MATCH(AJ3,Atualizações!$P$1:$P$1265,0)&gt;0, "Sim"), "Não")</f>
        <v>Não</v>
      </c>
      <c r="AL3" s="79" t="str">
        <f>2025&amp;Tb_Portfólio[[#This Row],[SEI]]</f>
        <v>202500030/2025</v>
      </c>
      <c r="AM3" t="str">
        <f>IFERROR(IF(MATCH(AL3,Atualizações!$P$1:$P$2994,0)&gt;0, "Sim"), "Não")</f>
        <v>Sim</v>
      </c>
      <c r="AN3" s="79" t="str">
        <f>2026&amp;Tb_Portfólio[[#This Row],[SEI]]</f>
        <v>202600030/2025</v>
      </c>
      <c r="AO3" t="str">
        <f>IFERROR(IF(MATCH(AN3,Atualizações!$P$1:$P$2994,0)&gt;0, "Sim"), "Não")</f>
        <v>Sim</v>
      </c>
      <c r="AP3" s="79">
        <f>_xlfn.XLOOKUP(Tb_Portfólio[[#This Row],[SEI]],Tb_Atualizações[PROCESSO SEI],Tb_Atualizações[Explicações],"",0,-1)</f>
        <v>0</v>
      </c>
      <c r="AQ3" s="79" t="str">
        <f>_xlfn.XLOOKUP(Tb_Portfólio[[#This Row],[SEI]],Tb_Mapa[SEI],Tb_Mapa[CONSULTOR RESPONSÁVEL],"",0,-1)</f>
        <v>Tony</v>
      </c>
    </row>
    <row r="4" spans="1:43" ht="120" hidden="1" customHeight="1">
      <c r="A4" s="232" t="s">
        <v>70</v>
      </c>
      <c r="B4" s="75" t="s">
        <v>71</v>
      </c>
      <c r="C4" s="2" t="s">
        <v>72</v>
      </c>
      <c r="D4" s="73"/>
      <c r="E4" s="73" t="s">
        <v>73</v>
      </c>
      <c r="F4" s="73" t="s">
        <v>44</v>
      </c>
      <c r="G4" s="73" t="s">
        <v>74</v>
      </c>
      <c r="H4" s="73" t="s">
        <v>44</v>
      </c>
      <c r="I4" s="2" t="s">
        <v>75</v>
      </c>
      <c r="J4" s="17" t="s">
        <v>76</v>
      </c>
      <c r="K4" s="300" t="s">
        <v>77</v>
      </c>
      <c r="L4" s="233">
        <v>45328</v>
      </c>
      <c r="M4" s="146">
        <v>46658</v>
      </c>
      <c r="N4" s="234">
        <f>_xlfn.XLOOKUP(Tb_Portfólio[[#This Row],[SEI]],Tb_Atualizações[PROCESSO SEI],Tb_Atualizações[% PREVISTO],"",0,-1)</f>
        <v>0.81</v>
      </c>
      <c r="O4" s="234">
        <f>_xlfn.XLOOKUP(Tb_Portfólio[[#This Row],[SEI]],Tb_Atualizações[PROCESSO SEI],Tb_Atualizações[% EXECUTADO],"",0,-1)</f>
        <v>0.89</v>
      </c>
      <c r="P4" s="147">
        <f>IFERROR(Tb_Portfólio[[#This Row],[% EXECUTADO]]/Tb_Portfólio[[#This Row],[% PREVISTO]],"0%")</f>
        <v>1.0987654320987654</v>
      </c>
      <c r="Q4" s="146">
        <f>_xlfn.XLOOKUP(Tb_Portfólio[[#This Row],[SEI]],Tb_Atualizações[PROCESSO SEI],Tb_Atualizações[DATA DE ATUALIZAÇÃO],"",0,-1)</f>
        <v>46035</v>
      </c>
      <c r="R4" s="336">
        <f>_xlfn.XLOOKUP(Tb_Portfólio[[#This Row],[SEI]],Tb_Atualizações[PROCESSO SEI],Tb_Atualizações[Mês],,0,-1)</f>
        <v>45839</v>
      </c>
      <c r="S4" s="235"/>
      <c r="T4" s="2"/>
      <c r="U4"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4" s="72"/>
      <c r="W4" s="236">
        <f>IFERROR(Tb_Portfólio[[#This Row],[% EXECUTADO]]/Tb_Portfólio[[#This Row],[% PREVISTO]],0)</f>
        <v>1.0987654320987654</v>
      </c>
      <c r="X4" s="658" t="s">
        <v>78</v>
      </c>
      <c r="Y4" s="148"/>
      <c r="Z4" s="148"/>
      <c r="AA4" s="73"/>
      <c r="AB4" s="304" t="s">
        <v>79</v>
      </c>
      <c r="AC4" s="2" t="s">
        <v>80</v>
      </c>
      <c r="AD4" s="98" t="s">
        <v>81</v>
      </c>
      <c r="AE4" s="264" t="s">
        <v>82</v>
      </c>
      <c r="AF4" s="225">
        <f t="shared" ca="1" si="0"/>
        <v>46176</v>
      </c>
      <c r="AG4" s="73"/>
      <c r="AH4" s="73"/>
      <c r="AJ4" s="79" t="str">
        <f>2024&amp;Tb_Portfólio[[#This Row],[SEI]]</f>
        <v>202400139/2024</v>
      </c>
      <c r="AK4" t="str">
        <f>IFERROR(IF(MATCH(AJ4,Atualizações!$P$1:$P$1265,0)&gt;0, "Sim"), "Não")</f>
        <v>Sim</v>
      </c>
      <c r="AL4" s="79" t="str">
        <f>2025&amp;Tb_Portfólio[[#This Row],[SEI]]</f>
        <v>202500139/2024</v>
      </c>
      <c r="AM4" t="str">
        <f>IFERROR(IF(MATCH(AL4,Atualizações!$P$1:$P$2994,0)&gt;0, "Sim"), "Não")</f>
        <v>Sim</v>
      </c>
      <c r="AN4" s="79" t="str">
        <f>2026&amp;Tb_Portfólio[[#This Row],[SEI]]</f>
        <v>202600139/2024</v>
      </c>
      <c r="AO4" t="str">
        <f>IFERROR(IF(MATCH(AN4,Atualizações!$P$1:$P$2994,0)&gt;0, "Sim"), "Não")</f>
        <v>Sim</v>
      </c>
      <c r="AP4" s="79" t="str">
        <f>_xlfn.XLOOKUP(Tb_Portfólio[[#This Row],[SEI]],Tb_Atualizações[PROCESSO SEI],Tb_Atualizações[Explicações],"",0,-1)</f>
        <v>Medição duplicada apenas para incluir no portfólio de 2026</v>
      </c>
      <c r="AQ4" s="79" t="str">
        <f>_xlfn.XLOOKUP(Tb_Portfólio[[#This Row],[SEI]],Tb_Mapa[SEI],Tb_Mapa[CONSULTOR RESPONSÁVEL],"",0,-1)</f>
        <v>Tony</v>
      </c>
    </row>
    <row r="5" spans="1:43" ht="409.5" hidden="1" customHeight="1">
      <c r="A5" s="232" t="s">
        <v>83</v>
      </c>
      <c r="B5" s="248" t="s">
        <v>84</v>
      </c>
      <c r="C5" s="73" t="s">
        <v>85</v>
      </c>
      <c r="D5" s="73"/>
      <c r="E5" s="73" t="s">
        <v>86</v>
      </c>
      <c r="F5" s="16" t="s">
        <v>44</v>
      </c>
      <c r="G5" s="79" t="s">
        <v>87</v>
      </c>
      <c r="H5" s="2" t="s">
        <v>46</v>
      </c>
      <c r="I5" s="2" t="s">
        <v>88</v>
      </c>
      <c r="J5" s="17" t="s">
        <v>89</v>
      </c>
      <c r="K5" s="249" t="s">
        <v>90</v>
      </c>
      <c r="L5" s="233">
        <v>45323</v>
      </c>
      <c r="M5" s="238">
        <v>46387</v>
      </c>
      <c r="N5" s="234">
        <f>_xlfn.XLOOKUP(Tb_Portfólio[[#This Row],[SEI]],Tb_Atualizações[PROCESSO SEI],Tb_Atualizações[% PREVISTO],"",0,-1)</f>
        <v>0.78</v>
      </c>
      <c r="O5" s="234">
        <f>_xlfn.XLOOKUP(Tb_Portfólio[[#This Row],[SEI]],Tb_Atualizações[PROCESSO SEI],Tb_Atualizações[% EXECUTADO],"",0,-1)</f>
        <v>0.7</v>
      </c>
      <c r="P5" s="147">
        <f>IFERROR(Tb_Portfólio[[#This Row],[% EXECUTADO]]/Tb_Portfólio[[#This Row],[% PREVISTO]],"0%")</f>
        <v>0.89743589743589736</v>
      </c>
      <c r="Q5" s="146">
        <f>_xlfn.XLOOKUP(Tb_Portfólio[[#This Row],[SEI]],Tb_Atualizações[PROCESSO SEI],Tb_Atualizações[DATA DE ATUALIZAÇÃO],"",0,-1)</f>
        <v>46167</v>
      </c>
      <c r="R5" s="336">
        <f>_xlfn.XLOOKUP(Tb_Portfólio[[#This Row],[SEI]],Tb_Atualizações[PROCESSO SEI],Tb_Atualizações[Mês],,0,-1)</f>
        <v>46143</v>
      </c>
      <c r="S5" s="235"/>
      <c r="T5" s="2" t="s">
        <v>48</v>
      </c>
      <c r="U5"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5" s="72"/>
      <c r="W5" s="236">
        <f>IFERROR(Tb_Portfólio[[#This Row],[% EXECUTADO]]/Tb_Portfólio[[#This Row],[% PREVISTO]],0)</f>
        <v>0.89743589743589736</v>
      </c>
      <c r="X5" s="73" t="s">
        <v>91</v>
      </c>
      <c r="Y5" s="657"/>
      <c r="Z5" s="657"/>
      <c r="AA5" s="73" t="s">
        <v>51</v>
      </c>
      <c r="AB5" s="73" t="s">
        <v>86</v>
      </c>
      <c r="AC5" s="16" t="s">
        <v>92</v>
      </c>
      <c r="AD5" s="98" t="s">
        <v>93</v>
      </c>
      <c r="AE5" s="239" t="s">
        <v>94</v>
      </c>
      <c r="AF5" s="225">
        <f t="shared" ca="1" si="0"/>
        <v>46176</v>
      </c>
      <c r="AG5" s="79" t="s">
        <v>95</v>
      </c>
      <c r="AH5" s="73" t="s">
        <v>96</v>
      </c>
      <c r="AJ5" s="79" t="str">
        <f>2024&amp;Tb_Portfólio[[#This Row],[SEI]]</f>
        <v>202400484/2024</v>
      </c>
      <c r="AK5" t="str">
        <f>IFERROR(IF(MATCH(AJ5,Atualizações!$P$1:$P$1265,0)&gt;0, "Sim"), "Não")</f>
        <v>Sim</v>
      </c>
      <c r="AL5" s="79" t="str">
        <f>2025&amp;Tb_Portfólio[[#This Row],[SEI]]</f>
        <v>202500484/2024</v>
      </c>
      <c r="AM5" t="str">
        <f>IFERROR(IF(MATCH(AL5,Atualizações!$P$1:$P$2994,0)&gt;0, "Sim"), "Não")</f>
        <v>Sim</v>
      </c>
      <c r="AN5" s="79" t="str">
        <f>2026&amp;Tb_Portfólio[[#This Row],[SEI]]</f>
        <v>202600484/2024</v>
      </c>
      <c r="AO5" t="str">
        <f>IFERROR(IF(MATCH(AN5,Atualizações!$P$1:$P$2994,0)&gt;0, "Sim"), "Não")</f>
        <v>Sim</v>
      </c>
      <c r="AP5" s="79">
        <f>_xlfn.XLOOKUP(Tb_Portfólio[[#This Row],[SEI]],Tb_Atualizações[PROCESSO SEI],Tb_Atualizações[Explicações],"",0,-1)</f>
        <v>0</v>
      </c>
      <c r="AQ5" s="79" t="str">
        <f>_xlfn.XLOOKUP(Tb_Portfólio[[#This Row],[SEI]],Tb_Mapa[SEI],Tb_Mapa[CONSULTOR RESPONSÁVEL],"",0,-1)</f>
        <v>Tony</v>
      </c>
    </row>
    <row r="6" spans="1:43" ht="210" hidden="1">
      <c r="A6" s="232" t="s">
        <v>97</v>
      </c>
      <c r="B6" s="75" t="s">
        <v>98</v>
      </c>
      <c r="C6" s="2" t="s">
        <v>99</v>
      </c>
      <c r="D6" s="2" t="s">
        <v>100</v>
      </c>
      <c r="E6" s="244" t="s">
        <v>101</v>
      </c>
      <c r="F6" s="16" t="s">
        <v>44</v>
      </c>
      <c r="G6" s="2" t="s">
        <v>102</v>
      </c>
      <c r="H6" s="2" t="s">
        <v>103</v>
      </c>
      <c r="I6" s="2" t="s">
        <v>104</v>
      </c>
      <c r="J6" s="2" t="s">
        <v>105</v>
      </c>
      <c r="K6" s="2"/>
      <c r="L6" s="233">
        <v>43557</v>
      </c>
      <c r="M6" s="146">
        <v>45930</v>
      </c>
      <c r="N6" s="234">
        <f>_xlfn.XLOOKUP(Tb_Portfólio[[#This Row],[SEI]],Tb_Atualizações[PROCESSO SEI],Tb_Atualizações[% PREVISTO],"",0,-1)</f>
        <v>1</v>
      </c>
      <c r="O6" s="234">
        <f>_xlfn.XLOOKUP(Tb_Portfólio[[#This Row],[SEI]],Tb_Atualizações[PROCESSO SEI],Tb_Atualizações[% EXECUTADO],"",0,-1)</f>
        <v>1</v>
      </c>
      <c r="P6" s="147">
        <f>IFERROR(Tb_Portfólio[[#This Row],[% EXECUTADO]]/Tb_Portfólio[[#This Row],[% PREVISTO]],"0%")</f>
        <v>1</v>
      </c>
      <c r="Q6" s="146">
        <f>_xlfn.XLOOKUP(Tb_Portfólio[[#This Row],[SEI]],Tb_Atualizações[PROCESSO SEI],Tb_Atualizações[DATA DE ATUALIZAÇÃO],"",0,-1)</f>
        <v>45624</v>
      </c>
      <c r="R6" s="336">
        <f>_xlfn.XLOOKUP(Tb_Portfólio[[#This Row],[SEI]],Tb_Atualizações[PROCESSO SEI],Tb_Atualizações[Mês],,0,-1)</f>
        <v>45597</v>
      </c>
      <c r="S6" s="72"/>
      <c r="T6" s="2" t="s">
        <v>106</v>
      </c>
      <c r="U6"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6" s="72" t="s">
        <v>107</v>
      </c>
      <c r="W6" s="236">
        <f>IFERROR(Tb_Portfólio[[#This Row],[% EXECUTADO]]/Tb_Portfólio[[#This Row],[% PREVISTO]],0)</f>
        <v>1</v>
      </c>
      <c r="X6" s="73" t="s">
        <v>108</v>
      </c>
      <c r="Y6" s="148">
        <v>40936.83</v>
      </c>
      <c r="Z6" s="148">
        <v>40936.83</v>
      </c>
      <c r="AA6" s="73" t="s">
        <v>109</v>
      </c>
      <c r="AB6" s="73" t="s">
        <v>110</v>
      </c>
      <c r="AC6" s="2" t="s">
        <v>44</v>
      </c>
      <c r="AD6" s="98"/>
      <c r="AE6" s="237" t="s">
        <v>111</v>
      </c>
      <c r="AF6" s="225">
        <f t="shared" ca="1" si="0"/>
        <v>46176</v>
      </c>
      <c r="AG6" s="239"/>
      <c r="AJ6" s="79" t="str">
        <f>2024&amp;Tb_Portfólio[[#This Row],[SEI]]</f>
        <v>202400535/2019</v>
      </c>
      <c r="AK6" t="str">
        <f>IFERROR(IF(MATCH(AJ6,Atualizações!$P$1:$P$1265,0)&gt;0, "Sim"), "Não")</f>
        <v>Sim</v>
      </c>
      <c r="AL6" s="79" t="str">
        <f>2025&amp;Tb_Portfólio[[#This Row],[SEI]]</f>
        <v>202500535/2019</v>
      </c>
      <c r="AM6" t="str">
        <f>IFERROR(IF(MATCH(AL6,Atualizações!$P$1:$P$2994,0)&gt;0, "Sim"), "Não")</f>
        <v>Não</v>
      </c>
      <c r="AN6" s="79" t="str">
        <f>2026&amp;Tb_Portfólio[[#This Row],[SEI]]</f>
        <v>202600535/2019</v>
      </c>
      <c r="AO6" t="str">
        <f>IFERROR(IF(MATCH(AN6,Atualizações!$P$1:$P$2994,0)&gt;0, "Sim"), "Não")</f>
        <v>Não</v>
      </c>
      <c r="AP6" s="79" t="str">
        <f>_xlfn.XLOOKUP(Tb_Portfólio[[#This Row],[SEI]],Tb_Atualizações[PROCESSO SEI],Tb_Atualizações[Explicações],"",0,-1)</f>
        <v>Projeto finalizado - As atividades remanescentes e futuras melhorias serão tratadas no âmbito do Projeto “Fluxo Nacional Automatizado de Execuções Fiscais”, do programa Justiça 4.0</v>
      </c>
      <c r="AQ6" s="79" t="str">
        <f>_xlfn.XLOOKUP(Tb_Portfólio[[#This Row],[SEI]],Tb_Mapa[SEI],Tb_Mapa[CONSULTOR RESPONSÁVEL],"",0,-1)</f>
        <v>Tony/finalizado</v>
      </c>
    </row>
    <row r="7" spans="1:43" ht="409.5" hidden="1">
      <c r="A7" s="232" t="s">
        <v>112</v>
      </c>
      <c r="B7" s="75" t="s">
        <v>113</v>
      </c>
      <c r="C7" s="73" t="s">
        <v>114</v>
      </c>
      <c r="D7" s="73"/>
      <c r="E7" s="97" t="s">
        <v>115</v>
      </c>
      <c r="F7" s="73" t="s">
        <v>116</v>
      </c>
      <c r="G7" s="241" t="s">
        <v>117</v>
      </c>
      <c r="H7" s="2" t="s">
        <v>118</v>
      </c>
      <c r="I7" s="73" t="s">
        <v>119</v>
      </c>
      <c r="J7" s="73" t="s">
        <v>120</v>
      </c>
      <c r="K7" s="2"/>
      <c r="L7" s="233">
        <v>45390</v>
      </c>
      <c r="M7" s="238">
        <v>46022</v>
      </c>
      <c r="N7" s="234">
        <f>_xlfn.XLOOKUP(Tb_Portfólio[[#This Row],[SEI]],Tb_Atualizações[PROCESSO SEI],Tb_Atualizações[% PREVISTO],"",0,-1)</f>
        <v>0.62829999999999997</v>
      </c>
      <c r="O7" s="234">
        <f>_xlfn.XLOOKUP(Tb_Portfólio[[#This Row],[SEI]],Tb_Atualizações[PROCESSO SEI],Tb_Atualizações[% EXECUTADO],"",0,-1)</f>
        <v>0.62829999999999997</v>
      </c>
      <c r="P7" s="147">
        <f>IFERROR(Tb_Portfólio[[#This Row],[% EXECUTADO]]/Tb_Portfólio[[#This Row],[% PREVISTO]],"0%")</f>
        <v>1</v>
      </c>
      <c r="Q7" s="146">
        <f>_xlfn.XLOOKUP(Tb_Portfólio[[#This Row],[SEI]],Tb_Atualizações[PROCESSO SEI],Tb_Atualizações[DATA DE ATUALIZAÇÃO],"",0,-1)</f>
        <v>45799</v>
      </c>
      <c r="R7" s="336">
        <f>_xlfn.XLOOKUP(Tb_Portfólio[[#This Row],[SEI]],Tb_Atualizações[PROCESSO SEI],Tb_Atualizações[Mês],,0,-1)</f>
        <v>45748</v>
      </c>
      <c r="S7" s="235"/>
      <c r="T7" s="2" t="s">
        <v>121</v>
      </c>
      <c r="U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7" s="208" t="s">
        <v>122</v>
      </c>
      <c r="W7" s="236">
        <f>IFERROR(Tb_Portfólio[[#This Row],[% EXECUTADO]]/Tb_Portfólio[[#This Row],[% PREVISTO]],0)</f>
        <v>1</v>
      </c>
      <c r="X7" s="242" t="s">
        <v>123</v>
      </c>
      <c r="Y7" s="657"/>
      <c r="Z7" s="657"/>
      <c r="AA7" s="208" t="s">
        <v>122</v>
      </c>
      <c r="AB7" s="73" t="s">
        <v>124</v>
      </c>
      <c r="AC7" s="73" t="s">
        <v>80</v>
      </c>
      <c r="AD7" s="98" t="s">
        <v>125</v>
      </c>
      <c r="AE7" s="264" t="s">
        <v>126</v>
      </c>
      <c r="AF7" s="225">
        <f t="shared" ca="1" si="0"/>
        <v>46176</v>
      </c>
      <c r="AG7" s="239" t="s">
        <v>127</v>
      </c>
      <c r="AH7" s="79" t="s">
        <v>128</v>
      </c>
      <c r="AJ7" s="79" t="str">
        <f>2024&amp;Tb_Portfólio[[#This Row],[SEI]]</f>
        <v>202400600/2023</v>
      </c>
      <c r="AK7" s="79" t="str">
        <f>IFERROR(IF(MATCH(AJ7,Atualizações!$P$1:$P$1265,0)&gt;0, "Sim"), "Não")</f>
        <v>Sim</v>
      </c>
      <c r="AL7" s="79" t="str">
        <f>2025&amp;Tb_Portfólio[[#This Row],[SEI]]</f>
        <v>202500600/2023</v>
      </c>
      <c r="AM7" t="str">
        <f>IFERROR(IF(MATCH(AL7,Atualizações!$P$1:$P$2994,0)&gt;0, "Sim"), "Não")</f>
        <v>Sim</v>
      </c>
      <c r="AN7" s="79" t="str">
        <f>2026&amp;Tb_Portfólio[[#This Row],[SEI]]</f>
        <v>202600600/2023</v>
      </c>
      <c r="AO7" t="str">
        <f>IFERROR(IF(MATCH(AN7,Atualizações!$P$1:$P$2994,0)&gt;0, "Sim"), "Não")</f>
        <v>Não</v>
      </c>
      <c r="AP7" s="79">
        <f>_xlfn.XLOOKUP(Tb_Portfólio[[#This Row],[SEI]],Tb_Atualizações[PROCESSO SEI],Tb_Atualizações[Explicações],"",0,-1)</f>
        <v>0</v>
      </c>
      <c r="AQ7" s="79" t="str">
        <f>_xlfn.XLOOKUP(Tb_Portfólio[[#This Row],[SEI]],Tb_Mapa[SEI],Tb_Mapa[CONSULTOR RESPONSÁVEL],"",0,-1)</f>
        <v>Tony / Cris</v>
      </c>
    </row>
    <row r="8" spans="1:43" ht="165" hidden="1">
      <c r="A8" s="232" t="s">
        <v>129</v>
      </c>
      <c r="B8" s="75" t="s">
        <v>130</v>
      </c>
      <c r="C8" s="73" t="s">
        <v>131</v>
      </c>
      <c r="D8" s="73"/>
      <c r="E8" s="73" t="s">
        <v>43</v>
      </c>
      <c r="F8" s="73" t="s">
        <v>44</v>
      </c>
      <c r="G8" s="79" t="s">
        <v>132</v>
      </c>
      <c r="H8" s="2" t="s">
        <v>46</v>
      </c>
      <c r="I8" s="73" t="s">
        <v>133</v>
      </c>
      <c r="J8" s="73" t="s">
        <v>134</v>
      </c>
      <c r="K8" s="2" t="s">
        <v>135</v>
      </c>
      <c r="L8" s="233">
        <v>45658</v>
      </c>
      <c r="M8" s="238">
        <v>46387</v>
      </c>
      <c r="N8" s="234">
        <f>_xlfn.XLOOKUP(Tb_Portfólio[[#This Row],[SEI]],Tb_Atualizações[PROCESSO SEI],Tb_Atualizações[% PREVISTO],"",0,-1)</f>
        <v>0.68</v>
      </c>
      <c r="O8" s="234">
        <f>_xlfn.XLOOKUP(Tb_Portfólio[[#This Row],[SEI]],Tb_Atualizações[PROCESSO SEI],Tb_Atualizações[% EXECUTADO],"",0,-1)</f>
        <v>0.64</v>
      </c>
      <c r="P8" s="147">
        <f>IFERROR(Tb_Portfólio[[#This Row],[% EXECUTADO]]/Tb_Portfólio[[#This Row],[% PREVISTO]],"0%")</f>
        <v>0.94117647058823528</v>
      </c>
      <c r="Q8" s="146">
        <f>_xlfn.XLOOKUP(Tb_Portfólio[[#This Row],[SEI]],Tb_Atualizações[PROCESSO SEI],Tb_Atualizações[DATA DE ATUALIZAÇÃO],"",0,-1)</f>
        <v>46167</v>
      </c>
      <c r="R8" s="336">
        <f>_xlfn.XLOOKUP(Tb_Portfólio[[#This Row],[SEI]],Tb_Atualizações[PROCESSO SEI],Tb_Atualizações[Mês],,0,-1)</f>
        <v>46143</v>
      </c>
      <c r="S8" s="235"/>
      <c r="T8" s="2" t="s">
        <v>48</v>
      </c>
      <c r="U8"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8" s="72"/>
      <c r="W8" s="236">
        <f>IFERROR(Tb_Portfólio[[#This Row],[% EXECUTADO]]/Tb_Portfólio[[#This Row],[% PREVISTO]],0)</f>
        <v>0.94117647058823528</v>
      </c>
      <c r="X8" s="242" t="s">
        <v>136</v>
      </c>
      <c r="Y8" s="659">
        <v>1919522.65</v>
      </c>
      <c r="Z8" s="659"/>
      <c r="AA8" s="73" t="s">
        <v>51</v>
      </c>
      <c r="AB8" s="73" t="s">
        <v>137</v>
      </c>
      <c r="AC8" s="73" t="s">
        <v>67</v>
      </c>
      <c r="AD8" s="98" t="s">
        <v>138</v>
      </c>
      <c r="AE8" s="239" t="s">
        <v>139</v>
      </c>
      <c r="AF8" s="225">
        <f t="shared" ca="1" si="0"/>
        <v>46176</v>
      </c>
      <c r="AG8" s="73" t="s">
        <v>140</v>
      </c>
      <c r="AH8" s="73" t="s">
        <v>67</v>
      </c>
      <c r="AJ8" s="79" t="str">
        <f>2024&amp;Tb_Portfólio[[#This Row],[SEI]]</f>
        <v>202401167/2025</v>
      </c>
      <c r="AK8" s="79" t="str">
        <f>IFERROR(IF(MATCH(AJ8,Atualizações!$P$1:$P$1265,0)&gt;0, "Sim"), "Não")</f>
        <v>Não</v>
      </c>
      <c r="AL8" s="79" t="str">
        <f>2025&amp;Tb_Portfólio[[#This Row],[SEI]]</f>
        <v>202501167/2025</v>
      </c>
      <c r="AM8" t="str">
        <f>IFERROR(IF(MATCH(AL8,Atualizações!$P$1:$P$2994,0)&gt;0, "Sim"), "Não")</f>
        <v>Sim</v>
      </c>
      <c r="AN8" s="79" t="str">
        <f>2026&amp;Tb_Portfólio[[#This Row],[SEI]]</f>
        <v>202601167/2025</v>
      </c>
      <c r="AO8" t="str">
        <f>IFERROR(IF(MATCH(AN8,Atualizações!$P$1:$P$2994,0)&gt;0, "Sim"), "Não")</f>
        <v>Sim</v>
      </c>
      <c r="AP8" s="79">
        <f>_xlfn.XLOOKUP(Tb_Portfólio[[#This Row],[SEI]],Tb_Atualizações[PROCESSO SEI],Tb_Atualizações[Explicações],"",0,-1)</f>
        <v>0</v>
      </c>
      <c r="AQ8" s="79" t="str">
        <f>_xlfn.XLOOKUP(Tb_Portfólio[[#This Row],[SEI]],Tb_Mapa[SEI],Tb_Mapa[CONSULTOR RESPONSÁVEL],"",0,-1)</f>
        <v>Tony</v>
      </c>
    </row>
    <row r="9" spans="1:43" ht="315" hidden="1">
      <c r="A9" s="232" t="s">
        <v>141</v>
      </c>
      <c r="B9" s="75" t="s">
        <v>142</v>
      </c>
      <c r="C9" s="2" t="s">
        <v>143</v>
      </c>
      <c r="D9" s="73"/>
      <c r="E9" s="245" t="s">
        <v>144</v>
      </c>
      <c r="F9" s="16" t="s">
        <v>44</v>
      </c>
      <c r="G9" s="19" t="s">
        <v>145</v>
      </c>
      <c r="H9" s="2" t="s">
        <v>92</v>
      </c>
      <c r="I9" s="2" t="s">
        <v>75</v>
      </c>
      <c r="J9" s="2" t="s">
        <v>146</v>
      </c>
      <c r="K9" s="2" t="s">
        <v>147</v>
      </c>
      <c r="L9" s="233">
        <v>44963</v>
      </c>
      <c r="M9" s="146">
        <v>45597</v>
      </c>
      <c r="N9" s="234">
        <f>_xlfn.XLOOKUP(Tb_Portfólio[[#This Row],[SEI]],Tb_Atualizações[PROCESSO SEI],Tb_Atualizações[% PREVISTO],"",0,-1)</f>
        <v>1</v>
      </c>
      <c r="O9" s="234">
        <f>_xlfn.XLOOKUP(Tb_Portfólio[[#This Row],[SEI]],Tb_Atualizações[PROCESSO SEI],Tb_Atualizações[% EXECUTADO],"",0,-1)</f>
        <v>1</v>
      </c>
      <c r="P9" s="147">
        <f>IFERROR(Tb_Portfólio[[#This Row],[% EXECUTADO]]/Tb_Portfólio[[#This Row],[% PREVISTO]],"0%")</f>
        <v>1</v>
      </c>
      <c r="Q9" s="146">
        <f>_xlfn.XLOOKUP(Tb_Portfólio[[#This Row],[SEI]],Tb_Atualizações[PROCESSO SEI],Tb_Atualizações[DATA DE ATUALIZAÇÃO],"",0,-1)</f>
        <v>45726</v>
      </c>
      <c r="R9" s="336">
        <f>_xlfn.XLOOKUP(Tb_Portfólio[[#This Row],[SEI]],Tb_Atualizações[PROCESSO SEI],Tb_Atualizações[Mês],,0,-1)</f>
        <v>45689</v>
      </c>
      <c r="S9" s="235"/>
      <c r="T9" s="2"/>
      <c r="U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 s="235" t="s">
        <v>148</v>
      </c>
      <c r="W9" s="236">
        <f>IFERROR(Tb_Portfólio[[#This Row],[% EXECUTADO]]/Tb_Portfólio[[#This Row],[% PREVISTO]],0)</f>
        <v>1</v>
      </c>
      <c r="X9" s="73" t="s">
        <v>149</v>
      </c>
      <c r="Y9" s="461">
        <v>2937684.96</v>
      </c>
      <c r="Z9" s="461">
        <v>2406900.52</v>
      </c>
      <c r="AA9" s="73"/>
      <c r="AB9" s="73" t="s">
        <v>150</v>
      </c>
      <c r="AC9" s="19" t="s">
        <v>92</v>
      </c>
      <c r="AE9" s="237" t="s">
        <v>151</v>
      </c>
      <c r="AF9" s="225">
        <f t="shared" ref="AF9:AF38" ca="1" si="1">TODAY()</f>
        <v>46176</v>
      </c>
      <c r="AG9" s="73"/>
      <c r="AH9" s="73"/>
      <c r="AJ9" s="79" t="str">
        <f>2024&amp;Tb_Portfólio[[#This Row],[SEI]]</f>
        <v>202401179/2023</v>
      </c>
      <c r="AK9" t="str">
        <f>IFERROR(IF(MATCH(AJ9,Atualizações!$P$1:$P$1265,0)&gt;0, "Sim"), "Não")</f>
        <v>Sim</v>
      </c>
      <c r="AL9" s="79" t="str">
        <f>2025&amp;Tb_Portfólio[[#This Row],[SEI]]</f>
        <v>202501179/2023</v>
      </c>
      <c r="AM9" t="str">
        <f>IFERROR(IF(MATCH(AL9,Atualizações!$P$1:$P$2994,0)&gt;0, "Sim"), "Não")</f>
        <v>Sim</v>
      </c>
      <c r="AN9" s="79" t="str">
        <f>2026&amp;Tb_Portfólio[[#This Row],[SEI]]</f>
        <v>202601179/2023</v>
      </c>
      <c r="AO9" t="str">
        <f>IFERROR(IF(MATCH(AN9,Atualizações!$P$1:$P$2994,0)&gt;0, "Sim"), "Não")</f>
        <v>Não</v>
      </c>
      <c r="AP9" s="79" t="str">
        <f>_xlfn.XLOOKUP(Tb_Portfólio[[#This Row],[SEI]],Tb_Atualizações[PROCESSO SEI],Tb_Atualizações[Explicações],"",0,-1)</f>
        <v>Projeto finalizado. O gerente está providenciando o Termo de Encerramento.</v>
      </c>
      <c r="AQ9" s="79" t="str">
        <f>_xlfn.XLOOKUP(Tb_Portfólio[[#This Row],[SEI]],Tb_Mapa[SEI],Tb_Mapa[CONSULTOR RESPONSÁVEL],"",0,-1)</f>
        <v>Igor/Finalizado</v>
      </c>
    </row>
    <row r="10" spans="1:43" ht="150">
      <c r="A10" s="232" t="s">
        <v>152</v>
      </c>
      <c r="B10" s="241" t="s">
        <v>153</v>
      </c>
      <c r="C10" s="73" t="s">
        <v>154</v>
      </c>
      <c r="D10" s="73"/>
      <c r="E10" s="79" t="s">
        <v>86</v>
      </c>
      <c r="F10" s="16" t="s">
        <v>44</v>
      </c>
      <c r="G10" s="79" t="s">
        <v>87</v>
      </c>
      <c r="H10" s="2" t="s">
        <v>46</v>
      </c>
      <c r="I10" s="73" t="s">
        <v>155</v>
      </c>
      <c r="J10" s="73" t="s">
        <v>156</v>
      </c>
      <c r="K10" s="2" t="s">
        <v>157</v>
      </c>
      <c r="L10" s="233">
        <v>45689</v>
      </c>
      <c r="M10" s="238">
        <v>46387</v>
      </c>
      <c r="N10" s="234">
        <f>_xlfn.XLOOKUP(Tb_Portfólio[[#This Row],[SEI]],Tb_Atualizações[PROCESSO SEI],Tb_Atualizações[% PREVISTO],"",0,-1)</f>
        <v>0.67</v>
      </c>
      <c r="O10" s="234">
        <f>_xlfn.XLOOKUP(Tb_Portfólio[[#This Row],[SEI]],Tb_Atualizações[PROCESSO SEI],Tb_Atualizações[% EXECUTADO],"",0,-1)</f>
        <v>0.51</v>
      </c>
      <c r="P10" s="147">
        <f>IFERROR(Tb_Portfólio[[#This Row],[% EXECUTADO]]/Tb_Portfólio[[#This Row],[% PREVISTO]],"0%")</f>
        <v>0.76119402985074625</v>
      </c>
      <c r="Q10" s="146">
        <f>_xlfn.XLOOKUP(Tb_Portfólio[[#This Row],[SEI]],Tb_Atualizações[PROCESSO SEI],Tb_Atualizações[DATA DE ATUALIZAÇÃO],"",0,-1)</f>
        <v>46167</v>
      </c>
      <c r="R10" s="336">
        <f>_xlfn.XLOOKUP(Tb_Portfólio[[#This Row],[SEI]],Tb_Atualizações[PROCESSO SEI],Tb_Atualizações[Mês],,0,-1)</f>
        <v>46143</v>
      </c>
      <c r="S10" s="235"/>
      <c r="T10" s="2" t="s">
        <v>48</v>
      </c>
      <c r="U10"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10" s="72"/>
      <c r="W10" s="236">
        <f>IFERROR(Tb_Portfólio[[#This Row],[% EXECUTADO]]/Tb_Portfólio[[#This Row],[% PREVISTO]],0)</f>
        <v>0.76119402985074625</v>
      </c>
      <c r="X10" s="242" t="s">
        <v>158</v>
      </c>
      <c r="Y10" s="657">
        <v>2958354.76</v>
      </c>
      <c r="Z10" s="657"/>
      <c r="AA10" s="73" t="s">
        <v>51</v>
      </c>
      <c r="AB10" s="73" t="s">
        <v>86</v>
      </c>
      <c r="AC10" s="16" t="s">
        <v>92</v>
      </c>
      <c r="AD10" s="98" t="s">
        <v>159</v>
      </c>
      <c r="AE10" s="239"/>
      <c r="AF10" s="225">
        <f t="shared" ca="1" si="1"/>
        <v>46176</v>
      </c>
      <c r="AG10" s="73" t="s">
        <v>95</v>
      </c>
      <c r="AH10" s="73" t="s">
        <v>92</v>
      </c>
      <c r="AJ10" s="79" t="str">
        <f>2024&amp;Tb_Portfólio[[#This Row],[SEI]]</f>
        <v>202401247/2025</v>
      </c>
      <c r="AK10" s="79" t="str">
        <f>IFERROR(IF(MATCH(AJ10,Atualizações!$P$1:$P$1265,0)&gt;0, "Sim"), "Não")</f>
        <v>Não</v>
      </c>
      <c r="AL10" s="79" t="str">
        <f>2025&amp;Tb_Portfólio[[#This Row],[SEI]]</f>
        <v>202501247/2025</v>
      </c>
      <c r="AM10" t="str">
        <f>IFERROR(IF(MATCH(AL10,Atualizações!$P$1:$P$2994,0)&gt;0, "Sim"), "Não")</f>
        <v>Sim</v>
      </c>
      <c r="AN10" s="79" t="str">
        <f>2026&amp;Tb_Portfólio[[#This Row],[SEI]]</f>
        <v>202601247/2025</v>
      </c>
      <c r="AO10" t="str">
        <f>IFERROR(IF(MATCH(AN10,Atualizações!$P$1:$P$2994,0)&gt;0, "Sim"), "Não")</f>
        <v>Sim</v>
      </c>
      <c r="AP10" s="79">
        <f>_xlfn.XLOOKUP(Tb_Portfólio[[#This Row],[SEI]],Tb_Atualizações[PROCESSO SEI],Tb_Atualizações[Explicações],"",0,-1)</f>
        <v>0</v>
      </c>
      <c r="AQ10" s="79" t="str">
        <f>_xlfn.XLOOKUP(Tb_Portfólio[[#This Row],[SEI]],Tb_Mapa[SEI],Tb_Mapa[CONSULTOR RESPONSÁVEL],"",0,-1)</f>
        <v>Tony</v>
      </c>
    </row>
    <row r="11" spans="1:43" ht="405" hidden="1">
      <c r="A11" s="232" t="s">
        <v>160</v>
      </c>
      <c r="B11" s="75" t="s">
        <v>161</v>
      </c>
      <c r="C11" s="2" t="s">
        <v>162</v>
      </c>
      <c r="D11" s="73"/>
      <c r="E11" s="79" t="s">
        <v>163</v>
      </c>
      <c r="F11" s="73" t="s">
        <v>67</v>
      </c>
      <c r="G11" s="2" t="s">
        <v>164</v>
      </c>
      <c r="H11" s="2" t="s">
        <v>46</v>
      </c>
      <c r="I11" s="2" t="s">
        <v>165</v>
      </c>
      <c r="J11" s="2" t="s">
        <v>166</v>
      </c>
      <c r="K11" s="2" t="s">
        <v>147</v>
      </c>
      <c r="L11" s="233">
        <v>44473</v>
      </c>
      <c r="M11" s="146">
        <v>45566</v>
      </c>
      <c r="N11" s="234">
        <f>_xlfn.XLOOKUP(Tb_Portfólio[[#This Row],[SEI]],Tb_Atualizações[PROCESSO SEI],Tb_Atualizações[% PREVISTO],"",0,-1)</f>
        <v>1</v>
      </c>
      <c r="O11" s="234">
        <f>_xlfn.XLOOKUP(Tb_Portfólio[[#This Row],[SEI]],Tb_Atualizações[PROCESSO SEI],Tb_Atualizações[% EXECUTADO],"",0,-1)</f>
        <v>1</v>
      </c>
      <c r="P11" s="147">
        <f>IFERROR(Tb_Portfólio[[#This Row],[% EXECUTADO]]/Tb_Portfólio[[#This Row],[% PREVISTO]],"0%")</f>
        <v>1</v>
      </c>
      <c r="Q11" s="146">
        <f>_xlfn.XLOOKUP(Tb_Portfólio[[#This Row],[SEI]],Tb_Atualizações[PROCESSO SEI],Tb_Atualizações[DATA DE ATUALIZAÇÃO],"",0,-1)</f>
        <v>45544</v>
      </c>
      <c r="R11" s="336">
        <f>_xlfn.XLOOKUP(Tb_Portfólio[[#This Row],[SEI]],Tb_Atualizações[PROCESSO SEI],Tb_Atualizações[Mês],,0,-1)</f>
        <v>45505</v>
      </c>
      <c r="S11" s="235"/>
      <c r="T11" s="2" t="s">
        <v>48</v>
      </c>
      <c r="U1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1" s="72" t="s">
        <v>167</v>
      </c>
      <c r="W11" s="236">
        <f>IFERROR(Tb_Portfólio[[#This Row],[% EXECUTADO]]/Tb_Portfólio[[#This Row],[% PREVISTO]],0)</f>
        <v>1</v>
      </c>
      <c r="X11" s="242" t="s">
        <v>168</v>
      </c>
      <c r="Y11" s="148"/>
      <c r="Z11" s="148"/>
      <c r="AA11" s="72" t="s">
        <v>51</v>
      </c>
      <c r="AB11" s="73" t="s">
        <v>163</v>
      </c>
      <c r="AC11" s="73" t="s">
        <v>67</v>
      </c>
      <c r="AD11" s="98" t="s">
        <v>169</v>
      </c>
      <c r="AE11" s="237" t="s">
        <v>170</v>
      </c>
      <c r="AF11" s="225">
        <f t="shared" ca="1" si="1"/>
        <v>46176</v>
      </c>
      <c r="AG11" s="239" t="s">
        <v>171</v>
      </c>
      <c r="AH11" s="79" t="s">
        <v>67</v>
      </c>
      <c r="AJ11" s="79" t="str">
        <f>2024&amp;Tb_Portfólio[[#This Row],[SEI]]</f>
        <v>202401487/2022</v>
      </c>
      <c r="AK11" t="str">
        <f>IFERROR(IF(MATCH(AJ11,Atualizações!$P$1:$P$1265,0)&gt;0, "Sim"), "Não")</f>
        <v>Sim</v>
      </c>
      <c r="AL11" s="79" t="str">
        <f>2025&amp;Tb_Portfólio[[#This Row],[SEI]]</f>
        <v>202501487/2022</v>
      </c>
      <c r="AM11" t="str">
        <f>IFERROR(IF(MATCH(AL11,Atualizações!$P$1:$P$2994,0)&gt;0, "Sim"), "Não")</f>
        <v>Não</v>
      </c>
      <c r="AN11" s="79" t="str">
        <f>2026&amp;Tb_Portfólio[[#This Row],[SEI]]</f>
        <v>202601487/2022</v>
      </c>
      <c r="AO11" t="str">
        <f>IFERROR(IF(MATCH(AN11,Atualizações!$P$1:$P$2994,0)&gt;0, "Sim"), "Não")</f>
        <v>Não</v>
      </c>
      <c r="AP11" s="79">
        <f>_xlfn.XLOOKUP(Tb_Portfólio[[#This Row],[SEI]],Tb_Atualizações[PROCESSO SEI],Tb_Atualizações[Explicações],"",0,-1)</f>
        <v>0</v>
      </c>
      <c r="AQ11" s="79" t="str">
        <f>_xlfn.XLOOKUP(Tb_Portfólio[[#This Row],[SEI]],Tb_Mapa[SEI],Tb_Mapa[CONSULTOR RESPONSÁVEL],"",0,-1)</f>
        <v>Igor/Finalizado</v>
      </c>
    </row>
    <row r="12" spans="1:43" ht="135" hidden="1">
      <c r="A12" s="232" t="s">
        <v>172</v>
      </c>
      <c r="B12" s="75" t="s">
        <v>173</v>
      </c>
      <c r="C12" s="73" t="s">
        <v>174</v>
      </c>
      <c r="D12" s="73"/>
      <c r="E12" s="241" t="s">
        <v>66</v>
      </c>
      <c r="F12" s="240" t="s">
        <v>67</v>
      </c>
      <c r="G12" s="73" t="s">
        <v>175</v>
      </c>
      <c r="H12" s="2" t="s">
        <v>46</v>
      </c>
      <c r="I12" s="2" t="s">
        <v>165</v>
      </c>
      <c r="J12" s="110" t="s">
        <v>176</v>
      </c>
      <c r="K12" s="110" t="s">
        <v>177</v>
      </c>
      <c r="L12" s="233">
        <v>45373</v>
      </c>
      <c r="M12" s="238">
        <v>45639</v>
      </c>
      <c r="N12" s="234">
        <f>_xlfn.XLOOKUP(Tb_Portfólio[[#This Row],[SEI]],Tb_Atualizações[PROCESSO SEI],Tb_Atualizações[% PREVISTO],"",0,-1)</f>
        <v>1</v>
      </c>
      <c r="O12" s="234">
        <f>_xlfn.XLOOKUP(Tb_Portfólio[[#This Row],[SEI]],Tb_Atualizações[PROCESSO SEI],Tb_Atualizações[% EXECUTADO],"",0,-1)</f>
        <v>1</v>
      </c>
      <c r="P12" s="147">
        <f>IFERROR(Tb_Portfólio[[#This Row],[% EXECUTADO]]/Tb_Portfólio[[#This Row],[% PREVISTO]],"0%")</f>
        <v>1</v>
      </c>
      <c r="Q12" s="146">
        <f>_xlfn.XLOOKUP(Tb_Portfólio[[#This Row],[SEI]],Tb_Atualizações[PROCESSO SEI],Tb_Atualizações[DATA DE ATUALIZAÇÃO],"",0,-1)</f>
        <v>45645</v>
      </c>
      <c r="R12" s="336">
        <f>_xlfn.XLOOKUP(Tb_Portfólio[[#This Row],[SEI]],Tb_Atualizações[PROCESSO SEI],Tb_Atualizações[Mês],,0,-1)</f>
        <v>45627</v>
      </c>
      <c r="S12" s="235"/>
      <c r="T12" s="2" t="s">
        <v>48</v>
      </c>
      <c r="U1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2" s="251" t="s">
        <v>178</v>
      </c>
      <c r="W12" s="236">
        <f>IFERROR(Tb_Portfólio[[#This Row],[% EXECUTADO]]/Tb_Portfólio[[#This Row],[% PREVISTO]],0)</f>
        <v>1</v>
      </c>
      <c r="X12" s="73"/>
      <c r="Y12" s="148"/>
      <c r="Z12" s="657"/>
      <c r="AA12" s="73" t="s">
        <v>51</v>
      </c>
      <c r="AB12" s="523" t="s">
        <v>179</v>
      </c>
      <c r="AC12" t="s">
        <v>44</v>
      </c>
      <c r="AD12" s="79" t="s">
        <v>180</v>
      </c>
      <c r="AE12" s="239"/>
      <c r="AF12" s="225">
        <f t="shared" ca="1" si="1"/>
        <v>46176</v>
      </c>
      <c r="AG12" s="241" t="s">
        <v>181</v>
      </c>
      <c r="AH12" s="73" t="s">
        <v>67</v>
      </c>
      <c r="AJ12" s="79" t="str">
        <f>2024&amp;Tb_Portfólio[[#This Row],[SEI]]</f>
        <v>202401703/2024</v>
      </c>
      <c r="AK12" t="str">
        <f>IFERROR(IF(MATCH(AJ12,Atualizações!$P$1:$P$1265,0)&gt;0, "Sim"), "Não")</f>
        <v>Sim</v>
      </c>
      <c r="AL12" s="79" t="str">
        <f>2025&amp;Tb_Portfólio[[#This Row],[SEI]]</f>
        <v>202501703/2024</v>
      </c>
      <c r="AM12" t="str">
        <f>IFERROR(IF(MATCH(AL12,Atualizações!$P$1:$P$2994,0)&gt;0, "Sim"), "Não")</f>
        <v>Não</v>
      </c>
      <c r="AN12" s="79" t="str">
        <f>2026&amp;Tb_Portfólio[[#This Row],[SEI]]</f>
        <v>202601703/2024</v>
      </c>
      <c r="AO12" t="str">
        <f>IFERROR(IF(MATCH(AN12,Atualizações!$P$1:$P$2994,0)&gt;0, "Sim"), "Não")</f>
        <v>Não</v>
      </c>
      <c r="AP12" s="79" t="str">
        <f>_xlfn.XLOOKUP(Tb_Portfólio[[#This Row],[SEI]],Tb_Atualizações[PROCESSO SEI],Tb_Atualizações[Explicações],"",0,-1)</f>
        <v>Projeto finalizado e já consta TEP no processo. Todavia, o despacho de encaminhamento para o ECP ainda não foi assinado. Daniel informa que estão esperando o retorno do dr. Dorotheo, no dia 20/1, para assinatura do despacho</v>
      </c>
      <c r="AQ12" s="79" t="str">
        <f>_xlfn.XLOOKUP(Tb_Portfólio[[#This Row],[SEI]],Tb_Mapa[SEI],Tb_Mapa[CONSULTOR RESPONSÁVEL],"",0,-1)</f>
        <v>Igor/Finalizado</v>
      </c>
    </row>
    <row r="13" spans="1:43" ht="409.5" hidden="1">
      <c r="A13" s="232" t="s">
        <v>182</v>
      </c>
      <c r="B13" s="75" t="s">
        <v>183</v>
      </c>
      <c r="C13" s="2" t="s">
        <v>184</v>
      </c>
      <c r="D13" s="2" t="s">
        <v>185</v>
      </c>
      <c r="E13" s="73" t="s">
        <v>137</v>
      </c>
      <c r="F13" s="2" t="s">
        <v>67</v>
      </c>
      <c r="G13" s="2" t="s">
        <v>186</v>
      </c>
      <c r="H13" s="2" t="s">
        <v>103</v>
      </c>
      <c r="I13" s="2" t="s">
        <v>165</v>
      </c>
      <c r="J13" s="2" t="s">
        <v>176</v>
      </c>
      <c r="K13" s="2"/>
      <c r="L13" s="233">
        <v>44013</v>
      </c>
      <c r="M13" s="146">
        <v>46630</v>
      </c>
      <c r="N13" s="234">
        <f>_xlfn.XLOOKUP(Tb_Portfólio[[#This Row],[SEI]],Tb_Atualizações[PROCESSO SEI],Tb_Atualizações[% PREVISTO],"",0,-1)</f>
        <v>0.89</v>
      </c>
      <c r="O13" s="234">
        <f>_xlfn.XLOOKUP(Tb_Portfólio[[#This Row],[SEI]],Tb_Atualizações[PROCESSO SEI],Tb_Atualizações[% EXECUTADO],"",0,-1)</f>
        <v>0.89</v>
      </c>
      <c r="P13" s="147">
        <f>IFERROR(Tb_Portfólio[[#This Row],[% EXECUTADO]]/Tb_Portfólio[[#This Row],[% PREVISTO]],"0%")</f>
        <v>1</v>
      </c>
      <c r="Q13" s="146">
        <f>_xlfn.XLOOKUP(Tb_Portfólio[[#This Row],[SEI]],Tb_Atualizações[PROCESSO SEI],Tb_Atualizações[DATA DE ATUALIZAÇÃO],"",0,-1)</f>
        <v>46142</v>
      </c>
      <c r="R13" s="336">
        <f>_xlfn.XLOOKUP(Tb_Portfólio[[#This Row],[SEI]],Tb_Atualizações[PROCESSO SEI],Tb_Atualizações[Mês],,0,-1)</f>
        <v>46113</v>
      </c>
      <c r="S13" s="235"/>
      <c r="T13" s="2"/>
      <c r="U13"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13" s="72"/>
      <c r="W13" s="236">
        <f>IFERROR(Tb_Portfólio[[#This Row],[% EXECUTADO]]/Tb_Portfólio[[#This Row],[% PREVISTO]],0)</f>
        <v>1</v>
      </c>
      <c r="X13" s="73" t="s">
        <v>187</v>
      </c>
      <c r="Y13" s="148"/>
      <c r="Z13" s="148"/>
      <c r="AA13" s="73"/>
      <c r="AB13" s="73" t="s">
        <v>137</v>
      </c>
      <c r="AC13" s="2" t="s">
        <v>67</v>
      </c>
      <c r="AD13" s="98"/>
      <c r="AE13" s="264" t="s">
        <v>188</v>
      </c>
      <c r="AF13" s="225">
        <f t="shared" ca="1" si="1"/>
        <v>46176</v>
      </c>
      <c r="AG13" s="239"/>
      <c r="AJ13" s="79" t="str">
        <f>2024&amp;Tb_Portfólio[[#This Row],[SEI]]</f>
        <v>202401764/2020</v>
      </c>
      <c r="AK13" t="str">
        <f>IFERROR(IF(MATCH(AJ13,Atualizações!$P$1:$P$1265,0)&gt;0, "Sim"), "Não")</f>
        <v>Sim</v>
      </c>
      <c r="AL13" s="79" t="str">
        <f>2025&amp;Tb_Portfólio[[#This Row],[SEI]]</f>
        <v>202501764/2020</v>
      </c>
      <c r="AM13" t="str">
        <f>IFERROR(IF(MATCH(AL13,Atualizações!$P$1:$P$2994,0)&gt;0, "Sim"), "Não")</f>
        <v>Sim</v>
      </c>
      <c r="AN13" s="79" t="str">
        <f>2026&amp;Tb_Portfólio[[#This Row],[SEI]]</f>
        <v>202601764/2020</v>
      </c>
      <c r="AO13" t="str">
        <f>IFERROR(IF(MATCH(AN13,Atualizações!$P$1:$P$2994,0)&gt;0, "Sim"), "Não")</f>
        <v>Sim</v>
      </c>
      <c r="AP13" s="79">
        <f>_xlfn.XLOOKUP(Tb_Portfólio[[#This Row],[SEI]],Tb_Atualizações[PROCESSO SEI],Tb_Atualizações[Explicações],"",0,-1)</f>
        <v>0</v>
      </c>
      <c r="AQ13" s="79" t="str">
        <f>_xlfn.XLOOKUP(Tb_Portfólio[[#This Row],[SEI]],Tb_Mapa[SEI],Tb_Mapa[CONSULTOR RESPONSÁVEL],"",0,-1)</f>
        <v>Tony</v>
      </c>
    </row>
    <row r="14" spans="1:43" ht="120" hidden="1">
      <c r="A14" s="232" t="s">
        <v>189</v>
      </c>
      <c r="B14" s="75" t="s">
        <v>190</v>
      </c>
      <c r="C14" s="73" t="s">
        <v>191</v>
      </c>
      <c r="D14" s="73"/>
      <c r="E14" s="97" t="s">
        <v>43</v>
      </c>
      <c r="F14" s="73" t="s">
        <v>44</v>
      </c>
      <c r="G14" s="73" t="s">
        <v>192</v>
      </c>
      <c r="H14" s="2" t="s">
        <v>46</v>
      </c>
      <c r="I14" s="73" t="s">
        <v>165</v>
      </c>
      <c r="J14" s="73" t="s">
        <v>193</v>
      </c>
      <c r="K14" s="2"/>
      <c r="L14" s="233">
        <v>45743</v>
      </c>
      <c r="M14" s="238">
        <v>46083</v>
      </c>
      <c r="N14" s="234">
        <f>_xlfn.XLOOKUP(Tb_Portfólio[[#This Row],[SEI]],Tb_Atualizações[PROCESSO SEI],Tb_Atualizações[% PREVISTO],"",0,-1)</f>
        <v>1</v>
      </c>
      <c r="O14" s="234">
        <f>_xlfn.XLOOKUP(Tb_Portfólio[[#This Row],[SEI]],Tb_Atualizações[PROCESSO SEI],Tb_Atualizações[% EXECUTADO],"",0,-1)</f>
        <v>1</v>
      </c>
      <c r="P14" s="234">
        <f>IFERROR(Tb_Portfólio[[#This Row],[% EXECUTADO]]/Tb_Portfólio[[#This Row],[% PREVISTO]],"0%")</f>
        <v>1</v>
      </c>
      <c r="Q14" s="146">
        <f>_xlfn.XLOOKUP(Tb_Portfólio[[#This Row],[SEI]],Tb_Atualizações[PROCESSO SEI],Tb_Atualizações[DATA DE ATUALIZAÇÃO],"",0,-1)</f>
        <v>46057</v>
      </c>
      <c r="R14" s="336">
        <f>_xlfn.XLOOKUP(Tb_Portfólio[[#This Row],[SEI]],Tb_Atualizações[PROCESSO SEI],Tb_Atualizações[Mês],,0,-1)</f>
        <v>46023</v>
      </c>
      <c r="S14" s="235"/>
      <c r="T14" s="2" t="s">
        <v>48</v>
      </c>
      <c r="U14"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4" s="72"/>
      <c r="W14" s="236">
        <f>IFERROR(Tb_Portfólio[[#This Row],[% EXECUTADO]]/Tb_Portfólio[[#This Row],[% PREVISTO]],0)</f>
        <v>1</v>
      </c>
      <c r="X14" s="73" t="s">
        <v>194</v>
      </c>
      <c r="Y14" s="657">
        <v>1059115.5900000001</v>
      </c>
      <c r="Z14" s="657"/>
      <c r="AA14" s="73" t="s">
        <v>51</v>
      </c>
      <c r="AB14" s="73" t="s">
        <v>43</v>
      </c>
      <c r="AC14" s="98" t="s">
        <v>44</v>
      </c>
      <c r="AD14" s="98" t="s">
        <v>195</v>
      </c>
      <c r="AE14" s="239" t="s">
        <v>196</v>
      </c>
      <c r="AF14" s="225">
        <f t="shared" ca="1" si="1"/>
        <v>46176</v>
      </c>
      <c r="AG14" s="239" t="s">
        <v>197</v>
      </c>
      <c r="AH14" s="79" t="s">
        <v>67</v>
      </c>
      <c r="AJ14" s="79" t="str">
        <f>2024&amp;Tb_Portfólio[[#This Row],[SEI]]</f>
        <v>202401809/2025</v>
      </c>
      <c r="AK14" s="79" t="str">
        <f>IFERROR(IF(MATCH(AJ14,Atualizações!$P$1:$P$1265,0)&gt;0, "Sim"), "Não")</f>
        <v>Não</v>
      </c>
      <c r="AL14" s="79" t="str">
        <f>2025&amp;Tb_Portfólio[[#This Row],[SEI]]</f>
        <v>202501809/2025</v>
      </c>
      <c r="AM14" t="str">
        <f>IFERROR(IF(MATCH(AL14,Atualizações!$P$1:$P$2994,0)&gt;0, "Sim"), "Não")</f>
        <v>Sim</v>
      </c>
      <c r="AN14" s="79" t="str">
        <f>2026&amp;Tb_Portfólio[[#This Row],[SEI]]</f>
        <v>202601809/2025</v>
      </c>
      <c r="AO14" t="str">
        <f>IFERROR(IF(MATCH(AN14,Atualizações!$P$1:$P$2994,0)&gt;0, "Sim"), "Não")</f>
        <v>Sim</v>
      </c>
      <c r="AP14" s="79">
        <f>_xlfn.XLOOKUP(Tb_Portfólio[[#This Row],[SEI]],Tb_Atualizações[PROCESSO SEI],Tb_Atualizações[Explicações],"",0,-1)</f>
        <v>0</v>
      </c>
      <c r="AQ14" s="79" t="str">
        <f>_xlfn.XLOOKUP(Tb_Portfólio[[#This Row],[SEI]],Tb_Mapa[SEI],Tb_Mapa[CONSULTOR RESPONSÁVEL],"",0,-1)</f>
        <v>Raphael</v>
      </c>
    </row>
    <row r="15" spans="1:43" ht="120" hidden="1">
      <c r="A15" s="232" t="s">
        <v>198</v>
      </c>
      <c r="B15" s="75" t="s">
        <v>199</v>
      </c>
      <c r="C15" s="73" t="s">
        <v>200</v>
      </c>
      <c r="D15" s="73"/>
      <c r="E15" s="73" t="s">
        <v>201</v>
      </c>
      <c r="F15" s="73" t="s">
        <v>202</v>
      </c>
      <c r="G15" s="79" t="s">
        <v>203</v>
      </c>
      <c r="H15" s="2" t="s">
        <v>202</v>
      </c>
      <c r="I15" s="73" t="s">
        <v>204</v>
      </c>
      <c r="J15" s="73" t="s">
        <v>205</v>
      </c>
      <c r="K15" s="2"/>
      <c r="L15" s="233">
        <v>45700</v>
      </c>
      <c r="M15" s="238">
        <v>45807</v>
      </c>
      <c r="N15" s="234">
        <f>_xlfn.XLOOKUP(Tb_Portfólio[[#This Row],[SEI]],Tb_Atualizações[PROCESSO SEI],Tb_Atualizações[% PREVISTO],"",0,-1)</f>
        <v>1</v>
      </c>
      <c r="O15" s="234">
        <f>_xlfn.XLOOKUP(Tb_Portfólio[[#This Row],[SEI]],Tb_Atualizações[PROCESSO SEI],Tb_Atualizações[% EXECUTADO],"",0,-1)</f>
        <v>0.75</v>
      </c>
      <c r="P15" s="234">
        <f>IFERROR(Tb_Portfólio[[#This Row],[% EXECUTADO]]/Tb_Portfólio[[#This Row],[% PREVISTO]],"0%")</f>
        <v>0.75</v>
      </c>
      <c r="Q15" s="146">
        <f>_xlfn.XLOOKUP(Tb_Portfólio[[#This Row],[SEI]],Tb_Atualizações[PROCESSO SEI],Tb_Atualizações[DATA DE ATUALIZAÇÃO],"",0,-1)</f>
        <v>46038</v>
      </c>
      <c r="R15" s="336">
        <f>_xlfn.XLOOKUP(Tb_Portfólio[[#This Row],[SEI]],Tb_Atualizações[PROCESSO SEI],Tb_Atualizações[Mês],,0,-1)</f>
        <v>45931</v>
      </c>
      <c r="S15" s="235"/>
      <c r="T15" s="2"/>
      <c r="U15"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15" s="72"/>
      <c r="W15" s="236">
        <f>IFERROR(Tb_Portfólio[[#This Row],[% EXECUTADO]]/Tb_Portfólio[[#This Row],[% PREVISTO]],0)</f>
        <v>0.75</v>
      </c>
      <c r="X15" s="73" t="s">
        <v>206</v>
      </c>
      <c r="Y15" s="657"/>
      <c r="Z15" s="657"/>
      <c r="AA15" s="73"/>
      <c r="AB15" s="73" t="s">
        <v>207</v>
      </c>
      <c r="AC15" s="98" t="s">
        <v>202</v>
      </c>
      <c r="AD15" s="98" t="s">
        <v>208</v>
      </c>
      <c r="AE15" s="239" t="s">
        <v>206</v>
      </c>
      <c r="AF15" s="225">
        <f t="shared" ca="1" si="1"/>
        <v>46176</v>
      </c>
      <c r="AG15" s="73"/>
      <c r="AH15" s="73"/>
      <c r="AJ15" s="79" t="str">
        <f>2024&amp;Tb_Portfólio[[#This Row],[SEI]]</f>
        <v>202401913/2025</v>
      </c>
      <c r="AK15" s="79" t="str">
        <f>IFERROR(IF(MATCH(AJ15,Atualizações!$P$1:$P$1265,0)&gt;0, "Sim"), "Não")</f>
        <v>Não</v>
      </c>
      <c r="AL15" s="79" t="str">
        <f>2025&amp;Tb_Portfólio[[#This Row],[SEI]]</f>
        <v>202501913/2025</v>
      </c>
      <c r="AM15" t="str">
        <f>IFERROR(IF(MATCH(AL15,Atualizações!$P$1:$P$2994,0)&gt;0, "Sim"), "Não")</f>
        <v>Sim</v>
      </c>
      <c r="AN15" s="79" t="str">
        <f>2026&amp;Tb_Portfólio[[#This Row],[SEI]]</f>
        <v>202601913/2025</v>
      </c>
      <c r="AO15" t="str">
        <f>IFERROR(IF(MATCH(AN15,Atualizações!$P$1:$P$2994,0)&gt;0, "Sim"), "Não")</f>
        <v>Sim</v>
      </c>
      <c r="AP15" s="79" t="str">
        <f>_xlfn.XLOOKUP(Tb_Portfólio[[#This Row],[SEI]],Tb_Atualizações[PROCESSO SEI],Tb_Atualizações[Explicações],"",0,-1)</f>
        <v>Medição duplicada para inclusão no portfólio de 2026</v>
      </c>
      <c r="AQ15" s="79" t="str">
        <f>_xlfn.XLOOKUP(Tb_Portfólio[[#This Row],[SEI]],Tb_Mapa[SEI],Tb_Mapa[CONSULTOR RESPONSÁVEL],"",0,-1)</f>
        <v>Igor</v>
      </c>
    </row>
    <row r="16" spans="1:43" ht="135" hidden="1">
      <c r="A16" s="232" t="s">
        <v>209</v>
      </c>
      <c r="B16" s="75" t="s">
        <v>210</v>
      </c>
      <c r="C16" s="2" t="s">
        <v>211</v>
      </c>
      <c r="D16" s="73"/>
      <c r="E16" s="73" t="s">
        <v>43</v>
      </c>
      <c r="F16" s="16" t="s">
        <v>44</v>
      </c>
      <c r="G16" s="19" t="s">
        <v>212</v>
      </c>
      <c r="H16" s="2" t="s">
        <v>46</v>
      </c>
      <c r="I16" s="2" t="s">
        <v>213</v>
      </c>
      <c r="J16" s="2" t="s">
        <v>214</v>
      </c>
      <c r="K16" s="2" t="s">
        <v>147</v>
      </c>
      <c r="L16" s="233">
        <v>44971</v>
      </c>
      <c r="M16" s="146">
        <v>45866</v>
      </c>
      <c r="N16" s="234">
        <f>_xlfn.XLOOKUP(Tb_Portfólio[[#This Row],[SEI]],Tb_Atualizações[PROCESSO SEI],Tb_Atualizações[% PREVISTO],"",0,-1)</f>
        <v>1</v>
      </c>
      <c r="O16" s="234">
        <f>_xlfn.XLOOKUP(Tb_Portfólio[[#This Row],[SEI]],Tb_Atualizações[PROCESSO SEI],Tb_Atualizações[% EXECUTADO],"",0,-1)</f>
        <v>1</v>
      </c>
      <c r="P16" s="147">
        <f>IFERROR(Tb_Portfólio[[#This Row],[% EXECUTADO]]/Tb_Portfólio[[#This Row],[% PREVISTO]],"0%")</f>
        <v>1</v>
      </c>
      <c r="Q16" s="146">
        <f>_xlfn.XLOOKUP(Tb_Portfólio[[#This Row],[SEI]],Tb_Atualizações[PROCESSO SEI],Tb_Atualizações[DATA DE ATUALIZAÇÃO],"",0,-1)</f>
        <v>45895</v>
      </c>
      <c r="R16" s="336">
        <f>_xlfn.XLOOKUP(Tb_Portfólio[[#This Row],[SEI]],Tb_Atualizações[PROCESSO SEI],Tb_Atualizações[Mês],,0,-1)</f>
        <v>45870</v>
      </c>
      <c r="S16" s="235"/>
      <c r="T16" s="2" t="s">
        <v>48</v>
      </c>
      <c r="U16"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6" s="72" t="s">
        <v>215</v>
      </c>
      <c r="W16" s="236">
        <f>IFERROR(Tb_Portfólio[[#This Row],[% EXECUTADO]]/Tb_Portfólio[[#This Row],[% PREVISTO]],0)</f>
        <v>1</v>
      </c>
      <c r="X16" s="73" t="s">
        <v>216</v>
      </c>
      <c r="Y16" s="148"/>
      <c r="Z16" s="148"/>
      <c r="AA16" s="73" t="s">
        <v>51</v>
      </c>
      <c r="AB16" s="73" t="s">
        <v>163</v>
      </c>
      <c r="AC16" s="98" t="s">
        <v>67</v>
      </c>
      <c r="AD16" s="98" t="s">
        <v>217</v>
      </c>
      <c r="AE16" s="237" t="s">
        <v>218</v>
      </c>
      <c r="AF16" s="225">
        <f t="shared" ca="1" si="1"/>
        <v>46176</v>
      </c>
      <c r="AG16" s="239" t="s">
        <v>69</v>
      </c>
      <c r="AH16" s="79" t="s">
        <v>67</v>
      </c>
      <c r="AJ16" s="79" t="str">
        <f>2024&amp;Tb_Portfólio[[#This Row],[SEI]]</f>
        <v>202401945/2022</v>
      </c>
      <c r="AK16" t="str">
        <f>IFERROR(IF(MATCH(AJ16,Atualizações!$P$1:$P$1265,0)&gt;0, "Sim"), "Não")</f>
        <v>Sim</v>
      </c>
      <c r="AL16" s="79" t="str">
        <f>2025&amp;Tb_Portfólio[[#This Row],[SEI]]</f>
        <v>202501945/2022</v>
      </c>
      <c r="AM16" t="str">
        <f>IFERROR(IF(MATCH(AL16,Atualizações!$P$1:$P$2994,0)&gt;0, "Sim"), "Não")</f>
        <v>Sim</v>
      </c>
      <c r="AN16" s="79" t="str">
        <f>2026&amp;Tb_Portfólio[[#This Row],[SEI]]</f>
        <v>202601945/2022</v>
      </c>
      <c r="AO16" t="str">
        <f>IFERROR(IF(MATCH(AN16,Atualizações!$P$1:$P$2994,0)&gt;0, "Sim"), "Não")</f>
        <v>Não</v>
      </c>
      <c r="AP16" s="79" t="str">
        <f>_xlfn.XLOOKUP(Tb_Portfólio[[#This Row],[SEI]],Tb_Atualizações[PROCESSO SEI],Tb_Atualizações[Explicações],"",0,-1)</f>
        <v>TEP formalizado no dia 26/8/2025 por meio do documento 2300117</v>
      </c>
      <c r="AQ16" s="79" t="str">
        <f>_xlfn.XLOOKUP(Tb_Portfólio[[#This Row],[SEI]],Tb_Mapa[SEI],Tb_Mapa[CONSULTOR RESPONSÁVEL],"",0,-1)</f>
        <v>Tony</v>
      </c>
    </row>
    <row r="17" spans="1:43" ht="315" hidden="1">
      <c r="A17" s="232" t="s">
        <v>219</v>
      </c>
      <c r="B17" s="75" t="s">
        <v>220</v>
      </c>
      <c r="C17" s="73" t="s">
        <v>221</v>
      </c>
      <c r="D17" s="73"/>
      <c r="E17" s="73" t="s">
        <v>86</v>
      </c>
      <c r="F17" s="16" t="s">
        <v>44</v>
      </c>
      <c r="G17" s="73" t="s">
        <v>222</v>
      </c>
      <c r="H17" s="2" t="s">
        <v>46</v>
      </c>
      <c r="I17" s="73" t="s">
        <v>223</v>
      </c>
      <c r="J17" s="73" t="s">
        <v>224</v>
      </c>
      <c r="K17" s="2" t="s">
        <v>225</v>
      </c>
      <c r="L17" s="233">
        <v>45700</v>
      </c>
      <c r="M17" s="238">
        <v>46246</v>
      </c>
      <c r="N17" s="234">
        <f>_xlfn.XLOOKUP(Tb_Portfólio[[#This Row],[SEI]],Tb_Atualizações[PROCESSO SEI],Tb_Atualizações[% PREVISTO],"",0,-1)</f>
        <v>0.84</v>
      </c>
      <c r="O17" s="234">
        <f>_xlfn.XLOOKUP(Tb_Portfólio[[#This Row],[SEI]],Tb_Atualizações[PROCESSO SEI],Tb_Atualizações[% EXECUTADO],"",0,-1)</f>
        <v>0.88</v>
      </c>
      <c r="P17" s="147">
        <f>IFERROR(Tb_Portfólio[[#This Row],[% EXECUTADO]]/Tb_Portfólio[[#This Row],[% PREVISTO]],"0%")</f>
        <v>1.0476190476190477</v>
      </c>
      <c r="Q17" s="146">
        <f>_xlfn.XLOOKUP(Tb_Portfólio[[#This Row],[SEI]],Tb_Atualizações[PROCESSO SEI],Tb_Atualizações[DATA DE ATUALIZAÇÃO],"",0,-1)</f>
        <v>46167</v>
      </c>
      <c r="R17" s="336">
        <f>_xlfn.XLOOKUP(Tb_Portfólio[[#This Row],[SEI]],Tb_Atualizações[PROCESSO SEI],Tb_Atualizações[Mês],,0,-1)</f>
        <v>46143</v>
      </c>
      <c r="S17" s="235"/>
      <c r="T17" s="2" t="s">
        <v>48</v>
      </c>
      <c r="U1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17" s="72"/>
      <c r="W17" s="236">
        <f>IFERROR(Tb_Portfólio[[#This Row],[% EXECUTADO]]/Tb_Portfólio[[#This Row],[% PREVISTO]],0)</f>
        <v>1.0476190476190477</v>
      </c>
      <c r="X17" s="73" t="s">
        <v>226</v>
      </c>
      <c r="Y17" s="657">
        <v>448695</v>
      </c>
      <c r="Z17" s="657"/>
      <c r="AA17" s="73" t="s">
        <v>51</v>
      </c>
      <c r="AB17" s="73" t="s">
        <v>86</v>
      </c>
      <c r="AC17" s="250" t="s">
        <v>44</v>
      </c>
      <c r="AD17" s="98" t="s">
        <v>227</v>
      </c>
      <c r="AE17" s="239"/>
      <c r="AF17" s="225">
        <f t="shared" ca="1" si="1"/>
        <v>46176</v>
      </c>
      <c r="AG17" s="73" t="s">
        <v>145</v>
      </c>
      <c r="AH17" s="73" t="s">
        <v>228</v>
      </c>
      <c r="AJ17" s="79" t="str">
        <f>2024&amp;Tb_Portfólio[[#This Row],[SEI]]</f>
        <v>202402024/2024</v>
      </c>
      <c r="AK17" s="79" t="str">
        <f>IFERROR(IF(MATCH(AJ17,Atualizações!$P$1:$P$1265,0)&gt;0, "Sim"), "Não")</f>
        <v>Não</v>
      </c>
      <c r="AL17" s="79" t="str">
        <f>2025&amp;Tb_Portfólio[[#This Row],[SEI]]</f>
        <v>202502024/2024</v>
      </c>
      <c r="AM17" t="str">
        <f>IFERROR(IF(MATCH(AL17,Atualizações!$P$1:$P$2994,0)&gt;0, "Sim"), "Não")</f>
        <v>Sim</v>
      </c>
      <c r="AN17" s="79" t="str">
        <f>2026&amp;Tb_Portfólio[[#This Row],[SEI]]</f>
        <v>202602024/2024</v>
      </c>
      <c r="AO17" t="str">
        <f>IFERROR(IF(MATCH(AN17,Atualizações!$P$1:$P$2994,0)&gt;0, "Sim"), "Não")</f>
        <v>Sim</v>
      </c>
      <c r="AP17" s="79">
        <f>_xlfn.XLOOKUP(Tb_Portfólio[[#This Row],[SEI]],Tb_Atualizações[PROCESSO SEI],Tb_Atualizações[Explicações],"",0,-1)</f>
        <v>0</v>
      </c>
      <c r="AQ17" s="79" t="str">
        <f>_xlfn.XLOOKUP(Tb_Portfólio[[#This Row],[SEI]],Tb_Mapa[SEI],Tb_Mapa[CONSULTOR RESPONSÁVEL],"",0,-1)</f>
        <v xml:space="preserve">Raphael </v>
      </c>
    </row>
    <row r="18" spans="1:43" ht="120" hidden="1" customHeight="1">
      <c r="A18" s="232" t="s">
        <v>229</v>
      </c>
      <c r="B18" s="75" t="s">
        <v>230</v>
      </c>
      <c r="C18" s="75" t="s">
        <v>231</v>
      </c>
      <c r="D18" s="73"/>
      <c r="E18" s="97" t="s">
        <v>43</v>
      </c>
      <c r="F18" s="16" t="s">
        <v>44</v>
      </c>
      <c r="G18" s="19" t="s">
        <v>232</v>
      </c>
      <c r="H18" s="2" t="s">
        <v>46</v>
      </c>
      <c r="I18" s="2" t="s">
        <v>104</v>
      </c>
      <c r="J18" s="2" t="s">
        <v>146</v>
      </c>
      <c r="K18" s="2" t="s">
        <v>147</v>
      </c>
      <c r="L18" s="233">
        <v>45078</v>
      </c>
      <c r="M18" s="146">
        <v>46379</v>
      </c>
      <c r="N18" s="234">
        <f>_xlfn.XLOOKUP(Tb_Portfólio[[#This Row],[SEI]],Tb_Atualizações[PROCESSO SEI],Tb_Atualizações[% PREVISTO],"",0,-1)</f>
        <v>0.85</v>
      </c>
      <c r="O18" s="234">
        <f>_xlfn.XLOOKUP(Tb_Portfólio[[#This Row],[SEI]],Tb_Atualizações[PROCESSO SEI],Tb_Atualizações[% EXECUTADO],"",0,-1)</f>
        <v>0.66</v>
      </c>
      <c r="P18" s="147">
        <f>IFERROR(Tb_Portfólio[[#This Row],[% EXECUTADO]]/Tb_Portfólio[[#This Row],[% PREVISTO]],"0%")</f>
        <v>0.77647058823529413</v>
      </c>
      <c r="Q18" s="146">
        <f>_xlfn.XLOOKUP(Tb_Portfólio[[#This Row],[SEI]],Tb_Atualizações[PROCESSO SEI],Tb_Atualizações[DATA DE ATUALIZAÇÃO],"",0,-1)</f>
        <v>46167</v>
      </c>
      <c r="R18" s="336">
        <f>_xlfn.XLOOKUP(Tb_Portfólio[[#This Row],[SEI]],Tb_Atualizações[PROCESSO SEI],Tb_Atualizações[Mês],,0,-1)</f>
        <v>46143</v>
      </c>
      <c r="S18" s="235"/>
      <c r="T18" s="2" t="s">
        <v>48</v>
      </c>
      <c r="U18"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18" s="72"/>
      <c r="W18" s="236">
        <f>IFERROR(Tb_Portfólio[[#This Row],[% EXECUTADO]]/Tb_Portfólio[[#This Row],[% PREVISTO]],0)</f>
        <v>0.77647058823529413</v>
      </c>
      <c r="X18" s="73" t="s">
        <v>233</v>
      </c>
      <c r="Y18" s="148"/>
      <c r="Z18" s="148"/>
      <c r="AA18" s="73" t="s">
        <v>51</v>
      </c>
      <c r="AB18" s="73" t="s">
        <v>163</v>
      </c>
      <c r="AC18" s="98" t="s">
        <v>67</v>
      </c>
      <c r="AD18" s="98" t="s">
        <v>234</v>
      </c>
      <c r="AE18" s="237" t="s">
        <v>235</v>
      </c>
      <c r="AF18" s="225">
        <f t="shared" ca="1" si="1"/>
        <v>46176</v>
      </c>
      <c r="AG18" s="79" t="s">
        <v>140</v>
      </c>
      <c r="AH18" s="73" t="s">
        <v>67</v>
      </c>
      <c r="AJ18" s="79" t="str">
        <f>2024&amp;Tb_Portfólio[[#This Row],[SEI]]</f>
        <v>202402080/2023</v>
      </c>
      <c r="AK18" t="str">
        <f>IFERROR(IF(MATCH(AJ18,Atualizações!$P$1:$P$1265,0)&gt;0, "Sim"), "Não")</f>
        <v>Sim</v>
      </c>
      <c r="AL18" s="79" t="str">
        <f>2025&amp;Tb_Portfólio[[#This Row],[SEI]]</f>
        <v>202502080/2023</v>
      </c>
      <c r="AM18" t="str">
        <f>IFERROR(IF(MATCH(AL18,Atualizações!$P$1:$P$2994,0)&gt;0, "Sim"), "Não")</f>
        <v>Sim</v>
      </c>
      <c r="AN18" s="79" t="str">
        <f>2026&amp;Tb_Portfólio[[#This Row],[SEI]]</f>
        <v>202602080/2023</v>
      </c>
      <c r="AO18" t="str">
        <f>IFERROR(IF(MATCH(AN18,Atualizações!$P$1:$P$2994,0)&gt;0, "Sim"), "Não")</f>
        <v>Sim</v>
      </c>
      <c r="AP18" s="79" t="str">
        <f>_xlfn.XLOOKUP(Tb_Portfólio[[#This Row],[SEI]],Tb_Atualizações[PROCESSO SEI],Tb_Atualizações[Explicações],"",0,-1)</f>
        <v>Apesar de o projeto encontra-se em atraso, o gerente relata que o projeto encontra-se sendo executado conforme o esperado, sendo o atraso registrado decorrente de um problema na ferramenta de acompanhamento do projeto. A equipe do PNUD já está ciente da situação e encontra-se trabalhando para regularizar a ferramenta de acompanhamento.</v>
      </c>
      <c r="AQ18" s="79" t="str">
        <f>_xlfn.XLOOKUP(Tb_Portfólio[[#This Row],[SEI]],Tb_Mapa[SEI],Tb_Mapa[CONSULTOR RESPONSÁVEL],"",0,-1)</f>
        <v>Tony</v>
      </c>
    </row>
    <row r="19" spans="1:43" ht="155.25" hidden="1" customHeight="1">
      <c r="A19" s="232" t="s">
        <v>236</v>
      </c>
      <c r="B19" s="75" t="s">
        <v>237</v>
      </c>
      <c r="C19" s="73" t="s">
        <v>238</v>
      </c>
      <c r="D19" s="73"/>
      <c r="E19" s="73" t="s">
        <v>197</v>
      </c>
      <c r="F19" s="73" t="s">
        <v>67</v>
      </c>
      <c r="G19" s="73" t="s">
        <v>239</v>
      </c>
      <c r="H19" s="2" t="s">
        <v>46</v>
      </c>
      <c r="I19" s="73" t="s">
        <v>240</v>
      </c>
      <c r="J19" s="73" t="s">
        <v>241</v>
      </c>
      <c r="K19" s="2"/>
      <c r="L19" s="233">
        <v>45707</v>
      </c>
      <c r="M19" s="238">
        <v>46387</v>
      </c>
      <c r="N19" s="234">
        <f>_xlfn.XLOOKUP(Tb_Portfólio[[#This Row],[SEI]],Tb_Atualizações[PROCESSO SEI],Tb_Atualizações[% PREVISTO],"",0,-1)</f>
        <v>1</v>
      </c>
      <c r="O19" s="234">
        <f>_xlfn.XLOOKUP(Tb_Portfólio[[#This Row],[SEI]],Tb_Atualizações[PROCESSO SEI],Tb_Atualizações[% EXECUTADO],"",0,-1)</f>
        <v>0.85</v>
      </c>
      <c r="P19" s="234">
        <f>IFERROR(Tb_Portfólio[[#This Row],[% EXECUTADO]]/Tb_Portfólio[[#This Row],[% PREVISTO]],"0%")</f>
        <v>0.85</v>
      </c>
      <c r="Q19" s="73">
        <f>_xlfn.XLOOKUP(Tb_Portfólio[[#This Row],[SEI]],Tb_Atualizações[PROCESSO SEI],Tb_Atualizações[DATA DE ATUALIZAÇÃO],"",0,-1)</f>
        <v>46137</v>
      </c>
      <c r="R19" s="146">
        <f>_xlfn.XLOOKUP(Tb_Portfólio[[#This Row],[SEI]],Tb_Atualizações[PROCESSO SEI],Tb_Atualizações[Mês],,0,-1)</f>
        <v>46143</v>
      </c>
      <c r="S19" s="235"/>
      <c r="T19" s="2" t="s">
        <v>48</v>
      </c>
      <c r="U19"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19" s="72"/>
      <c r="W19" s="236">
        <f>IFERROR(Tb_Portfólio[[#This Row],[% EXECUTADO]]/Tb_Portfólio[[#This Row],[% PREVISTO]],0)</f>
        <v>0.85</v>
      </c>
      <c r="X19" s="73" t="s">
        <v>242</v>
      </c>
      <c r="Y19" s="657">
        <v>2959138.1</v>
      </c>
      <c r="Z19" s="657"/>
      <c r="AA19" s="73" t="s">
        <v>51</v>
      </c>
      <c r="AB19" s="71" t="s">
        <v>243</v>
      </c>
      <c r="AC19" s="6" t="s">
        <v>244</v>
      </c>
      <c r="AD19" s="98" t="s">
        <v>245</v>
      </c>
      <c r="AE19" s="239" t="s">
        <v>246</v>
      </c>
      <c r="AF19" s="225">
        <f t="shared" ca="1" si="1"/>
        <v>46176</v>
      </c>
      <c r="AG19" s="239"/>
      <c r="AJ19" s="79" t="str">
        <f>2024&amp;Tb_Portfólio[[#This Row],[SEI]]</f>
        <v>202402245/2025</v>
      </c>
      <c r="AK19" s="79" t="str">
        <f>IFERROR(IF(MATCH(AJ19,Atualizações!$P$1:$P$1265,0)&gt;0, "Sim"), "Não")</f>
        <v>Não</v>
      </c>
      <c r="AL19" s="79" t="str">
        <f>2025&amp;Tb_Portfólio[[#This Row],[SEI]]</f>
        <v>202502245/2025</v>
      </c>
      <c r="AM19" s="79" t="str">
        <f>IFERROR(IF(MATCH(AL19,Atualizações!$P$1:$P$2994,0)&gt;0, "Sim"), "Não")</f>
        <v>Não</v>
      </c>
      <c r="AN19" s="79" t="str">
        <f>2026&amp;Tb_Portfólio[[#This Row],[SEI]]</f>
        <v>202602245/2025</v>
      </c>
      <c r="AO19" s="79" t="str">
        <f>IFERROR(IF(MATCH(AN19,Atualizações!$P$1:$P$2994,0)&gt;0, "Sim"), "Não")</f>
        <v>Sim</v>
      </c>
      <c r="AP19" s="79" t="str">
        <f>_xlfn.XLOOKUP(Tb_Portfólio[[#This Row],[SEI]],Tb_Atualizações[PROCESSO SEI],Tb_Atualizações[Explicações],"",0,-1)</f>
        <v xml:space="preserve">Outros fatos relevantes a registrar 
 Sprint 17 - Monitorar Performance de Release 19.8.0 em Produção. 
 Incidente Redis: 
• Causado por sobrescrita/consumo incorreto de chaves no Redis e precisa de uma busca ativa para identificar a origem. 
• Aplicada correção no gateway que restaurou o funcionamento, mas uma investigação mais profunda foi solicitada aos arquitetos/DevOps. 
• Equipe do projeto identificou problemas de infraestrutura do CNJ que estão impactando o BNP. Tema escalonado ao PMO e coordenação PNUD para definição de responsabilidades. 
 Ataques, credenciais e impacto operacional: revogação massiva de credenciais após tentativas de ataque, com desabilitação preventiva e reabilitações pontuais conforme necessidade. 
 Sprint 17 — entregas e arquitetura de exportação 
• Entregue prova de conceito da exportação de processo; 
• Definida arquitetura desacoplada entre exportação e arquivo para reduzir carga no SEEU; 
• Proposta de melhorias de observabilidade aprovada e implementação do primeiro item começa 
• Sprint 6 - Remover Dependências de S3 do SEEU e liberar Versão do microsserviço de Arquivo 
• Sprint 7 - Consumir microsserviço de Arquivo Carimbado 
• Sprint 8 - Juntar Documentos - Consumir MS de Assinatura Simples e Completa 
• Sprint 9 - Preparação e entrega do microserviço de arquivos (download, upload, carimbo, assinatura) 
• Sprint 10 - Consumir URL de Assinatura nas Funcionalidades do SEEU 
• Sprint 11 - Entregar para esteira de Produção a Versão Validada para URL Pré Assinada 
• Sprint 12 – Otimização de Queries com a Master Release 19.1.10. 
• Sprint 13 - SEEU integrado a Arquivos utilizando bucket temporário e variáveis de ambiente aplicadas 
• Sprint 14 - Finalizar Épico de Otimização de Queries 
• Sprint 15 - Implementar Relatório de Expurgo de Dados 
• Sprint 16 - Teste do particionamento e coleta de indicadores 
 Medição dos benefícios do Projeto 
• Marco 1 - Medição dos benefícios (Técnico e financeiro) - Antes e Depois sempre mesmo dia da semana e horário 
• Marco 2 - Medição dos benefícios (Técnico e financeiro) - Antes e Depois sempre mesmo dia da semana e horário 
Relatório de Status Mensal de Projetos de TIC na Sprint 18. 
 Performance: Revisitados os relatórios que mostram ganhos de performance relacionados à versão 19.8 e várias otimizações. Ganhos maiores dependem de entregas represadas e do expurgo de dados que exige ambiente elástico para testes.  
 Sanitização para o CloudFront: arquivos dinâmicos removidos, mas exige testes de navegação com apoio do SEEU/negócio e aplicação das configurações por infra. 
 AWS – OS2: 
• Terá como entrega apenas o assessment via Kiro. Externalização de sessão será tratada em outra OS; 
• Não há datas formais de início/fim da OS2, o trabalho ainda está na fase de acessos, embora seja esperado um prazo curto (cerca de duas semanas); 
• Kick-off ocorrido em 22/05/2026, sexta-feira, formalizando o início da execução da OS em 25/05/2026. 
 Solicitado ajustes e correções no cronograma do projeto (PWA) ao Gerente do Projeto, em abril de 2026, visando corrigir: atividades sem informação de datas de início e término planejadas, não conformidade entre as datas de início e término reais e as datas planejadas, e duração das atividades. 
 O “%Concluído: 85%” informado neste relatório, não reflete a evolução do projeto. Os ajustes de cronograma solicitados seguem em elaboração pelo gerente do projeto. </v>
      </c>
      <c r="AQ19" s="79" t="str">
        <f>_xlfn.XLOOKUP(Tb_Portfólio[[#This Row],[SEI]],Tb_Mapa[SEI],Tb_Mapa[CONSULTOR RESPONSÁVEL],"",0,-1)</f>
        <v>Tony</v>
      </c>
    </row>
    <row r="20" spans="1:43" ht="210" hidden="1">
      <c r="A20" s="232" t="s">
        <v>247</v>
      </c>
      <c r="B20" s="241" t="s">
        <v>248</v>
      </c>
      <c r="C20" s="73" t="s">
        <v>249</v>
      </c>
      <c r="D20" s="73"/>
      <c r="E20" s="73" t="s">
        <v>43</v>
      </c>
      <c r="F20" s="73" t="s">
        <v>44</v>
      </c>
      <c r="G20" s="515" t="s">
        <v>250</v>
      </c>
      <c r="H20" s="2" t="s">
        <v>46</v>
      </c>
      <c r="I20" s="73" t="s">
        <v>251</v>
      </c>
      <c r="J20" s="73" t="s">
        <v>252</v>
      </c>
      <c r="K20" s="2" t="s">
        <v>253</v>
      </c>
      <c r="L20" s="233">
        <v>45200</v>
      </c>
      <c r="M20" s="238">
        <v>46387</v>
      </c>
      <c r="N20" s="234">
        <f>_xlfn.XLOOKUP(Tb_Portfólio[[#This Row],[SEI]],Tb_Atualizações[PROCESSO SEI],Tb_Atualizações[% PREVISTO],"",0,-1)</f>
        <v>0.8</v>
      </c>
      <c r="O20" s="234">
        <f>_xlfn.XLOOKUP(Tb_Portfólio[[#This Row],[SEI]],Tb_Atualizações[PROCESSO SEI],Tb_Atualizações[% EXECUTADO],"",0,-1)</f>
        <v>0.55000000000000004</v>
      </c>
      <c r="P20" s="147">
        <f>IFERROR(Tb_Portfólio[[#This Row],[% EXECUTADO]]/Tb_Portfólio[[#This Row],[% PREVISTO]],"0%")</f>
        <v>0.6875</v>
      </c>
      <c r="Q20" s="146">
        <f>_xlfn.XLOOKUP(Tb_Portfólio[[#This Row],[SEI]],Tb_Atualizações[PROCESSO SEI],Tb_Atualizações[DATA DE ATUALIZAÇÃO],"",0,-1)</f>
        <v>46167</v>
      </c>
      <c r="R20" s="336">
        <f>_xlfn.XLOOKUP(Tb_Portfólio[[#This Row],[SEI]],Tb_Atualizações[PROCESSO SEI],Tb_Atualizações[Mês],,0,-1)</f>
        <v>46143</v>
      </c>
      <c r="S20" s="235"/>
      <c r="T20" s="2" t="s">
        <v>48</v>
      </c>
      <c r="U20"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20" s="72"/>
      <c r="W20" s="236">
        <f>IFERROR(Tb_Portfólio[[#This Row],[% EXECUTADO]]/Tb_Portfólio[[#This Row],[% PREVISTO]],0)</f>
        <v>0.6875</v>
      </c>
      <c r="X20" s="73" t="s">
        <v>254</v>
      </c>
      <c r="Y20" s="657">
        <v>6575248.5700000003</v>
      </c>
      <c r="Z20" s="657"/>
      <c r="AA20" s="73" t="s">
        <v>51</v>
      </c>
      <c r="AB20" s="523" t="s">
        <v>179</v>
      </c>
      <c r="AC20" s="250" t="s">
        <v>44</v>
      </c>
      <c r="AD20" s="98" t="s">
        <v>255</v>
      </c>
      <c r="AE20" s="239" t="s">
        <v>256</v>
      </c>
      <c r="AF20" s="225">
        <f t="shared" ca="1" si="1"/>
        <v>46176</v>
      </c>
      <c r="AG20" s="526" t="s">
        <v>197</v>
      </c>
      <c r="AH20" s="73" t="s">
        <v>67</v>
      </c>
      <c r="AJ20" s="79" t="str">
        <f>2024&amp;Tb_Portfólio[[#This Row],[SEI]]</f>
        <v>202402394/2024</v>
      </c>
      <c r="AK20" t="str">
        <f>IFERROR(IF(MATCH(AJ20,Atualizações!$P$1:$P$1265,0)&gt;0, "Sim"), "Não")</f>
        <v>Sim</v>
      </c>
      <c r="AL20" s="79" t="str">
        <f>2025&amp;Tb_Portfólio[[#This Row],[SEI]]</f>
        <v>202502394/2024</v>
      </c>
      <c r="AM20" t="str">
        <f>IFERROR(IF(MATCH(AL20,Atualizações!$P$1:$P$2994,0)&gt;0, "Sim"), "Não")</f>
        <v>Sim</v>
      </c>
      <c r="AN20" s="79" t="str">
        <f>2026&amp;Tb_Portfólio[[#This Row],[SEI]]</f>
        <v>202602394/2024</v>
      </c>
      <c r="AO20" t="str">
        <f>IFERROR(IF(MATCH(AN20,Atualizações!$P$1:$P$2994,0)&gt;0, "Sim"), "Não")</f>
        <v>Sim</v>
      </c>
      <c r="AP20" s="79">
        <f>_xlfn.XLOOKUP(Tb_Portfólio[[#This Row],[SEI]],Tb_Atualizações[PROCESSO SEI],Tb_Atualizações[Explicações],"",0,-1)</f>
        <v>0</v>
      </c>
      <c r="AQ20" s="79" t="str">
        <f>_xlfn.XLOOKUP(Tb_Portfólio[[#This Row],[SEI]],Tb_Mapa[SEI],Tb_Mapa[CONSULTOR RESPONSÁVEL],"",0,-1)</f>
        <v>Tony</v>
      </c>
    </row>
    <row r="21" spans="1:43" ht="409.5" hidden="1">
      <c r="A21" s="232" t="s">
        <v>257</v>
      </c>
      <c r="B21" s="75" t="s">
        <v>258</v>
      </c>
      <c r="C21" s="73" t="s">
        <v>259</v>
      </c>
      <c r="D21" s="73"/>
      <c r="E21" s="244" t="s">
        <v>43</v>
      </c>
      <c r="F21" s="376" t="s">
        <v>44</v>
      </c>
      <c r="G21" s="73" t="s">
        <v>260</v>
      </c>
      <c r="H21" s="2" t="s">
        <v>46</v>
      </c>
      <c r="I21" s="73" t="s">
        <v>240</v>
      </c>
      <c r="J21" s="17" t="s">
        <v>105</v>
      </c>
      <c r="K21" s="2" t="s">
        <v>261</v>
      </c>
      <c r="L21" s="233">
        <v>45293</v>
      </c>
      <c r="M21" s="238" t="s">
        <v>262</v>
      </c>
      <c r="N21" s="234">
        <f>_xlfn.XLOOKUP(Tb_Portfólio[[#This Row],[SEI]],Tb_Atualizações[PROCESSO SEI],Tb_Atualizações[% PREVISTO],"",0,-1)</f>
        <v>0.77</v>
      </c>
      <c r="O21" s="234">
        <f>_xlfn.XLOOKUP(Tb_Portfólio[[#This Row],[SEI]],Tb_Atualizações[PROCESSO SEI],Tb_Atualizações[% EXECUTADO],"",0,-1)</f>
        <v>0.5</v>
      </c>
      <c r="P21" s="147">
        <f>IFERROR(Tb_Portfólio[[#This Row],[% EXECUTADO]]/Tb_Portfólio[[#This Row],[% PREVISTO]],"0%")</f>
        <v>0.64935064935064934</v>
      </c>
      <c r="Q21" s="146">
        <f>_xlfn.XLOOKUP(Tb_Portfólio[[#This Row],[SEI]],Tb_Atualizações[PROCESSO SEI],Tb_Atualizações[DATA DE ATUALIZAÇÃO],"",0,-1)</f>
        <v>46167</v>
      </c>
      <c r="R21" s="336">
        <f>_xlfn.XLOOKUP(Tb_Portfólio[[#This Row],[SEI]],Tb_Atualizações[PROCESSO SEI],Tb_Atualizações[Mês],,0,-1)</f>
        <v>46143</v>
      </c>
      <c r="S21" s="235"/>
      <c r="T21" s="2" t="s">
        <v>48</v>
      </c>
      <c r="U21"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21" s="72"/>
      <c r="W21" s="236">
        <f>IFERROR(Tb_Portfólio[[#This Row],[% EXECUTADO]]/Tb_Portfólio[[#This Row],[% PREVISTO]],0)</f>
        <v>0.64935064935064934</v>
      </c>
      <c r="X21" s="242" t="s">
        <v>263</v>
      </c>
      <c r="Y21" s="254">
        <v>3897842.74</v>
      </c>
      <c r="Z21" s="657"/>
      <c r="AA21" s="73" t="s">
        <v>51</v>
      </c>
      <c r="AB21" s="244" t="s">
        <v>43</v>
      </c>
      <c r="AC21" s="16" t="s">
        <v>44</v>
      </c>
      <c r="AD21" s="243" t="s">
        <v>264</v>
      </c>
      <c r="AE21" s="239" t="s">
        <v>265</v>
      </c>
      <c r="AF21" s="225">
        <f t="shared" ca="1" si="1"/>
        <v>46176</v>
      </c>
      <c r="AG21" s="73" t="s">
        <v>197</v>
      </c>
      <c r="AH21" s="73" t="s">
        <v>67</v>
      </c>
      <c r="AJ21" s="79" t="str">
        <f>2024&amp;Tb_Portfólio[[#This Row],[SEI]]</f>
        <v>202402465/2024</v>
      </c>
      <c r="AK21" t="str">
        <f>IFERROR(IF(MATCH(AJ21,Atualizações!$P$1:$P$1265,0)&gt;0, "Sim"), "Não")</f>
        <v>Sim</v>
      </c>
      <c r="AL21" s="79" t="str">
        <f>2025&amp;Tb_Portfólio[[#This Row],[SEI]]</f>
        <v>202502465/2024</v>
      </c>
      <c r="AM21" t="str">
        <f>IFERROR(IF(MATCH(AL21,Atualizações!$P$1:$P$2994,0)&gt;0, "Sim"), "Não")</f>
        <v>Sim</v>
      </c>
      <c r="AN21" s="79" t="str">
        <f>2026&amp;Tb_Portfólio[[#This Row],[SEI]]</f>
        <v>202602465/2024</v>
      </c>
      <c r="AO21" t="str">
        <f>IFERROR(IF(MATCH(AN21,Atualizações!$P$1:$P$2994,0)&gt;0, "Sim"), "Não")</f>
        <v>Sim</v>
      </c>
      <c r="AP21" s="79" t="str">
        <f>_xlfn.XLOOKUP(Tb_Portfólio[[#This Row],[SEI]],Tb_Atualizações[PROCESSO SEI],Tb_Atualizações[Explicações],"",0,-1)</f>
        <v xml:space="preserve">Entregas Realizadas:
* Realizado no período: Subida para produção da funcionalidade de Retificação de Ofício; reuniões de demonstração técnica realizadas para os tribunais TJAC, TJPB, TJMG, TJAL, TJPA, TJTO, TJRR, TJPE e TJMA.  
* Em andamento: Desenvolvimento e homologação do módulo Calculadora com regras retroativas a 2015 (IPCA-E e juros da poupança). 
Entregas planejadas para o próximo mês :
* Planejado: Formalização e publicação da portaria de criação do Grupo de Trabalho de Dados de Precatórios envolvendo a Justiça do Trabalho, CJF e TJSP. 
Outros fatos relevantes a registrar:
* A integração física com o ambiente do Data Lake está travada/pendente há três semanas por falta de disponibilização de ambiente.  
* Página oficial sobre Precatórios desatualizada no portal do CNJ.  
* Solicitação: Alocação emergencial de mais um Analista de Requisitos para suprir a alta demanda de novos tribunais aderindo ao sistema. </v>
      </c>
      <c r="AQ21" s="79" t="str">
        <f>_xlfn.XLOOKUP(Tb_Portfólio[[#This Row],[SEI]],Tb_Mapa[SEI],Tb_Mapa[CONSULTOR RESPONSÁVEL],"",0,-1)</f>
        <v>Raphael</v>
      </c>
    </row>
    <row r="22" spans="1:43" ht="75" hidden="1">
      <c r="A22" s="232" t="s">
        <v>266</v>
      </c>
      <c r="B22" s="75" t="s">
        <v>267</v>
      </c>
      <c r="C22" s="73" t="s">
        <v>268</v>
      </c>
      <c r="D22" s="73"/>
      <c r="E22" s="245" t="s">
        <v>144</v>
      </c>
      <c r="F22" s="16" t="s">
        <v>44</v>
      </c>
      <c r="G22" s="517" t="s">
        <v>269</v>
      </c>
      <c r="H22" s="2" t="s">
        <v>44</v>
      </c>
      <c r="I22" s="73" t="s">
        <v>240</v>
      </c>
      <c r="J22" s="110" t="s">
        <v>166</v>
      </c>
      <c r="K22" s="2" t="s">
        <v>270</v>
      </c>
      <c r="L22" s="233">
        <v>45344</v>
      </c>
      <c r="M22" s="238">
        <v>45590</v>
      </c>
      <c r="N22" s="234">
        <f>_xlfn.XLOOKUP(Tb_Portfólio[[#This Row],[SEI]],Tb_Atualizações[PROCESSO SEI],Tb_Atualizações[% PREVISTO],"",0,-1)</f>
        <v>1</v>
      </c>
      <c r="O22" s="234">
        <f>_xlfn.XLOOKUP(Tb_Portfólio[[#This Row],[SEI]],Tb_Atualizações[PROCESSO SEI],Tb_Atualizações[% EXECUTADO],"",0,-1)</f>
        <v>1</v>
      </c>
      <c r="P22" s="147">
        <f>IFERROR(Tb_Portfólio[[#This Row],[% EXECUTADO]]/Tb_Portfólio[[#This Row],[% PREVISTO]],"0%")</f>
        <v>1</v>
      </c>
      <c r="Q22" s="146">
        <f>_xlfn.XLOOKUP(Tb_Portfólio[[#This Row],[SEI]],Tb_Atualizações[PROCESSO SEI],Tb_Atualizações[DATA DE ATUALIZAÇÃO],"",0,-1)</f>
        <v>45714</v>
      </c>
      <c r="R22" s="336">
        <f>_xlfn.XLOOKUP(Tb_Portfólio[[#This Row],[SEI]],Tb_Atualizações[PROCESSO SEI],Tb_Atualizações[Mês],,0,-1)</f>
        <v>45689</v>
      </c>
      <c r="S22" s="235"/>
      <c r="T22" s="260"/>
      <c r="U2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22" s="72"/>
      <c r="W22" s="236">
        <f>IFERROR(Tb_Portfólio[[#This Row],[% EXECUTADO]]/Tb_Portfólio[[#This Row],[% PREVISTO]],0)</f>
        <v>1</v>
      </c>
      <c r="X22" s="242" t="s">
        <v>271</v>
      </c>
      <c r="Y22" s="148"/>
      <c r="Z22" s="657"/>
      <c r="AA22" s="73"/>
      <c r="AB22" s="73" t="s">
        <v>150</v>
      </c>
      <c r="AC22" s="2" t="s">
        <v>44</v>
      </c>
      <c r="AD22" s="660" t="s">
        <v>272</v>
      </c>
      <c r="AE22" s="270"/>
      <c r="AF22" s="225">
        <f t="shared" ca="1" si="1"/>
        <v>46176</v>
      </c>
      <c r="AG22" s="239"/>
      <c r="AJ22" s="79" t="str">
        <f>2024&amp;Tb_Portfólio[[#This Row],[SEI]]</f>
        <v>202402476/2024</v>
      </c>
      <c r="AK22" t="str">
        <f>IFERROR(IF(MATCH(AJ22,Atualizações!$P$1:$P$1265,0)&gt;0, "Sim"), "Não")</f>
        <v>Sim</v>
      </c>
      <c r="AL22" s="79" t="str">
        <f>2025&amp;Tb_Portfólio[[#This Row],[SEI]]</f>
        <v>202502476/2024</v>
      </c>
      <c r="AM22" t="str">
        <f>IFERROR(IF(MATCH(AL22,Atualizações!$P$1:$P$2994,0)&gt;0, "Sim"), "Não")</f>
        <v>Sim</v>
      </c>
      <c r="AN22" s="79" t="str">
        <f>2026&amp;Tb_Portfólio[[#This Row],[SEI]]</f>
        <v>202602476/2024</v>
      </c>
      <c r="AO22" t="str">
        <f>IFERROR(IF(MATCH(AN22,Atualizações!$P$1:$P$2994,0)&gt;0, "Sim"), "Não")</f>
        <v>Não</v>
      </c>
      <c r="AP22" s="79" t="str">
        <f>_xlfn.XLOOKUP(Tb_Portfólio[[#This Row],[SEI]],Tb_Atualizações[PROCESSO SEI],Tb_Atualizações[Explicações],"",0,-1)</f>
        <v>Projeto concluído com a entrega do TEP. Resultados da itinerância disponíveis no relatório 2101807, páginas 63 a 138</v>
      </c>
      <c r="AQ22" s="79" t="str">
        <f>_xlfn.XLOOKUP(Tb_Portfólio[[#This Row],[SEI]],Tb_Mapa[SEI],Tb_Mapa[CONSULTOR RESPONSÁVEL],"",0,-1)</f>
        <v>Igor/Finalizado</v>
      </c>
    </row>
    <row r="23" spans="1:43" ht="165" hidden="1">
      <c r="A23" s="232" t="s">
        <v>273</v>
      </c>
      <c r="B23" s="75" t="s">
        <v>274</v>
      </c>
      <c r="C23" s="73" t="s">
        <v>275</v>
      </c>
      <c r="D23" s="73"/>
      <c r="E23" s="73" t="s">
        <v>276</v>
      </c>
      <c r="F23" s="16" t="s">
        <v>44</v>
      </c>
      <c r="G23" s="73" t="s">
        <v>45</v>
      </c>
      <c r="H23" s="2" t="s">
        <v>46</v>
      </c>
      <c r="I23" s="73" t="s">
        <v>165</v>
      </c>
      <c r="J23" s="3" t="s">
        <v>120</v>
      </c>
      <c r="K23" s="2" t="s">
        <v>147</v>
      </c>
      <c r="L23" s="233">
        <v>45293</v>
      </c>
      <c r="M23" s="146">
        <v>46022</v>
      </c>
      <c r="N23" s="234">
        <f>_xlfn.XLOOKUP(Tb_Portfólio[[#This Row],[SEI]],Tb_Atualizações[PROCESSO SEI],Tb_Atualizações[% PREVISTO],"",0,-1)</f>
        <v>0.85</v>
      </c>
      <c r="O23" s="234">
        <f>_xlfn.XLOOKUP(Tb_Portfólio[[#This Row],[SEI]],Tb_Atualizações[PROCESSO SEI],Tb_Atualizações[% EXECUTADO],"",0,-1)</f>
        <v>0.76</v>
      </c>
      <c r="P23" s="147">
        <f>IFERROR(Tb_Portfólio[[#This Row],[% EXECUTADO]]/Tb_Portfólio[[#This Row],[% PREVISTO]],"0%")</f>
        <v>0.89411764705882357</v>
      </c>
      <c r="Q23" s="146">
        <f>_xlfn.XLOOKUP(Tb_Portfólio[[#This Row],[SEI]],Tb_Atualizações[PROCESSO SEI],Tb_Atualizações[DATA DE ATUALIZAÇÃO],"",0,-1)</f>
        <v>45985</v>
      </c>
      <c r="R23" s="336">
        <f>_xlfn.XLOOKUP(Tb_Portfólio[[#This Row],[SEI]],Tb_Atualizações[PROCESSO SEI],Tb_Atualizações[Mês],,0,-1)</f>
        <v>45962</v>
      </c>
      <c r="S23" s="235"/>
      <c r="T23" s="2" t="s">
        <v>48</v>
      </c>
      <c r="U23" s="235" t="s">
        <v>277</v>
      </c>
      <c r="V23" s="72"/>
      <c r="W23" s="236">
        <f>IFERROR(Tb_Portfólio[[#This Row],[% EXECUTADO]]/Tb_Portfólio[[#This Row],[% PREVISTO]],0)</f>
        <v>0.89411764705882357</v>
      </c>
      <c r="X23" s="73" t="s">
        <v>278</v>
      </c>
      <c r="Y23" s="148">
        <v>2733325.28</v>
      </c>
      <c r="Z23" s="657"/>
      <c r="AA23" s="73" t="s">
        <v>51</v>
      </c>
      <c r="AB23" s="73" t="s">
        <v>279</v>
      </c>
      <c r="AC23" s="250" t="s">
        <v>44</v>
      </c>
      <c r="AD23" s="98" t="s">
        <v>280</v>
      </c>
      <c r="AE23" s="239"/>
      <c r="AF23" s="225">
        <f t="shared" ca="1" si="1"/>
        <v>46176</v>
      </c>
      <c r="AG23" s="239" t="s">
        <v>95</v>
      </c>
      <c r="AH23" s="79" t="s">
        <v>92</v>
      </c>
      <c r="AJ23" s="79" t="str">
        <f>2024&amp;Tb_Portfólio[[#This Row],[SEI]]</f>
        <v>202402483/2023</v>
      </c>
      <c r="AK23" t="str">
        <f>IFERROR(IF(MATCH(AJ23,Atualizações!$P$1:$P$1265,0)&gt;0, "Sim"), "Não")</f>
        <v>Sim</v>
      </c>
      <c r="AL23" s="79" t="str">
        <f>2025&amp;Tb_Portfólio[[#This Row],[SEI]]</f>
        <v>202502483/2023</v>
      </c>
      <c r="AM23" t="str">
        <f>IFERROR(IF(MATCH(AL23,Atualizações!$P$1:$P$2994,0)&gt;0, "Sim"), "Não")</f>
        <v>Sim</v>
      </c>
      <c r="AN23" s="79" t="str">
        <f>2026&amp;Tb_Portfólio[[#This Row],[SEI]]</f>
        <v>202602483/2023</v>
      </c>
      <c r="AO23" t="str">
        <f>IFERROR(IF(MATCH(AN23,Atualizações!$P$1:$P$2994,0)&gt;0, "Sim"), "Não")</f>
        <v>Não</v>
      </c>
      <c r="AP23" s="79">
        <f>_xlfn.XLOOKUP(Tb_Portfólio[[#This Row],[SEI]],Tb_Atualizações[PROCESSO SEI],Tb_Atualizações[Explicações],"",0,-1)</f>
        <v>0</v>
      </c>
      <c r="AQ23" s="79" t="str">
        <f>_xlfn.XLOOKUP(Tb_Portfólio[[#This Row],[SEI]],Tb_Mapa[SEI],Tb_Mapa[CONSULTOR RESPONSÁVEL],"",0,-1)</f>
        <v>Igor</v>
      </c>
    </row>
    <row r="24" spans="1:43" ht="195" hidden="1">
      <c r="A24" s="232" t="s">
        <v>281</v>
      </c>
      <c r="B24" s="75" t="s">
        <v>282</v>
      </c>
      <c r="C24" s="73" t="s">
        <v>283</v>
      </c>
      <c r="D24" s="73"/>
      <c r="E24" s="73" t="s">
        <v>284</v>
      </c>
      <c r="F24" s="73" t="s">
        <v>67</v>
      </c>
      <c r="G24" s="73" t="s">
        <v>285</v>
      </c>
      <c r="H24" s="2" t="s">
        <v>46</v>
      </c>
      <c r="I24" s="73" t="s">
        <v>286</v>
      </c>
      <c r="J24" s="79" t="s">
        <v>287</v>
      </c>
      <c r="K24" s="2" t="s">
        <v>288</v>
      </c>
      <c r="L24" s="233">
        <v>45922</v>
      </c>
      <c r="M24" s="238">
        <v>47118</v>
      </c>
      <c r="N24" s="234">
        <f>_xlfn.XLOOKUP(Tb_Portfólio[[#This Row],[SEI]],Tb_Atualizações[PROCESSO SEI],Tb_Atualizações[% PREVISTO],"",0,-1)</f>
        <v>0</v>
      </c>
      <c r="O24" s="234">
        <f>_xlfn.XLOOKUP(Tb_Portfólio[[#This Row],[SEI]],Tb_Atualizações[PROCESSO SEI],Tb_Atualizações[% EXECUTADO],"",0,-1)</f>
        <v>0</v>
      </c>
      <c r="P24" s="234" t="str">
        <f>IFERROR(Tb_Portfólio[[#This Row],[% EXECUTADO]]/Tb_Portfólio[[#This Row],[% PREVISTO]],"0%")</f>
        <v>0%</v>
      </c>
      <c r="Q24" s="146">
        <f>_xlfn.XLOOKUP(Tb_Portfólio[[#This Row],[SEI]],Tb_Atualizações[PROCESSO SEI],Tb_Atualizações[DATA DE ATUALIZAÇÃO],"",0,-1)</f>
        <v>46036</v>
      </c>
      <c r="R24" s="146">
        <f>_xlfn.XLOOKUP(Tb_Portfólio[[#This Row],[SEI]],Tb_Atualizações[PROCESSO SEI],Tb_Atualizações[Mês],,0,-1)</f>
        <v>45901</v>
      </c>
      <c r="S24" s="235"/>
      <c r="T24" s="2"/>
      <c r="U24"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24" s="72"/>
      <c r="W24" s="236">
        <f>IFERROR(Tb_Portfólio[[#This Row],[% EXECUTADO]]/Tb_Portfólio[[#This Row],[% PREVISTO]],0)</f>
        <v>0</v>
      </c>
      <c r="X24" s="73"/>
      <c r="Y24" s="657">
        <v>255149966.78</v>
      </c>
      <c r="Z24" s="657"/>
      <c r="AA24" s="73"/>
      <c r="AB24" s="73" t="s">
        <v>43</v>
      </c>
      <c r="AC24" s="98" t="s">
        <v>44</v>
      </c>
      <c r="AD24" s="98" t="s">
        <v>289</v>
      </c>
      <c r="AE24" s="239"/>
      <c r="AF24" s="225">
        <f t="shared" ca="1" si="1"/>
        <v>46176</v>
      </c>
      <c r="AJ24" s="79" t="str">
        <f>2024&amp;Tb_Portfólio[[#This Row],[SEI]]</f>
        <v>202402626/2025</v>
      </c>
      <c r="AK24" s="79" t="str">
        <f>IFERROR(IF(MATCH(AJ24,Atualizações!$P$1:$P$1265,0)&gt;0, "Sim"), "Não")</f>
        <v>Não</v>
      </c>
      <c r="AL24" s="79" t="str">
        <f>2025&amp;Tb_Portfólio[[#This Row],[SEI]]</f>
        <v>202502626/2025</v>
      </c>
      <c r="AM24" t="str">
        <f>IFERROR(IF(MATCH(AL24,Atualizações!$P$1:$P$2994,0)&gt;0, "Sim"), "Não")</f>
        <v>Sim</v>
      </c>
      <c r="AN24" s="79" t="str">
        <f>2026&amp;Tb_Portfólio[[#This Row],[SEI]]</f>
        <v>202602626/2025</v>
      </c>
      <c r="AO24" t="str">
        <f>IFERROR(IF(MATCH(AN24,Atualizações!$P$1:$P$2994,0)&gt;0, "Sim"), "Não")</f>
        <v>Sim</v>
      </c>
      <c r="AP24" s="79" t="str">
        <f>_xlfn.XLOOKUP(Tb_Portfólio[[#This Row],[SEI]],Tb_Atualizações[PROCESSO SEI],Tb_Atualizações[Explicações],"",0,-1)</f>
        <v>Medição duplicada para inserir os dados no portfólio de 2026</v>
      </c>
      <c r="AQ24" s="79" t="str">
        <f>_xlfn.XLOOKUP(Tb_Portfólio[[#This Row],[SEI]],Tb_Mapa[SEI],Tb_Mapa[CONSULTOR RESPONSÁVEL],"",0,-1)</f>
        <v>Tony / Cris</v>
      </c>
    </row>
    <row r="25" spans="1:43" ht="90" hidden="1">
      <c r="A25" s="232" t="s">
        <v>290</v>
      </c>
      <c r="B25" s="75" t="s">
        <v>291</v>
      </c>
      <c r="C25" s="73" t="s">
        <v>292</v>
      </c>
      <c r="D25" s="73"/>
      <c r="E25" s="246" t="s">
        <v>144</v>
      </c>
      <c r="F25" s="16" t="s">
        <v>44</v>
      </c>
      <c r="G25" s="73" t="s">
        <v>293</v>
      </c>
      <c r="H25" s="255" t="s">
        <v>44</v>
      </c>
      <c r="I25" s="73" t="s">
        <v>240</v>
      </c>
      <c r="J25" s="73" t="s">
        <v>294</v>
      </c>
      <c r="K25" s="2" t="s">
        <v>295</v>
      </c>
      <c r="L25" s="233">
        <v>45714</v>
      </c>
      <c r="M25" s="238">
        <v>45912</v>
      </c>
      <c r="N25" s="234">
        <f>_xlfn.XLOOKUP(Tb_Portfólio[[#This Row],[SEI]],Tb_Atualizações[PROCESSO SEI],Tb_Atualizações[% PREVISTO],"",0,-1)</f>
        <v>1</v>
      </c>
      <c r="O25" s="234">
        <f>_xlfn.XLOOKUP(Tb_Portfólio[[#This Row],[SEI]],Tb_Atualizações[PROCESSO SEI],Tb_Atualizações[% EXECUTADO],"",0,-1)</f>
        <v>1</v>
      </c>
      <c r="P25" s="147">
        <f>IFERROR(Tb_Portfólio[[#This Row],[% EXECUTADO]]/Tb_Portfólio[[#This Row],[% PREVISTO]],"0%")</f>
        <v>1</v>
      </c>
      <c r="Q25" s="146">
        <f>_xlfn.XLOOKUP(Tb_Portfólio[[#This Row],[SEI]],Tb_Atualizações[PROCESSO SEI],Tb_Atualizações[DATA DE ATUALIZAÇÃO],"",0,-1)</f>
        <v>45925</v>
      </c>
      <c r="R25" s="336">
        <f>_xlfn.XLOOKUP(Tb_Portfólio[[#This Row],[SEI]],Tb_Atualizações[PROCESSO SEI],Tb_Atualizações[Mês],,0,-1)</f>
        <v>45901</v>
      </c>
      <c r="S25" s="235"/>
      <c r="T25" s="2"/>
      <c r="U25"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25" s="72"/>
      <c r="W25" s="236">
        <f>IFERROR(Tb_Portfólio[[#This Row],[% EXECUTADO]]/Tb_Portfólio[[#This Row],[% PREVISTO]],0)</f>
        <v>1</v>
      </c>
      <c r="X25" s="73" t="s">
        <v>296</v>
      </c>
      <c r="Y25" s="657"/>
      <c r="Z25" s="657"/>
      <c r="AA25" s="73"/>
      <c r="AB25" s="73" t="s">
        <v>150</v>
      </c>
      <c r="AC25" s="250" t="s">
        <v>44</v>
      </c>
      <c r="AD25" s="98" t="s">
        <v>297</v>
      </c>
      <c r="AE25" s="239"/>
      <c r="AF25" s="225">
        <f t="shared" ca="1" si="1"/>
        <v>46176</v>
      </c>
      <c r="AG25" s="73"/>
      <c r="AH25" s="73"/>
      <c r="AJ25" s="79" t="str">
        <f>2024&amp;Tb_Portfólio[[#This Row],[SEI]]</f>
        <v>202402633/2025</v>
      </c>
      <c r="AK25" s="79" t="str">
        <f>IFERROR(IF(MATCH(AJ25,Atualizações!$P$1:$P$1265,0)&gt;0, "Sim"), "Não")</f>
        <v>Não</v>
      </c>
      <c r="AL25" s="79" t="str">
        <f>2025&amp;Tb_Portfólio[[#This Row],[SEI]]</f>
        <v>202502633/2025</v>
      </c>
      <c r="AM25" t="str">
        <f>IFERROR(IF(MATCH(AL25,Atualizações!$P$1:$P$2994,0)&gt;0, "Sim"), "Não")</f>
        <v>Sim</v>
      </c>
      <c r="AN25" s="79" t="str">
        <f>2026&amp;Tb_Portfólio[[#This Row],[SEI]]</f>
        <v>202602633/2025</v>
      </c>
      <c r="AO25" t="str">
        <f>IFERROR(IF(MATCH(AN25,Atualizações!$P$1:$P$2994,0)&gt;0, "Sim"), "Não")</f>
        <v>Não</v>
      </c>
      <c r="AP25" s="79" t="str">
        <f>_xlfn.XLOOKUP(Tb_Portfólio[[#This Row],[SEI]],Tb_Atualizações[PROCESSO SEI],Tb_Atualizações[Explicações],"",0,-1)</f>
        <v>TEP recebido.</v>
      </c>
      <c r="AQ25" s="79" t="str">
        <f>_xlfn.XLOOKUP(Tb_Portfólio[[#This Row],[SEI]],Tb_Mapa[SEI],Tb_Mapa[CONSULTOR RESPONSÁVEL],"",0,-1)</f>
        <v>Raphael/ CRIS</v>
      </c>
    </row>
    <row r="26" spans="1:43" ht="120" hidden="1">
      <c r="A26" s="232" t="s">
        <v>298</v>
      </c>
      <c r="B26" s="75" t="s">
        <v>299</v>
      </c>
      <c r="C26" s="2" t="s">
        <v>300</v>
      </c>
      <c r="D26" s="73"/>
      <c r="E26" s="73" t="s">
        <v>301</v>
      </c>
      <c r="F26" s="73" t="s">
        <v>302</v>
      </c>
      <c r="G26" s="2" t="s">
        <v>303</v>
      </c>
      <c r="H26" s="2" t="s">
        <v>304</v>
      </c>
      <c r="I26" s="2" t="s">
        <v>305</v>
      </c>
      <c r="J26" s="2" t="s">
        <v>120</v>
      </c>
      <c r="K26" s="2" t="s">
        <v>306</v>
      </c>
      <c r="L26" s="233">
        <v>44959</v>
      </c>
      <c r="M26" s="238">
        <v>45485</v>
      </c>
      <c r="N26" s="234">
        <f>_xlfn.XLOOKUP(Tb_Portfólio[[#This Row],[SEI]],Tb_Atualizações[PROCESSO SEI],Tb_Atualizações[% PREVISTO],"",0,-1)</f>
        <v>1</v>
      </c>
      <c r="O26" s="234">
        <f>_xlfn.XLOOKUP(Tb_Portfólio[[#This Row],[SEI]],Tb_Atualizações[PROCESSO SEI],Tb_Atualizações[% EXECUTADO],"",0,-1)</f>
        <v>1</v>
      </c>
      <c r="P26" s="147">
        <f>IFERROR(Tb_Portfólio[[#This Row],[% EXECUTADO]]/Tb_Portfólio[[#This Row],[% PREVISTO]],"0%")</f>
        <v>1</v>
      </c>
      <c r="Q26" s="146">
        <f>_xlfn.XLOOKUP(Tb_Portfólio[[#This Row],[SEI]],Tb_Atualizações[PROCESSO SEI],Tb_Atualizações[DATA DE ATUALIZAÇÃO],"",0,-1)</f>
        <v>45645</v>
      </c>
      <c r="R26" s="336">
        <f>_xlfn.XLOOKUP(Tb_Portfólio[[#This Row],[SEI]],Tb_Atualizações[PROCESSO SEI],Tb_Atualizações[Mês],,0,-1)</f>
        <v>45627</v>
      </c>
      <c r="S26" s="235"/>
      <c r="T26" s="2"/>
      <c r="U26"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26" s="72"/>
      <c r="W26" s="236">
        <f>IFERROR(Tb_Portfólio[[#This Row],[% EXECUTADO]]/Tb_Portfólio[[#This Row],[% PREVISTO]],0)</f>
        <v>1</v>
      </c>
      <c r="X26" s="73"/>
      <c r="Y26" s="148"/>
      <c r="Z26" s="148"/>
      <c r="AA26" s="73"/>
      <c r="AB26" s="73" t="s">
        <v>307</v>
      </c>
      <c r="AC26" s="73" t="s">
        <v>302</v>
      </c>
      <c r="AD26" s="98" t="s">
        <v>308</v>
      </c>
      <c r="AE26" s="237" t="s">
        <v>309</v>
      </c>
      <c r="AF26" s="225">
        <f t="shared" ca="1" si="1"/>
        <v>46176</v>
      </c>
      <c r="AG26" s="239"/>
      <c r="AJ26" s="79" t="str">
        <f>2024&amp;Tb_Portfólio[[#This Row],[SEI]]</f>
        <v>202402660/2023</v>
      </c>
      <c r="AK26" t="str">
        <f>IFERROR(IF(MATCH(AJ26,Atualizações!$P$1:$P$1265,0)&gt;0, "Sim"), "Não")</f>
        <v>Sim</v>
      </c>
      <c r="AL26" s="79" t="str">
        <f>2025&amp;Tb_Portfólio[[#This Row],[SEI]]</f>
        <v>202502660/2023</v>
      </c>
      <c r="AM26" t="str">
        <f>IFERROR(IF(MATCH(AL26,Atualizações!$P$1:$P$2994,0)&gt;0, "Sim"), "Não")</f>
        <v>Não</v>
      </c>
      <c r="AN26" s="79" t="str">
        <f>2026&amp;Tb_Portfólio[[#This Row],[SEI]]</f>
        <v>202602660/2023</v>
      </c>
      <c r="AO26" t="str">
        <f>IFERROR(IF(MATCH(AN26,Atualizações!$P$1:$P$2994,0)&gt;0, "Sim"), "Não")</f>
        <v>Não</v>
      </c>
      <c r="AP26" s="79">
        <f>_xlfn.XLOOKUP(Tb_Portfólio[[#This Row],[SEI]],Tb_Atualizações[PROCESSO SEI],Tb_Atualizações[Explicações],"",0,-1)</f>
        <v>0</v>
      </c>
      <c r="AQ26" s="79" t="str">
        <f>_xlfn.XLOOKUP(Tb_Portfólio[[#This Row],[SEI]],Tb_Mapa[SEI],Tb_Mapa[CONSULTOR RESPONSÁVEL],"",0,-1)</f>
        <v>Igor/Finalizado</v>
      </c>
    </row>
    <row r="27" spans="1:43" ht="409.5" hidden="1">
      <c r="A27" s="149" t="s">
        <v>310</v>
      </c>
      <c r="B27" s="103" t="s">
        <v>311</v>
      </c>
      <c r="C27" s="73" t="s">
        <v>312</v>
      </c>
      <c r="D27" s="73"/>
      <c r="E27" s="321" t="s">
        <v>66</v>
      </c>
      <c r="F27" s="348" t="s">
        <v>67</v>
      </c>
      <c r="G27" s="97" t="s">
        <v>61</v>
      </c>
      <c r="H27" s="7" t="s">
        <v>46</v>
      </c>
      <c r="I27" s="7" t="s">
        <v>313</v>
      </c>
      <c r="J27" s="112" t="s">
        <v>176</v>
      </c>
      <c r="K27" s="7" t="s">
        <v>314</v>
      </c>
      <c r="L27" s="256">
        <v>45200</v>
      </c>
      <c r="M27" s="257">
        <v>46387</v>
      </c>
      <c r="N27" s="234">
        <f>_xlfn.XLOOKUP(Tb_Portfólio[[#This Row],[SEI]],Tb_Atualizações[PROCESSO SEI],Tb_Atualizações[% PREVISTO],"",0,-1)</f>
        <v>0.8</v>
      </c>
      <c r="O27" s="234">
        <f>_xlfn.XLOOKUP(Tb_Portfólio[[#This Row],[SEI]],Tb_Atualizações[PROCESSO SEI],Tb_Atualizações[% EXECUTADO],"",0,-1)</f>
        <v>0.8</v>
      </c>
      <c r="P27" s="147">
        <f>IFERROR(Tb_Portfólio[[#This Row],[% EXECUTADO]]/Tb_Portfólio[[#This Row],[% PREVISTO]],"0%")</f>
        <v>1</v>
      </c>
      <c r="Q27" s="146">
        <f>_xlfn.XLOOKUP(Tb_Portfólio[[#This Row],[SEI]],Tb_Atualizações[PROCESSO SEI],Tb_Atualizações[DATA DE ATUALIZAÇÃO],"",0,-1)</f>
        <v>46137</v>
      </c>
      <c r="R27" s="336">
        <f>_xlfn.XLOOKUP(Tb_Portfólio[[#This Row],[SEI]],Tb_Atualizações[PROCESSO SEI],Tb_Atualizações[Mês],,0,-1)</f>
        <v>46143</v>
      </c>
      <c r="S27" s="259"/>
      <c r="T27" s="2" t="s">
        <v>48</v>
      </c>
      <c r="U2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27" s="76"/>
      <c r="W27" s="236">
        <f>IFERROR(Tb_Portfólio[[#This Row],[% EXECUTADO]]/Tb_Portfólio[[#This Row],[% PREVISTO]],0)</f>
        <v>1</v>
      </c>
      <c r="X27" s="261" t="s">
        <v>315</v>
      </c>
      <c r="Y27" s="652">
        <v>1182811.3400000001</v>
      </c>
      <c r="Z27" s="652"/>
      <c r="AA27" s="97" t="s">
        <v>51</v>
      </c>
      <c r="AB27" s="349" t="s">
        <v>179</v>
      </c>
      <c r="AC27" s="255" t="s">
        <v>44</v>
      </c>
      <c r="AD27" s="527" t="s">
        <v>316</v>
      </c>
      <c r="AE27" s="239" t="s">
        <v>317</v>
      </c>
      <c r="AF27" s="225">
        <f t="shared" ca="1" si="1"/>
        <v>46176</v>
      </c>
      <c r="AG27" t="s">
        <v>197</v>
      </c>
      <c r="AH27" s="73" t="s">
        <v>67</v>
      </c>
      <c r="AJ27" s="79" t="str">
        <f>2024&amp;Tb_Portfólio[[#This Row],[SEI]]</f>
        <v>202402887/2024</v>
      </c>
      <c r="AK27" t="str">
        <f>IFERROR(IF(MATCH(AJ27,Atualizações!$P$1:$P$1265,0)&gt;0, "Sim"), "Não")</f>
        <v>Sim</v>
      </c>
      <c r="AL27" s="79" t="str">
        <f>2025&amp;Tb_Portfólio[[#This Row],[SEI]]</f>
        <v>202502887/2024</v>
      </c>
      <c r="AM27" t="str">
        <f>IFERROR(IF(MATCH(AL27,Atualizações!$P$1:$P$2994,0)&gt;0, "Sim"), "Não")</f>
        <v>Sim</v>
      </c>
      <c r="AN27" s="79" t="str">
        <f>2026&amp;Tb_Portfólio[[#This Row],[SEI]]</f>
        <v>202602887/2024</v>
      </c>
      <c r="AO27" t="str">
        <f>IFERROR(IF(MATCH(AN27,Atualizações!$P$1:$P$2994,0)&gt;0, "Sim"), "Não")</f>
        <v>Sim</v>
      </c>
      <c r="AP27" s="79" t="str">
        <f>_xlfn.XLOOKUP(Tb_Portfólio[[#This Row],[SEI]],Tb_Atualizações[PROCESSO SEI],Tb_Atualizações[Explicações],"",0,-1)</f>
        <v xml:space="preserve">▪ Etapa atual: Atendimento N2 e Apoio técnico (sistemas/soluções desenvolvidas pelo PNUD). 
▪ Soluções em atendimento – Suporte Nível 2 em andamento: 
• BNMP; 
• CODEX; 
• Consulta Nacional de Pessoas; 
• Delegação de Perfil; 
• Domicílio Judicial Eletrônico; 
• INTEGRA; 
• Integração PDPJ; 
• Serviços Estruturantes; 
• SISPERJUD; 
• SNA; 
• SISPREQ; 
• SPVATJUD. 
▪ Tarefas N2 atendidas: 
• 186 tarefas no período de 15 a 21/05/2026; 
• 225 tarefas no período anterior. 
▪ Tarefas N2 criadas: 
• 172 tarefas no período de 15 a 21/05/2026; 
• 267 tarefas no período anterior. 
▪ Tarefas N2 pendentes: 
• 86 tarefas em 21/05/2026; 
• 85 tarefas no período anterior. 
▪ Sistemas mais demandados pelo Time de Apoio no período de 15 a 21/05/2026: 
• BNMP:  
o 75 tarefas criadas; 
o 105 tarefas atendidas; 
o Maior ofensor: erros de servidor (500/403/404), travamento de tela em carregamento, falhas na finalização de peças e bugs de integração de lotação; 
o Impossibilidade de inclusão de CPF, duplicidade de nomes de genitores e ajustes em registros de irmãos gêmeos; 
o Dúvidas sobre o novo fluxo de exclusão, regras de unificação de RJI, cadastro de CPFs e orientações sobre alertas de monitoramento; 
o Mensagens de "HTTP ERROR 404" e "Status 500" no ambiente de produção e testes; 
o Ponto crítico identificado: ID 220744 - trata de um cumprimento fraudulento de mandado de prisão decorrente de uma invasão no sistema. 
• Domicílio Judicial Eletrônico: 
o 35 tarefas criadas; 
o 32 tarefas atendidas; 
o Maior ofensor: solicitações de informações relacionadas ao DJE, acesso, perfil, coligadas e notificações por email; 
o Problemas relacionados a instabilidades temporárias do DJE; 
o Solicitação direcionadas para outras filas, exemplo: perguntas sobre autenticação de duas etapas; 
o Usuários com dificuldade para visualizar comunicações processuais devido à ausência de permissão ou ao não recebimento das comunicações; </v>
      </c>
      <c r="AQ27" s="79" t="str">
        <f>_xlfn.XLOOKUP(Tb_Portfólio[[#This Row],[SEI]],Tb_Mapa[SEI],Tb_Mapa[CONSULTOR RESPONSÁVEL],"",0,-1)</f>
        <v>juloi</v>
      </c>
    </row>
    <row r="28" spans="1:43" ht="75" hidden="1">
      <c r="A28" s="149" t="s">
        <v>318</v>
      </c>
      <c r="B28" s="103" t="s">
        <v>319</v>
      </c>
      <c r="C28" s="97" t="s">
        <v>320</v>
      </c>
      <c r="D28" s="97"/>
      <c r="E28" s="73" t="s">
        <v>163</v>
      </c>
      <c r="F28" s="7" t="s">
        <v>67</v>
      </c>
      <c r="G28" s="129" t="s">
        <v>321</v>
      </c>
      <c r="H28" s="7" t="s">
        <v>46</v>
      </c>
      <c r="I28" s="97" t="s">
        <v>75</v>
      </c>
      <c r="J28" s="112" t="s">
        <v>105</v>
      </c>
      <c r="K28" s="7" t="s">
        <v>314</v>
      </c>
      <c r="L28" s="262">
        <v>45170</v>
      </c>
      <c r="M28" s="257">
        <v>45473</v>
      </c>
      <c r="N28" s="234">
        <f>_xlfn.XLOOKUP(Tb_Portfólio[[#This Row],[SEI]],Tb_Atualizações[PROCESSO SEI],Tb_Atualizações[% PREVISTO],"",0,-1)</f>
        <v>1</v>
      </c>
      <c r="O28" s="234">
        <f>_xlfn.XLOOKUP(Tb_Portfólio[[#This Row],[SEI]],Tb_Atualizações[PROCESSO SEI],Tb_Atualizações[% EXECUTADO],"",0,-1)</f>
        <v>1</v>
      </c>
      <c r="P28" s="147">
        <f>IFERROR(Tb_Portfólio[[#This Row],[% EXECUTADO]]/Tb_Portfólio[[#This Row],[% PREVISTO]],"0%")</f>
        <v>1</v>
      </c>
      <c r="Q28" s="146">
        <f>_xlfn.XLOOKUP(Tb_Portfólio[[#This Row],[SEI]],Tb_Atualizações[PROCESSO SEI],Tb_Atualizações[DATA DE ATUALIZAÇÃO],"",0,-1)</f>
        <v>45576</v>
      </c>
      <c r="R28" s="336">
        <f>_xlfn.XLOOKUP(Tb_Portfólio[[#This Row],[SEI]],Tb_Atualizações[PROCESSO SEI],Tb_Atualizações[Mês],,0,-1)</f>
        <v>45536</v>
      </c>
      <c r="S28" s="259"/>
      <c r="T28" s="2" t="s">
        <v>48</v>
      </c>
      <c r="U28"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28" s="95"/>
      <c r="W28" s="236">
        <f>IFERROR(Tb_Portfólio[[#This Row],[% EXECUTADO]]/Tb_Portfólio[[#This Row],[% PREVISTO]],0)</f>
        <v>1</v>
      </c>
      <c r="X28" s="97"/>
      <c r="Y28" s="328">
        <v>279886.73</v>
      </c>
      <c r="Z28" s="652"/>
      <c r="AA28" s="73" t="s">
        <v>51</v>
      </c>
      <c r="AB28" s="349" t="s">
        <v>179</v>
      </c>
      <c r="AC28" s="349" t="s">
        <v>44</v>
      </c>
      <c r="AD28" s="263"/>
      <c r="AE28" s="239"/>
      <c r="AF28" s="225">
        <f t="shared" ca="1" si="1"/>
        <v>46176</v>
      </c>
      <c r="AG28" t="s">
        <v>197</v>
      </c>
      <c r="AH28" s="79" t="s">
        <v>67</v>
      </c>
      <c r="AJ28" s="79" t="str">
        <f>2024&amp;Tb_Portfólio[[#This Row],[SEI]]</f>
        <v>202402888/2024</v>
      </c>
      <c r="AK28" t="str">
        <f>IFERROR(IF(MATCH(AJ28,Atualizações!$P$1:$P$1265,0)&gt;0, "Sim"), "Não")</f>
        <v>Sim</v>
      </c>
      <c r="AL28" s="79" t="str">
        <f>2025&amp;Tb_Portfólio[[#This Row],[SEI]]</f>
        <v>202502888/2024</v>
      </c>
      <c r="AM28" t="str">
        <f>IFERROR(IF(MATCH(AL28,Atualizações!$P$1:$P$2994,0)&gt;0, "Sim"), "Não")</f>
        <v>Não</v>
      </c>
      <c r="AN28" s="79" t="str">
        <f>2026&amp;Tb_Portfólio[[#This Row],[SEI]]</f>
        <v>202602888/2024</v>
      </c>
      <c r="AO28" t="str">
        <f>IFERROR(IF(MATCH(AN28,Atualizações!$P$1:$P$2994,0)&gt;0, "Sim"), "Não")</f>
        <v>Não</v>
      </c>
      <c r="AP28" s="79">
        <f>_xlfn.XLOOKUP(Tb_Portfólio[[#This Row],[SEI]],Tb_Atualizações[PROCESSO SEI],Tb_Atualizações[Explicações],"",0,-1)</f>
        <v>0</v>
      </c>
      <c r="AQ28" s="79" t="str">
        <f>_xlfn.XLOOKUP(Tb_Portfólio[[#This Row],[SEI]],Tb_Mapa[SEI],Tb_Mapa[CONSULTOR RESPONSÁVEL],"",0,-1)</f>
        <v>Finalizado</v>
      </c>
    </row>
    <row r="29" spans="1:43" ht="409.5" hidden="1">
      <c r="A29" s="235" t="s">
        <v>322</v>
      </c>
      <c r="B29" s="75" t="s">
        <v>323</v>
      </c>
      <c r="C29" s="2" t="s">
        <v>324</v>
      </c>
      <c r="D29" s="2" t="s">
        <v>325</v>
      </c>
      <c r="E29" s="73" t="s">
        <v>276</v>
      </c>
      <c r="F29" s="16" t="s">
        <v>44</v>
      </c>
      <c r="G29" s="2" t="s">
        <v>326</v>
      </c>
      <c r="H29" s="2" t="s">
        <v>46</v>
      </c>
      <c r="I29" s="2" t="s">
        <v>165</v>
      </c>
      <c r="J29" s="17" t="s">
        <v>176</v>
      </c>
      <c r="K29" s="2" t="s">
        <v>147</v>
      </c>
      <c r="L29" s="233">
        <v>44390</v>
      </c>
      <c r="M29" s="146">
        <v>45519</v>
      </c>
      <c r="N29" s="234">
        <f>_xlfn.XLOOKUP(Tb_Portfólio[[#This Row],[SEI]],Tb_Atualizações[PROCESSO SEI],Tb_Atualizações[% PREVISTO],"",0,-1)</f>
        <v>1</v>
      </c>
      <c r="O29" s="234">
        <f>_xlfn.XLOOKUP(Tb_Portfólio[[#This Row],[SEI]],Tb_Atualizações[PROCESSO SEI],Tb_Atualizações[% EXECUTADO],"",0,-1)</f>
        <v>1</v>
      </c>
      <c r="P29" s="147">
        <f>IFERROR(Tb_Portfólio[[#This Row],[% EXECUTADO]]/Tb_Portfólio[[#This Row],[% PREVISTO]],"0%")</f>
        <v>1</v>
      </c>
      <c r="Q29" s="146">
        <f>_xlfn.XLOOKUP(Tb_Portfólio[[#This Row],[SEI]],Tb_Atualizações[PROCESSO SEI],Tb_Atualizações[DATA DE ATUALIZAÇÃO],"",0,-1)</f>
        <v>45519</v>
      </c>
      <c r="R29" s="336">
        <f>_xlfn.XLOOKUP(Tb_Portfólio[[#This Row],[SEI]],Tb_Atualizações[PROCESSO SEI],Tb_Atualizações[Mês],,0,-1)</f>
        <v>45474</v>
      </c>
      <c r="S29" s="235"/>
      <c r="T29" s="2" t="s">
        <v>48</v>
      </c>
      <c r="U2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29" s="72" t="s">
        <v>327</v>
      </c>
      <c r="W29" s="236">
        <f>IFERROR(Tb_Portfólio[[#This Row],[% EXECUTADO]]/Tb_Portfólio[[#This Row],[% PREVISTO]],0)</f>
        <v>1</v>
      </c>
      <c r="X29" s="73" t="s">
        <v>328</v>
      </c>
      <c r="Y29" s="148"/>
      <c r="Z29" s="148"/>
      <c r="AA29" s="73" t="s">
        <v>51</v>
      </c>
      <c r="AB29" s="73" t="s">
        <v>43</v>
      </c>
      <c r="AC29" s="73" t="s">
        <v>44</v>
      </c>
      <c r="AD29" s="98" t="s">
        <v>329</v>
      </c>
      <c r="AE29" s="237" t="s">
        <v>330</v>
      </c>
      <c r="AF29" s="225">
        <f t="shared" ca="1" si="1"/>
        <v>46176</v>
      </c>
      <c r="AG29" s="79" t="s">
        <v>171</v>
      </c>
      <c r="AH29" s="79" t="s">
        <v>67</v>
      </c>
      <c r="AJ29" s="79" t="str">
        <f>2024&amp;Tb_Portfólio[[#This Row],[SEI]]</f>
        <v>202402938/2021</v>
      </c>
      <c r="AK29" t="str">
        <f>IFERROR(IF(MATCH(AJ29,Atualizações!$P$1:$P$1265,0)&gt;0, "Sim"), "Não")</f>
        <v>Sim</v>
      </c>
      <c r="AL29" s="79" t="str">
        <f>2025&amp;Tb_Portfólio[[#This Row],[SEI]]</f>
        <v>202502938/2021</v>
      </c>
      <c r="AM29" t="str">
        <f>IFERROR(IF(MATCH(AL29,Atualizações!$P$1:$P$2994,0)&gt;0, "Sim"), "Não")</f>
        <v>Não</v>
      </c>
      <c r="AN29" s="79" t="str">
        <f>2026&amp;Tb_Portfólio[[#This Row],[SEI]]</f>
        <v>202602938/2021</v>
      </c>
      <c r="AO29" t="str">
        <f>IFERROR(IF(MATCH(AN29,Atualizações!$P$1:$P$2994,0)&gt;0, "Sim"), "Não")</f>
        <v>Não</v>
      </c>
      <c r="AP29" s="79">
        <f>_xlfn.XLOOKUP(Tb_Portfólio[[#This Row],[SEI]],Tb_Atualizações[PROCESSO SEI],Tb_Atualizações[Explicações],"",0,-1)</f>
        <v>0</v>
      </c>
      <c r="AQ29" s="79" t="str">
        <f>_xlfn.XLOOKUP(Tb_Portfólio[[#This Row],[SEI]],Tb_Mapa[SEI],Tb_Mapa[CONSULTOR RESPONSÁVEL],"",0,-1)</f>
        <v>Tony/finalizado</v>
      </c>
    </row>
    <row r="30" spans="1:43" ht="165" hidden="1">
      <c r="A30" s="235" t="s">
        <v>331</v>
      </c>
      <c r="B30" s="75" t="s">
        <v>332</v>
      </c>
      <c r="C30" s="2" t="s">
        <v>333</v>
      </c>
      <c r="D30" s="2" t="s">
        <v>334</v>
      </c>
      <c r="E30" s="73" t="s">
        <v>276</v>
      </c>
      <c r="F30" s="16" t="s">
        <v>44</v>
      </c>
      <c r="G30" s="2" t="s">
        <v>335</v>
      </c>
      <c r="H30" s="2" t="s">
        <v>46</v>
      </c>
      <c r="I30" s="2" t="s">
        <v>165</v>
      </c>
      <c r="J30" s="17" t="s">
        <v>176</v>
      </c>
      <c r="K30" s="2" t="s">
        <v>147</v>
      </c>
      <c r="L30" s="233">
        <v>44433</v>
      </c>
      <c r="M30" s="146">
        <v>45442</v>
      </c>
      <c r="N30" s="234">
        <f>_xlfn.XLOOKUP(Tb_Portfólio[[#This Row],[SEI]],Tb_Atualizações[PROCESSO SEI],Tb_Atualizações[% PREVISTO],"",0,-1)</f>
        <v>1</v>
      </c>
      <c r="O30" s="234">
        <f>_xlfn.XLOOKUP(Tb_Portfólio[[#This Row],[SEI]],Tb_Atualizações[PROCESSO SEI],Tb_Atualizações[% EXECUTADO],"",0,-1)</f>
        <v>1</v>
      </c>
      <c r="P30" s="147">
        <f>IFERROR(Tb_Portfólio[[#This Row],[% EXECUTADO]]/Tb_Portfólio[[#This Row],[% PREVISTO]],"0%")</f>
        <v>1</v>
      </c>
      <c r="Q30" s="146">
        <f>_xlfn.XLOOKUP(Tb_Portfólio[[#This Row],[SEI]],Tb_Atualizações[PROCESSO SEI],Tb_Atualizações[DATA DE ATUALIZAÇÃO],"",0,-1)</f>
        <v>45392</v>
      </c>
      <c r="R30" s="336">
        <f>_xlfn.XLOOKUP(Tb_Portfólio[[#This Row],[SEI]],Tb_Atualizações[PROCESSO SEI],Tb_Atualizações[Mês],,0,-1)</f>
        <v>45352</v>
      </c>
      <c r="S30" s="235"/>
      <c r="T30" s="2" t="s">
        <v>48</v>
      </c>
      <c r="U30"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30" s="329" t="s">
        <v>336</v>
      </c>
      <c r="W30" s="236">
        <f>IFERROR(Tb_Portfólio[[#This Row],[% EXECUTADO]]/Tb_Portfólio[[#This Row],[% PREVISTO]],0)</f>
        <v>1</v>
      </c>
      <c r="X30" s="73" t="s">
        <v>337</v>
      </c>
      <c r="Y30" s="351">
        <v>375089</v>
      </c>
      <c r="Z30" s="351">
        <v>533000.65</v>
      </c>
      <c r="AA30" s="73" t="s">
        <v>51</v>
      </c>
      <c r="AB30" s="73" t="s">
        <v>43</v>
      </c>
      <c r="AC30" s="16" t="s">
        <v>44</v>
      </c>
      <c r="AD30" s="98" t="s">
        <v>338</v>
      </c>
      <c r="AE30" s="267" t="s">
        <v>339</v>
      </c>
      <c r="AF30" s="225">
        <f t="shared" ca="1" si="1"/>
        <v>46176</v>
      </c>
      <c r="AG30" s="529" t="s">
        <v>340</v>
      </c>
      <c r="AH30" s="79" t="s">
        <v>67</v>
      </c>
      <c r="AJ30" s="79" t="str">
        <f>2024&amp;Tb_Portfólio[[#This Row],[SEI]]</f>
        <v>202402941/2021</v>
      </c>
      <c r="AK30" t="str">
        <f>IFERROR(IF(MATCH(AJ30,Atualizações!$P$1:$P$1265,0)&gt;0, "Sim"), "Não")</f>
        <v>Sim</v>
      </c>
      <c r="AL30" s="79" t="str">
        <f>2025&amp;Tb_Portfólio[[#This Row],[SEI]]</f>
        <v>202502941/2021</v>
      </c>
      <c r="AM30" t="str">
        <f>IFERROR(IF(MATCH(AL30,Atualizações!$P$1:$P$2994,0)&gt;0, "Sim"), "Não")</f>
        <v>Não</v>
      </c>
      <c r="AN30" s="79" t="str">
        <f>2026&amp;Tb_Portfólio[[#This Row],[SEI]]</f>
        <v>202602941/2021</v>
      </c>
      <c r="AO30" t="str">
        <f>IFERROR(IF(MATCH(AN30,Atualizações!$P$1:$P$2994,0)&gt;0, "Sim"), "Não")</f>
        <v>Não</v>
      </c>
      <c r="AP30" s="79">
        <f>_xlfn.XLOOKUP(Tb_Portfólio[[#This Row],[SEI]],Tb_Atualizações[PROCESSO SEI],Tb_Atualizações[Explicações],"",0,-1)</f>
        <v>0</v>
      </c>
      <c r="AQ30" s="79" t="str">
        <f>_xlfn.XLOOKUP(Tb_Portfólio[[#This Row],[SEI]],Tb_Mapa[SEI],Tb_Mapa[CONSULTOR RESPONSÁVEL],"",0,-1)</f>
        <v>Tony/finalizado</v>
      </c>
    </row>
    <row r="31" spans="1:43" ht="315" hidden="1">
      <c r="A31" s="235" t="s">
        <v>341</v>
      </c>
      <c r="B31" s="75" t="s">
        <v>342</v>
      </c>
      <c r="C31" s="2" t="s">
        <v>343</v>
      </c>
      <c r="D31" s="2" t="s">
        <v>344</v>
      </c>
      <c r="E31" s="73" t="s">
        <v>276</v>
      </c>
      <c r="F31" s="16" t="s">
        <v>44</v>
      </c>
      <c r="G31" s="16" t="s">
        <v>345</v>
      </c>
      <c r="H31" s="2" t="s">
        <v>46</v>
      </c>
      <c r="I31" s="2" t="s">
        <v>346</v>
      </c>
      <c r="J31" s="7" t="s">
        <v>146</v>
      </c>
      <c r="K31" s="2" t="s">
        <v>147</v>
      </c>
      <c r="L31" s="233">
        <v>44306</v>
      </c>
      <c r="M31" s="146">
        <v>45291</v>
      </c>
      <c r="N31" s="234">
        <f>_xlfn.XLOOKUP(Tb_Portfólio[[#This Row],[SEI]],Tb_Atualizações[PROCESSO SEI],Tb_Atualizações[% PREVISTO],"",0,-1)</f>
        <v>1</v>
      </c>
      <c r="O31" s="234">
        <f>_xlfn.XLOOKUP(Tb_Portfólio[[#This Row],[SEI]],Tb_Atualizações[PROCESSO SEI],Tb_Atualizações[% EXECUTADO],"",0,-1)</f>
        <v>1</v>
      </c>
      <c r="P31" s="147">
        <f>IFERROR(Tb_Portfólio[[#This Row],[% EXECUTADO]]/Tb_Portfólio[[#This Row],[% PREVISTO]],"0%")</f>
        <v>1</v>
      </c>
      <c r="Q31" s="146">
        <f>_xlfn.XLOOKUP(Tb_Portfólio[[#This Row],[SEI]],Tb_Atualizações[PROCESSO SEI],Tb_Atualizações[DATA DE ATUALIZAÇÃO],"",0,-1)</f>
        <v>45512</v>
      </c>
      <c r="R31" s="336">
        <f>_xlfn.XLOOKUP(Tb_Portfólio[[#This Row],[SEI]],Tb_Atualizações[PROCESSO SEI],Tb_Atualizações[Mês],,0,-1)</f>
        <v>45474</v>
      </c>
      <c r="S31" s="235"/>
      <c r="T31" s="2" t="s">
        <v>48</v>
      </c>
      <c r="U3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31" s="72"/>
      <c r="W31" s="236">
        <f>IFERROR(Tb_Portfólio[[#This Row],[% EXECUTADO]]/Tb_Portfólio[[#This Row],[% PREVISTO]],0)</f>
        <v>1</v>
      </c>
      <c r="X31" s="73" t="s">
        <v>347</v>
      </c>
      <c r="Y31" s="148"/>
      <c r="Z31" s="148"/>
      <c r="AA31" s="73" t="s">
        <v>51</v>
      </c>
      <c r="AB31" s="73" t="s">
        <v>348</v>
      </c>
      <c r="AC31" s="16" t="s">
        <v>44</v>
      </c>
      <c r="AD31" s="98"/>
      <c r="AE31" s="239" t="s">
        <v>349</v>
      </c>
      <c r="AF31" s="225">
        <f t="shared" ca="1" si="1"/>
        <v>46176</v>
      </c>
      <c r="AG31" s="2" t="s">
        <v>127</v>
      </c>
      <c r="AH31" s="2" t="s">
        <v>128</v>
      </c>
      <c r="AJ31" s="79" t="str">
        <f>2024&amp;Tb_Portfólio[[#This Row],[SEI]]</f>
        <v>202403096/2021</v>
      </c>
      <c r="AK31" t="str">
        <f>IFERROR(IF(MATCH(AJ31,Atualizações!$P$1:$P$1265,0)&gt;0, "Sim"), "Não")</f>
        <v>Sim</v>
      </c>
      <c r="AL31" s="79" t="str">
        <f>2025&amp;Tb_Portfólio[[#This Row],[SEI]]</f>
        <v>202503096/2021</v>
      </c>
      <c r="AM31" t="str">
        <f>IFERROR(IF(MATCH(AL31,Atualizações!$P$1:$P$2994,0)&gt;0, "Sim"), "Não")</f>
        <v>Não</v>
      </c>
      <c r="AN31" s="79" t="str">
        <f>2026&amp;Tb_Portfólio[[#This Row],[SEI]]</f>
        <v>202603096/2021</v>
      </c>
      <c r="AO31" t="str">
        <f>IFERROR(IF(MATCH(AN31,Atualizações!$P$1:$P$2994,0)&gt;0, "Sim"), "Não")</f>
        <v>Não</v>
      </c>
      <c r="AP31" s="79">
        <f>_xlfn.XLOOKUP(Tb_Portfólio[[#This Row],[SEI]],Tb_Atualizações[PROCESSO SEI],Tb_Atualizações[Explicações],"",0,-1)</f>
        <v>0</v>
      </c>
      <c r="AQ31" s="79" t="str">
        <f>_xlfn.XLOOKUP(Tb_Portfólio[[#This Row],[SEI]],Tb_Mapa[SEI],Tb_Mapa[CONSULTOR RESPONSÁVEL],"",0,-1)</f>
        <v>Cristina de Oliveira Winckler  /Finalizado</v>
      </c>
    </row>
    <row r="32" spans="1:43" ht="255" hidden="1">
      <c r="A32" s="149" t="s">
        <v>350</v>
      </c>
      <c r="B32" s="103" t="s">
        <v>351</v>
      </c>
      <c r="C32" s="7" t="s">
        <v>352</v>
      </c>
      <c r="D32" s="7" t="s">
        <v>353</v>
      </c>
      <c r="E32" s="79" t="s">
        <v>86</v>
      </c>
      <c r="F32" s="16" t="s">
        <v>44</v>
      </c>
      <c r="G32" s="378" t="s">
        <v>87</v>
      </c>
      <c r="H32" s="2" t="s">
        <v>46</v>
      </c>
      <c r="I32" s="19" t="s">
        <v>88</v>
      </c>
      <c r="J32" s="2" t="s">
        <v>146</v>
      </c>
      <c r="K32" s="2" t="s">
        <v>354</v>
      </c>
      <c r="L32" s="262">
        <v>44317</v>
      </c>
      <c r="M32" s="266">
        <v>46387</v>
      </c>
      <c r="N32" s="234">
        <f>_xlfn.XLOOKUP(Tb_Portfólio[[#This Row],[SEI]],Tb_Atualizações[PROCESSO SEI],Tb_Atualizações[% PREVISTO],"",0,-1)</f>
        <v>0.89</v>
      </c>
      <c r="O32" s="234">
        <f>_xlfn.XLOOKUP(Tb_Portfólio[[#This Row],[SEI]],Tb_Atualizações[PROCESSO SEI],Tb_Atualizações[% EXECUTADO],"",0,-1)</f>
        <v>0.77</v>
      </c>
      <c r="P32" s="147">
        <f>IFERROR(Tb_Portfólio[[#This Row],[% EXECUTADO]]/Tb_Portfólio[[#This Row],[% PREVISTO]],"0%")</f>
        <v>0.8651685393258427</v>
      </c>
      <c r="Q32" s="146">
        <f>_xlfn.XLOOKUP(Tb_Portfólio[[#This Row],[SEI]],Tb_Atualizações[PROCESSO SEI],Tb_Atualizações[DATA DE ATUALIZAÇÃO],"",0,-1)</f>
        <v>46167</v>
      </c>
      <c r="R32" s="336">
        <f>_xlfn.XLOOKUP(Tb_Portfólio[[#This Row],[SEI]],Tb_Atualizações[PROCESSO SEI],Tb_Atualizações[Mês],,0,-1)</f>
        <v>46143</v>
      </c>
      <c r="S32" s="259"/>
      <c r="T32" s="2" t="s">
        <v>48</v>
      </c>
      <c r="U32"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32" s="95"/>
      <c r="W32" s="236">
        <f>IFERROR(Tb_Portfólio[[#This Row],[% EXECUTADO]]/Tb_Portfólio[[#This Row],[% PREVISTO]],0)</f>
        <v>0.8651685393258427</v>
      </c>
      <c r="X32" s="97" t="s">
        <v>355</v>
      </c>
      <c r="Y32" s="150"/>
      <c r="Z32" s="150"/>
      <c r="AA32" s="73" t="s">
        <v>51</v>
      </c>
      <c r="AB32" s="97" t="s">
        <v>86</v>
      </c>
      <c r="AC32" s="525" t="s">
        <v>92</v>
      </c>
      <c r="AD32" s="263" t="s">
        <v>356</v>
      </c>
      <c r="AE32" s="237" t="s">
        <v>357</v>
      </c>
      <c r="AF32" s="225">
        <f t="shared" ca="1" si="1"/>
        <v>46176</v>
      </c>
      <c r="AG32" s="239" t="s">
        <v>95</v>
      </c>
      <c r="AH32" s="79" t="s">
        <v>92</v>
      </c>
      <c r="AJ32" s="79" t="str">
        <f>2024&amp;Tb_Portfólio[[#This Row],[SEI]]</f>
        <v>202403545/2021</v>
      </c>
      <c r="AK32" t="str">
        <f>IFERROR(IF(MATCH(AJ32,Atualizações!$P$1:$P$1265,0)&gt;0, "Sim"), "Não")</f>
        <v>Sim</v>
      </c>
      <c r="AL32" s="79" t="str">
        <f>2025&amp;Tb_Portfólio[[#This Row],[SEI]]</f>
        <v>202503545/2021</v>
      </c>
      <c r="AM32" t="str">
        <f>IFERROR(IF(MATCH(AL32,Atualizações!$P$1:$P$2994,0)&gt;0, "Sim"), "Não")</f>
        <v>Sim</v>
      </c>
      <c r="AN32" s="79" t="str">
        <f>2026&amp;Tb_Portfólio[[#This Row],[SEI]]</f>
        <v>202603545/2021</v>
      </c>
      <c r="AO32" t="str">
        <f>IFERROR(IF(MATCH(AN32,Atualizações!$P$1:$P$2994,0)&gt;0, "Sim"), "Não")</f>
        <v>Sim</v>
      </c>
      <c r="AP32" s="79">
        <f>_xlfn.XLOOKUP(Tb_Portfólio[[#This Row],[SEI]],Tb_Atualizações[PROCESSO SEI],Tb_Atualizações[Explicações],"",0,-1)</f>
        <v>0</v>
      </c>
      <c r="AQ32" s="79" t="str">
        <f>_xlfn.XLOOKUP(Tb_Portfólio[[#This Row],[SEI]],Tb_Mapa[SEI],Tb_Mapa[CONSULTOR RESPONSÁVEL],"",0,-1)</f>
        <v>Tony</v>
      </c>
    </row>
    <row r="33" spans="1:43" ht="409.5" hidden="1">
      <c r="A33" s="149" t="s">
        <v>358</v>
      </c>
      <c r="B33" s="103" t="s">
        <v>359</v>
      </c>
      <c r="C33" s="7" t="s">
        <v>360</v>
      </c>
      <c r="D33" s="7" t="s">
        <v>361</v>
      </c>
      <c r="E33" s="322" t="s">
        <v>144</v>
      </c>
      <c r="F33" s="16" t="s">
        <v>44</v>
      </c>
      <c r="G33" s="2" t="s">
        <v>362</v>
      </c>
      <c r="H33" s="2" t="s">
        <v>46</v>
      </c>
      <c r="I33" s="7" t="s">
        <v>240</v>
      </c>
      <c r="J33" s="7" t="s">
        <v>105</v>
      </c>
      <c r="K33" s="7" t="s">
        <v>147</v>
      </c>
      <c r="L33" s="262">
        <v>44315</v>
      </c>
      <c r="M33" s="266" t="s">
        <v>363</v>
      </c>
      <c r="N33" s="234">
        <f>_xlfn.XLOOKUP(Tb_Portfólio[[#This Row],[SEI]],Tb_Atualizações[PROCESSO SEI],Tb_Atualizações[% PREVISTO],"",0,-1)</f>
        <v>0.99</v>
      </c>
      <c r="O33" s="234">
        <f>_xlfn.XLOOKUP(Tb_Portfólio[[#This Row],[SEI]],Tb_Atualizações[PROCESSO SEI],Tb_Atualizações[% EXECUTADO],"",0,-1)</f>
        <v>1</v>
      </c>
      <c r="P33" s="147">
        <f>IFERROR(Tb_Portfólio[[#This Row],[% EXECUTADO]]/Tb_Portfólio[[#This Row],[% PREVISTO]],"0%")</f>
        <v>1.0101010101010102</v>
      </c>
      <c r="Q33" s="146">
        <f>_xlfn.XLOOKUP(Tb_Portfólio[[#This Row],[SEI]],Tb_Atualizações[PROCESSO SEI],Tb_Atualizações[DATA DE ATUALIZAÇÃO],"",0,-1)</f>
        <v>46136</v>
      </c>
      <c r="R33" s="336">
        <f>_xlfn.XLOOKUP(Tb_Portfólio[[#This Row],[SEI]],Tb_Atualizações[PROCESSO SEI],Tb_Atualizações[Mês],,0,-1)</f>
        <v>46113</v>
      </c>
      <c r="S33" s="259"/>
      <c r="T33" s="268" t="s">
        <v>48</v>
      </c>
      <c r="U33"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33" s="95" t="s">
        <v>364</v>
      </c>
      <c r="W33" s="236">
        <f>IFERROR(Tb_Portfólio[[#This Row],[% EXECUTADO]]/Tb_Portfólio[[#This Row],[% PREVISTO]],0)</f>
        <v>1.0101010101010102</v>
      </c>
      <c r="X33" s="97" t="s">
        <v>365</v>
      </c>
      <c r="Y33" s="150"/>
      <c r="Z33" s="150"/>
      <c r="AA33" s="97" t="s">
        <v>51</v>
      </c>
      <c r="AB33" s="73" t="s">
        <v>150</v>
      </c>
      <c r="AC33" s="16" t="s">
        <v>44</v>
      </c>
      <c r="AD33" s="263" t="s">
        <v>366</v>
      </c>
      <c r="AE33" s="237" t="s">
        <v>367</v>
      </c>
      <c r="AF33" s="225">
        <f t="shared" ca="1" si="1"/>
        <v>46176</v>
      </c>
      <c r="AG33" s="529" t="s">
        <v>368</v>
      </c>
      <c r="AH33" s="79" t="s">
        <v>128</v>
      </c>
      <c r="AJ33" s="79" t="str">
        <f>2024&amp;Tb_Portfólio[[#This Row],[SEI]]</f>
        <v>202403558/2021</v>
      </c>
      <c r="AK33" t="str">
        <f>IFERROR(IF(MATCH(AJ33,Atualizações!$P$1:$P$1265,0)&gt;0, "Sim"), "Não")</f>
        <v>Sim</v>
      </c>
      <c r="AL33" s="79" t="str">
        <f>2025&amp;Tb_Portfólio[[#This Row],[SEI]]</f>
        <v>202503558/2021</v>
      </c>
      <c r="AM33" t="str">
        <f>IFERROR(IF(MATCH(AL33,Atualizações!$P$1:$P$2994,0)&gt;0, "Sim"), "Não")</f>
        <v>Sim</v>
      </c>
      <c r="AN33" s="79" t="str">
        <f>2026&amp;Tb_Portfólio[[#This Row],[SEI]]</f>
        <v>202603558/2021</v>
      </c>
      <c r="AO33" t="str">
        <f>IFERROR(IF(MATCH(AN33,Atualizações!$P$1:$P$2994,0)&gt;0, "Sim"), "Não")</f>
        <v>Sim</v>
      </c>
      <c r="AP33" s="79" t="str">
        <f>_xlfn.XLOOKUP(Tb_Portfólio[[#This Row],[SEI]],Tb_Atualizações[PROCESSO SEI],Tb_Atualizações[Explicações],"",0,-1)</f>
        <v>Projeto finalizado, aguardando assinatura do TEP</v>
      </c>
      <c r="AQ33" s="79" t="str">
        <f>_xlfn.XLOOKUP(Tb_Portfólio[[#This Row],[SEI]],Tb_Mapa[SEI],Tb_Mapa[CONSULTOR RESPONSÁVEL],"",0,-1)</f>
        <v>Tony</v>
      </c>
    </row>
    <row r="34" spans="1:43" ht="360" hidden="1">
      <c r="A34" s="149" t="s">
        <v>369</v>
      </c>
      <c r="B34" s="139" t="s">
        <v>370</v>
      </c>
      <c r="C34" s="7" t="s">
        <v>371</v>
      </c>
      <c r="D34" s="97" t="s">
        <v>372</v>
      </c>
      <c r="E34" s="97" t="s">
        <v>276</v>
      </c>
      <c r="F34" s="376" t="s">
        <v>44</v>
      </c>
      <c r="G34" s="7" t="s">
        <v>212</v>
      </c>
      <c r="H34" s="2" t="s">
        <v>46</v>
      </c>
      <c r="I34" s="19" t="s">
        <v>213</v>
      </c>
      <c r="J34" s="19" t="s">
        <v>146</v>
      </c>
      <c r="K34" s="7" t="s">
        <v>147</v>
      </c>
      <c r="L34" s="262">
        <v>44501</v>
      </c>
      <c r="M34" s="266">
        <v>45351</v>
      </c>
      <c r="N34" s="234">
        <f>_xlfn.XLOOKUP(Tb_Portfólio[[#This Row],[SEI]],Tb_Atualizações[PROCESSO SEI],Tb_Atualizações[% PREVISTO],"",0,-1)</f>
        <v>1</v>
      </c>
      <c r="O34" s="234">
        <f>_xlfn.XLOOKUP(Tb_Portfólio[[#This Row],[SEI]],Tb_Atualizações[PROCESSO SEI],Tb_Atualizações[% EXECUTADO],"",0,-1)</f>
        <v>1</v>
      </c>
      <c r="P34" s="147">
        <f>IFERROR(Tb_Portfólio[[#This Row],[% EXECUTADO]]/Tb_Portfólio[[#This Row],[% PREVISTO]],"0%")</f>
        <v>1</v>
      </c>
      <c r="Q34" s="146">
        <f>_xlfn.XLOOKUP(Tb_Portfólio[[#This Row],[SEI]],Tb_Atualizações[PROCESSO SEI],Tb_Atualizações[DATA DE ATUALIZAÇÃO],"",0,-1)</f>
        <v>45358</v>
      </c>
      <c r="R34" s="336">
        <f>_xlfn.XLOOKUP(Tb_Portfólio[[#This Row],[SEI]],Tb_Atualizações[PROCESSO SEI],Tb_Atualizações[Mês],,0,-1)</f>
        <v>45323</v>
      </c>
      <c r="S34" s="259"/>
      <c r="T34" s="268" t="s">
        <v>48</v>
      </c>
      <c r="U34"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34" s="95"/>
      <c r="W34" s="236">
        <f>IFERROR(Tb_Portfólio[[#This Row],[% EXECUTADO]]/Tb_Portfólio[[#This Row],[% PREVISTO]],0)</f>
        <v>1</v>
      </c>
      <c r="X34" s="97" t="s">
        <v>373</v>
      </c>
      <c r="Y34" s="97"/>
      <c r="Z34" s="150"/>
      <c r="AA34" s="73" t="s">
        <v>51</v>
      </c>
      <c r="AB34" s="97" t="s">
        <v>86</v>
      </c>
      <c r="AC34" s="19" t="s">
        <v>92</v>
      </c>
      <c r="AD34" s="263" t="s">
        <v>374</v>
      </c>
      <c r="AE34" s="267" t="s">
        <v>375</v>
      </c>
      <c r="AF34" s="225">
        <f t="shared" ca="1" si="1"/>
        <v>46176</v>
      </c>
      <c r="AG34" s="79" t="s">
        <v>145</v>
      </c>
      <c r="AH34" s="79" t="s">
        <v>92</v>
      </c>
      <c r="AJ34" s="79" t="str">
        <f>2024&amp;Tb_Portfólio[[#This Row],[SEI]]</f>
        <v>202403559/2021</v>
      </c>
      <c r="AK34" t="str">
        <f>IFERROR(IF(MATCH(AJ34,Atualizações!$P$1:$P$1265,0)&gt;0, "Sim"), "Não")</f>
        <v>Sim</v>
      </c>
      <c r="AL34" s="79" t="str">
        <f>2025&amp;Tb_Portfólio[[#This Row],[SEI]]</f>
        <v>202503559/2021</v>
      </c>
      <c r="AM34" t="str">
        <f>IFERROR(IF(MATCH(AL34,Atualizações!$P$1:$P$2994,0)&gt;0, "Sim"), "Não")</f>
        <v>Não</v>
      </c>
      <c r="AN34" s="79" t="str">
        <f>2026&amp;Tb_Portfólio[[#This Row],[SEI]]</f>
        <v>202603559/2021</v>
      </c>
      <c r="AO34" t="str">
        <f>IFERROR(IF(MATCH(AN34,Atualizações!$P$1:$P$2994,0)&gt;0, "Sim"), "Não")</f>
        <v>Não</v>
      </c>
      <c r="AP34" s="79">
        <f>_xlfn.XLOOKUP(Tb_Portfólio[[#This Row],[SEI]],Tb_Atualizações[PROCESSO SEI],Tb_Atualizações[Explicações],"",0,-1)</f>
        <v>0</v>
      </c>
      <c r="AQ34" s="79" t="str">
        <f>_xlfn.XLOOKUP(Tb_Portfólio[[#This Row],[SEI]],Tb_Mapa[SEI],Tb_Mapa[CONSULTOR RESPONSÁVEL],"",0,-1)</f>
        <v>Tony/finalizado</v>
      </c>
    </row>
    <row r="35" spans="1:43" ht="315" hidden="1" customHeight="1">
      <c r="A35" s="149" t="s">
        <v>376</v>
      </c>
      <c r="B35" s="103" t="s">
        <v>377</v>
      </c>
      <c r="C35" s="97" t="s">
        <v>378</v>
      </c>
      <c r="D35" s="97"/>
      <c r="E35" s="79" t="s">
        <v>43</v>
      </c>
      <c r="F35" s="73" t="s">
        <v>44</v>
      </c>
      <c r="G35" s="73" t="s">
        <v>379</v>
      </c>
      <c r="H35" s="2" t="s">
        <v>46</v>
      </c>
      <c r="I35" s="73" t="s">
        <v>240</v>
      </c>
      <c r="J35" s="17" t="s">
        <v>105</v>
      </c>
      <c r="K35" s="7" t="s">
        <v>147</v>
      </c>
      <c r="L35" s="262">
        <v>45200</v>
      </c>
      <c r="M35" s="266">
        <v>45565</v>
      </c>
      <c r="N35" s="234">
        <f>_xlfn.XLOOKUP(Tb_Portfólio[[#This Row],[SEI]],Tb_Atualizações[PROCESSO SEI],Tb_Atualizações[% PREVISTO],"",0,-1)</f>
        <v>1</v>
      </c>
      <c r="O35" s="234">
        <f>_xlfn.XLOOKUP(Tb_Portfólio[[#This Row],[SEI]],Tb_Atualizações[PROCESSO SEI],Tb_Atualizações[% EXECUTADO],"",0,-1)</f>
        <v>1</v>
      </c>
      <c r="P35" s="147">
        <f>IFERROR(Tb_Portfólio[[#This Row],[% EXECUTADO]]/Tb_Portfólio[[#This Row],[% PREVISTO]],"0%")</f>
        <v>1</v>
      </c>
      <c r="Q35" s="146">
        <f>_xlfn.XLOOKUP(Tb_Portfólio[[#This Row],[SEI]],Tb_Atualizações[PROCESSO SEI],Tb_Atualizações[DATA DE ATUALIZAÇÃO],"",0,-1)</f>
        <v>45755</v>
      </c>
      <c r="R35" s="336">
        <f>_xlfn.XLOOKUP(Tb_Portfólio[[#This Row],[SEI]],Tb_Atualizações[PROCESSO SEI],Tb_Atualizações[Mês],,0,-1)</f>
        <v>45717</v>
      </c>
      <c r="S35" s="259"/>
      <c r="T35" s="268" t="s">
        <v>48</v>
      </c>
      <c r="U35"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35" s="95"/>
      <c r="W35" s="236">
        <f>IFERROR(Tb_Portfólio[[#This Row],[% EXECUTADO]]/Tb_Portfólio[[#This Row],[% PREVISTO]],0)</f>
        <v>1</v>
      </c>
      <c r="X35" s="97" t="s">
        <v>380</v>
      </c>
      <c r="Y35" s="226"/>
      <c r="Z35" s="652"/>
      <c r="AA35" s="73" t="s">
        <v>51</v>
      </c>
      <c r="AB35" s="97" t="s">
        <v>284</v>
      </c>
      <c r="AC35" s="73" t="s">
        <v>244</v>
      </c>
      <c r="AD35" s="263" t="s">
        <v>381</v>
      </c>
      <c r="AE35" s="239" t="s">
        <v>382</v>
      </c>
      <c r="AF35" s="225">
        <f t="shared" ca="1" si="1"/>
        <v>46176</v>
      </c>
      <c r="AG35" s="79" t="s">
        <v>383</v>
      </c>
      <c r="AH35" s="79" t="s">
        <v>67</v>
      </c>
      <c r="AJ35" s="79" t="str">
        <f>2024&amp;Tb_Portfólio[[#This Row],[SEI]]</f>
        <v>202403924/2023</v>
      </c>
      <c r="AK35" t="str">
        <f>IFERROR(IF(MATCH(AJ35,Atualizações!$P$1:$P$1265,0)&gt;0, "Sim"), "Não")</f>
        <v>Sim</v>
      </c>
      <c r="AL35" s="79" t="str">
        <f>2025&amp;Tb_Portfólio[[#This Row],[SEI]]</f>
        <v>202503924/2023</v>
      </c>
      <c r="AM35" t="str">
        <f>IFERROR(IF(MATCH(AL35,Atualizações!$P$1:$P$2994,0)&gt;0, "Sim"), "Não")</f>
        <v>Sim</v>
      </c>
      <c r="AN35" s="79" t="str">
        <f>2026&amp;Tb_Portfólio[[#This Row],[SEI]]</f>
        <v>202603924/2023</v>
      </c>
      <c r="AO35" t="str">
        <f>IFERROR(IF(MATCH(AN35,Atualizações!$P$1:$P$2994,0)&gt;0, "Sim"), "Não")</f>
        <v>Não</v>
      </c>
      <c r="AP35" s="79" t="str">
        <f>_xlfn.XLOOKUP(Tb_Portfólio[[#This Row],[SEI]],Tb_Atualizações[PROCESSO SEI],Tb_Atualizações[Explicações],"",0,-1)</f>
        <v>Daniel informa que o projeto finalizou no Programa Justiça 4.0 e será transferido para o Fazendo Justiça.
Foi solicitado ao gerente do projeto colocar essa informação no TEP, que se encontra em elaboração.</v>
      </c>
      <c r="AQ35" s="79" t="str">
        <f>_xlfn.XLOOKUP(Tb_Portfólio[[#This Row],[SEI]],Tb_Mapa[SEI],Tb_Mapa[CONSULTOR RESPONSÁVEL],"",0,-1)</f>
        <v>Igor/Finalizado</v>
      </c>
    </row>
    <row r="36" spans="1:43" ht="165" hidden="1">
      <c r="A36" s="149" t="s">
        <v>384</v>
      </c>
      <c r="B36" s="103" t="s">
        <v>385</v>
      </c>
      <c r="C36" s="97" t="s">
        <v>386</v>
      </c>
      <c r="D36" s="97"/>
      <c r="E36" s="79" t="s">
        <v>387</v>
      </c>
      <c r="F36" s="73" t="s">
        <v>116</v>
      </c>
      <c r="G36" s="79" t="s">
        <v>388</v>
      </c>
      <c r="H36" s="2" t="s">
        <v>389</v>
      </c>
      <c r="I36" s="73" t="s">
        <v>390</v>
      </c>
      <c r="J36" s="265" t="s">
        <v>146</v>
      </c>
      <c r="K36" s="7" t="s">
        <v>391</v>
      </c>
      <c r="L36" s="262">
        <v>45352</v>
      </c>
      <c r="M36" s="266">
        <v>46285</v>
      </c>
      <c r="N36" s="234">
        <f>_xlfn.XLOOKUP(Tb_Portfólio[[#This Row],[SEI]],Tb_Atualizações[PROCESSO SEI],Tb_Atualizações[% PREVISTO],"",0,-1)</f>
        <v>0.84</v>
      </c>
      <c r="O36" s="234">
        <f>_xlfn.XLOOKUP(Tb_Portfólio[[#This Row],[SEI]],Tb_Atualizações[PROCESSO SEI],Tb_Atualizações[% EXECUTADO],"",0,-1)</f>
        <v>0.82</v>
      </c>
      <c r="P36" s="147">
        <f>IFERROR(Tb_Portfólio[[#This Row],[% EXECUTADO]]/Tb_Portfólio[[#This Row],[% PREVISTO]],"0%")</f>
        <v>0.97619047619047616</v>
      </c>
      <c r="Q36" s="146">
        <f>_xlfn.XLOOKUP(Tb_Portfólio[[#This Row],[SEI]],Tb_Atualizações[PROCESSO SEI],Tb_Atualizações[DATA DE ATUALIZAÇÃO],"",0,-1)</f>
        <v>46107</v>
      </c>
      <c r="R36" s="336">
        <f>_xlfn.XLOOKUP(Tb_Portfólio[[#This Row],[SEI]],Tb_Atualizações[PROCESSO SEI],Tb_Atualizações[Mês],,0,-1)</f>
        <v>46082</v>
      </c>
      <c r="S36" s="259"/>
      <c r="T36" s="268"/>
      <c r="U36"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36" s="95"/>
      <c r="W36" s="236">
        <f>IFERROR(Tb_Portfólio[[#This Row],[% EXECUTADO]]/Tb_Portfólio[[#This Row],[% PREVISTO]],0)</f>
        <v>0.97619047619047616</v>
      </c>
      <c r="X36" s="97" t="s">
        <v>392</v>
      </c>
      <c r="Y36" s="150"/>
      <c r="Z36" s="150"/>
      <c r="AA36" s="97"/>
      <c r="AB36" s="97" t="s">
        <v>393</v>
      </c>
      <c r="AC36" s="73" t="s">
        <v>80</v>
      </c>
      <c r="AD36" s="263" t="s">
        <v>394</v>
      </c>
      <c r="AE36" s="239"/>
      <c r="AF36" s="225">
        <f t="shared" ca="1" si="1"/>
        <v>46176</v>
      </c>
      <c r="AG36" s="239" t="s">
        <v>395</v>
      </c>
      <c r="AH36" s="79" t="s">
        <v>67</v>
      </c>
      <c r="AJ36" s="79" t="str">
        <f>2024&amp;Tb_Portfólio[[#This Row],[SEI]]</f>
        <v>202404137/2024</v>
      </c>
      <c r="AK36" t="str">
        <f>IFERROR(IF(MATCH(AJ36,Atualizações!$P$1:$P$1265,0)&gt;0, "Sim"), "Não")</f>
        <v>Sim</v>
      </c>
      <c r="AL36" s="79" t="str">
        <f>2025&amp;Tb_Portfólio[[#This Row],[SEI]]</f>
        <v>202504137/2024</v>
      </c>
      <c r="AM36" t="str">
        <f>IFERROR(IF(MATCH(AL36,Atualizações!$P$1:$P$2994,0)&gt;0, "Sim"), "Não")</f>
        <v>Sim</v>
      </c>
      <c r="AN36" s="79" t="str">
        <f>2026&amp;Tb_Portfólio[[#This Row],[SEI]]</f>
        <v>202604137/2024</v>
      </c>
      <c r="AO36" t="str">
        <f>IFERROR(IF(MATCH(AN36,Atualizações!$P$1:$P$2994,0)&gt;0, "Sim"), "Não")</f>
        <v>Sim</v>
      </c>
      <c r="AP36" s="79" t="str">
        <f>_xlfn.XLOOKUP(Tb_Portfólio[[#This Row],[SEI]],Tb_Atualizações[PROCESSO SEI],Tb_Atualizações[Explicações],"",0,-1)</f>
        <v>Data de término atualizada de julho de 2026 para setembro de 2026 devido à necessidade de ajustar o MVP do painel. É esperado que a data de término ainda sofra novas mudanças, tendo em vista que o projeto prevê a criação de novos painéis, os quais ainda não tiveram seu planejamento iniciado.</v>
      </c>
      <c r="AQ36" s="79" t="str">
        <f>_xlfn.XLOOKUP(Tb_Portfólio[[#This Row],[SEI]],Tb_Mapa[SEI],Tb_Mapa[CONSULTOR RESPONSÁVEL],"",0,-1)</f>
        <v>Tony</v>
      </c>
    </row>
    <row r="37" spans="1:43" ht="409.5" hidden="1">
      <c r="A37" s="269" t="s">
        <v>396</v>
      </c>
      <c r="B37" s="346" t="s">
        <v>397</v>
      </c>
      <c r="C37" s="239" t="s">
        <v>398</v>
      </c>
      <c r="D37" s="270"/>
      <c r="E37" s="79" t="s">
        <v>43</v>
      </c>
      <c r="F37" s="73" t="s">
        <v>44</v>
      </c>
      <c r="G37" s="79" t="s">
        <v>132</v>
      </c>
      <c r="H37" s="2" t="s">
        <v>46</v>
      </c>
      <c r="I37" s="73" t="s">
        <v>165</v>
      </c>
      <c r="J37" s="73" t="s">
        <v>399</v>
      </c>
      <c r="K37" s="7" t="s">
        <v>400</v>
      </c>
      <c r="L37" s="262">
        <v>44673</v>
      </c>
      <c r="M37" s="257">
        <v>46387</v>
      </c>
      <c r="N37" s="234">
        <f>_xlfn.XLOOKUP(Tb_Portfólio[[#This Row],[SEI]],Tb_Atualizações[PROCESSO SEI],Tb_Atualizações[% PREVISTO],"",0,-1)</f>
        <v>0.86</v>
      </c>
      <c r="O37" s="234">
        <f>_xlfn.XLOOKUP(Tb_Portfólio[[#This Row],[SEI]],Tb_Atualizações[PROCESSO SEI],Tb_Atualizações[% EXECUTADO],"",0,-1)</f>
        <v>0.86</v>
      </c>
      <c r="P37" s="147">
        <f>IFERROR(Tb_Portfólio[[#This Row],[% EXECUTADO]]/Tb_Portfólio[[#This Row],[% PREVISTO]],"0%")</f>
        <v>1</v>
      </c>
      <c r="Q37" s="146">
        <f>_xlfn.XLOOKUP(Tb_Portfólio[[#This Row],[SEI]],Tb_Atualizações[PROCESSO SEI],Tb_Atualizações[DATA DE ATUALIZAÇÃO],"",0,-1)</f>
        <v>46137</v>
      </c>
      <c r="R37" s="336">
        <f>_xlfn.XLOOKUP(Tb_Portfólio[[#This Row],[SEI]],Tb_Atualizações[PROCESSO SEI],Tb_Atualizações[Mês],,0,-1)</f>
        <v>46143</v>
      </c>
      <c r="S37" s="259"/>
      <c r="T37" s="268" t="s">
        <v>48</v>
      </c>
      <c r="U3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37" s="95"/>
      <c r="W37" s="236">
        <f>IFERROR(Tb_Portfólio[[#This Row],[% EXECUTADO]]/Tb_Portfólio[[#This Row],[% PREVISTO]],0)</f>
        <v>1</v>
      </c>
      <c r="X37" s="97"/>
      <c r="Y37" s="150">
        <v>4803533.72</v>
      </c>
      <c r="Z37" s="150"/>
      <c r="AA37" s="73" t="s">
        <v>51</v>
      </c>
      <c r="AB37" s="97" t="s">
        <v>137</v>
      </c>
      <c r="AC37" s="240" t="s">
        <v>67</v>
      </c>
      <c r="AD37" s="263" t="s">
        <v>401</v>
      </c>
      <c r="AE37" s="239" t="s">
        <v>402</v>
      </c>
      <c r="AF37" s="225">
        <f t="shared" ca="1" si="1"/>
        <v>46176</v>
      </c>
      <c r="AG37" s="79" t="s">
        <v>403</v>
      </c>
      <c r="AH37" s="79" t="s">
        <v>67</v>
      </c>
      <c r="AJ37" s="79" t="str">
        <f>2024&amp;Tb_Portfólio[[#This Row],[SEI]]</f>
        <v>202404751/2022</v>
      </c>
      <c r="AK37" s="79" t="str">
        <f>IFERROR(IF(MATCH(AJ37,Atualizações!$P$1:$P$1265,0)&gt;0, "Sim"), "Não")</f>
        <v>Não</v>
      </c>
      <c r="AL37" s="79" t="str">
        <f>2025&amp;Tb_Portfólio[[#This Row],[SEI]]</f>
        <v>202504751/2022</v>
      </c>
      <c r="AM37" t="str">
        <f>IFERROR(IF(MATCH(AL37,Atualizações!$P$1:$P$2994,0)&gt;0, "Sim"), "Não")</f>
        <v>Sim</v>
      </c>
      <c r="AN37" s="79" t="str">
        <f>2026&amp;Tb_Portfólio[[#This Row],[SEI]]</f>
        <v>202604751/2022</v>
      </c>
      <c r="AO37" t="str">
        <f>IFERROR(IF(MATCH(AN37,Atualizações!$P$1:$P$2994,0)&gt;0, "Sim"), "Não")</f>
        <v>Sim</v>
      </c>
      <c r="AP37" s="79" t="str">
        <f>_xlfn.XLOOKUP(Tb_Portfólio[[#This Row],[SEI]],Tb_Atualizações[PROCESSO SEI],Tb_Atualizações[Explicações],"",0,-1)</f>
        <v>Entregas realizadas:
• Atualização para a versão Backend 1.62.0 com várias correções e ajustes realizados. 
• Manutenção e correção de vários Bugs detectados. 
• Melhorias voltadas para a criação solução para atualização de Órgão Julgador. 
• Verificar volume de mensagens suspensas. 
•  TJMS(SAJ) carga de arquivo. 
Entregas planejadas para o próximo mês:
• Correção de Inconsistências na integração CODEX x SISPREQ. 
• Ajustar comportamento do botão limpar na listagem de mensagens. 
• Desabilitar JOB atualização. 
Outros fatos relevantes a registrar:
• Suporte aos tribunais quanto ao Prêmio de Qualidade CNJ.. 
• Inclusão do ProcessoCompilado no S3 do Data Lake. Em fase final. 
• Acessos, SSO e incidentes de autenticação. 
• Desabilitado o JOB de Sincronismo CNPJS e CPFS</v>
      </c>
      <c r="AQ37" s="79" t="str">
        <f>_xlfn.XLOOKUP(Tb_Portfólio[[#This Row],[SEI]],Tb_Mapa[SEI],Tb_Mapa[CONSULTOR RESPONSÁVEL],"",0,-1)</f>
        <v>Raphael</v>
      </c>
    </row>
    <row r="38" spans="1:43" ht="270" hidden="1">
      <c r="A38" s="149" t="s">
        <v>404</v>
      </c>
      <c r="B38" s="139" t="s">
        <v>405</v>
      </c>
      <c r="C38" s="374" t="s">
        <v>406</v>
      </c>
      <c r="D38" s="97"/>
      <c r="E38" s="97" t="s">
        <v>43</v>
      </c>
      <c r="F38" s="97" t="s">
        <v>44</v>
      </c>
      <c r="G38" s="97" t="s">
        <v>407</v>
      </c>
      <c r="H38" s="7" t="s">
        <v>44</v>
      </c>
      <c r="I38" s="73" t="s">
        <v>240</v>
      </c>
      <c r="J38" s="73" t="s">
        <v>76</v>
      </c>
      <c r="K38" s="7" t="s">
        <v>147</v>
      </c>
      <c r="L38" s="262">
        <v>45404</v>
      </c>
      <c r="M38" s="266">
        <v>45993</v>
      </c>
      <c r="N38" s="234">
        <f>_xlfn.XLOOKUP(Tb_Portfólio[[#This Row],[SEI]],Tb_Atualizações[PROCESSO SEI],Tb_Atualizações[% PREVISTO],"",0,-1)</f>
        <v>0.67</v>
      </c>
      <c r="O38" s="234">
        <f>_xlfn.XLOOKUP(Tb_Portfólio[[#This Row],[SEI]],Tb_Atualizações[PROCESSO SEI],Tb_Atualizações[% EXECUTADO],"",0,-1)</f>
        <v>0.67</v>
      </c>
      <c r="P38" s="147">
        <f>IFERROR(Tb_Portfólio[[#This Row],[% EXECUTADO]]/Tb_Portfólio[[#This Row],[% PREVISTO]],"0%")</f>
        <v>1</v>
      </c>
      <c r="Q38" s="146">
        <f>_xlfn.XLOOKUP(Tb_Portfólio[[#This Row],[SEI]],Tb_Atualizações[PROCESSO SEI],Tb_Atualizações[DATA DE ATUALIZAÇÃO],"",0,-1)</f>
        <v>45920</v>
      </c>
      <c r="R38" s="336">
        <f>_xlfn.XLOOKUP(Tb_Portfólio[[#This Row],[SEI]],Tb_Atualizações[PROCESSO SEI],Tb_Atualizações[Mês],,0,-1)</f>
        <v>45870</v>
      </c>
      <c r="S38" s="259"/>
      <c r="T38" s="268"/>
      <c r="U38" s="235" t="s">
        <v>277</v>
      </c>
      <c r="V38" s="95"/>
      <c r="W38" s="236">
        <f>IFERROR(Tb_Portfólio[[#This Row],[% EXECUTADO]]/Tb_Portfólio[[#This Row],[% PREVISTO]],0)</f>
        <v>1</v>
      </c>
      <c r="X38" s="97" t="s">
        <v>408</v>
      </c>
      <c r="Y38" s="226"/>
      <c r="Z38" s="652"/>
      <c r="AA38" s="97" t="s">
        <v>51</v>
      </c>
      <c r="AB38" s="97" t="s">
        <v>179</v>
      </c>
      <c r="AC38" s="16" t="s">
        <v>44</v>
      </c>
      <c r="AD38" s="97" t="s">
        <v>409</v>
      </c>
      <c r="AE38" s="274"/>
      <c r="AF38" s="273">
        <f t="shared" ca="1" si="1"/>
        <v>46176</v>
      </c>
      <c r="AG38" s="274" t="s">
        <v>197</v>
      </c>
      <c r="AH38" s="79" t="s">
        <v>67</v>
      </c>
      <c r="AJ38" s="79" t="str">
        <f>2024&amp;Tb_Portfólio[[#This Row],[SEI]]</f>
        <v>202405138/2024</v>
      </c>
      <c r="AK38" t="str">
        <f>IFERROR(IF(MATCH(AJ38,Atualizações!$P$1:$P$1265,0)&gt;0, "Sim"), "Não")</f>
        <v>Sim</v>
      </c>
      <c r="AL38" s="79" t="str">
        <f>2025&amp;Tb_Portfólio[[#This Row],[SEI]]</f>
        <v>202505138/2024</v>
      </c>
      <c r="AM38" t="str">
        <f>IFERROR(IF(MATCH(AL38,Atualizações!$P$1:$P$2994,0)&gt;0, "Sim"), "Não")</f>
        <v>Sim</v>
      </c>
      <c r="AN38" s="79" t="str">
        <f>2026&amp;Tb_Portfólio[[#This Row],[SEI]]</f>
        <v>202605138/2024</v>
      </c>
      <c r="AO38" t="str">
        <f>IFERROR(IF(MATCH(AN38,Atualizações!$P$1:$P$2994,0)&gt;0, "Sim"), "Não")</f>
        <v>Não</v>
      </c>
      <c r="AP38" s="79" t="str">
        <f>_xlfn.XLOOKUP(Tb_Portfólio[[#This Row],[SEI]],Tb_Atualizações[PROCESSO SEI],Tb_Atualizações[Explicações],"",0,-1)</f>
        <v>Projeto dado como finalizado parcialmente. O resto do escopo será concluído no projeto "API de Pessoas", em execução no programa justiça 4.0. Necessário que o TEP deste projeto tenha essa informação.</v>
      </c>
      <c r="AQ38" s="79" t="str">
        <f>_xlfn.XLOOKUP(Tb_Portfólio[[#This Row],[SEI]],Tb_Mapa[SEI],Tb_Mapa[CONSULTOR RESPONSÁVEL],"",0,-1)</f>
        <v>Tony</v>
      </c>
    </row>
    <row r="39" spans="1:43" ht="120" hidden="1">
      <c r="A39" s="149" t="s">
        <v>410</v>
      </c>
      <c r="B39" s="139" t="s">
        <v>411</v>
      </c>
      <c r="C39" s="97" t="s">
        <v>412</v>
      </c>
      <c r="D39" s="97"/>
      <c r="E39" s="246" t="s">
        <v>144</v>
      </c>
      <c r="F39" s="255" t="s">
        <v>44</v>
      </c>
      <c r="G39" s="7" t="s">
        <v>145</v>
      </c>
      <c r="H39" s="255" t="s">
        <v>92</v>
      </c>
      <c r="I39" s="7" t="s">
        <v>75</v>
      </c>
      <c r="J39" s="112" t="s">
        <v>166</v>
      </c>
      <c r="K39" s="7" t="s">
        <v>413</v>
      </c>
      <c r="L39" s="262">
        <v>45401</v>
      </c>
      <c r="M39" s="257">
        <v>46011</v>
      </c>
      <c r="N39" s="234">
        <f>_xlfn.XLOOKUP(Tb_Portfólio[[#This Row],[SEI]],Tb_Atualizações[PROCESSO SEI],Tb_Atualizações[% PREVISTO],"",0,-1)</f>
        <v>1</v>
      </c>
      <c r="O39" s="234">
        <f>_xlfn.XLOOKUP(Tb_Portfólio[[#This Row],[SEI]],Tb_Atualizações[PROCESSO SEI],Tb_Atualizações[% EXECUTADO],"",0,-1)</f>
        <v>1</v>
      </c>
      <c r="P39" s="147">
        <f>IFERROR(Tb_Portfólio[[#This Row],[% EXECUTADO]]/Tb_Portfólio[[#This Row],[% PREVISTO]],"0%")</f>
        <v>1</v>
      </c>
      <c r="Q39" s="146">
        <f>_xlfn.XLOOKUP(Tb_Portfólio[[#This Row],[SEI]],Tb_Atualizações[PROCESSO SEI],Tb_Atualizações[DATA DE ATUALIZAÇÃO],"",0,-1)</f>
        <v>46011</v>
      </c>
      <c r="R39" s="336">
        <f>_xlfn.XLOOKUP(Tb_Portfólio[[#This Row],[SEI]],Tb_Atualizações[PROCESSO SEI],Tb_Atualizações[Mês],,0,-1)</f>
        <v>45992</v>
      </c>
      <c r="S39" s="259"/>
      <c r="T39" s="268"/>
      <c r="U3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39" s="95"/>
      <c r="W39" s="236">
        <f>IFERROR(Tb_Portfólio[[#This Row],[% EXECUTADO]]/Tb_Portfólio[[#This Row],[% PREVISTO]],0)</f>
        <v>1</v>
      </c>
      <c r="X39" s="261" t="s">
        <v>414</v>
      </c>
      <c r="Y39" s="150"/>
      <c r="Z39" s="652"/>
      <c r="AA39" s="97"/>
      <c r="AB39" s="73" t="s">
        <v>150</v>
      </c>
      <c r="AC39" s="255" t="s">
        <v>92</v>
      </c>
      <c r="AD39" s="97" t="s">
        <v>415</v>
      </c>
      <c r="AE39" s="274"/>
      <c r="AF39" s="273">
        <f t="shared" ref="AF39:AF77" ca="1" si="2">TODAY()</f>
        <v>46176</v>
      </c>
      <c r="AJ39" s="79" t="str">
        <f>2024&amp;Tb_Portfólio[[#This Row],[SEI]]</f>
        <v>202405150/2024</v>
      </c>
      <c r="AK39" t="str">
        <f>IFERROR(IF(MATCH(AJ39,Atualizações!$P$1:$P$1265,0)&gt;0, "Sim"), "Não")</f>
        <v>Sim</v>
      </c>
      <c r="AL39" s="79" t="str">
        <f>2025&amp;Tb_Portfólio[[#This Row],[SEI]]</f>
        <v>202505150/2024</v>
      </c>
      <c r="AM39" t="str">
        <f>IFERROR(IF(MATCH(AL39,Atualizações!$P$1:$P$2994,0)&gt;0, "Sim"), "Não")</f>
        <v>Sim</v>
      </c>
      <c r="AN39" s="79" t="str">
        <f>2026&amp;Tb_Portfólio[[#This Row],[SEI]]</f>
        <v>202605150/2024</v>
      </c>
      <c r="AO39" t="str">
        <f>IFERROR(IF(MATCH(AN39,Atualizações!$P$1:$P$2994,0)&gt;0, "Sim"), "Não")</f>
        <v>Não</v>
      </c>
      <c r="AP39" s="79" t="str">
        <f>_xlfn.XLOOKUP(Tb_Portfólio[[#This Row],[SEI]],Tb_Atualizações[PROCESSO SEI],Tb_Atualizações[Explicações],"",0,-1)</f>
        <v>Em conversa com a Dani no dia 14/1, fui informado de que o projeto foi concluído com sucesso no dia 18/12. Combinei com ela que o projeto seria finalizado na nossa base, mas ficamos no aguardo do TEP.</v>
      </c>
      <c r="AQ39" s="79" t="str">
        <f>_xlfn.XLOOKUP(Tb_Portfólio[[#This Row],[SEI]],Tb_Mapa[SEI],Tb_Mapa[CONSULTOR RESPONSÁVEL],"",0,-1)</f>
        <v>Igor</v>
      </c>
    </row>
    <row r="40" spans="1:43" ht="195" hidden="1">
      <c r="A40" s="149" t="s">
        <v>416</v>
      </c>
      <c r="B40" s="513" t="s">
        <v>417</v>
      </c>
      <c r="C40" s="97" t="s">
        <v>418</v>
      </c>
      <c r="D40" s="97"/>
      <c r="E40" s="73" t="s">
        <v>66</v>
      </c>
      <c r="F40" s="240" t="s">
        <v>67</v>
      </c>
      <c r="G40" s="97" t="s">
        <v>419</v>
      </c>
      <c r="H40" s="7" t="s">
        <v>46</v>
      </c>
      <c r="I40" s="97" t="s">
        <v>165</v>
      </c>
      <c r="J40" s="518" t="s">
        <v>146</v>
      </c>
      <c r="K40" s="6" t="s">
        <v>177</v>
      </c>
      <c r="L40" s="262">
        <v>45425</v>
      </c>
      <c r="M40" s="257" t="s">
        <v>420</v>
      </c>
      <c r="N40" s="234">
        <f>_xlfn.XLOOKUP(Tb_Portfólio[[#This Row],[SEI]],Tb_Atualizações[PROCESSO SEI],Tb_Atualizações[% PREVISTO],"",0,-1)</f>
        <v>0.76</v>
      </c>
      <c r="O40" s="234">
        <f>_xlfn.XLOOKUP(Tb_Portfólio[[#This Row],[SEI]],Tb_Atualizações[PROCESSO SEI],Tb_Atualizações[% EXECUTADO],"",0,-1)</f>
        <v>0.64</v>
      </c>
      <c r="P40" s="147">
        <f>IFERROR(Tb_Portfólio[[#This Row],[% EXECUTADO]]/Tb_Portfólio[[#This Row],[% PREVISTO]],"0%")</f>
        <v>0.84210526315789469</v>
      </c>
      <c r="Q40" s="146">
        <f>_xlfn.XLOOKUP(Tb_Portfólio[[#This Row],[SEI]],Tb_Atualizações[PROCESSO SEI],Tb_Atualizações[DATA DE ATUALIZAÇÃO],"",0,-1)</f>
        <v>46167</v>
      </c>
      <c r="R40" s="336">
        <f>_xlfn.XLOOKUP(Tb_Portfólio[[#This Row],[SEI]],Tb_Atualizações[PROCESSO SEI],Tb_Atualizações[Mês],,0,-1)</f>
        <v>46143</v>
      </c>
      <c r="S40" s="259"/>
      <c r="T40" s="268" t="s">
        <v>48</v>
      </c>
      <c r="U40"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40" s="95"/>
      <c r="W40" s="236">
        <f>IFERROR(Tb_Portfólio[[#This Row],[% EXECUTADO]]/Tb_Portfólio[[#This Row],[% PREVISTO]],0)</f>
        <v>0.84210526315789469</v>
      </c>
      <c r="X40" s="261" t="s">
        <v>421</v>
      </c>
      <c r="Y40" s="652"/>
      <c r="Z40" s="652"/>
      <c r="AA40" s="73" t="s">
        <v>51</v>
      </c>
      <c r="AB40" s="97" t="s">
        <v>422</v>
      </c>
      <c r="AC40" s="97" t="s">
        <v>67</v>
      </c>
      <c r="AD40" s="97" t="s">
        <v>423</v>
      </c>
      <c r="AE40" s="274"/>
      <c r="AF40" s="273">
        <f t="shared" ca="1" si="2"/>
        <v>46176</v>
      </c>
      <c r="AG40" s="274" t="s">
        <v>424</v>
      </c>
      <c r="AH40" s="79" t="s">
        <v>67</v>
      </c>
      <c r="AJ40" s="79" t="str">
        <f>2024&amp;Tb_Portfólio[[#This Row],[SEI]]</f>
        <v>202405578/2024</v>
      </c>
      <c r="AK40" t="str">
        <f>IFERROR(IF(MATCH(AJ40,Atualizações!$P$1:$P$1265,0)&gt;0, "Sim"), "Não")</f>
        <v>Sim</v>
      </c>
      <c r="AL40" s="79" t="str">
        <f>2025&amp;Tb_Portfólio[[#This Row],[SEI]]</f>
        <v>202505578/2024</v>
      </c>
      <c r="AM40" t="str">
        <f>IFERROR(IF(MATCH(AL40,Atualizações!$P$1:$P$2994,0)&gt;0, "Sim"), "Não")</f>
        <v>Sim</v>
      </c>
      <c r="AN40" s="79" t="str">
        <f>2026&amp;Tb_Portfólio[[#This Row],[SEI]]</f>
        <v>202605578/2024</v>
      </c>
      <c r="AO40" t="str">
        <f>IFERROR(IF(MATCH(AN40,Atualizações!$P$1:$P$2994,0)&gt;0, "Sim"), "Não")</f>
        <v>Sim</v>
      </c>
      <c r="AP40" s="79">
        <f>_xlfn.XLOOKUP(Tb_Portfólio[[#This Row],[SEI]],Tb_Atualizações[PROCESSO SEI],Tb_Atualizações[Explicações],"",0,-1)</f>
        <v>0</v>
      </c>
      <c r="AQ40" s="79" t="str">
        <f>_xlfn.XLOOKUP(Tb_Portfólio[[#This Row],[SEI]],Tb_Mapa[SEI],Tb_Mapa[CONSULTOR RESPONSÁVEL],"",0,-1)</f>
        <v>Tony</v>
      </c>
    </row>
    <row r="41" spans="1:43" ht="409.5" hidden="1">
      <c r="A41" s="271" t="s">
        <v>425</v>
      </c>
      <c r="B41" s="139" t="s">
        <v>426</v>
      </c>
      <c r="C41" s="97" t="s">
        <v>427</v>
      </c>
      <c r="D41" s="97"/>
      <c r="E41" s="97" t="s">
        <v>43</v>
      </c>
      <c r="F41" s="255" t="s">
        <v>44</v>
      </c>
      <c r="G41" s="7" t="s">
        <v>175</v>
      </c>
      <c r="H41" s="376" t="s">
        <v>46</v>
      </c>
      <c r="I41" s="97" t="s">
        <v>75</v>
      </c>
      <c r="J41" s="275" t="s">
        <v>146</v>
      </c>
      <c r="K41" s="6" t="s">
        <v>147</v>
      </c>
      <c r="L41" s="262">
        <v>45161</v>
      </c>
      <c r="M41" s="257">
        <v>45605</v>
      </c>
      <c r="N41" s="234">
        <f>_xlfn.XLOOKUP(Tb_Portfólio[[#This Row],[SEI]],Tb_Atualizações[PROCESSO SEI],Tb_Atualizações[% PREVISTO],"",0,-1)</f>
        <v>1</v>
      </c>
      <c r="O41" s="234">
        <f>_xlfn.XLOOKUP(Tb_Portfólio[[#This Row],[SEI]],Tb_Atualizações[PROCESSO SEI],Tb_Atualizações[% EXECUTADO],"",0,-1)</f>
        <v>1</v>
      </c>
      <c r="P41" s="147">
        <f>IFERROR(Tb_Portfólio[[#This Row],[% EXECUTADO]]/Tb_Portfólio[[#This Row],[% PREVISTO]],"0%")</f>
        <v>1</v>
      </c>
      <c r="Q41" s="146">
        <f>_xlfn.XLOOKUP(Tb_Portfólio[[#This Row],[SEI]],Tb_Atualizações[PROCESSO SEI],Tb_Atualizações[DATA DE ATUALIZAÇÃO],"",0,-1)</f>
        <v>45608</v>
      </c>
      <c r="R41" s="336">
        <f>_xlfn.XLOOKUP(Tb_Portfólio[[#This Row],[SEI]],Tb_Atualizações[PROCESSO SEI],Tb_Atualizações[Mês],,0,-1)</f>
        <v>45597</v>
      </c>
      <c r="S41" s="259"/>
      <c r="T41" s="268" t="s">
        <v>48</v>
      </c>
      <c r="U4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41" s="95"/>
      <c r="W41" s="236">
        <f>IFERROR(Tb_Portfólio[[#This Row],[% EXECUTADO]]/Tb_Portfólio[[#This Row],[% PREVISTO]],0)</f>
        <v>1</v>
      </c>
      <c r="X41" s="97" t="s">
        <v>428</v>
      </c>
      <c r="Y41" s="150"/>
      <c r="Z41" s="150"/>
      <c r="AA41" s="97" t="s">
        <v>51</v>
      </c>
      <c r="AB41" s="97" t="s">
        <v>43</v>
      </c>
      <c r="AC41" s="16" t="s">
        <v>44</v>
      </c>
      <c r="AD41" s="97" t="s">
        <v>429</v>
      </c>
      <c r="AE41" s="272" t="s">
        <v>430</v>
      </c>
      <c r="AF41" s="273">
        <f t="shared" ca="1" si="2"/>
        <v>46176</v>
      </c>
      <c r="AG41" s="274" t="s">
        <v>145</v>
      </c>
      <c r="AH41" s="333" t="s">
        <v>92</v>
      </c>
      <c r="AJ41" s="79" t="str">
        <f>2024&amp;Tb_Portfólio[[#This Row],[SEI]]</f>
        <v>202406767/2022</v>
      </c>
      <c r="AK41" t="str">
        <f>IFERROR(IF(MATCH(AJ41,Atualizações!$P$1:$P$1265,0)&gt;0, "Sim"), "Não")</f>
        <v>Sim</v>
      </c>
      <c r="AL41" s="79" t="str">
        <f>2025&amp;Tb_Portfólio[[#This Row],[SEI]]</f>
        <v>202506767/2022</v>
      </c>
      <c r="AM41" t="str">
        <f>IFERROR(IF(MATCH(AL41,Atualizações!$P$1:$P$2994,0)&gt;0, "Sim"), "Não")</f>
        <v>Não</v>
      </c>
      <c r="AN41" s="79" t="str">
        <f>2026&amp;Tb_Portfólio[[#This Row],[SEI]]</f>
        <v>202606767/2022</v>
      </c>
      <c r="AO41" t="str">
        <f>IFERROR(IF(MATCH(AN41,Atualizações!$P$1:$P$2994,0)&gt;0, "Sim"), "Não")</f>
        <v>Não</v>
      </c>
      <c r="AP41" s="79">
        <f>_xlfn.XLOOKUP(Tb_Portfólio[[#This Row],[SEI]],Tb_Atualizações[PROCESSO SEI],Tb_Atualizações[Explicações],"",0,-1)</f>
        <v>0</v>
      </c>
      <c r="AQ41" s="79" t="str">
        <f>_xlfn.XLOOKUP(Tb_Portfólio[[#This Row],[SEI]],Tb_Mapa[SEI],Tb_Mapa[CONSULTOR RESPONSÁVEL],"",0,-1)</f>
        <v>Igor/Finalizado</v>
      </c>
    </row>
    <row r="42" spans="1:43" ht="409.5" hidden="1">
      <c r="A42" s="149" t="s">
        <v>431</v>
      </c>
      <c r="B42" s="103" t="s">
        <v>432</v>
      </c>
      <c r="C42" s="97" t="s">
        <v>433</v>
      </c>
      <c r="D42" s="97"/>
      <c r="E42" s="73" t="s">
        <v>43</v>
      </c>
      <c r="F42" s="16" t="s">
        <v>44</v>
      </c>
      <c r="G42" s="516" t="s">
        <v>335</v>
      </c>
      <c r="H42" s="2" t="s">
        <v>46</v>
      </c>
      <c r="I42" s="7" t="s">
        <v>104</v>
      </c>
      <c r="J42" s="110" t="s">
        <v>105</v>
      </c>
      <c r="K42" s="107" t="s">
        <v>177</v>
      </c>
      <c r="L42" s="262">
        <v>45504</v>
      </c>
      <c r="M42" s="257">
        <v>46281</v>
      </c>
      <c r="N42" s="234">
        <f>_xlfn.XLOOKUP(Tb_Portfólio[[#This Row],[SEI]],Tb_Atualizações[PROCESSO SEI],Tb_Atualizações[% PREVISTO],"",0,-1)</f>
        <v>0.86</v>
      </c>
      <c r="O42" s="234">
        <f>_xlfn.XLOOKUP(Tb_Portfólio[[#This Row],[SEI]],Tb_Atualizações[PROCESSO SEI],Tb_Atualizações[% EXECUTADO],"",0,-1)</f>
        <v>0.76</v>
      </c>
      <c r="P42" s="147">
        <f>IFERROR(Tb_Portfólio[[#This Row],[% EXECUTADO]]/Tb_Portfólio[[#This Row],[% PREVISTO]],"0%")</f>
        <v>0.88372093023255816</v>
      </c>
      <c r="Q42" s="146">
        <f>_xlfn.XLOOKUP(Tb_Portfólio[[#This Row],[SEI]],Tb_Atualizações[PROCESSO SEI],Tb_Atualizações[DATA DE ATUALIZAÇÃO],"",0,-1)</f>
        <v>46167</v>
      </c>
      <c r="R42" s="336">
        <f>_xlfn.XLOOKUP(Tb_Portfólio[[#This Row],[SEI]],Tb_Atualizações[PROCESSO SEI],Tb_Atualizações[Mês],,0,-1)</f>
        <v>46143</v>
      </c>
      <c r="S42" s="259"/>
      <c r="T42" s="268" t="s">
        <v>48</v>
      </c>
      <c r="U42"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42" s="95"/>
      <c r="W42" s="236">
        <f>IFERROR(Tb_Portfólio[[#This Row],[% EXECUTADO]]/Tb_Portfólio[[#This Row],[% PREVISTO]],0)</f>
        <v>0.88372093023255816</v>
      </c>
      <c r="X42" s="97"/>
      <c r="Y42" s="150"/>
      <c r="Z42" s="652"/>
      <c r="AA42" s="73" t="s">
        <v>51</v>
      </c>
      <c r="AB42" s="524" t="s">
        <v>179</v>
      </c>
      <c r="AC42" s="376" t="s">
        <v>44</v>
      </c>
      <c r="AD42" s="97" t="s">
        <v>434</v>
      </c>
      <c r="AE42" s="274" t="s">
        <v>435</v>
      </c>
      <c r="AF42" s="273">
        <f t="shared" ca="1" si="2"/>
        <v>46176</v>
      </c>
      <c r="AG42" s="530" t="s">
        <v>340</v>
      </c>
      <c r="AH42" s="79" t="s">
        <v>67</v>
      </c>
      <c r="AJ42" s="79" t="str">
        <f>2024&amp;Tb_Portfólio[[#This Row],[SEI]]</f>
        <v>202406826/2024</v>
      </c>
      <c r="AK42" t="str">
        <f>IFERROR(IF(MATCH(AJ42,Atualizações!$P$1:$P$1265,0)&gt;0, "Sim"), "Não")</f>
        <v>Sim</v>
      </c>
      <c r="AL42" s="79" t="str">
        <f>2025&amp;Tb_Portfólio[[#This Row],[SEI]]</f>
        <v>202506826/2024</v>
      </c>
      <c r="AM42" t="str">
        <f>IFERROR(IF(MATCH(AL42,Atualizações!$P$1:$P$2994,0)&gt;0, "Sim"), "Não")</f>
        <v>Sim</v>
      </c>
      <c r="AN42" s="79" t="str">
        <f>2026&amp;Tb_Portfólio[[#This Row],[SEI]]</f>
        <v>202606826/2024</v>
      </c>
      <c r="AO42" t="str">
        <f>IFERROR(IF(MATCH(AN42,Atualizações!$P$1:$P$2994,0)&gt;0, "Sim"), "Não")</f>
        <v>Sim</v>
      </c>
      <c r="AP42" s="79" t="str">
        <f>_xlfn.XLOOKUP(Tb_Portfólio[[#This Row],[SEI]],Tb_Atualizações[PROCESSO SEI],Tb_Atualizações[Explicações],"",0,-1)</f>
        <v xml:space="preserve">Entregas realizadas 
• Produto 6 -Implantação da integração base de dados da SERP/ONR 
 Roteiro aprovado 
 Envio parcial dos vídeos 
• Produto 9 –Protótipo das Melhorias Evolutivas 
 Reunião de aprovação com magistrados em  
 Envio da documentação de requisitos e arquitetura 
Entregas planejadas para o próximo mês 
• SNIPERBC-42 Produto 10–Implantação das Melhorias Evolutivas  
 Relatório descritivo sobre sistema implementado em ambiente de homologação e produção 
 Relatório descritivo acerca da conclusão da disponibilização de acesso via API 
 Relatório de testes
Outros fatos relevantes a registrar 
• Limitação de acesso às partes impedem de usar o Sniper para alguns processos e isto tem acontecido com alguns vindos do Datalake( provavelmente sigilosos ).  
• Chamados abertos para o Sniper mas são limitações de acesso às partes do processo no Datalake. </v>
      </c>
      <c r="AQ42" s="79" t="str">
        <f>_xlfn.XLOOKUP(Tb_Portfólio[[#This Row],[SEI]],Tb_Mapa[SEI],Tb_Mapa[CONSULTOR RESPONSÁVEL],"",0,-1)</f>
        <v>Tony</v>
      </c>
    </row>
    <row r="43" spans="1:43" ht="405" hidden="1">
      <c r="A43" s="149" t="s">
        <v>436</v>
      </c>
      <c r="B43" s="103" t="s">
        <v>437</v>
      </c>
      <c r="C43" s="97" t="s">
        <v>438</v>
      </c>
      <c r="D43" s="97"/>
      <c r="E43" s="79" t="s">
        <v>276</v>
      </c>
      <c r="F43" s="376" t="s">
        <v>44</v>
      </c>
      <c r="G43" s="255" t="s">
        <v>345</v>
      </c>
      <c r="H43" s="2" t="s">
        <v>46</v>
      </c>
      <c r="I43" s="2" t="s">
        <v>213</v>
      </c>
      <c r="J43" s="275" t="s">
        <v>214</v>
      </c>
      <c r="K43" s="6" t="s">
        <v>147</v>
      </c>
      <c r="L43" s="262">
        <v>44487</v>
      </c>
      <c r="M43" s="266">
        <v>45412</v>
      </c>
      <c r="N43" s="234">
        <f>_xlfn.XLOOKUP(Tb_Portfólio[[#This Row],[SEI]],Tb_Atualizações[PROCESSO SEI],Tb_Atualizações[% PREVISTO],"",0,-1)</f>
        <v>0.5</v>
      </c>
      <c r="O43" s="234">
        <f>_xlfn.XLOOKUP(Tb_Portfólio[[#This Row],[SEI]],Tb_Atualizações[PROCESSO SEI],Tb_Atualizações[% EXECUTADO],"",0,-1)</f>
        <v>1</v>
      </c>
      <c r="P43" s="147">
        <f>IFERROR(Tb_Portfólio[[#This Row],[% EXECUTADO]]/Tb_Portfólio[[#This Row],[% PREVISTO]],"0%")</f>
        <v>2</v>
      </c>
      <c r="Q43" s="146">
        <f>_xlfn.XLOOKUP(Tb_Portfólio[[#This Row],[SEI]],Tb_Atualizações[PROCESSO SEI],Tb_Atualizações[DATA DE ATUALIZAÇÃO],"",0,-1)</f>
        <v>45412</v>
      </c>
      <c r="R43" s="336">
        <f>_xlfn.XLOOKUP(Tb_Portfólio[[#This Row],[SEI]],Tb_Atualizações[PROCESSO SEI],Tb_Atualizações[Mês],,0,-1)</f>
        <v>45383</v>
      </c>
      <c r="S43" s="266"/>
      <c r="T43" s="268" t="s">
        <v>48</v>
      </c>
      <c r="U43"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43" s="209"/>
      <c r="W43" s="236">
        <f>IFERROR(Tb_Portfólio[[#This Row],[% EXECUTADO]]/Tb_Portfólio[[#This Row],[% PREVISTO]],0)</f>
        <v>2</v>
      </c>
      <c r="X43" s="97" t="s">
        <v>439</v>
      </c>
      <c r="Y43" s="150">
        <v>256100.06</v>
      </c>
      <c r="Z43" s="150"/>
      <c r="AA43" s="73" t="s">
        <v>51</v>
      </c>
      <c r="AB43" s="97" t="s">
        <v>43</v>
      </c>
      <c r="AC43" s="16" t="s">
        <v>44</v>
      </c>
      <c r="AD43" s="97" t="s">
        <v>440</v>
      </c>
      <c r="AE43" s="381" t="s">
        <v>441</v>
      </c>
      <c r="AF43" s="273">
        <f t="shared" ca="1" si="2"/>
        <v>46176</v>
      </c>
      <c r="AG43" s="79" t="s">
        <v>442</v>
      </c>
      <c r="AH43" s="79" t="s">
        <v>44</v>
      </c>
      <c r="AJ43" s="79" t="str">
        <f>2024&amp;Tb_Portfólio[[#This Row],[SEI]]</f>
        <v>202407855/2022</v>
      </c>
      <c r="AK43" t="str">
        <f>IFERROR(IF(MATCH(AJ43,Atualizações!$P$1:$P$1265,0)&gt;0, "Sim"), "Não")</f>
        <v>Sim</v>
      </c>
      <c r="AL43" s="79" t="str">
        <f>2025&amp;Tb_Portfólio[[#This Row],[SEI]]</f>
        <v>202507855/2022</v>
      </c>
      <c r="AM43" t="str">
        <f>IFERROR(IF(MATCH(AL43,Atualizações!$P$1:$P$2994,0)&gt;0, "Sim"), "Não")</f>
        <v>Não</v>
      </c>
      <c r="AN43" s="79" t="str">
        <f>2026&amp;Tb_Portfólio[[#This Row],[SEI]]</f>
        <v>202607855/2022</v>
      </c>
      <c r="AO43" t="str">
        <f>IFERROR(IF(MATCH(AN43,Atualizações!$P$1:$P$2994,0)&gt;0, "Sim"), "Não")</f>
        <v>Não</v>
      </c>
      <c r="AP43" s="79">
        <f>_xlfn.XLOOKUP(Tb_Portfólio[[#This Row],[SEI]],Tb_Atualizações[PROCESSO SEI],Tb_Atualizações[Explicações],"",0,-1)</f>
        <v>0</v>
      </c>
      <c r="AQ43" s="79" t="str">
        <f>_xlfn.XLOOKUP(Tb_Portfólio[[#This Row],[SEI]],Tb_Mapa[SEI],Tb_Mapa[CONSULTOR RESPONSÁVEL],"",0,-1)</f>
        <v>Igor/finalizado</v>
      </c>
    </row>
    <row r="44" spans="1:43" ht="150" hidden="1">
      <c r="A44" s="149" t="s">
        <v>443</v>
      </c>
      <c r="B44" s="103" t="s">
        <v>444</v>
      </c>
      <c r="C44" s="97" t="s">
        <v>445</v>
      </c>
      <c r="D44" s="97"/>
      <c r="E44" s="79" t="s">
        <v>446</v>
      </c>
      <c r="F44" s="7" t="s">
        <v>202</v>
      </c>
      <c r="G44" s="7" t="s">
        <v>447</v>
      </c>
      <c r="H44" s="2" t="s">
        <v>202</v>
      </c>
      <c r="I44" s="7" t="s">
        <v>448</v>
      </c>
      <c r="J44" s="17" t="s">
        <v>105</v>
      </c>
      <c r="K44" s="7"/>
      <c r="L44" s="262">
        <v>44854</v>
      </c>
      <c r="M44" s="266">
        <v>45688</v>
      </c>
      <c r="N44" s="234">
        <f>_xlfn.XLOOKUP(Tb_Portfólio[[#This Row],[SEI]],Tb_Atualizações[PROCESSO SEI],Tb_Atualizações[% PREVISTO],"",0,-1)</f>
        <v>0.42</v>
      </c>
      <c r="O44" s="234">
        <f>_xlfn.XLOOKUP(Tb_Portfólio[[#This Row],[SEI]],Tb_Atualizações[PROCESSO SEI],Tb_Atualizações[% EXECUTADO],"",0,-1)</f>
        <v>0.42</v>
      </c>
      <c r="P44" s="147">
        <f>IFERROR(Tb_Portfólio[[#This Row],[% EXECUTADO]]/Tb_Portfólio[[#This Row],[% PREVISTO]],"0%")</f>
        <v>1</v>
      </c>
      <c r="Q44" s="146">
        <f>_xlfn.XLOOKUP(Tb_Portfólio[[#This Row],[SEI]],Tb_Atualizações[PROCESSO SEI],Tb_Atualizações[DATA DE ATUALIZAÇÃO],"",0,-1)</f>
        <v>45680</v>
      </c>
      <c r="R44" s="336">
        <f>_xlfn.XLOOKUP(Tb_Portfólio[[#This Row],[SEI]],Tb_Atualizações[PROCESSO SEI],Tb_Atualizações[Mês],,0,-1)</f>
        <v>45200</v>
      </c>
      <c r="S44" s="259"/>
      <c r="T44" s="268"/>
      <c r="U44"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44" s="95"/>
      <c r="W44" s="236">
        <f>IFERROR(Tb_Portfólio[[#This Row],[% EXECUTADO]]/Tb_Portfólio[[#This Row],[% PREVISTO]],0)</f>
        <v>1</v>
      </c>
      <c r="X44" s="97"/>
      <c r="Y44" s="150"/>
      <c r="Z44" s="150"/>
      <c r="AA44" s="73"/>
      <c r="AB44" s="73" t="s">
        <v>449</v>
      </c>
      <c r="AC44" s="97" t="s">
        <v>202</v>
      </c>
      <c r="AD44" s="97" t="s">
        <v>450</v>
      </c>
      <c r="AE44" s="274"/>
      <c r="AF44" s="273">
        <f t="shared" ca="1" si="2"/>
        <v>46176</v>
      </c>
      <c r="AJ44" s="79" t="str">
        <f>2024&amp;Tb_Portfólio[[#This Row],[SEI]]</f>
        <v>202408286/2022</v>
      </c>
      <c r="AK44" t="str">
        <f>IFERROR(IF(MATCH(AJ44,Atualizações!$P$1:$P$1265,0)&gt;0, "Sim"), "Não")</f>
        <v>Sim</v>
      </c>
      <c r="AL44" s="79" t="str">
        <f>2025&amp;Tb_Portfólio[[#This Row],[SEI]]</f>
        <v>202508286/2022</v>
      </c>
      <c r="AM44" t="str">
        <f>IFERROR(IF(MATCH(AL44,Atualizações!$P$1:$P$2994,0)&gt;0, "Sim"), "Não")</f>
        <v>Sim</v>
      </c>
      <c r="AN44" s="79" t="str">
        <f>2026&amp;Tb_Portfólio[[#This Row],[SEI]]</f>
        <v>202608286/2022</v>
      </c>
      <c r="AO44" t="str">
        <f>IFERROR(IF(MATCH(AN44,Atualizações!$P$1:$P$2994,0)&gt;0, "Sim"), "Não")</f>
        <v>Não</v>
      </c>
      <c r="AP44" s="79" t="str">
        <f>_xlfn.XLOOKUP(Tb_Portfólio[[#This Row],[SEI]],Tb_Atualizações[PROCESSO SEI],Tb_Atualizações[Explicações],"",0,-1)</f>
        <v>Medição duplicada apenas para incluir no portfólio de 2025</v>
      </c>
      <c r="AQ44" s="79" t="str">
        <f>_xlfn.XLOOKUP(Tb_Portfólio[[#This Row],[SEI]],Tb_Mapa[SEI],Tb_Mapa[CONSULTOR RESPONSÁVEL],"",0,-1)</f>
        <v>Igor</v>
      </c>
    </row>
    <row r="45" spans="1:43" ht="165" hidden="1">
      <c r="A45" s="149" t="s">
        <v>451</v>
      </c>
      <c r="B45" s="103" t="s">
        <v>452</v>
      </c>
      <c r="C45" s="7" t="s">
        <v>453</v>
      </c>
      <c r="D45" s="97" t="s">
        <v>454</v>
      </c>
      <c r="E45" s="79" t="s">
        <v>446</v>
      </c>
      <c r="F45" s="7" t="s">
        <v>202</v>
      </c>
      <c r="G45" s="7" t="s">
        <v>447</v>
      </c>
      <c r="H45" s="7" t="s">
        <v>202</v>
      </c>
      <c r="I45" s="7" t="s">
        <v>455</v>
      </c>
      <c r="J45" s="19" t="s">
        <v>89</v>
      </c>
      <c r="K45" s="7" t="s">
        <v>456</v>
      </c>
      <c r="L45" s="262">
        <v>44895</v>
      </c>
      <c r="M45" s="266">
        <v>45199</v>
      </c>
      <c r="N45" s="234">
        <f>_xlfn.XLOOKUP(Tb_Portfólio[[#This Row],[SEI]],Tb_Atualizações[PROCESSO SEI],Tb_Atualizações[% PREVISTO],"",0,-1)</f>
        <v>5.5500000000000001E-2</v>
      </c>
      <c r="O45" s="234">
        <f>_xlfn.XLOOKUP(Tb_Portfólio[[#This Row],[SEI]],Tb_Atualizações[PROCESSO SEI],Tb_Atualizações[% EXECUTADO],"",0,-1)</f>
        <v>1.0999999999999999E-2</v>
      </c>
      <c r="P45" s="147">
        <f>IFERROR(Tb_Portfólio[[#This Row],[% EXECUTADO]]/Tb_Portfólio[[#This Row],[% PREVISTO]],"0%")</f>
        <v>0.19819819819819817</v>
      </c>
      <c r="Q45" s="146">
        <f>_xlfn.XLOOKUP(Tb_Portfólio[[#This Row],[SEI]],Tb_Atualizações[PROCESSO SEI],Tb_Atualizações[DATA DE ATUALIZAÇÃO],"",0,-1)</f>
        <v>45383</v>
      </c>
      <c r="R45" s="336">
        <f>_xlfn.XLOOKUP(Tb_Portfólio[[#This Row],[SEI]],Tb_Atualizações[PROCESSO SEI],Tb_Atualizações[Mês],,0,-1)</f>
        <v>45017</v>
      </c>
      <c r="S45" s="259"/>
      <c r="T45" s="268"/>
      <c r="U45" s="235" t="s">
        <v>49</v>
      </c>
      <c r="V45" s="95"/>
      <c r="W45" s="236">
        <f>IFERROR(Tb_Portfólio[[#This Row],[% EXECUTADO]]/Tb_Portfólio[[#This Row],[% PREVISTO]],0)</f>
        <v>0.19819819819819817</v>
      </c>
      <c r="X45" s="97"/>
      <c r="Y45" s="150"/>
      <c r="Z45" s="150"/>
      <c r="AA45" s="73"/>
      <c r="AB45" s="73" t="s">
        <v>449</v>
      </c>
      <c r="AC45" s="97" t="s">
        <v>202</v>
      </c>
      <c r="AD45" s="97" t="s">
        <v>457</v>
      </c>
      <c r="AE45" s="276" t="s">
        <v>413</v>
      </c>
      <c r="AF45" s="273">
        <f t="shared" ca="1" si="2"/>
        <v>46176</v>
      </c>
      <c r="AJ45" s="79" t="str">
        <f>2024&amp;Tb_Portfólio[[#This Row],[SEI]]</f>
        <v>202408287/2022</v>
      </c>
      <c r="AK45" t="str">
        <f>IFERROR(IF(MATCH(AJ45,Atualizações!$P$1:$P$1265,0)&gt;0, "Sim"), "Não")</f>
        <v>Sim</v>
      </c>
      <c r="AL45" s="79" t="str">
        <f>2025&amp;Tb_Portfólio[[#This Row],[SEI]]</f>
        <v>202508287/2022</v>
      </c>
      <c r="AM45" t="str">
        <f>IFERROR(IF(MATCH(AL45,Atualizações!$P$1:$P$2994,0)&gt;0, "Sim"), "Não")</f>
        <v>Não</v>
      </c>
      <c r="AN45" s="79" t="str">
        <f>2026&amp;Tb_Portfólio[[#This Row],[SEI]]</f>
        <v>202608287/2022</v>
      </c>
      <c r="AO45" t="str">
        <f>IFERROR(IF(MATCH(AN45,Atualizações!$P$1:$P$2994,0)&gt;0, "Sim"), "Não")</f>
        <v>Não</v>
      </c>
      <c r="AP45" s="79" t="str">
        <f>_xlfn.XLOOKUP(Tb_Portfólio[[#This Row],[SEI]],Tb_Atualizações[PROCESSO SEI],Tb_Atualizações[Explicações],"",0,-1)</f>
        <v>Inclusão no portfólio de 2024</v>
      </c>
      <c r="AQ45" s="79" t="str">
        <f>_xlfn.XLOOKUP(Tb_Portfólio[[#This Row],[SEI]],Tb_Mapa[SEI],Tb_Mapa[CONSULTOR RESPONSÁVEL],"",0,-1)</f>
        <v>Igor/cancelado</v>
      </c>
    </row>
    <row r="46" spans="1:43" ht="60.75" hidden="1">
      <c r="A46" s="149" t="s">
        <v>458</v>
      </c>
      <c r="B46" s="653" t="s">
        <v>459</v>
      </c>
      <c r="C46" s="373" t="s">
        <v>460</v>
      </c>
      <c r="D46" s="97"/>
      <c r="E46" s="97" t="s">
        <v>43</v>
      </c>
      <c r="F46" s="97" t="s">
        <v>44</v>
      </c>
      <c r="G46" s="7" t="s">
        <v>326</v>
      </c>
      <c r="H46" s="7" t="s">
        <v>46</v>
      </c>
      <c r="I46" s="7" t="s">
        <v>165</v>
      </c>
      <c r="J46" s="7" t="s">
        <v>461</v>
      </c>
      <c r="K46" s="112" t="s">
        <v>462</v>
      </c>
      <c r="L46" s="262">
        <v>45523</v>
      </c>
      <c r="M46" s="257">
        <v>46101</v>
      </c>
      <c r="N46" s="234">
        <f>_xlfn.XLOOKUP(Tb_Portfólio[[#This Row],[SEI]],Tb_Atualizações[PROCESSO SEI],Tb_Atualizações[% PREVISTO],"",0,-1)</f>
        <v>1</v>
      </c>
      <c r="O46" s="234">
        <f>_xlfn.XLOOKUP(Tb_Portfólio[[#This Row],[SEI]],Tb_Atualizações[PROCESSO SEI],Tb_Atualizações[% EXECUTADO],"",0,-1)</f>
        <v>1</v>
      </c>
      <c r="P46" s="147">
        <f>IFERROR(Tb_Portfólio[[#This Row],[% EXECUTADO]]/Tb_Portfólio[[#This Row],[% PREVISTO]],"0%")</f>
        <v>1</v>
      </c>
      <c r="Q46" s="146">
        <f>_xlfn.XLOOKUP(Tb_Portfólio[[#This Row],[SEI]],Tb_Atualizações[PROCESSO SEI],Tb_Atualizações[DATA DE ATUALIZAÇÃO],"",0,-1)</f>
        <v>46112</v>
      </c>
      <c r="R46" s="336">
        <f>_xlfn.XLOOKUP(Tb_Portfólio[[#This Row],[SEI]],Tb_Atualizações[PROCESSO SEI],Tb_Atualizações[Mês],,0,-1)</f>
        <v>46082</v>
      </c>
      <c r="S46" s="259"/>
      <c r="T46" s="268" t="s">
        <v>48</v>
      </c>
      <c r="U46"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46" s="95"/>
      <c r="W46" s="236">
        <f>IFERROR(Tb_Portfólio[[#This Row],[% EXECUTADO]]/Tb_Portfólio[[#This Row],[% PREVISTO]],0)</f>
        <v>1</v>
      </c>
      <c r="X46" s="97"/>
      <c r="Y46" s="226"/>
      <c r="Z46" s="150"/>
      <c r="AA46" s="97" t="s">
        <v>51</v>
      </c>
      <c r="AB46" s="463" t="s">
        <v>179</v>
      </c>
      <c r="AC46" s="255" t="s">
        <v>44</v>
      </c>
      <c r="AD46" s="97" t="s">
        <v>463</v>
      </c>
      <c r="AE46" s="274"/>
      <c r="AF46" s="273">
        <f t="shared" ca="1" si="2"/>
        <v>46176</v>
      </c>
      <c r="AG46" s="274" t="s">
        <v>171</v>
      </c>
      <c r="AH46" s="79" t="s">
        <v>67</v>
      </c>
      <c r="AJ46" s="79" t="str">
        <f>2024&amp;Tb_Portfólio[[#This Row],[SEI]]</f>
        <v>202408370/2024</v>
      </c>
      <c r="AK46" t="str">
        <f>IFERROR(IF(MATCH(AJ46,Atualizações!$P$1:$P$1265,0)&gt;0, "Sim"), "Não")</f>
        <v>Sim</v>
      </c>
      <c r="AL46" s="79" t="str">
        <f>2025&amp;Tb_Portfólio[[#This Row],[SEI]]</f>
        <v>202508370/2024</v>
      </c>
      <c r="AM46" t="str">
        <f>IFERROR(IF(MATCH(AL46,Atualizações!$P$1:$P$2994,0)&gt;0, "Sim"), "Não")</f>
        <v>Sim</v>
      </c>
      <c r="AN46" s="79" t="str">
        <f>2026&amp;Tb_Portfólio[[#This Row],[SEI]]</f>
        <v>202608370/2024</v>
      </c>
      <c r="AO46" t="str">
        <f>IFERROR(IF(MATCH(AN46,Atualizações!$P$1:$P$2994,0)&gt;0, "Sim"), "Não")</f>
        <v>Sim</v>
      </c>
      <c r="AP46" s="79">
        <f>_xlfn.XLOOKUP(Tb_Portfólio[[#This Row],[SEI]],Tb_Atualizações[PROCESSO SEI],Tb_Atualizações[Explicações],"",0,-1)</f>
        <v>0</v>
      </c>
      <c r="AQ46" s="79" t="str">
        <f>_xlfn.XLOOKUP(Tb_Portfólio[[#This Row],[SEI]],Tb_Mapa[SEI],Tb_Mapa[CONSULTOR RESPONSÁVEL],"",0,-1)</f>
        <v>Raphael</v>
      </c>
    </row>
    <row r="47" spans="1:43" ht="135" hidden="1">
      <c r="A47" s="277" t="s">
        <v>464</v>
      </c>
      <c r="B47" s="100" t="s">
        <v>465</v>
      </c>
      <c r="C47" s="255" t="s">
        <v>466</v>
      </c>
      <c r="D47" s="255"/>
      <c r="E47" s="79" t="s">
        <v>276</v>
      </c>
      <c r="F47" s="255" t="s">
        <v>44</v>
      </c>
      <c r="G47" s="428" t="s">
        <v>95</v>
      </c>
      <c r="H47" s="255" t="s">
        <v>92</v>
      </c>
      <c r="I47" s="7" t="s">
        <v>305</v>
      </c>
      <c r="J47" s="6" t="s">
        <v>120</v>
      </c>
      <c r="K47" s="255"/>
      <c r="L47" s="278">
        <v>44319</v>
      </c>
      <c r="M47" s="279">
        <v>45433</v>
      </c>
      <c r="N47" s="234">
        <f>_xlfn.XLOOKUP(Tb_Portfólio[[#This Row],[SEI]],Tb_Atualizações[PROCESSO SEI],Tb_Atualizações[% PREVISTO],"",0,-1)</f>
        <v>1</v>
      </c>
      <c r="O47" s="234">
        <f>_xlfn.XLOOKUP(Tb_Portfólio[[#This Row],[SEI]],Tb_Atualizações[PROCESSO SEI],Tb_Atualizações[% EXECUTADO],"",0,-1)</f>
        <v>1</v>
      </c>
      <c r="P47" s="147">
        <f>IFERROR(Tb_Portfólio[[#This Row],[% EXECUTADO]]/Tb_Portfólio[[#This Row],[% PREVISTO]],"0%")</f>
        <v>1</v>
      </c>
      <c r="Q47" s="146">
        <f>_xlfn.XLOOKUP(Tb_Portfólio[[#This Row],[SEI]],Tb_Atualizações[PROCESSO SEI],Tb_Atualizações[DATA DE ATUALIZAÇÃO],"",0,-1)</f>
        <v>45419</v>
      </c>
      <c r="R47" s="336">
        <f>_xlfn.XLOOKUP(Tb_Portfólio[[#This Row],[SEI]],Tb_Atualizações[PROCESSO SEI],Tb_Atualizações[Mês],,0,-1)</f>
        <v>45383</v>
      </c>
      <c r="S47" s="259"/>
      <c r="T47" s="268" t="s">
        <v>48</v>
      </c>
      <c r="U47"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47" s="95" t="s">
        <v>467</v>
      </c>
      <c r="W47" s="236">
        <f>IFERROR(Tb_Portfólio[[#This Row],[% EXECUTADO]]/Tb_Portfólio[[#This Row],[% PREVISTO]],0)</f>
        <v>1</v>
      </c>
      <c r="X47" s="97" t="s">
        <v>468</v>
      </c>
      <c r="Y47" s="150"/>
      <c r="Z47" s="150"/>
      <c r="AA47" s="73"/>
      <c r="AB47" s="97" t="s">
        <v>150</v>
      </c>
      <c r="AC47" s="255" t="s">
        <v>92</v>
      </c>
      <c r="AD47" s="97" t="s">
        <v>469</v>
      </c>
      <c r="AE47" s="272" t="s">
        <v>470</v>
      </c>
      <c r="AF47" s="273">
        <f t="shared" ca="1" si="2"/>
        <v>46176</v>
      </c>
      <c r="AG47" s="274"/>
      <c r="AJ47" s="79" t="str">
        <f>2024&amp;Tb_Portfólio[[#This Row],[SEI]]</f>
        <v>202408536/2022</v>
      </c>
      <c r="AK47" t="str">
        <f>IFERROR(IF(MATCH(AJ47,Atualizações!$P$1:$P$1265,0)&gt;0, "Sim"), "Não")</f>
        <v>Sim</v>
      </c>
      <c r="AL47" s="79" t="str">
        <f>2025&amp;Tb_Portfólio[[#This Row],[SEI]]</f>
        <v>202508536/2022</v>
      </c>
      <c r="AM47" t="str">
        <f>IFERROR(IF(MATCH(AL47,Atualizações!$P$1:$P$2994,0)&gt;0, "Sim"), "Não")</f>
        <v>Não</v>
      </c>
      <c r="AN47" s="79" t="str">
        <f>2026&amp;Tb_Portfólio[[#This Row],[SEI]]</f>
        <v>202608536/2022</v>
      </c>
      <c r="AO47" t="str">
        <f>IFERROR(IF(MATCH(AN47,Atualizações!$P$1:$P$2994,0)&gt;0, "Sim"), "Não")</f>
        <v>Não</v>
      </c>
      <c r="AP47" s="79">
        <f>_xlfn.XLOOKUP(Tb_Portfólio[[#This Row],[SEI]],Tb_Atualizações[PROCESSO SEI],Tb_Atualizações[Explicações],"",0,-1)</f>
        <v>0</v>
      </c>
      <c r="AQ47" s="79" t="str">
        <f>_xlfn.XLOOKUP(Tb_Portfólio[[#This Row],[SEI]],Tb_Mapa[SEI],Tb_Mapa[CONSULTOR RESPONSÁVEL],"",0,-1)</f>
        <v>Igor/finalizado</v>
      </c>
    </row>
    <row r="48" spans="1:43" ht="255" hidden="1">
      <c r="A48" s="149" t="s">
        <v>471</v>
      </c>
      <c r="B48" s="103" t="s">
        <v>472</v>
      </c>
      <c r="C48" s="7" t="s">
        <v>473</v>
      </c>
      <c r="D48" s="97"/>
      <c r="E48" s="97" t="s">
        <v>474</v>
      </c>
      <c r="F48" s="348" t="s">
        <v>67</v>
      </c>
      <c r="G48" s="19" t="s">
        <v>212</v>
      </c>
      <c r="H48" s="7" t="s">
        <v>46</v>
      </c>
      <c r="I48" s="19" t="s">
        <v>213</v>
      </c>
      <c r="J48" s="7" t="s">
        <v>214</v>
      </c>
      <c r="K48" s="7" t="s">
        <v>147</v>
      </c>
      <c r="L48" s="262">
        <v>44719</v>
      </c>
      <c r="M48" s="266">
        <v>45716</v>
      </c>
      <c r="N48" s="234">
        <f>_xlfn.XLOOKUP(Tb_Portfólio[[#This Row],[SEI]],Tb_Atualizações[PROCESSO SEI],Tb_Atualizações[% PREVISTO],"",0,-1)</f>
        <v>1</v>
      </c>
      <c r="O48" s="234">
        <f>_xlfn.XLOOKUP(Tb_Portfólio[[#This Row],[SEI]],Tb_Atualizações[PROCESSO SEI],Tb_Atualizações[% EXECUTADO],"",0,-1)</f>
        <v>1</v>
      </c>
      <c r="P48" s="147">
        <f>IFERROR(Tb_Portfólio[[#This Row],[% EXECUTADO]]/Tb_Portfólio[[#This Row],[% PREVISTO]],"0%")</f>
        <v>1</v>
      </c>
      <c r="Q48" s="146">
        <f>_xlfn.XLOOKUP(Tb_Portfólio[[#This Row],[SEI]],Tb_Atualizações[PROCESSO SEI],Tb_Atualizações[DATA DE ATUALIZAÇÃO],"",0,-1)</f>
        <v>45623</v>
      </c>
      <c r="R48" s="336">
        <f>_xlfn.XLOOKUP(Tb_Portfólio[[#This Row],[SEI]],Tb_Atualizações[PROCESSO SEI],Tb_Atualizações[Mês],,0,-1)</f>
        <v>45597</v>
      </c>
      <c r="S48" s="259"/>
      <c r="T48" s="268" t="s">
        <v>48</v>
      </c>
      <c r="U48"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48" s="95" t="s">
        <v>475</v>
      </c>
      <c r="W48" s="236">
        <f>IFERROR(Tb_Portfólio[[#This Row],[% EXECUTADO]]/Tb_Portfólio[[#This Row],[% PREVISTO]],0)</f>
        <v>1</v>
      </c>
      <c r="X48" s="97" t="s">
        <v>476</v>
      </c>
      <c r="Y48" s="226"/>
      <c r="Z48" s="150"/>
      <c r="AA48" s="73" t="s">
        <v>51</v>
      </c>
      <c r="AB48" s="79" t="s">
        <v>137</v>
      </c>
      <c r="AC48" s="526" t="s">
        <v>67</v>
      </c>
      <c r="AD48" s="97" t="s">
        <v>477</v>
      </c>
      <c r="AE48" s="272" t="s">
        <v>478</v>
      </c>
      <c r="AF48" s="273">
        <f t="shared" ca="1" si="2"/>
        <v>46176</v>
      </c>
      <c r="AG48" s="79" t="s">
        <v>140</v>
      </c>
      <c r="AH48" s="79" t="s">
        <v>67</v>
      </c>
      <c r="AJ48" s="79" t="str">
        <f>2024&amp;Tb_Portfólio[[#This Row],[SEI]]</f>
        <v>202408543/2021</v>
      </c>
      <c r="AK48" t="str">
        <f>IFERROR(IF(MATCH(AJ48,Atualizações!$P$1:$P$1265,0)&gt;0, "Sim"), "Não")</f>
        <v>Sim</v>
      </c>
      <c r="AL48" s="79" t="str">
        <f>2025&amp;Tb_Portfólio[[#This Row],[SEI]]</f>
        <v>202508543/2021</v>
      </c>
      <c r="AM48" t="str">
        <f>IFERROR(IF(MATCH(AL48,Atualizações!$P$1:$P$2994,0)&gt;0, "Sim"), "Não")</f>
        <v>Não</v>
      </c>
      <c r="AN48" s="79" t="str">
        <f>2026&amp;Tb_Portfólio[[#This Row],[SEI]]</f>
        <v>202608543/2021</v>
      </c>
      <c r="AO48" t="str">
        <f>IFERROR(IF(MATCH(AN48,Atualizações!$P$1:$P$2994,0)&gt;0, "Sim"), "Não")</f>
        <v>Não</v>
      </c>
      <c r="AP48" s="79">
        <f>_xlfn.XLOOKUP(Tb_Portfólio[[#This Row],[SEI]],Tb_Atualizações[PROCESSO SEI],Tb_Atualizações[Explicações],"",0,-1)</f>
        <v>0</v>
      </c>
      <c r="AQ48" s="79" t="str">
        <f>_xlfn.XLOOKUP(Tb_Portfólio[[#This Row],[SEI]],Tb_Mapa[SEI],Tb_Mapa[CONSULTOR RESPONSÁVEL],"",0,-1)</f>
        <v>Tony/finalizado</v>
      </c>
    </row>
    <row r="49" spans="1:43" ht="195" hidden="1">
      <c r="A49" s="149" t="s">
        <v>479</v>
      </c>
      <c r="B49" s="103" t="s">
        <v>480</v>
      </c>
      <c r="C49" s="103" t="s">
        <v>481</v>
      </c>
      <c r="D49" s="97"/>
      <c r="E49" s="79" t="s">
        <v>43</v>
      </c>
      <c r="F49" s="7" t="s">
        <v>44</v>
      </c>
      <c r="G49" s="97" t="s">
        <v>482</v>
      </c>
      <c r="H49" s="7" t="s">
        <v>46</v>
      </c>
      <c r="I49" s="19" t="s">
        <v>88</v>
      </c>
      <c r="J49" s="19" t="s">
        <v>176</v>
      </c>
      <c r="K49" s="7" t="s">
        <v>147</v>
      </c>
      <c r="L49" s="262">
        <v>44984</v>
      </c>
      <c r="M49" s="266" t="s">
        <v>483</v>
      </c>
      <c r="N49" s="234">
        <f>_xlfn.XLOOKUP(Tb_Portfólio[[#This Row],[SEI]],Tb_Atualizações[PROCESSO SEI],Tb_Atualizações[% PREVISTO],"",0,-1)</f>
        <v>0.997</v>
      </c>
      <c r="O49" s="234">
        <f>_xlfn.XLOOKUP(Tb_Portfólio[[#This Row],[SEI]],Tb_Atualizações[PROCESSO SEI],Tb_Atualizações[% EXECUTADO],"",0,-1)</f>
        <v>1</v>
      </c>
      <c r="P49" s="147">
        <f>IFERROR(Tb_Portfólio[[#This Row],[% EXECUTADO]]/Tb_Portfólio[[#This Row],[% PREVISTO]],"0%")</f>
        <v>1.0030090270812437</v>
      </c>
      <c r="Q49" s="146">
        <f>_xlfn.XLOOKUP(Tb_Portfólio[[#This Row],[SEI]],Tb_Atualizações[PROCESSO SEI],Tb_Atualizações[DATA DE ATUALIZAÇÃO],"",0,-1)</f>
        <v>45646</v>
      </c>
      <c r="R49" s="336">
        <f>_xlfn.XLOOKUP(Tb_Portfólio[[#This Row],[SEI]],Tb_Atualizações[PROCESSO SEI],Tb_Atualizações[Mês],,0,-1)</f>
        <v>45627</v>
      </c>
      <c r="S49" s="259"/>
      <c r="T49" s="268" t="s">
        <v>48</v>
      </c>
      <c r="U4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49" s="95"/>
      <c r="W49" s="236">
        <f>IFERROR(Tb_Portfólio[[#This Row],[% EXECUTADO]]/Tb_Portfólio[[#This Row],[% PREVISTO]],0)</f>
        <v>1.0030090270812437</v>
      </c>
      <c r="X49" s="97" t="s">
        <v>484</v>
      </c>
      <c r="Y49" s="150"/>
      <c r="Z49" s="150"/>
      <c r="AA49" s="97" t="s">
        <v>51</v>
      </c>
      <c r="AB49" s="97" t="s">
        <v>163</v>
      </c>
      <c r="AC49" s="97" t="s">
        <v>67</v>
      </c>
      <c r="AD49" s="79" t="s">
        <v>485</v>
      </c>
      <c r="AE49" s="272" t="s">
        <v>486</v>
      </c>
      <c r="AF49" s="273">
        <f t="shared" ca="1" si="2"/>
        <v>46176</v>
      </c>
      <c r="AG49" s="274" t="s">
        <v>140</v>
      </c>
      <c r="AH49" s="79" t="s">
        <v>67</v>
      </c>
      <c r="AJ49" s="79" t="str">
        <f>2024&amp;Tb_Portfólio[[#This Row],[SEI]]</f>
        <v>202408547/2021</v>
      </c>
      <c r="AK49" t="str">
        <f>IFERROR(IF(MATCH(AJ49,Atualizações!$P$1:$P$1265,0)&gt;0, "Sim"), "Não")</f>
        <v>Sim</v>
      </c>
      <c r="AL49" s="79" t="str">
        <f>2025&amp;Tb_Portfólio[[#This Row],[SEI]]</f>
        <v>202508547/2021</v>
      </c>
      <c r="AM49" t="str">
        <f>IFERROR(IF(MATCH(AL49,Atualizações!$P$1:$P$2994,0)&gt;0, "Sim"), "Não")</f>
        <v>Não</v>
      </c>
      <c r="AN49" s="79" t="str">
        <f>2026&amp;Tb_Portfólio[[#This Row],[SEI]]</f>
        <v>202608547/2021</v>
      </c>
      <c r="AO49" t="str">
        <f>IFERROR(IF(MATCH(AN49,Atualizações!$P$1:$P$2994,0)&gt;0, "Sim"), "Não")</f>
        <v>Não</v>
      </c>
      <c r="AP49" s="79" t="str">
        <f>_xlfn.XLOOKUP(Tb_Portfólio[[#This Row],[SEI]],Tb_Atualizações[PROCESSO SEI],Tb_Atualizações[Explicações],"",0,-1)</f>
        <v>Projeto concluído. TEP já consta no processo SEI, mas é necessário que o despacho de encaminhamento seja assinado e o processo seja encaminhado para o ECP. Conversamos com Daniel no dia 7/1/2025</v>
      </c>
      <c r="AQ49" s="79" t="str">
        <f>_xlfn.XLOOKUP(Tb_Portfólio[[#This Row],[SEI]],Tb_Mapa[SEI],Tb_Mapa[CONSULTOR RESPONSÁVEL],"",0,-1)</f>
        <v>Finalizado</v>
      </c>
    </row>
    <row r="50" spans="1:43" ht="105" hidden="1">
      <c r="A50" s="149" t="s">
        <v>487</v>
      </c>
      <c r="B50" s="103" t="s">
        <v>488</v>
      </c>
      <c r="C50" s="7" t="s">
        <v>489</v>
      </c>
      <c r="D50" s="97"/>
      <c r="E50" s="322" t="s">
        <v>490</v>
      </c>
      <c r="F50" s="376" t="s">
        <v>44</v>
      </c>
      <c r="G50" s="255" t="s">
        <v>269</v>
      </c>
      <c r="H50" s="2" t="s">
        <v>44</v>
      </c>
      <c r="I50" s="16" t="s">
        <v>240</v>
      </c>
      <c r="J50" s="255" t="s">
        <v>105</v>
      </c>
      <c r="K50" s="7"/>
      <c r="L50" s="262">
        <v>44713</v>
      </c>
      <c r="M50" s="266">
        <v>45913</v>
      </c>
      <c r="N50" s="234">
        <f>_xlfn.XLOOKUP(Tb_Portfólio[[#This Row],[SEI]],Tb_Atualizações[PROCESSO SEI],Tb_Atualizações[% PREVISTO],"",0,-1)</f>
        <v>1</v>
      </c>
      <c r="O50" s="234">
        <f>_xlfn.XLOOKUP(Tb_Portfólio[[#This Row],[SEI]],Tb_Atualizações[PROCESSO SEI],Tb_Atualizações[% EXECUTADO],"",0,-1)</f>
        <v>7.3499999999999996E-2</v>
      </c>
      <c r="P50" s="147">
        <f>IFERROR(Tb_Portfólio[[#This Row],[% EXECUTADO]]/Tb_Portfólio[[#This Row],[% PREVISTO]],"0%")</f>
        <v>7.3499999999999996E-2</v>
      </c>
      <c r="Q50" s="146">
        <f>_xlfn.XLOOKUP(Tb_Portfólio[[#This Row],[SEI]],Tb_Atualizações[PROCESSO SEI],Tb_Atualizações[DATA DE ATUALIZAÇÃO],"",0,-1)</f>
        <v>45943</v>
      </c>
      <c r="R50" s="336">
        <f>_xlfn.XLOOKUP(Tb_Portfólio[[#This Row],[SEI]],Tb_Atualizações[PROCESSO SEI],Tb_Atualizações[Mês],,0,-1)</f>
        <v>45931</v>
      </c>
      <c r="S50" s="259"/>
      <c r="T50" s="268"/>
      <c r="U50" s="235" t="s">
        <v>277</v>
      </c>
      <c r="V50" s="95" t="s">
        <v>491</v>
      </c>
      <c r="W50" s="236">
        <f>IFERROR(Tb_Portfólio[[#This Row],[% EXECUTADO]]/Tb_Portfólio[[#This Row],[% PREVISTO]],0)</f>
        <v>7.3499999999999996E-2</v>
      </c>
      <c r="X50" s="97" t="s">
        <v>492</v>
      </c>
      <c r="Y50" s="150"/>
      <c r="Z50" s="150"/>
      <c r="AA50" s="73"/>
      <c r="AB50" s="79" t="s">
        <v>490</v>
      </c>
      <c r="AC50" s="19" t="s">
        <v>44</v>
      </c>
      <c r="AD50" s="97" t="s">
        <v>493</v>
      </c>
      <c r="AE50" s="272" t="s">
        <v>494</v>
      </c>
      <c r="AF50" s="273">
        <f t="shared" ca="1" si="2"/>
        <v>46176</v>
      </c>
      <c r="AJ50" s="79" t="str">
        <f>2024&amp;Tb_Portfólio[[#This Row],[SEI]]</f>
        <v>202408610/2022</v>
      </c>
      <c r="AK50" t="str">
        <f>IFERROR(IF(MATCH(AJ50,Atualizações!$P$1:$P$1265,0)&gt;0, "Sim"), "Não")</f>
        <v>Sim</v>
      </c>
      <c r="AL50" s="79" t="str">
        <f>2025&amp;Tb_Portfólio[[#This Row],[SEI]]</f>
        <v>202508610/2022</v>
      </c>
      <c r="AM50" t="str">
        <f>IFERROR(IF(MATCH(AL50,Atualizações!$P$1:$P$2994,0)&gt;0, "Sim"), "Não")</f>
        <v>Sim</v>
      </c>
      <c r="AN50" s="79" t="str">
        <f>2026&amp;Tb_Portfólio[[#This Row],[SEI]]</f>
        <v>202608610/2022</v>
      </c>
      <c r="AO50" t="str">
        <f>IFERROR(IF(MATCH(AN50,Atualizações!$P$1:$P$2994,0)&gt;0, "Sim"), "Não")</f>
        <v>Não</v>
      </c>
      <c r="AP50" s="79" t="str">
        <f>_xlfn.XLOOKUP(Tb_Portfólio[[#This Row],[SEI]],Tb_Atualizações[PROCESSO SEI],Tb_Atualizações[Explicações],"",0,-1)</f>
        <v>Finalização do projeto, nos termos da informação 2357739</v>
      </c>
      <c r="AQ50" s="79" t="str">
        <f>_xlfn.XLOOKUP(Tb_Portfólio[[#This Row],[SEI]],Tb_Mapa[SEI],Tb_Mapa[CONSULTOR RESPONSÁVEL],"",0,-1)</f>
        <v>Tony</v>
      </c>
    </row>
    <row r="51" spans="1:43" ht="285" hidden="1">
      <c r="A51" s="149" t="s">
        <v>495</v>
      </c>
      <c r="B51" s="514" t="s">
        <v>496</v>
      </c>
      <c r="C51" s="79" t="s">
        <v>497</v>
      </c>
      <c r="D51" s="97"/>
      <c r="E51" s="97" t="s">
        <v>498</v>
      </c>
      <c r="F51" s="73" t="s">
        <v>44</v>
      </c>
      <c r="G51" s="283" t="s">
        <v>192</v>
      </c>
      <c r="H51" s="7" t="s">
        <v>46</v>
      </c>
      <c r="I51" s="97" t="s">
        <v>165</v>
      </c>
      <c r="J51" s="112" t="s">
        <v>176</v>
      </c>
      <c r="K51" s="19" t="s">
        <v>147</v>
      </c>
      <c r="L51" s="262">
        <v>45110</v>
      </c>
      <c r="M51" s="266">
        <v>45487</v>
      </c>
      <c r="N51" s="234">
        <f>_xlfn.XLOOKUP(Tb_Portfólio[[#This Row],[SEI]],Tb_Atualizações[PROCESSO SEI],Tb_Atualizações[% PREVISTO],"",0,-1)</f>
        <v>1</v>
      </c>
      <c r="O51" s="234">
        <f>_xlfn.XLOOKUP(Tb_Portfólio[[#This Row],[SEI]],Tb_Atualizações[PROCESSO SEI],Tb_Atualizações[% EXECUTADO],"",0,-1)</f>
        <v>1</v>
      </c>
      <c r="P51" s="147">
        <f>IFERROR(Tb_Portfólio[[#This Row],[% EXECUTADO]]/Tb_Portfólio[[#This Row],[% PREVISTO]],"0%")</f>
        <v>1</v>
      </c>
      <c r="Q51" s="146">
        <f>_xlfn.XLOOKUP(Tb_Portfólio[[#This Row],[SEI]],Tb_Atualizações[PROCESSO SEI],Tb_Atualizações[DATA DE ATUALIZAÇÃO],"",0,-1)</f>
        <v>45518</v>
      </c>
      <c r="R51" s="336">
        <f>_xlfn.XLOOKUP(Tb_Portfólio[[#This Row],[SEI]],Tb_Atualizações[PROCESSO SEI],Tb_Atualizações[Mês],,0,-1)</f>
        <v>45474</v>
      </c>
      <c r="S51" s="259"/>
      <c r="T51" s="268" t="s">
        <v>48</v>
      </c>
      <c r="U5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51" s="95"/>
      <c r="W51" s="236">
        <f>IFERROR(Tb_Portfólio[[#This Row],[% EXECUTADO]]/Tb_Portfólio[[#This Row],[% PREVISTO]],0)</f>
        <v>1</v>
      </c>
      <c r="X51" s="97" t="s">
        <v>499</v>
      </c>
      <c r="Y51" s="226"/>
      <c r="Z51" s="652"/>
      <c r="AA51" s="73" t="s">
        <v>51</v>
      </c>
      <c r="AB51" s="97" t="s">
        <v>137</v>
      </c>
      <c r="AC51" s="348" t="s">
        <v>67</v>
      </c>
      <c r="AD51" s="97" t="s">
        <v>500</v>
      </c>
      <c r="AE51" s="274" t="s">
        <v>501</v>
      </c>
      <c r="AF51" s="273">
        <f t="shared" ca="1" si="2"/>
        <v>46176</v>
      </c>
      <c r="AG51" s="274" t="s">
        <v>140</v>
      </c>
      <c r="AH51" s="73" t="s">
        <v>67</v>
      </c>
      <c r="AJ51" s="79" t="str">
        <f>2024&amp;Tb_Portfólio[[#This Row],[SEI]]</f>
        <v>202408690/2023</v>
      </c>
      <c r="AK51" t="str">
        <f>IFERROR(IF(MATCH(AJ51,Atualizações!$P$1:$P$1265,0)&gt;0, "Sim"), "Não")</f>
        <v>Sim</v>
      </c>
      <c r="AL51" s="79" t="str">
        <f>2025&amp;Tb_Portfólio[[#This Row],[SEI]]</f>
        <v>202508690/2023</v>
      </c>
      <c r="AM51" t="str">
        <f>IFERROR(IF(MATCH(AL51,Atualizações!$P$1:$P$2994,0)&gt;0, "Sim"), "Não")</f>
        <v>Não</v>
      </c>
      <c r="AN51" s="79" t="str">
        <f>2026&amp;Tb_Portfólio[[#This Row],[SEI]]</f>
        <v>202608690/2023</v>
      </c>
      <c r="AO51" t="str">
        <f>IFERROR(IF(MATCH(AN51,Atualizações!$P$1:$P$2994,0)&gt;0, "Sim"), "Não")</f>
        <v>Não</v>
      </c>
      <c r="AP51" s="79">
        <f>_xlfn.XLOOKUP(Tb_Portfólio[[#This Row],[SEI]],Tb_Atualizações[PROCESSO SEI],Tb_Atualizações[Explicações],"",0,-1)</f>
        <v>0</v>
      </c>
      <c r="AQ51" s="79" t="str">
        <f>_xlfn.XLOOKUP(Tb_Portfólio[[#This Row],[SEI]],Tb_Mapa[SEI],Tb_Mapa[CONSULTOR RESPONSÁVEL],"",0,-1)</f>
        <v>Finalizado</v>
      </c>
    </row>
    <row r="52" spans="1:43" ht="270" hidden="1">
      <c r="A52" s="149" t="s">
        <v>502</v>
      </c>
      <c r="B52" s="139" t="s">
        <v>503</v>
      </c>
      <c r="C52" s="19" t="s">
        <v>504</v>
      </c>
      <c r="D52" s="97"/>
      <c r="E52" s="73" t="s">
        <v>43</v>
      </c>
      <c r="F52" s="255" t="s">
        <v>44</v>
      </c>
      <c r="G52" s="16" t="s">
        <v>505</v>
      </c>
      <c r="H52" s="255" t="s">
        <v>92</v>
      </c>
      <c r="I52" s="2" t="s">
        <v>346</v>
      </c>
      <c r="J52" s="519" t="s">
        <v>146</v>
      </c>
      <c r="K52" s="6" t="s">
        <v>147</v>
      </c>
      <c r="L52" s="262">
        <v>44816</v>
      </c>
      <c r="M52" s="266">
        <v>45321</v>
      </c>
      <c r="N52" s="234">
        <f>_xlfn.XLOOKUP(Tb_Portfólio[[#This Row],[SEI]],Tb_Atualizações[PROCESSO SEI],Tb_Atualizações[% PREVISTO],"",0,-1)</f>
        <v>1</v>
      </c>
      <c r="O52" s="234">
        <f>_xlfn.XLOOKUP(Tb_Portfólio[[#This Row],[SEI]],Tb_Atualizações[PROCESSO SEI],Tb_Atualizações[% EXECUTADO],"",0,-1)</f>
        <v>1</v>
      </c>
      <c r="P52" s="147">
        <f>IFERROR(Tb_Portfólio[[#This Row],[% EXECUTADO]]/Tb_Portfólio[[#This Row],[% PREVISTO]],"0%")</f>
        <v>1</v>
      </c>
      <c r="Q52" s="146">
        <f>_xlfn.XLOOKUP(Tb_Portfólio[[#This Row],[SEI]],Tb_Atualizações[PROCESSO SEI],Tb_Atualizações[DATA DE ATUALIZAÇÃO],"",0,-1)</f>
        <v>45376</v>
      </c>
      <c r="R52" s="336">
        <f>_xlfn.XLOOKUP(Tb_Portfólio[[#This Row],[SEI]],Tb_Atualizações[PROCESSO SEI],Tb_Atualizações[Mês],,0,-1)</f>
        <v>45352</v>
      </c>
      <c r="S52" s="259"/>
      <c r="T52" s="268" t="s">
        <v>48</v>
      </c>
      <c r="U5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52" s="95"/>
      <c r="W52" s="236">
        <f>IFERROR(Tb_Portfólio[[#This Row],[% EXECUTADO]]/Tb_Portfólio[[#This Row],[% PREVISTO]],0)</f>
        <v>1</v>
      </c>
      <c r="X52" s="97" t="s">
        <v>506</v>
      </c>
      <c r="Y52" s="150"/>
      <c r="Z52" s="150"/>
      <c r="AA52" s="73" t="s">
        <v>51</v>
      </c>
      <c r="AB52" s="73" t="s">
        <v>150</v>
      </c>
      <c r="AC52" s="255" t="s">
        <v>44</v>
      </c>
      <c r="AD52" s="97" t="s">
        <v>507</v>
      </c>
      <c r="AE52" s="272" t="s">
        <v>508</v>
      </c>
      <c r="AF52" s="273">
        <f t="shared" ca="1" si="2"/>
        <v>46176</v>
      </c>
      <c r="AG52" s="239"/>
      <c r="AJ52" s="79" t="str">
        <f>2024&amp;Tb_Portfólio[[#This Row],[SEI]]</f>
        <v>202409081/2022</v>
      </c>
      <c r="AK52" t="str">
        <f>IFERROR(IF(MATCH(AJ52,Atualizações!$P$1:$P$1265,0)&gt;0, "Sim"), "Não")</f>
        <v>Sim</v>
      </c>
      <c r="AL52" s="79" t="str">
        <f>2025&amp;Tb_Portfólio[[#This Row],[SEI]]</f>
        <v>202509081/2022</v>
      </c>
      <c r="AM52" t="str">
        <f>IFERROR(IF(MATCH(AL52,Atualizações!$P$1:$P$2994,0)&gt;0, "Sim"), "Não")</f>
        <v>Não</v>
      </c>
      <c r="AN52" s="79" t="str">
        <f>2026&amp;Tb_Portfólio[[#This Row],[SEI]]</f>
        <v>202609081/2022</v>
      </c>
      <c r="AO52" t="str">
        <f>IFERROR(IF(MATCH(AN52,Atualizações!$P$1:$P$2994,0)&gt;0, "Sim"), "Não")</f>
        <v>Não</v>
      </c>
      <c r="AP52" s="79">
        <f>_xlfn.XLOOKUP(Tb_Portfólio[[#This Row],[SEI]],Tb_Atualizações[PROCESSO SEI],Tb_Atualizações[Explicações],"",0,-1)</f>
        <v>0</v>
      </c>
      <c r="AQ52" s="79" t="str">
        <f>_xlfn.XLOOKUP(Tb_Portfólio[[#This Row],[SEI]],Tb_Mapa[SEI],Tb_Mapa[CONSULTOR RESPONSÁVEL],"",0,-1)</f>
        <v>Igor/finalizado</v>
      </c>
    </row>
    <row r="53" spans="1:43" ht="165" hidden="1">
      <c r="A53" s="149" t="s">
        <v>509</v>
      </c>
      <c r="B53" s="139" t="s">
        <v>510</v>
      </c>
      <c r="C53" s="97" t="s">
        <v>511</v>
      </c>
      <c r="D53" s="97"/>
      <c r="E53" s="97" t="s">
        <v>66</v>
      </c>
      <c r="F53" s="240" t="s">
        <v>67</v>
      </c>
      <c r="G53" s="97" t="s">
        <v>192</v>
      </c>
      <c r="H53" s="7" t="s">
        <v>46</v>
      </c>
      <c r="I53" s="7" t="s">
        <v>165</v>
      </c>
      <c r="J53" s="79" t="s">
        <v>63</v>
      </c>
      <c r="K53" s="19" t="s">
        <v>512</v>
      </c>
      <c r="L53" s="262">
        <v>45358</v>
      </c>
      <c r="M53" s="257">
        <v>45735</v>
      </c>
      <c r="N53" s="234">
        <f>_xlfn.XLOOKUP(Tb_Portfólio[[#This Row],[SEI]],Tb_Atualizações[PROCESSO SEI],Tb_Atualizações[% PREVISTO],"",0,-1)</f>
        <v>1</v>
      </c>
      <c r="O53" s="234">
        <f>_xlfn.XLOOKUP(Tb_Portfólio[[#This Row],[SEI]],Tb_Atualizações[PROCESSO SEI],Tb_Atualizações[% EXECUTADO],"",0,-1)</f>
        <v>1</v>
      </c>
      <c r="P53" s="147">
        <f>IFERROR(Tb_Portfólio[[#This Row],[% EXECUTADO]]/Tb_Portfólio[[#This Row],[% PREVISTO]],"0%")</f>
        <v>1</v>
      </c>
      <c r="Q53" s="146">
        <f>_xlfn.XLOOKUP(Tb_Portfólio[[#This Row],[SEI]],Tb_Atualizações[PROCESSO SEI],Tb_Atualizações[DATA DE ATUALIZAÇÃO],"",0,-1)</f>
        <v>45742</v>
      </c>
      <c r="R53" s="336">
        <f>_xlfn.XLOOKUP(Tb_Portfólio[[#This Row],[SEI]],Tb_Atualizações[PROCESSO SEI],Tb_Atualizações[Mês],,0,-1)</f>
        <v>45717</v>
      </c>
      <c r="S53" s="259"/>
      <c r="T53" s="268" t="s">
        <v>48</v>
      </c>
      <c r="U53"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53" s="95"/>
      <c r="W53" s="236">
        <f>IFERROR(Tb_Portfólio[[#This Row],[% EXECUTADO]]/Tb_Portfólio[[#This Row],[% PREVISTO]],0)</f>
        <v>1</v>
      </c>
      <c r="X53" s="97" t="s">
        <v>513</v>
      </c>
      <c r="Y53" s="652">
        <v>624160</v>
      </c>
      <c r="Z53" s="652"/>
      <c r="AA53" s="73" t="s">
        <v>51</v>
      </c>
      <c r="AB53" s="73" t="s">
        <v>514</v>
      </c>
      <c r="AC53" s="98" t="s">
        <v>44</v>
      </c>
      <c r="AD53" s="97" t="s">
        <v>515</v>
      </c>
      <c r="AE53" s="274" t="s">
        <v>516</v>
      </c>
      <c r="AF53" s="273">
        <f t="shared" ca="1" si="2"/>
        <v>46176</v>
      </c>
      <c r="AG53" s="274" t="s">
        <v>383</v>
      </c>
      <c r="AH53" s="79" t="s">
        <v>67</v>
      </c>
      <c r="AJ53" s="79" t="str">
        <f>2024&amp;Tb_Portfólio[[#This Row],[SEI]]</f>
        <v>202409173/2024</v>
      </c>
      <c r="AK53" s="79" t="str">
        <f>IFERROR(IF(MATCH(AJ53,Atualizações!$P$1:$P$1265,0)&gt;0, "Sim"), "Não")</f>
        <v>Não</v>
      </c>
      <c r="AL53" s="79" t="str">
        <f>2025&amp;Tb_Portfólio[[#This Row],[SEI]]</f>
        <v>202509173/2024</v>
      </c>
      <c r="AM53" t="str">
        <f>IFERROR(IF(MATCH(AL53,Atualizações!$P$1:$P$2994,0)&gt;0, "Sim"), "Não")</f>
        <v>Sim</v>
      </c>
      <c r="AN53" s="79" t="str">
        <f>2026&amp;Tb_Portfólio[[#This Row],[SEI]]</f>
        <v>202609173/2024</v>
      </c>
      <c r="AO53" t="str">
        <f>IFERROR(IF(MATCH(AN53,Atualizações!$P$1:$P$2994,0)&gt;0, "Sim"), "Não")</f>
        <v>Não</v>
      </c>
      <c r="AP53" s="79">
        <f>_xlfn.XLOOKUP(Tb_Portfólio[[#This Row],[SEI]],Tb_Atualizações[PROCESSO SEI],Tb_Atualizações[Explicações],"",0,-1)</f>
        <v>0</v>
      </c>
      <c r="AQ53" s="79" t="str">
        <f>_xlfn.XLOOKUP(Tb_Portfólio[[#This Row],[SEI]],Tb_Mapa[SEI],Tb_Mapa[CONSULTOR RESPONSÁVEL],"",0,-1)</f>
        <v>Igor/finalizado</v>
      </c>
    </row>
    <row r="54" spans="1:43" ht="409.5" hidden="1">
      <c r="A54" s="151" t="s">
        <v>517</v>
      </c>
      <c r="B54" s="97" t="s">
        <v>518</v>
      </c>
      <c r="C54" s="97" t="s">
        <v>519</v>
      </c>
      <c r="D54" s="97"/>
      <c r="E54" s="97" t="s">
        <v>43</v>
      </c>
      <c r="F54" s="97" t="s">
        <v>44</v>
      </c>
      <c r="G54" s="73" t="s">
        <v>520</v>
      </c>
      <c r="H54" s="7" t="s">
        <v>46</v>
      </c>
      <c r="I54" s="97" t="s">
        <v>165</v>
      </c>
      <c r="J54" s="97" t="s">
        <v>399</v>
      </c>
      <c r="K54" s="7" t="s">
        <v>400</v>
      </c>
      <c r="L54" s="262">
        <v>45246</v>
      </c>
      <c r="M54" s="257">
        <v>46203</v>
      </c>
      <c r="N54" s="234">
        <f>_xlfn.XLOOKUP(Tb_Portfólio[[#This Row],[SEI]],Tb_Atualizações[PROCESSO SEI],Tb_Atualizações[% PREVISTO],"",0,-1)</f>
        <v>0.79</v>
      </c>
      <c r="O54" s="234">
        <f>_xlfn.XLOOKUP(Tb_Portfólio[[#This Row],[SEI]],Tb_Atualizações[PROCESSO SEI],Tb_Atualizações[% EXECUTADO],"",0,-1)</f>
        <v>0.76</v>
      </c>
      <c r="P54" s="147">
        <f>IFERROR(Tb_Portfólio[[#This Row],[% EXECUTADO]]/Tb_Portfólio[[#This Row],[% PREVISTO]],"0%")</f>
        <v>0.96202531645569622</v>
      </c>
      <c r="Q54" s="146">
        <f>_xlfn.XLOOKUP(Tb_Portfólio[[#This Row],[SEI]],Tb_Atualizações[PROCESSO SEI],Tb_Atualizações[DATA DE ATUALIZAÇÃO],"",0,-1)</f>
        <v>46167</v>
      </c>
      <c r="R54" s="336">
        <f>_xlfn.XLOOKUP(Tb_Portfólio[[#This Row],[SEI]],Tb_Atualizações[PROCESSO SEI],Tb_Atualizações[Mês],,0,-1)</f>
        <v>46143</v>
      </c>
      <c r="S54" s="259"/>
      <c r="T54" s="268" t="s">
        <v>48</v>
      </c>
      <c r="U54"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54" s="95"/>
      <c r="W54" s="236">
        <f>IFERROR(Tb_Portfólio[[#This Row],[% EXECUTADO]]/Tb_Portfólio[[#This Row],[% PREVISTO]],0)</f>
        <v>0.96202531645569622</v>
      </c>
      <c r="X54" s="261" t="s">
        <v>521</v>
      </c>
      <c r="Y54" s="652">
        <v>1834831.92</v>
      </c>
      <c r="Z54" s="652"/>
      <c r="AA54" s="73" t="s">
        <v>51</v>
      </c>
      <c r="AB54" s="79" t="s">
        <v>43</v>
      </c>
      <c r="AC54" s="255" t="s">
        <v>44</v>
      </c>
      <c r="AD54" s="97" t="s">
        <v>522</v>
      </c>
      <c r="AE54" s="274"/>
      <c r="AF54" s="273">
        <f t="shared" ca="1" si="2"/>
        <v>46176</v>
      </c>
      <c r="AG54" s="274" t="s">
        <v>171</v>
      </c>
      <c r="AH54" s="79" t="s">
        <v>67</v>
      </c>
      <c r="AJ54" s="79" t="str">
        <f>2024&amp;Tb_Portfólio[[#This Row],[SEI]]</f>
        <v>202409445/2023</v>
      </c>
      <c r="AK54" s="79" t="str">
        <f>IFERROR(IF(MATCH(AJ54,Atualizações!$P$1:$P$1265,0)&gt;0, "Sim"), "Não")</f>
        <v>Não</v>
      </c>
      <c r="AL54" s="79" t="str">
        <f>2025&amp;Tb_Portfólio[[#This Row],[SEI]]</f>
        <v>202509445/2023</v>
      </c>
      <c r="AM54" t="str">
        <f>IFERROR(IF(MATCH(AL54,Atualizações!$P$1:$P$2994,0)&gt;0, "Sim"), "Não")</f>
        <v>Sim</v>
      </c>
      <c r="AN54" s="79" t="str">
        <f>2026&amp;Tb_Portfólio[[#This Row],[SEI]]</f>
        <v>202609445/2023</v>
      </c>
      <c r="AO54" t="str">
        <f>IFERROR(IF(MATCH(AN54,Atualizações!$P$1:$P$2994,0)&gt;0, "Sim"), "Não")</f>
        <v>Sim</v>
      </c>
      <c r="AP54" s="79" t="str">
        <f>_xlfn.XLOOKUP(Tb_Portfólio[[#This Row],[SEI]],Tb_Atualizações[PROCESSO SEI],Tb_Atualizações[Explicações],"",0,-1)</f>
        <v>Atividades realizadas
HOTFIX Ausência de resposta TJSP (DOMICÏLIO 3976)
HOTFIX Analisar e reprocessar (DOMICÍLIO 3950)
HOTFIX problemas de envio com caracter especial (DOMICÍLIO 3896) 
Atividades em andamento
Criação de webhook para integração de retorno com o notificações)(DOMICILIO-3588) -em homologação com equipe de notificações
Reprocessamento automático de comunicações;(DOMICILIO3634) em fila de testes (testes em conjunto com equipe de notificações)
Isolar JOB de envio de e-mail (DOMICILIO-3662)
Validação CPF e CNPJ (DOMICILIO-3427) homologada SEM previsão de carga aguardando avaliação do SEI pela presidência
Manual de operações (DOMICÍLIO-3293) em testes HOTFIX vínculo de coligada (DOMICÍLIO 3876) em homologação
HOTFIX analisar logs DTI reinício (DOMICÍLIO 3894) ) em testes melhoria 1/3
Varredura de cadastros duplicados (DOMICILIO-3147)
Melhoria da nomenclatura de perfil PF (DOMICÍLIO 3959) homologado
HOTFIX Analisar comunicações (DOMICÍLIO 3949) homologado
HOTFIX Analisar comunicações (DOMICÍLIO 3969; 3968) homologado
Melhoria na query de consulta procuradorias (DOMICÍLIO 3913) Em homologação
HOTFIX exportar data certa (DOMICÍLIO 3964) Em testes
HOTFIX TJPR não intimando via DJE (DOMICÍLIO 3970) Aguardando retorno do usuário
HOTFIX TJMS retorno de comunicações (DOMICÍLIO 3898)
Atividades planejadas
Peticionamento Aguardando melhorias do portal para retomada no DJE
Avaliação da integração de sistemas que estão sendo integrados pelos tribunais;
Para usuários do CNJ, utilizar o corporativo para os perfis (DOMICILIO-3318)
Melhoria -Melhorar o e-mail de notificação quando o tribunal envia CP. (DOMICILIO-2982)
Criar comunicações de apoio (DOMICILIO 3940)
Comunicações na dead.queue (DOMICÍLIO 3951)
HOTFIX TJMS Comunicações antigas sem retorno (DOMICÍLIO 3926, 3924, 3911, 3925, 3898)
HOTFIX Cadastro de preposto vinculado a CNPJ (DOMICÍLIO 3920)
MELHORIA para SEEU (DOMICÍLIO 3910)
HOTFIX Remover cadastro duplicado (DOMICÍLIO 3943)
HOTFIX Problemas no JOB de cadastro compulsório (DOMICÍLIO 3939)
Melhoria cancelamento PF (DOMICÍLIO 2896)
HOTFIX Preposto não visualiza comunicação (DOMICÍLIO 3962)
HOTFIX Cadastro PGE-RJ (DOMICÍLIO 3966)
HOTFIX Erro ao realizar cadastro (DOMICÍLIO 3972)</v>
      </c>
      <c r="AQ54" s="79" t="str">
        <f>_xlfn.XLOOKUP(Tb_Portfólio[[#This Row],[SEI]],Tb_Mapa[SEI],Tb_Mapa[CONSULTOR RESPONSÁVEL],"",0,-1)</f>
        <v>Tony</v>
      </c>
    </row>
    <row r="55" spans="1:43" ht="255" hidden="1">
      <c r="A55" s="149" t="s">
        <v>523</v>
      </c>
      <c r="B55" s="139" t="s">
        <v>524</v>
      </c>
      <c r="C55" s="97" t="s">
        <v>525</v>
      </c>
      <c r="D55" s="97"/>
      <c r="E55" s="73" t="s">
        <v>115</v>
      </c>
      <c r="F55" s="97" t="s">
        <v>116</v>
      </c>
      <c r="G55" s="2" t="s">
        <v>526</v>
      </c>
      <c r="H55" s="2" t="s">
        <v>46</v>
      </c>
      <c r="I55" s="7" t="s">
        <v>527</v>
      </c>
      <c r="J55" s="7" t="s">
        <v>528</v>
      </c>
      <c r="K55" s="7" t="s">
        <v>529</v>
      </c>
      <c r="L55" s="262" t="s">
        <v>530</v>
      </c>
      <c r="M55" s="257" t="s">
        <v>531</v>
      </c>
      <c r="N55" s="234">
        <f>_xlfn.XLOOKUP(Tb_Portfólio[[#This Row],[SEI]],Tb_Atualizações[PROCESSO SEI],Tb_Atualizações[% PREVISTO],"",0,-1)</f>
        <v>1</v>
      </c>
      <c r="O55" s="234">
        <f>_xlfn.XLOOKUP(Tb_Portfólio[[#This Row],[SEI]],Tb_Atualizações[PROCESSO SEI],Tb_Atualizações[% EXECUTADO],"",0,-1)</f>
        <v>1</v>
      </c>
      <c r="P55" s="147">
        <f>IFERROR(Tb_Portfólio[[#This Row],[% EXECUTADO]]/Tb_Portfólio[[#This Row],[% PREVISTO]],"0%")</f>
        <v>1</v>
      </c>
      <c r="Q55" s="146">
        <f>_xlfn.XLOOKUP(Tb_Portfólio[[#This Row],[SEI]],Tb_Atualizações[PROCESSO SEI],Tb_Atualizações[DATA DE ATUALIZAÇÃO],"",0,-1)</f>
        <v>46007</v>
      </c>
      <c r="R55" s="336">
        <f>_xlfn.XLOOKUP(Tb_Portfólio[[#This Row],[SEI]],Tb_Atualizações[PROCESSO SEI],Tb_Atualizações[Mês],,0,-1)</f>
        <v>45992</v>
      </c>
      <c r="S55" s="259"/>
      <c r="T55" s="268" t="s">
        <v>48</v>
      </c>
      <c r="U55"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55" s="95"/>
      <c r="W55" s="236">
        <f>IFERROR(Tb_Portfólio[[#This Row],[% EXECUTADO]]/Tb_Portfólio[[#This Row],[% PREVISTO]],0)</f>
        <v>1</v>
      </c>
      <c r="X55" s="97"/>
      <c r="Y55" s="652"/>
      <c r="Z55" s="652"/>
      <c r="AA55" s="73" t="s">
        <v>51</v>
      </c>
      <c r="AB55" s="462" t="s">
        <v>179</v>
      </c>
      <c r="AC55" s="255" t="s">
        <v>44</v>
      </c>
      <c r="AD55" s="97"/>
      <c r="AE55" s="97" t="s">
        <v>532</v>
      </c>
      <c r="AF55" s="273">
        <f t="shared" ca="1" si="2"/>
        <v>46176</v>
      </c>
      <c r="AG55" s="435" t="s">
        <v>197</v>
      </c>
      <c r="AH55" s="79" t="s">
        <v>67</v>
      </c>
      <c r="AJ55" s="79" t="str">
        <f>2024&amp;Tb_Portfólio[[#This Row],[SEI]]</f>
        <v>202409536/2024</v>
      </c>
      <c r="AK55" t="str">
        <f>IFERROR(IF(MATCH(AJ55,Atualizações!$P$1:$P$1265,0)&gt;0, "Sim"), "Não")</f>
        <v>Sim</v>
      </c>
      <c r="AL55" s="79" t="str">
        <f>2025&amp;Tb_Portfólio[[#This Row],[SEI]]</f>
        <v>202509536/2024</v>
      </c>
      <c r="AM55" t="str">
        <f>IFERROR(IF(MATCH(AL55,Atualizações!$P$1:$P$2994,0)&gt;0, "Sim"), "Não")</f>
        <v>Sim</v>
      </c>
      <c r="AN55" s="79" t="str">
        <f>2026&amp;Tb_Portfólio[[#This Row],[SEI]]</f>
        <v>202609536/2024</v>
      </c>
      <c r="AO55" t="str">
        <f>IFERROR(IF(MATCH(AN55,Atualizações!$P$1:$P$2994,0)&gt;0, "Sim"), "Não")</f>
        <v>Não</v>
      </c>
      <c r="AP55" s="79" t="str">
        <f>_xlfn.XLOOKUP(Tb_Portfólio[[#This Row],[SEI]],Tb_Atualizações[PROCESSO SEI],Tb_Atualizações[Explicações],"",0,-1)</f>
        <v>Projeto finalizado por meio do Relatório TEP (2437046)</v>
      </c>
      <c r="AQ55" s="79" t="str">
        <f>_xlfn.XLOOKUP(Tb_Portfólio[[#This Row],[SEI]],Tb_Mapa[SEI],Tb_Mapa[CONSULTOR RESPONSÁVEL],"",0,-1)</f>
        <v>Igor</v>
      </c>
    </row>
    <row r="56" spans="1:43" ht="135" hidden="1" customHeight="1">
      <c r="A56" s="149" t="s">
        <v>533</v>
      </c>
      <c r="B56" s="139" t="s">
        <v>534</v>
      </c>
      <c r="C56" s="97" t="s">
        <v>535</v>
      </c>
      <c r="D56" s="97"/>
      <c r="E56" s="73" t="s">
        <v>43</v>
      </c>
      <c r="F56" s="73" t="s">
        <v>44</v>
      </c>
      <c r="G56" s="97" t="s">
        <v>536</v>
      </c>
      <c r="H56" s="2" t="s">
        <v>46</v>
      </c>
      <c r="I56" s="7" t="s">
        <v>88</v>
      </c>
      <c r="J56" s="112" t="s">
        <v>166</v>
      </c>
      <c r="K56" s="19" t="s">
        <v>177</v>
      </c>
      <c r="L56" s="262">
        <v>45125</v>
      </c>
      <c r="M56" s="257">
        <v>46386</v>
      </c>
      <c r="N56" s="234">
        <f>_xlfn.XLOOKUP(Tb_Portfólio[[#This Row],[SEI]],Tb_Atualizações[PROCESSO SEI],Tb_Atualizações[% PREVISTO],"",0,-1)</f>
        <v>0.75</v>
      </c>
      <c r="O56" s="234">
        <f>_xlfn.XLOOKUP(Tb_Portfólio[[#This Row],[SEI]],Tb_Atualizações[PROCESSO SEI],Tb_Atualizações[% EXECUTADO],"",0,-1)</f>
        <v>0.66</v>
      </c>
      <c r="P56" s="147">
        <f>IFERROR(Tb_Portfólio[[#This Row],[% EXECUTADO]]/Tb_Portfólio[[#This Row],[% PREVISTO]],"0%")</f>
        <v>0.88</v>
      </c>
      <c r="Q56" s="146">
        <f>_xlfn.XLOOKUP(Tb_Portfólio[[#This Row],[SEI]],Tb_Atualizações[PROCESSO SEI],Tb_Atualizações[DATA DE ATUALIZAÇÃO],"",0,-1)</f>
        <v>46167</v>
      </c>
      <c r="R56" s="336">
        <f>_xlfn.XLOOKUP(Tb_Portfólio[[#This Row],[SEI]],Tb_Atualizações[PROCESSO SEI],Tb_Atualizações[Mês],,0,-1)</f>
        <v>46143</v>
      </c>
      <c r="S56" s="259"/>
      <c r="T56" s="268" t="s">
        <v>48</v>
      </c>
      <c r="U56"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56" s="95"/>
      <c r="W56" s="236">
        <f>IFERROR(Tb_Portfólio[[#This Row],[% EXECUTADO]]/Tb_Portfólio[[#This Row],[% PREVISTO]],0)</f>
        <v>0.88</v>
      </c>
      <c r="X56" s="97"/>
      <c r="Y56" s="652"/>
      <c r="Z56" s="652"/>
      <c r="AA56" s="73" t="s">
        <v>51</v>
      </c>
      <c r="AB56" s="73" t="s">
        <v>137</v>
      </c>
      <c r="AC56" s="97" t="s">
        <v>67</v>
      </c>
      <c r="AD56" s="261" t="s">
        <v>537</v>
      </c>
      <c r="AE56" s="274" t="s">
        <v>538</v>
      </c>
      <c r="AF56" s="273">
        <f t="shared" ca="1" si="2"/>
        <v>46176</v>
      </c>
      <c r="AG56" s="79" t="s">
        <v>403</v>
      </c>
      <c r="AH56" s="73" t="s">
        <v>67</v>
      </c>
      <c r="AJ56" s="79" t="str">
        <f>2024&amp;Tb_Portfólio[[#This Row],[SEI]]</f>
        <v>202409613/2024</v>
      </c>
      <c r="AK56" t="str">
        <f>IFERROR(IF(MATCH(AJ56,Atualizações!$P$1:$P$1265,0)&gt;0, "Sim"), "Não")</f>
        <v>Sim</v>
      </c>
      <c r="AL56" s="79" t="str">
        <f>2025&amp;Tb_Portfólio[[#This Row],[SEI]]</f>
        <v>202509613/2024</v>
      </c>
      <c r="AM56" t="str">
        <f>IFERROR(IF(MATCH(AL56,Atualizações!$P$1:$P$2994,0)&gt;0, "Sim"), "Não")</f>
        <v>Sim</v>
      </c>
      <c r="AN56" s="79" t="str">
        <f>2026&amp;Tb_Portfólio[[#This Row],[SEI]]</f>
        <v>202609613/2024</v>
      </c>
      <c r="AO56" t="str">
        <f>IFERROR(IF(MATCH(AN56,Atualizações!$P$1:$P$2994,0)&gt;0, "Sim"), "Não")</f>
        <v>Sim</v>
      </c>
      <c r="AP56" s="79" t="str">
        <f>_xlfn.XLOOKUP(Tb_Portfólio[[#This Row],[SEI]],Tb_Atualizações[PROCESSO SEI],Tb_Atualizações[Explicações],"",0,-1)</f>
        <v>Entregas realizadas até o momento:
* Planejamento 
* PoC 
* Transição PoC para MVP 
* MVP 
* ECOSSITEMA - Qualificação de Dados (QDD) 
* Implantação e monitoramento do orquestrador de pipelines batch em produção / Desenvolver painéis de BI a partir dos dados gerados nas pipelines batch  
Entregas planejadas para o próximo mês: 
* Implantação e monitoramento do orquestrador de pipelines batch em produção / Desenvolver pipelines integradas ao sistema de notificação com os tribunais 
* Implantação e monitoramento do motor de qualificação das pipelines streaming em produção / Desenvolver painéis de BI a partir dos dados de data profiling</v>
      </c>
      <c r="AQ56" s="79" t="str">
        <f>_xlfn.XLOOKUP(Tb_Portfólio[[#This Row],[SEI]],Tb_Mapa[SEI],Tb_Mapa[CONSULTOR RESPONSÁVEL],"",0,-1)</f>
        <v>Tony</v>
      </c>
    </row>
    <row r="57" spans="1:43" ht="315" hidden="1">
      <c r="A57" s="149" t="s">
        <v>539</v>
      </c>
      <c r="B57" s="79" t="s">
        <v>540</v>
      </c>
      <c r="C57" s="97" t="s">
        <v>541</v>
      </c>
      <c r="D57" s="97"/>
      <c r="E57" s="97" t="s">
        <v>137</v>
      </c>
      <c r="F57" s="2" t="s">
        <v>67</v>
      </c>
      <c r="G57" s="97" t="s">
        <v>542</v>
      </c>
      <c r="H57" s="2" t="s">
        <v>46</v>
      </c>
      <c r="I57" s="97" t="s">
        <v>543</v>
      </c>
      <c r="J57" s="97" t="s">
        <v>544</v>
      </c>
      <c r="K57" s="430" t="s">
        <v>545</v>
      </c>
      <c r="L57" s="262">
        <v>45516</v>
      </c>
      <c r="M57" s="257">
        <v>46387</v>
      </c>
      <c r="N57" s="234">
        <f>_xlfn.XLOOKUP(Tb_Portfólio[[#This Row],[SEI]],Tb_Atualizações[PROCESSO SEI],Tb_Atualizações[% PREVISTO],"",0,-1)</f>
        <v>0.74</v>
      </c>
      <c r="O57" s="234">
        <f>_xlfn.XLOOKUP(Tb_Portfólio[[#This Row],[SEI]],Tb_Atualizações[PROCESSO SEI],Tb_Atualizações[% EXECUTADO],"",0,-1)</f>
        <v>0.43</v>
      </c>
      <c r="P57" s="147">
        <f>IFERROR(Tb_Portfólio[[#This Row],[% EXECUTADO]]/Tb_Portfólio[[#This Row],[% PREVISTO]],"0%")</f>
        <v>0.58108108108108103</v>
      </c>
      <c r="Q57" s="146">
        <f>_xlfn.XLOOKUP(Tb_Portfólio[[#This Row],[SEI]],Tb_Atualizações[PROCESSO SEI],Tb_Atualizações[DATA DE ATUALIZAÇÃO],"",0,-1)</f>
        <v>46167</v>
      </c>
      <c r="R57" s="336">
        <f>_xlfn.XLOOKUP(Tb_Portfólio[[#This Row],[SEI]],Tb_Atualizações[PROCESSO SEI],Tb_Atualizações[Mês],,0,-1)</f>
        <v>46143</v>
      </c>
      <c r="S57" s="259"/>
      <c r="T57" s="268" t="s">
        <v>48</v>
      </c>
      <c r="U5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57" s="95"/>
      <c r="W57" s="236">
        <f>IFERROR(Tb_Portfólio[[#This Row],[% EXECUTADO]]/Tb_Portfólio[[#This Row],[% PREVISTO]],0)</f>
        <v>0.58108108108108103</v>
      </c>
      <c r="X57" s="97" t="s">
        <v>546</v>
      </c>
      <c r="Y57" s="652">
        <v>2873920</v>
      </c>
      <c r="Z57" s="652"/>
      <c r="AA57" s="73" t="s">
        <v>51</v>
      </c>
      <c r="AB57" s="73" t="s">
        <v>137</v>
      </c>
      <c r="AC57" s="73" t="s">
        <v>67</v>
      </c>
      <c r="AD57" s="97" t="s">
        <v>547</v>
      </c>
      <c r="AE57" s="97" t="s">
        <v>548</v>
      </c>
      <c r="AF57" s="273">
        <f t="shared" ca="1" si="2"/>
        <v>46176</v>
      </c>
      <c r="AG57" s="274" t="s">
        <v>69</v>
      </c>
      <c r="AH57" s="73" t="s">
        <v>67</v>
      </c>
      <c r="AJ57" s="79" t="str">
        <f>2024&amp;Tb_Portfólio[[#This Row],[SEI]]</f>
        <v>202409630/2024</v>
      </c>
      <c r="AK57" t="str">
        <f>IFERROR(IF(MATCH(AJ57,Atualizações!$P$1:$P$1265,0)&gt;0, "Sim"), "Não")</f>
        <v>Sim</v>
      </c>
      <c r="AL57" s="79" t="str">
        <f>2025&amp;Tb_Portfólio[[#This Row],[SEI]]</f>
        <v>202509630/2024</v>
      </c>
      <c r="AM57" t="str">
        <f>IFERROR(IF(MATCH(AL57,Atualizações!$P$1:$P$2994,0)&gt;0, "Sim"), "Não")</f>
        <v>Sim</v>
      </c>
      <c r="AN57" s="79" t="str">
        <f>2026&amp;Tb_Portfólio[[#This Row],[SEI]]</f>
        <v>202609630/2024</v>
      </c>
      <c r="AO57" t="str">
        <f>IFERROR(IF(MATCH(AN57,Atualizações!$P$1:$P$2994,0)&gt;0, "Sim"), "Não")</f>
        <v>Sim</v>
      </c>
      <c r="AP57" s="79" t="str">
        <f>_xlfn.XLOOKUP(Tb_Portfólio[[#This Row],[SEI]],Tb_Atualizações[PROCESSO SEI],Tb_Atualizações[Explicações],"",0,-1)</f>
        <v>Outros fatos relevantes a registrar 
• Reuniões de levantamento CNJ (Falta de Ponto Focal); 
• Dificuldade técnica de alguns colaboradores; 
• Documento MVP ainda em andamento (Anderson); 
• Piloto será nas Sessões de Julgamento do CNJ (Agosto); 
• Dificuldade no repasse de arquitetura, com risco de queda de capacidade e continuidade. 
• Analista de Requisitos sobrecarregado; 
• Termo de responsabilização dos tribunais e risco de bloqueio institucional/adesão</v>
      </c>
      <c r="AQ57" s="79" t="str">
        <f>_xlfn.XLOOKUP(Tb_Portfólio[[#This Row],[SEI]],Tb_Mapa[SEI],Tb_Mapa[CONSULTOR RESPONSÁVEL],"",0,-1)</f>
        <v>Tony</v>
      </c>
    </row>
    <row r="58" spans="1:43" ht="409.5" hidden="1">
      <c r="A58" s="232" t="s">
        <v>549</v>
      </c>
      <c r="B58" s="103" t="s">
        <v>550</v>
      </c>
      <c r="C58" s="97" t="s">
        <v>551</v>
      </c>
      <c r="D58" s="97"/>
      <c r="E58" s="18" t="s">
        <v>552</v>
      </c>
      <c r="F58" s="289" t="s">
        <v>44</v>
      </c>
      <c r="G58" s="7" t="s">
        <v>326</v>
      </c>
      <c r="H58" s="7" t="s">
        <v>46</v>
      </c>
      <c r="I58" s="7" t="s">
        <v>104</v>
      </c>
      <c r="J58" s="112" t="s">
        <v>105</v>
      </c>
      <c r="K58" s="7" t="s">
        <v>553</v>
      </c>
      <c r="L58" s="262">
        <v>45505</v>
      </c>
      <c r="M58" s="257">
        <v>46226</v>
      </c>
      <c r="N58" s="234">
        <f>_xlfn.XLOOKUP(Tb_Portfólio[[#This Row],[SEI]],Tb_Atualizações[PROCESSO SEI],Tb_Atualizações[% PREVISTO],"",0,-1)</f>
        <v>0.92</v>
      </c>
      <c r="O58" s="234">
        <f>_xlfn.XLOOKUP(Tb_Portfólio[[#This Row],[SEI]],Tb_Atualizações[PROCESSO SEI],Tb_Atualizações[% EXECUTADO],"",0,-1)</f>
        <v>0.86</v>
      </c>
      <c r="P58" s="147">
        <f>IFERROR(Tb_Portfólio[[#This Row],[% EXECUTADO]]/Tb_Portfólio[[#This Row],[% PREVISTO]],"0%")</f>
        <v>0.93478260869565211</v>
      </c>
      <c r="Q58" s="146">
        <f>_xlfn.XLOOKUP(Tb_Portfólio[[#This Row],[SEI]],Tb_Atualizações[PROCESSO SEI],Tb_Atualizações[DATA DE ATUALIZAÇÃO],"",0,-1)</f>
        <v>46167</v>
      </c>
      <c r="R58" s="336">
        <f>_xlfn.XLOOKUP(Tb_Portfólio[[#This Row],[SEI]],Tb_Atualizações[PROCESSO SEI],Tb_Atualizações[Mês],,0,-1)</f>
        <v>46143</v>
      </c>
      <c r="S58" s="259"/>
      <c r="T58" s="268" t="s">
        <v>48</v>
      </c>
      <c r="U58"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58" s="95"/>
      <c r="W58" s="236">
        <f>IFERROR(Tb_Portfólio[[#This Row],[% EXECUTADO]]/Tb_Portfólio[[#This Row],[% PREVISTO]],0)</f>
        <v>0.93478260869565211</v>
      </c>
      <c r="X58" s="270"/>
      <c r="Y58" s="284" t="s">
        <v>554</v>
      </c>
      <c r="Z58" s="652"/>
      <c r="AA58" s="79" t="s">
        <v>51</v>
      </c>
      <c r="AB58" s="73" t="s">
        <v>555</v>
      </c>
      <c r="AC58" s="97" t="s">
        <v>44</v>
      </c>
      <c r="AD58" s="97" t="s">
        <v>556</v>
      </c>
      <c r="AE58" s="270" t="s">
        <v>557</v>
      </c>
      <c r="AF58" s="273">
        <f t="shared" ca="1" si="2"/>
        <v>46176</v>
      </c>
      <c r="AG58" s="18" t="s">
        <v>558</v>
      </c>
      <c r="AH58" s="289" t="s">
        <v>67</v>
      </c>
      <c r="AJ58" s="79" t="str">
        <f>2024&amp;Tb_Portfólio[[#This Row],[SEI]]</f>
        <v>202409796/2024</v>
      </c>
      <c r="AK58" t="str">
        <f>IFERROR(IF(MATCH(AJ58,Atualizações!$P$1:$P$1265,0)&gt;0, "Sim"), "Não")</f>
        <v>Sim</v>
      </c>
      <c r="AL58" s="79" t="str">
        <f>2025&amp;Tb_Portfólio[[#This Row],[SEI]]</f>
        <v>202509796/2024</v>
      </c>
      <c r="AM58" t="str">
        <f>IFERROR(IF(MATCH(AL58,Atualizações!$P$1:$P$2994,0)&gt;0, "Sim"), "Não")</f>
        <v>Sim</v>
      </c>
      <c r="AN58" s="79" t="str">
        <f>2026&amp;Tb_Portfólio[[#This Row],[SEI]]</f>
        <v>202609796/2024</v>
      </c>
      <c r="AO58" t="str">
        <f>IFERROR(IF(MATCH(AN58,Atualizações!$P$1:$P$2994,0)&gt;0, "Sim"), "Não")</f>
        <v>Sim</v>
      </c>
      <c r="AP58" s="79" t="str">
        <f>_xlfn.XLOOKUP(Tb_Portfólio[[#This Row],[SEI]],Tb_Atualizações[PROCESSO SEI],Tb_Atualizações[Explicações],"",0,-1)</f>
        <v>Outros fatos relevantes a registrar 
• Dependência crítica do SNIPER para viabilização da constrição patrimonial, ainda sem definição estável de APIs, modelo de dados e cronograma de entrega 
• Ausência de disponibilização da API de petição inicial pelo Portal de Serviços, impedindo a execução completa do fluxo de entrada das execuções fiscais 
• Baixa previsibilidade nas entregas de SNIPER e Portal, impactando diretamente o planejamento e a execução do piloto. 
• Necessidade de definição sobre uso datalake para recuperação de movimentação do processo. 
Concluído 
• Fase de Validação operacional. 
• API de entrada de dados implementada. 
• Fase de Distribuição funcional em fluxo controlado. 
• Integração inicial com SNIPER para consulta de bens. 
Em desenvolvimento 
• Integração de notificações SNIPER. 
• Tratamento de status de constrição. 
• Funcionalidades de bloqueio, desbloqueio e transferência. 
Dependências externas 
• Disponibilização da API de petição inicial pelo Portal. 
• Consolidação do modelo de notificações do SNIPER. 
• Definição da estratégia de integração Portal × eProc.</v>
      </c>
      <c r="AQ58" s="79" t="str">
        <f>_xlfn.XLOOKUP(Tb_Portfólio[[#This Row],[SEI]],Tb_Mapa[SEI],Tb_Mapa[CONSULTOR RESPONSÁVEL],"",0,-1)</f>
        <v>Tony</v>
      </c>
    </row>
    <row r="59" spans="1:43" ht="120" hidden="1">
      <c r="A59" s="149" t="s">
        <v>559</v>
      </c>
      <c r="B59" s="280" t="s">
        <v>560</v>
      </c>
      <c r="C59" s="97" t="s">
        <v>561</v>
      </c>
      <c r="D59" s="97"/>
      <c r="E59" s="79" t="s">
        <v>562</v>
      </c>
      <c r="F59" s="73" t="s">
        <v>563</v>
      </c>
      <c r="G59" s="79" t="s">
        <v>564</v>
      </c>
      <c r="H59" s="2" t="s">
        <v>565</v>
      </c>
      <c r="I59" s="97" t="s">
        <v>240</v>
      </c>
      <c r="J59" s="265" t="s">
        <v>120</v>
      </c>
      <c r="K59" s="7" t="s">
        <v>566</v>
      </c>
      <c r="L59" s="262">
        <v>45448</v>
      </c>
      <c r="M59" s="257" t="s">
        <v>567</v>
      </c>
      <c r="N59" s="234">
        <f>_xlfn.XLOOKUP(Tb_Portfólio[[#This Row],[SEI]],Tb_Atualizações[PROCESSO SEI],Tb_Atualizações[% PREVISTO],"",0,-1)</f>
        <v>0.53</v>
      </c>
      <c r="O59" s="234">
        <f>_xlfn.XLOOKUP(Tb_Portfólio[[#This Row],[SEI]],Tb_Atualizações[PROCESSO SEI],Tb_Atualizações[% EXECUTADO],"",0,-1)</f>
        <v>0.65</v>
      </c>
      <c r="P59" s="147">
        <f>IFERROR(Tb_Portfólio[[#This Row],[% EXECUTADO]]/Tb_Portfólio[[#This Row],[% PREVISTO]],"0%")</f>
        <v>1.2264150943396226</v>
      </c>
      <c r="Q59" s="146">
        <f>_xlfn.XLOOKUP(Tb_Portfólio[[#This Row],[SEI]],Tb_Atualizações[PROCESSO SEI],Tb_Atualizações[DATA DE ATUALIZAÇÃO],"",0,-1)</f>
        <v>46155</v>
      </c>
      <c r="R59" s="336">
        <f>_xlfn.XLOOKUP(Tb_Portfólio[[#This Row],[SEI]],Tb_Atualizações[PROCESSO SEI],Tb_Atualizações[Mês],,0,-1)</f>
        <v>46113</v>
      </c>
      <c r="S59" s="259"/>
      <c r="T59" s="268"/>
      <c r="U59"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59" s="95"/>
      <c r="W59" s="236">
        <f>IFERROR(Tb_Portfólio[[#This Row],[% EXECUTADO]]/Tb_Portfólio[[#This Row],[% PREVISTO]],0)</f>
        <v>1.2264150943396226</v>
      </c>
      <c r="X59" s="294" t="s">
        <v>568</v>
      </c>
      <c r="Y59" s="284">
        <v>28600</v>
      </c>
      <c r="Z59" s="652"/>
      <c r="AB59" s="73" t="s">
        <v>562</v>
      </c>
      <c r="AC59" s="73" t="s">
        <v>563</v>
      </c>
      <c r="AD59" s="97" t="s">
        <v>569</v>
      </c>
      <c r="AE59" s="270"/>
      <c r="AF59" s="273">
        <f t="shared" ca="1" si="2"/>
        <v>46176</v>
      </c>
      <c r="AG59" s="19" t="s">
        <v>413</v>
      </c>
      <c r="AH59" s="7" t="s">
        <v>413</v>
      </c>
      <c r="AJ59" s="79" t="str">
        <f>2024&amp;Tb_Portfólio[[#This Row],[SEI]]</f>
        <v>202410101/2024</v>
      </c>
      <c r="AK59" t="str">
        <f>IFERROR(IF(MATCH(AJ59,Atualizações!$P$1:$P$1265,0)&gt;0, "Sim"), "Não")</f>
        <v>Sim</v>
      </c>
      <c r="AL59" s="79" t="str">
        <f>2025&amp;Tb_Portfólio[[#This Row],[SEI]]</f>
        <v>202510101/2024</v>
      </c>
      <c r="AM59" t="str">
        <f>IFERROR(IF(MATCH(AL59,Atualizações!$P$1:$P$2994,0)&gt;0, "Sim"), "Não")</f>
        <v>Sim</v>
      </c>
      <c r="AN59" s="79" t="str">
        <f>2026&amp;Tb_Portfólio[[#This Row],[SEI]]</f>
        <v>202610101/2024</v>
      </c>
      <c r="AO59" t="str">
        <f>IFERROR(IF(MATCH(AN59,Atualizações!$P$1:$P$2994,0)&gt;0, "Sim"), "Não")</f>
        <v>Sim</v>
      </c>
      <c r="AP59" s="79" t="str">
        <f>_xlfn.XLOOKUP(Tb_Portfólio[[#This Row],[SEI]],Tb_Atualizações[PROCESSO SEI],Tb_Atualizações[Explicações],"",0,-1)</f>
        <v>O percentual previsto e executado sofreu grande redução devido à inclusão no planejamento dos estados que seriam visitados mas ainda não tinham sido incluídos.</v>
      </c>
      <c r="AQ59" s="79" t="str">
        <f>_xlfn.XLOOKUP(Tb_Portfólio[[#This Row],[SEI]],Tb_Mapa[SEI],Tb_Mapa[CONSULTOR RESPONSÁVEL],"",0,-1)</f>
        <v>Juliana</v>
      </c>
    </row>
    <row r="60" spans="1:43" ht="120" hidden="1" customHeight="1">
      <c r="A60" s="149" t="s">
        <v>570</v>
      </c>
      <c r="B60" s="103" t="s">
        <v>571</v>
      </c>
      <c r="C60" s="7" t="s">
        <v>572</v>
      </c>
      <c r="D60" s="7" t="s">
        <v>573</v>
      </c>
      <c r="E60" s="79" t="s">
        <v>43</v>
      </c>
      <c r="F60" s="16" t="s">
        <v>44</v>
      </c>
      <c r="G60" s="79" t="s">
        <v>574</v>
      </c>
      <c r="H60" s="16" t="s">
        <v>46</v>
      </c>
      <c r="I60" s="97" t="s">
        <v>75</v>
      </c>
      <c r="J60" s="265" t="s">
        <v>575</v>
      </c>
      <c r="K60" s="7" t="s">
        <v>147</v>
      </c>
      <c r="L60" s="262">
        <v>44812</v>
      </c>
      <c r="M60" s="266">
        <v>45565</v>
      </c>
      <c r="N60" s="234">
        <f>_xlfn.XLOOKUP(Tb_Portfólio[[#This Row],[SEI]],Tb_Atualizações[PROCESSO SEI],Tb_Atualizações[% PREVISTO],"",0,-1)</f>
        <v>1</v>
      </c>
      <c r="O60" s="234">
        <f>_xlfn.XLOOKUP(Tb_Portfólio[[#This Row],[SEI]],Tb_Atualizações[PROCESSO SEI],Tb_Atualizações[% EXECUTADO],"",0,-1)</f>
        <v>1</v>
      </c>
      <c r="P60" s="147">
        <f>IFERROR(Tb_Portfólio[[#This Row],[% EXECUTADO]]/Tb_Portfólio[[#This Row],[% PREVISTO]],"0%")</f>
        <v>1</v>
      </c>
      <c r="Q60" s="146">
        <f>_xlfn.XLOOKUP(Tb_Portfólio[[#This Row],[SEI]],Tb_Atualizações[PROCESSO SEI],Tb_Atualizações[DATA DE ATUALIZAÇÃO],"",0,-1)</f>
        <v>45544</v>
      </c>
      <c r="R60" s="336">
        <f>_xlfn.XLOOKUP(Tb_Portfólio[[#This Row],[SEI]],Tb_Atualizações[PROCESSO SEI],Tb_Atualizações[Mês],,0,-1)</f>
        <v>45536</v>
      </c>
      <c r="S60" s="259"/>
      <c r="T60" s="268" t="s">
        <v>48</v>
      </c>
      <c r="U60"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60" s="95"/>
      <c r="W60" s="236">
        <f>IFERROR(Tb_Portfólio[[#This Row],[% EXECUTADO]]/Tb_Portfólio[[#This Row],[% PREVISTO]],0)</f>
        <v>1</v>
      </c>
      <c r="X60" s="270" t="s">
        <v>576</v>
      </c>
      <c r="Y60" s="150">
        <v>114500</v>
      </c>
      <c r="Z60" s="150"/>
      <c r="AA60" s="79" t="s">
        <v>51</v>
      </c>
      <c r="AB60" s="79" t="s">
        <v>43</v>
      </c>
      <c r="AC60" s="16" t="s">
        <v>44</v>
      </c>
      <c r="AD60" s="97" t="s">
        <v>577</v>
      </c>
      <c r="AE60" s="433" t="s">
        <v>578</v>
      </c>
      <c r="AF60" s="273">
        <f t="shared" ca="1" si="2"/>
        <v>46176</v>
      </c>
      <c r="AG60" s="79" t="s">
        <v>579</v>
      </c>
      <c r="AH60" s="97" t="s">
        <v>228</v>
      </c>
      <c r="AJ60" s="79" t="str">
        <f>2024&amp;Tb_Portfólio[[#This Row],[SEI]]</f>
        <v>202410157/2022</v>
      </c>
      <c r="AK60" t="str">
        <f>IFERROR(IF(MATCH(AJ60,Atualizações!$P$1:$P$1265,0)&gt;0, "Sim"), "Não")</f>
        <v>Sim</v>
      </c>
      <c r="AL60" s="79" t="str">
        <f>2025&amp;Tb_Portfólio[[#This Row],[SEI]]</f>
        <v>202510157/2022</v>
      </c>
      <c r="AM60" t="str">
        <f>IFERROR(IF(MATCH(AL60,Atualizações!$P$1:$P$2994,0)&gt;0, "Sim"), "Não")</f>
        <v>Não</v>
      </c>
      <c r="AN60" s="79" t="str">
        <f>2026&amp;Tb_Portfólio[[#This Row],[SEI]]</f>
        <v>202610157/2022</v>
      </c>
      <c r="AO60" t="str">
        <f>IFERROR(IF(MATCH(AN60,Atualizações!$P$1:$P$2994,0)&gt;0, "Sim"), "Não")</f>
        <v>Não</v>
      </c>
      <c r="AP60" s="79">
        <f>_xlfn.XLOOKUP(Tb_Portfólio[[#This Row],[SEI]],Tb_Atualizações[PROCESSO SEI],Tb_Atualizações[Explicações],"",0,-1)</f>
        <v>0</v>
      </c>
      <c r="AQ60" s="79" t="str">
        <f>_xlfn.XLOOKUP(Tb_Portfólio[[#This Row],[SEI]],Tb_Mapa[SEI],Tb_Mapa[CONSULTOR RESPONSÁVEL],"",0,-1)</f>
        <v>Igor/Finalizado</v>
      </c>
    </row>
    <row r="61" spans="1:43" ht="90" hidden="1">
      <c r="A61" s="149" t="s">
        <v>580</v>
      </c>
      <c r="B61" s="103" t="s">
        <v>581</v>
      </c>
      <c r="C61" s="97" t="s">
        <v>582</v>
      </c>
      <c r="D61" s="97"/>
      <c r="E61" s="322" t="s">
        <v>144</v>
      </c>
      <c r="F61" s="16" t="s">
        <v>92</v>
      </c>
      <c r="G61" s="79" t="s">
        <v>87</v>
      </c>
      <c r="H61" s="2" t="s">
        <v>46</v>
      </c>
      <c r="I61" s="97" t="s">
        <v>583</v>
      </c>
      <c r="J61" s="97" t="s">
        <v>584</v>
      </c>
      <c r="K61" s="7" t="s">
        <v>585</v>
      </c>
      <c r="L61" s="262">
        <v>45413</v>
      </c>
      <c r="M61" s="257">
        <v>46387</v>
      </c>
      <c r="N61" s="234">
        <f>_xlfn.XLOOKUP(Tb_Portfólio[[#This Row],[SEI]],Tb_Atualizações[PROCESSO SEI],Tb_Atualizações[% PREVISTO],"",0,-1)</f>
        <v>0.75</v>
      </c>
      <c r="O61" s="234">
        <f>_xlfn.XLOOKUP(Tb_Portfólio[[#This Row],[SEI]],Tb_Atualizações[PROCESSO SEI],Tb_Atualizações[% EXECUTADO],"",0,-1)</f>
        <v>0.67</v>
      </c>
      <c r="P61" s="147">
        <f>IFERROR(Tb_Portfólio[[#This Row],[% EXECUTADO]]/Tb_Portfólio[[#This Row],[% PREVISTO]],"0%")</f>
        <v>0.89333333333333342</v>
      </c>
      <c r="Q61" s="146">
        <f>_xlfn.XLOOKUP(Tb_Portfólio[[#This Row],[SEI]],Tb_Atualizações[PROCESSO SEI],Tb_Atualizações[DATA DE ATUALIZAÇÃO],"",0,-1)</f>
        <v>46167</v>
      </c>
      <c r="R61" s="336">
        <f>_xlfn.XLOOKUP(Tb_Portfólio[[#This Row],[SEI]],Tb_Atualizações[PROCESSO SEI],Tb_Atualizações[Mês],,0,-1)</f>
        <v>46143</v>
      </c>
      <c r="S61" s="259"/>
      <c r="T61" s="268" t="s">
        <v>48</v>
      </c>
      <c r="U61"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61" s="95"/>
      <c r="W61" s="236">
        <f>IFERROR(Tb_Portfólio[[#This Row],[% EXECUTADO]]/Tb_Portfólio[[#This Row],[% PREVISTO]],0)</f>
        <v>0.89333333333333342</v>
      </c>
      <c r="X61" s="294" t="s">
        <v>586</v>
      </c>
      <c r="Y61" s="652">
        <v>581499.30000000005</v>
      </c>
      <c r="Z61" s="652"/>
      <c r="AA61" s="79" t="s">
        <v>51</v>
      </c>
      <c r="AB61" s="79" t="s">
        <v>150</v>
      </c>
      <c r="AC61" s="16" t="s">
        <v>92</v>
      </c>
      <c r="AD61" s="97" t="s">
        <v>587</v>
      </c>
      <c r="AE61" s="270"/>
      <c r="AF61" s="273">
        <f t="shared" ca="1" si="2"/>
        <v>46176</v>
      </c>
      <c r="AG61" s="79" t="s">
        <v>588</v>
      </c>
      <c r="AH61" s="97" t="s">
        <v>92</v>
      </c>
      <c r="AJ61" s="79" t="str">
        <f>2024&amp;Tb_Portfólio[[#This Row],[SEI]]</f>
        <v>202410698/2024</v>
      </c>
      <c r="AK61" s="79" t="str">
        <f>IFERROR(IF(MATCH(AJ61,Atualizações!$P$1:$P$1265,0)&gt;0, "Sim"), "Não")</f>
        <v>Não</v>
      </c>
      <c r="AL61" s="79" t="str">
        <f>2025&amp;Tb_Portfólio[[#This Row],[SEI]]</f>
        <v>202510698/2024</v>
      </c>
      <c r="AM61" t="str">
        <f>IFERROR(IF(MATCH(AL61,Atualizações!$P$1:$P$2994,0)&gt;0, "Sim"), "Não")</f>
        <v>Sim</v>
      </c>
      <c r="AN61" s="79" t="str">
        <f>2026&amp;Tb_Portfólio[[#This Row],[SEI]]</f>
        <v>202610698/2024</v>
      </c>
      <c r="AO61" t="str">
        <f>IFERROR(IF(MATCH(AN61,Atualizações!$P$1:$P$2994,0)&gt;0, "Sim"), "Não")</f>
        <v>Sim</v>
      </c>
      <c r="AP61" s="79">
        <f>_xlfn.XLOOKUP(Tb_Portfólio[[#This Row],[SEI]],Tb_Atualizações[PROCESSO SEI],Tb_Atualizações[Explicações],"",0,-1)</f>
        <v>0</v>
      </c>
      <c r="AQ61" s="79" t="str">
        <f>_xlfn.XLOOKUP(Tb_Portfólio[[#This Row],[SEI]],Tb_Mapa[SEI],Tb_Mapa[CONSULTOR RESPONSÁVEL],"",0,-1)</f>
        <v>Juliana</v>
      </c>
    </row>
    <row r="62" spans="1:43" ht="90" hidden="1" customHeight="1">
      <c r="A62" s="149" t="s">
        <v>589</v>
      </c>
      <c r="B62" s="280" t="s">
        <v>590</v>
      </c>
      <c r="C62" s="97" t="s">
        <v>591</v>
      </c>
      <c r="D62" s="97"/>
      <c r="E62" s="281" t="s">
        <v>592</v>
      </c>
      <c r="F62" s="2" t="s">
        <v>244</v>
      </c>
      <c r="G62" s="97" t="s">
        <v>593</v>
      </c>
      <c r="H62" s="2" t="s">
        <v>594</v>
      </c>
      <c r="I62" s="7" t="s">
        <v>240</v>
      </c>
      <c r="J62" s="112" t="s">
        <v>120</v>
      </c>
      <c r="K62" s="7" t="s">
        <v>413</v>
      </c>
      <c r="L62" s="262">
        <v>45383</v>
      </c>
      <c r="M62" s="257">
        <v>46233</v>
      </c>
      <c r="N62" s="234">
        <f>_xlfn.XLOOKUP(Tb_Portfólio[[#This Row],[SEI]],Tb_Atualizações[PROCESSO SEI],Tb_Atualizações[% PREVISTO],"",0,-1)</f>
        <v>1</v>
      </c>
      <c r="O62" s="234">
        <f>_xlfn.XLOOKUP(Tb_Portfólio[[#This Row],[SEI]],Tb_Atualizações[PROCESSO SEI],Tb_Atualizações[% EXECUTADO],"",0,-1)</f>
        <v>1</v>
      </c>
      <c r="P62" s="147">
        <f>IFERROR(Tb_Portfólio[[#This Row],[% EXECUTADO]]/Tb_Portfólio[[#This Row],[% PREVISTO]],"0%")</f>
        <v>1</v>
      </c>
      <c r="Q62" s="146">
        <f>_xlfn.XLOOKUP(Tb_Portfólio[[#This Row],[SEI]],Tb_Atualizações[PROCESSO SEI],Tb_Atualizações[DATA DE ATUALIZAÇÃO],"",0,-1)</f>
        <v>46010</v>
      </c>
      <c r="R62" s="336">
        <f>_xlfn.XLOOKUP(Tb_Portfólio[[#This Row],[SEI]],Tb_Atualizações[PROCESSO SEI],Tb_Atualizações[Mês],,0,-1)</f>
        <v>45962</v>
      </c>
      <c r="S62" s="259"/>
      <c r="T62" s="268"/>
      <c r="U6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62" s="95"/>
      <c r="W62" s="236">
        <f>IFERROR(Tb_Portfólio[[#This Row],[% EXECUTADO]]/Tb_Portfólio[[#This Row],[% PREVISTO]],0)</f>
        <v>1</v>
      </c>
      <c r="X62" s="270"/>
      <c r="Y62" s="150"/>
      <c r="Z62" s="652"/>
      <c r="AA62" s="97"/>
      <c r="AB62" s="79" t="s">
        <v>595</v>
      </c>
      <c r="AC62" s="2" t="s">
        <v>244</v>
      </c>
      <c r="AD62" s="97" t="s">
        <v>596</v>
      </c>
      <c r="AE62" s="270" t="s">
        <v>597</v>
      </c>
      <c r="AF62" s="273">
        <f t="shared" ca="1" si="2"/>
        <v>46176</v>
      </c>
      <c r="AG62" s="332" t="s">
        <v>593</v>
      </c>
      <c r="AH62" s="97" t="s">
        <v>598</v>
      </c>
      <c r="AJ62" s="79" t="str">
        <f>2024&amp;Tb_Portfólio[[#This Row],[SEI]]</f>
        <v>202410926/2024</v>
      </c>
      <c r="AK62" t="str">
        <f>IFERROR(IF(MATCH(AJ62,Atualizações!$P$1:$P$1265,0)&gt;0, "Sim"), "Não")</f>
        <v>Sim</v>
      </c>
      <c r="AL62" s="79" t="str">
        <f>2025&amp;Tb_Portfólio[[#This Row],[SEI]]</f>
        <v>202510926/2024</v>
      </c>
      <c r="AM62" t="str">
        <f>IFERROR(IF(MATCH(AL62,Atualizações!$P$1:$P$2994,0)&gt;0, "Sim"), "Não")</f>
        <v>Sim</v>
      </c>
      <c r="AN62" s="79" t="str">
        <f>2026&amp;Tb_Portfólio[[#This Row],[SEI]]</f>
        <v>202610926/2024</v>
      </c>
      <c r="AO62" t="str">
        <f>IFERROR(IF(MATCH(AN62,Atualizações!$P$1:$P$2994,0)&gt;0, "Sim"), "Não")</f>
        <v>Não</v>
      </c>
      <c r="AP62" s="79" t="str">
        <f>_xlfn.XLOOKUP(Tb_Portfólio[[#This Row],[SEI]],Tb_Atualizações[PROCESSO SEI],Tb_Atualizações[Explicações],"",0,-1)</f>
        <v xml:space="preserve">O projeto foi encerrado formalmente antes do horizonte inicialmente previsto de 2 anos, para viabilizar o lançamento e a migração ordenada à 3ª fase do Pacto, de escopo mais amplo e caráter continuado. A decisão evita sobreposição de frentes, alinha recursos e preserva o que já foi entregue, mantendo a coerência com o caráter de política pública judiciária que o Pacto passou a representar. Conclui-se que o projeto alcançou, de forma substancial, o benefício estruturante definido no TAP, com índice de realização de 81%, evidenciando a efetividade das ações empreendidas. </v>
      </c>
      <c r="AQ62" s="79" t="str">
        <f>_xlfn.XLOOKUP(Tb_Portfólio[[#This Row],[SEI]],Tb_Mapa[SEI],Tb_Mapa[CONSULTOR RESPONSÁVEL],"",0,-1)</f>
        <v>Tony</v>
      </c>
    </row>
    <row r="63" spans="1:43" ht="255" hidden="1">
      <c r="A63" s="149" t="s">
        <v>599</v>
      </c>
      <c r="B63" s="97" t="s">
        <v>600</v>
      </c>
      <c r="C63" s="97" t="s">
        <v>601</v>
      </c>
      <c r="D63" s="97"/>
      <c r="E63" s="73" t="s">
        <v>163</v>
      </c>
      <c r="F63" s="2" t="s">
        <v>67</v>
      </c>
      <c r="G63" s="97" t="s">
        <v>602</v>
      </c>
      <c r="H63" s="2" t="s">
        <v>46</v>
      </c>
      <c r="I63" s="97" t="s">
        <v>603</v>
      </c>
      <c r="J63" s="97" t="s">
        <v>76</v>
      </c>
      <c r="K63" s="7" t="s">
        <v>604</v>
      </c>
      <c r="L63" s="262">
        <v>45184</v>
      </c>
      <c r="M63" s="257">
        <v>45517</v>
      </c>
      <c r="N63" s="234">
        <f>_xlfn.XLOOKUP(Tb_Portfólio[[#This Row],[SEI]],Tb_Atualizações[PROCESSO SEI],Tb_Atualizações[% PREVISTO],"",0,-1)</f>
        <v>1</v>
      </c>
      <c r="O63" s="234">
        <f>_xlfn.XLOOKUP(Tb_Portfólio[[#This Row],[SEI]],Tb_Atualizações[PROCESSO SEI],Tb_Atualizações[% EXECUTADO],"",0,-1)</f>
        <v>1</v>
      </c>
      <c r="P63" s="147">
        <f>IFERROR(Tb_Portfólio[[#This Row],[% EXECUTADO]]/Tb_Portfólio[[#This Row],[% PREVISTO]],"0%")</f>
        <v>1</v>
      </c>
      <c r="Q63" s="146">
        <f>_xlfn.XLOOKUP(Tb_Portfólio[[#This Row],[SEI]],Tb_Atualizações[PROCESSO SEI],Tb_Atualizações[DATA DE ATUALIZAÇÃO],"",0,-1)</f>
        <v>45534</v>
      </c>
      <c r="R63" s="336">
        <f>_xlfn.XLOOKUP(Tb_Portfólio[[#This Row],[SEI]],Tb_Atualizações[PROCESSO SEI],Tb_Atualizações[Mês],,0,-1)</f>
        <v>45505</v>
      </c>
      <c r="S63" s="259"/>
      <c r="T63" s="268" t="s">
        <v>48</v>
      </c>
      <c r="U63"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63" s="95"/>
      <c r="W63" s="236">
        <f>IFERROR(Tb_Portfólio[[#This Row],[% EXECUTADO]]/Tb_Portfólio[[#This Row],[% PREVISTO]],0)</f>
        <v>1</v>
      </c>
      <c r="X63" s="294" t="s">
        <v>605</v>
      </c>
      <c r="Y63" s="522">
        <f>1909456.95+22800</f>
        <v>1932256.95</v>
      </c>
      <c r="Z63" s="522">
        <f>2389207.63+22800</f>
        <v>2412007.63</v>
      </c>
      <c r="AA63" s="97" t="s">
        <v>51</v>
      </c>
      <c r="AB63" s="79" t="s">
        <v>284</v>
      </c>
      <c r="AC63" s="2" t="s">
        <v>244</v>
      </c>
      <c r="AD63" s="97" t="s">
        <v>606</v>
      </c>
      <c r="AE63" s="528" t="s">
        <v>607</v>
      </c>
      <c r="AF63" s="273">
        <f t="shared" ca="1" si="2"/>
        <v>46176</v>
      </c>
      <c r="AG63" s="274" t="s">
        <v>608</v>
      </c>
      <c r="AH63" s="97" t="s">
        <v>67</v>
      </c>
      <c r="AJ63" s="79" t="str">
        <f>2024&amp;Tb_Portfólio[[#This Row],[SEI]]</f>
        <v>202410965/2023</v>
      </c>
      <c r="AK63" t="str">
        <f>IFERROR(IF(MATCH(AJ63,Atualizações!$P$1:$P$1265,0)&gt;0, "Sim"), "Não")</f>
        <v>Sim</v>
      </c>
      <c r="AL63" s="79" t="str">
        <f>2025&amp;Tb_Portfólio[[#This Row],[SEI]]</f>
        <v>202510965/2023</v>
      </c>
      <c r="AM63" t="str">
        <f>IFERROR(IF(MATCH(AL63,Atualizações!$P$1:$P$2994,0)&gt;0, "Sim"), "Não")</f>
        <v>Não</v>
      </c>
      <c r="AN63" s="79" t="str">
        <f>2026&amp;Tb_Portfólio[[#This Row],[SEI]]</f>
        <v>202610965/2023</v>
      </c>
      <c r="AO63" t="str">
        <f>IFERROR(IF(MATCH(AN63,Atualizações!$P$1:$P$2994,0)&gt;0, "Sim"), "Não")</f>
        <v>Não</v>
      </c>
      <c r="AP63" s="79" t="str">
        <f>_xlfn.XLOOKUP(Tb_Portfólio[[#This Row],[SEI]],Tb_Atualizações[PROCESSO SEI],Tb_Atualizações[Explicações],"",0,-1)</f>
        <v>Houve um significativo aumento de escopo e identificação de aumento de complexidade nos fluxos propostos inicialmente. Houve replanejamento e reestruturação das entregas de forma que, acompanhado pela área de negócio responsável (DMF) foi realizada a implantação em produção no dia 13 de agosto de 2024.</v>
      </c>
      <c r="AQ63" s="79" t="str">
        <f>_xlfn.XLOOKUP(Tb_Portfólio[[#This Row],[SEI]],Tb_Mapa[SEI],Tb_Mapa[CONSULTOR RESPONSÁVEL],"",0,-1)</f>
        <v>Finalizado</v>
      </c>
    </row>
    <row r="64" spans="1:43" ht="101.1" hidden="1" customHeight="1">
      <c r="A64" s="149" t="s">
        <v>609</v>
      </c>
      <c r="B64" s="99" t="s">
        <v>610</v>
      </c>
      <c r="C64" s="7" t="s">
        <v>611</v>
      </c>
      <c r="D64" s="97"/>
      <c r="E64" s="246" t="s">
        <v>144</v>
      </c>
      <c r="F64" s="16" t="s">
        <v>44</v>
      </c>
      <c r="G64" s="429" t="s">
        <v>335</v>
      </c>
      <c r="H64" s="2" t="s">
        <v>46</v>
      </c>
      <c r="I64" s="7" t="s">
        <v>165</v>
      </c>
      <c r="J64" s="7" t="s">
        <v>105</v>
      </c>
      <c r="K64" s="7" t="s">
        <v>147</v>
      </c>
      <c r="L64" s="262">
        <v>44798</v>
      </c>
      <c r="M64" s="266">
        <v>45716</v>
      </c>
      <c r="N64" s="234">
        <f>_xlfn.XLOOKUP(Tb_Portfólio[[#This Row],[SEI]],Tb_Atualizações[PROCESSO SEI],Tb_Atualizações[% PREVISTO],"",0,-1)</f>
        <v>1</v>
      </c>
      <c r="O64" s="234">
        <f>_xlfn.XLOOKUP(Tb_Portfólio[[#This Row],[SEI]],Tb_Atualizações[PROCESSO SEI],Tb_Atualizações[% EXECUTADO],"",0,-1)</f>
        <v>1</v>
      </c>
      <c r="P64" s="147">
        <f>IFERROR(Tb_Portfólio[[#This Row],[% EXECUTADO]]/Tb_Portfólio[[#This Row],[% PREVISTO]],"0%")</f>
        <v>1</v>
      </c>
      <c r="Q64" s="146">
        <f>_xlfn.XLOOKUP(Tb_Portfólio[[#This Row],[SEI]],Tb_Atualizações[PROCESSO SEI],Tb_Atualizações[DATA DE ATUALIZAÇÃO],"",0,-1)</f>
        <v>45715</v>
      </c>
      <c r="R64" s="336">
        <f>_xlfn.XLOOKUP(Tb_Portfólio[[#This Row],[SEI]],Tb_Atualizações[PROCESSO SEI],Tb_Atualizações[Mês],,0,-1)</f>
        <v>45689</v>
      </c>
      <c r="S64" s="259"/>
      <c r="T64" s="268" t="s">
        <v>48</v>
      </c>
      <c r="U64"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64" s="95"/>
      <c r="W64" s="236">
        <f>IFERROR(Tb_Portfólio[[#This Row],[% EXECUTADO]]/Tb_Portfólio[[#This Row],[% PREVISTO]],0)</f>
        <v>1</v>
      </c>
      <c r="X64" s="294" t="s">
        <v>612</v>
      </c>
      <c r="Y64" s="150"/>
      <c r="Z64" s="150"/>
      <c r="AA64" s="97" t="s">
        <v>51</v>
      </c>
      <c r="AB64" s="79" t="s">
        <v>150</v>
      </c>
      <c r="AC64" s="16" t="s">
        <v>44</v>
      </c>
      <c r="AD64" s="261" t="s">
        <v>613</v>
      </c>
      <c r="AE64" s="294" t="s">
        <v>614</v>
      </c>
      <c r="AF64" s="273">
        <f t="shared" ca="1" si="2"/>
        <v>46176</v>
      </c>
      <c r="AG64" s="274" t="s">
        <v>171</v>
      </c>
      <c r="AH64" s="97" t="s">
        <v>67</v>
      </c>
      <c r="AJ64" s="79" t="str">
        <f>2024&amp;Tb_Portfólio[[#This Row],[SEI]]</f>
        <v>202411270/2022</v>
      </c>
      <c r="AK64" t="str">
        <f>IFERROR(IF(MATCH(AJ64,Atualizações!$P$1:$P$1265,0)&gt;0, "Sim"), "Não")</f>
        <v>Sim</v>
      </c>
      <c r="AL64" s="79" t="str">
        <f>2025&amp;Tb_Portfólio[[#This Row],[SEI]]</f>
        <v>202511270/2022</v>
      </c>
      <c r="AM64" t="str">
        <f>IFERROR(IF(MATCH(AL64,Atualizações!$P$1:$P$2994,0)&gt;0, "Sim"), "Não")</f>
        <v>Sim</v>
      </c>
      <c r="AN64" s="79" t="str">
        <f>2026&amp;Tb_Portfólio[[#This Row],[SEI]]</f>
        <v>202611270/2022</v>
      </c>
      <c r="AO64" t="str">
        <f>IFERROR(IF(MATCH(AN64,Atualizações!$P$1:$P$2994,0)&gt;0, "Sim"), "Não")</f>
        <v>Não</v>
      </c>
      <c r="AP64" s="79" t="str">
        <f>_xlfn.XLOOKUP(Tb_Portfólio[[#This Row],[SEI]],Tb_Atualizações[PROCESSO SEI],Tb_Atualizações[Explicações],"",0,-1)</f>
        <v>Projeto finalizado, estando o PGP em elaboração</v>
      </c>
      <c r="AQ64" s="79" t="str">
        <f>_xlfn.XLOOKUP(Tb_Portfólio[[#This Row],[SEI]],Tb_Mapa[SEI],Tb_Mapa[CONSULTOR RESPONSÁVEL],"",0,-1)</f>
        <v>Finalizado</v>
      </c>
    </row>
    <row r="65" spans="1:43" ht="360" hidden="1">
      <c r="A65" s="149" t="s">
        <v>615</v>
      </c>
      <c r="B65" s="103" t="s">
        <v>616</v>
      </c>
      <c r="C65" s="97" t="s">
        <v>617</v>
      </c>
      <c r="D65" s="97"/>
      <c r="E65" s="323" t="s">
        <v>618</v>
      </c>
      <c r="F65" s="338" t="s">
        <v>619</v>
      </c>
      <c r="G65" s="427" t="s">
        <v>620</v>
      </c>
      <c r="H65" s="324" t="s">
        <v>621</v>
      </c>
      <c r="I65" s="7" t="s">
        <v>305</v>
      </c>
      <c r="J65" s="7" t="s">
        <v>120</v>
      </c>
      <c r="K65" s="7" t="s">
        <v>622</v>
      </c>
      <c r="L65" s="262">
        <v>45215</v>
      </c>
      <c r="M65" s="266">
        <v>45688</v>
      </c>
      <c r="N65" s="234">
        <f>_xlfn.XLOOKUP(Tb_Portfólio[[#This Row],[SEI]],Tb_Atualizações[PROCESSO SEI],Tb_Atualizações[% PREVISTO],"",0,-1)</f>
        <v>1</v>
      </c>
      <c r="O65" s="234">
        <f>_xlfn.XLOOKUP(Tb_Portfólio[[#This Row],[SEI]],Tb_Atualizações[PROCESSO SEI],Tb_Atualizações[% EXECUTADO],"",0,-1)</f>
        <v>1</v>
      </c>
      <c r="P65" s="147">
        <f>IFERROR(Tb_Portfólio[[#This Row],[% EXECUTADO]]/Tb_Portfólio[[#This Row],[% PREVISTO]],"0%")</f>
        <v>1</v>
      </c>
      <c r="Q65" s="146">
        <f>_xlfn.XLOOKUP(Tb_Portfólio[[#This Row],[SEI]],Tb_Atualizações[PROCESSO SEI],Tb_Atualizações[DATA DE ATUALIZAÇÃO],"",0,-1)</f>
        <v>45723</v>
      </c>
      <c r="R65" s="336">
        <f>_xlfn.XLOOKUP(Tb_Portfólio[[#This Row],[SEI]],Tb_Atualizações[PROCESSO SEI],Tb_Atualizações[Mês],,0,-1)</f>
        <v>45689</v>
      </c>
      <c r="S65" s="259"/>
      <c r="T65" s="268"/>
      <c r="U65"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65" s="95"/>
      <c r="W65" s="236">
        <f>IFERROR(Tb_Portfólio[[#This Row],[% EXECUTADO]]/Tb_Portfólio[[#This Row],[% PREVISTO]],0)</f>
        <v>1</v>
      </c>
      <c r="X65" s="270" t="s">
        <v>623</v>
      </c>
      <c r="Y65" s="150">
        <v>3033.66</v>
      </c>
      <c r="Z65" s="150"/>
      <c r="AA65" s="97"/>
      <c r="AB65" s="79" t="s">
        <v>624</v>
      </c>
      <c r="AC65" s="73" t="s">
        <v>80</v>
      </c>
      <c r="AD65" s="97" t="s">
        <v>625</v>
      </c>
      <c r="AE65" s="380" t="s">
        <v>626</v>
      </c>
      <c r="AF65" s="273">
        <f t="shared" ca="1" si="2"/>
        <v>46176</v>
      </c>
      <c r="AG65" s="434" t="s">
        <v>627</v>
      </c>
      <c r="AH65" s="97" t="s">
        <v>628</v>
      </c>
      <c r="AJ65" s="79" t="str">
        <f>2024&amp;Tb_Portfólio[[#This Row],[SEI]]</f>
        <v>202411340/2023</v>
      </c>
      <c r="AK65" t="str">
        <f>IFERROR(IF(MATCH(AJ65,Atualizações!$P$1:$P$1265,0)&gt;0, "Sim"), "Não")</f>
        <v>Sim</v>
      </c>
      <c r="AL65" s="79" t="str">
        <f>2025&amp;Tb_Portfólio[[#This Row],[SEI]]</f>
        <v>202511340/2023</v>
      </c>
      <c r="AM65" t="str">
        <f>IFERROR(IF(MATCH(AL65,Atualizações!$P$1:$P$2994,0)&gt;0, "Sim"), "Não")</f>
        <v>Sim</v>
      </c>
      <c r="AN65" s="79" t="str">
        <f>2026&amp;Tb_Portfólio[[#This Row],[SEI]]</f>
        <v>202611340/2023</v>
      </c>
      <c r="AO65" t="str">
        <f>IFERROR(IF(MATCH(AN65,Atualizações!$P$1:$P$2994,0)&gt;0, "Sim"), "Não")</f>
        <v>Não</v>
      </c>
      <c r="AP65" s="79" t="str">
        <f>_xlfn.XLOOKUP(Tb_Portfólio[[#This Row],[SEI]],Tb_Atualizações[PROCESSO SEI],Tb_Atualizações[Explicações],"",0,-1)</f>
        <v>Projeto finalizado. O gerente está providenciando o Termo de Encerramento.</v>
      </c>
      <c r="AQ65" s="79" t="str">
        <f>_xlfn.XLOOKUP(Tb_Portfólio[[#This Row],[SEI]],Tb_Mapa[SEI],Tb_Mapa[CONSULTOR RESPONSÁVEL],"",0,-1)</f>
        <v>Finalizado</v>
      </c>
    </row>
    <row r="66" spans="1:43" ht="162" hidden="1" customHeight="1">
      <c r="A66" s="149" t="s">
        <v>629</v>
      </c>
      <c r="B66" s="103" t="s">
        <v>630</v>
      </c>
      <c r="C66" s="97" t="s">
        <v>631</v>
      </c>
      <c r="D66" s="97"/>
      <c r="E66" s="79" t="s">
        <v>145</v>
      </c>
      <c r="F66" s="16" t="s">
        <v>92</v>
      </c>
      <c r="G66" s="97" t="s">
        <v>632</v>
      </c>
      <c r="H66" s="16" t="s">
        <v>92</v>
      </c>
      <c r="I66" s="7" t="s">
        <v>75</v>
      </c>
      <c r="J66" s="112" t="s">
        <v>166</v>
      </c>
      <c r="K66" s="7" t="s">
        <v>633</v>
      </c>
      <c r="L66" s="262">
        <v>45541</v>
      </c>
      <c r="M66" s="257" t="s">
        <v>634</v>
      </c>
      <c r="N66" s="234">
        <f>_xlfn.XLOOKUP(Tb_Portfólio[[#This Row],[SEI]],Tb_Atualizações[PROCESSO SEI],Tb_Atualizações[% PREVISTO],"",0,-1)</f>
        <v>0.99</v>
      </c>
      <c r="O66" s="234">
        <f>_xlfn.XLOOKUP(Tb_Portfólio[[#This Row],[SEI]],Tb_Atualizações[PROCESSO SEI],Tb_Atualizações[% EXECUTADO],"",0,-1)</f>
        <v>0.99</v>
      </c>
      <c r="P66" s="147">
        <f>IFERROR(Tb_Portfólio[[#This Row],[% EXECUTADO]]/Tb_Portfólio[[#This Row],[% PREVISTO]],"0%")</f>
        <v>1</v>
      </c>
      <c r="Q66" s="146">
        <f>_xlfn.XLOOKUP(Tb_Portfólio[[#This Row],[SEI]],Tb_Atualizações[PROCESSO SEI],Tb_Atualizações[DATA DE ATUALIZAÇÃO],"",0,-1)</f>
        <v>46157</v>
      </c>
      <c r="R66" s="336">
        <f>_xlfn.XLOOKUP(Tb_Portfólio[[#This Row],[SEI]],Tb_Atualizações[PROCESSO SEI],Tb_Atualizações[Mês],,0,-1)</f>
        <v>46113</v>
      </c>
      <c r="S66" s="259"/>
      <c r="T66" s="268"/>
      <c r="U66"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66" s="95"/>
      <c r="W66" s="236">
        <f>IFERROR(Tb_Portfólio[[#This Row],[% EXECUTADO]]/Tb_Portfólio[[#This Row],[% PREVISTO]],0)</f>
        <v>1</v>
      </c>
      <c r="X66" s="270" t="s">
        <v>635</v>
      </c>
      <c r="Y66" s="328">
        <v>440075.66</v>
      </c>
      <c r="Z66" s="652"/>
      <c r="AA66" s="97"/>
      <c r="AB66" s="79" t="s">
        <v>150</v>
      </c>
      <c r="AC66" s="16" t="s">
        <v>92</v>
      </c>
      <c r="AD66" s="261" t="s">
        <v>636</v>
      </c>
      <c r="AE66" s="270"/>
      <c r="AF66" s="273">
        <f t="shared" ca="1" si="2"/>
        <v>46176</v>
      </c>
      <c r="AG66" s="274" t="s">
        <v>197</v>
      </c>
      <c r="AH66" s="97" t="s">
        <v>637</v>
      </c>
      <c r="AJ66" s="79" t="str">
        <f>2024&amp;Tb_Portfólio[[#This Row],[SEI]]</f>
        <v>202411449/2024</v>
      </c>
      <c r="AK66" t="str">
        <f>IFERROR(IF(MATCH(AJ66,Atualizações!$P$1:$P$1265,0)&gt;0, "Sim"), "Não")</f>
        <v>Sim</v>
      </c>
      <c r="AL66" s="79" t="str">
        <f>2025&amp;Tb_Portfólio[[#This Row],[SEI]]</f>
        <v>202511449/2024</v>
      </c>
      <c r="AM66" t="str">
        <f>IFERROR(IF(MATCH(AL66,Atualizações!$P$1:$P$2994,0)&gt;0, "Sim"), "Não")</f>
        <v>Sim</v>
      </c>
      <c r="AN66" s="79" t="str">
        <f>2026&amp;Tb_Portfólio[[#This Row],[SEI]]</f>
        <v>202611449/2024</v>
      </c>
      <c r="AO66" t="str">
        <f>IFERROR(IF(MATCH(AN66,Atualizações!$P$1:$P$2994,0)&gt;0, "Sim"), "Não")</f>
        <v>Sim</v>
      </c>
      <c r="AP66" s="79">
        <f>_xlfn.XLOOKUP(Tb_Portfólio[[#This Row],[SEI]],Tb_Atualizações[PROCESSO SEI],Tb_Atualizações[Explicações],"",0,-1)</f>
        <v>0</v>
      </c>
      <c r="AQ66" s="79" t="str">
        <f>_xlfn.XLOOKUP(Tb_Portfólio[[#This Row],[SEI]],Tb_Mapa[SEI],Tb_Mapa[CONSULTOR RESPONSÁVEL],"",0,-1)</f>
        <v>Juliana</v>
      </c>
    </row>
    <row r="67" spans="1:43" ht="120" hidden="1">
      <c r="A67" s="149" t="s">
        <v>638</v>
      </c>
      <c r="B67" s="280" t="s">
        <v>639</v>
      </c>
      <c r="C67" s="299" t="s">
        <v>640</v>
      </c>
      <c r="D67" s="97"/>
      <c r="E67" s="322" t="s">
        <v>144</v>
      </c>
      <c r="F67" s="16" t="s">
        <v>44</v>
      </c>
      <c r="G67" s="7" t="s">
        <v>362</v>
      </c>
      <c r="H67" s="2" t="s">
        <v>46</v>
      </c>
      <c r="I67" s="97" t="s">
        <v>240</v>
      </c>
      <c r="J67" s="265" t="s">
        <v>120</v>
      </c>
      <c r="K67" s="7" t="s">
        <v>641</v>
      </c>
      <c r="L67" s="262">
        <v>45418</v>
      </c>
      <c r="M67" s="257">
        <v>46352</v>
      </c>
      <c r="N67" s="234">
        <f>_xlfn.XLOOKUP(Tb_Portfólio[[#This Row],[SEI]],Tb_Atualizações[PROCESSO SEI],Tb_Atualizações[% PREVISTO],"",0,-1)</f>
        <v>1</v>
      </c>
      <c r="O67" s="234">
        <f>_xlfn.XLOOKUP(Tb_Portfólio[[#This Row],[SEI]],Tb_Atualizações[PROCESSO SEI],Tb_Atualizações[% EXECUTADO],"",0,-1)</f>
        <v>0.91</v>
      </c>
      <c r="P67" s="147">
        <f>IFERROR(Tb_Portfólio[[#This Row],[% EXECUTADO]]/Tb_Portfólio[[#This Row],[% PREVISTO]],"0%")</f>
        <v>0.91</v>
      </c>
      <c r="Q67" s="146">
        <f>_xlfn.XLOOKUP(Tb_Portfólio[[#This Row],[SEI]],Tb_Atualizações[PROCESSO SEI],Tb_Atualizações[DATA DE ATUALIZAÇÃO],"",0,-1)</f>
        <v>46167</v>
      </c>
      <c r="R67" s="336">
        <f>_xlfn.XLOOKUP(Tb_Portfólio[[#This Row],[SEI]],Tb_Atualizações[PROCESSO SEI],Tb_Atualizações[Mês],,0,-1)</f>
        <v>46143</v>
      </c>
      <c r="S67" s="259"/>
      <c r="T67" s="268" t="s">
        <v>48</v>
      </c>
      <c r="U6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67" s="95"/>
      <c r="W67" s="236">
        <f>IFERROR(Tb_Portfólio[[#This Row],[% EXECUTADO]]/Tb_Portfólio[[#This Row],[% PREVISTO]],0)</f>
        <v>0.91</v>
      </c>
      <c r="X67" s="270" t="s">
        <v>642</v>
      </c>
      <c r="Y67" s="284">
        <v>303673.59999999998</v>
      </c>
      <c r="Z67" s="652"/>
      <c r="AA67" s="97" t="s">
        <v>51</v>
      </c>
      <c r="AB67" s="79" t="s">
        <v>150</v>
      </c>
      <c r="AC67" s="16" t="s">
        <v>44</v>
      </c>
      <c r="AD67" s="661" t="s">
        <v>643</v>
      </c>
      <c r="AE67" s="270"/>
      <c r="AF67" s="273">
        <f t="shared" ca="1" si="2"/>
        <v>46176</v>
      </c>
      <c r="AG67" s="332" t="s">
        <v>171</v>
      </c>
      <c r="AH67" s="97" t="s">
        <v>67</v>
      </c>
      <c r="AJ67" s="79" t="str">
        <f>2024&amp;Tb_Portfólio[[#This Row],[SEI]]</f>
        <v>202411644/2022</v>
      </c>
      <c r="AK67" t="str">
        <f>IFERROR(IF(MATCH(AJ67,Atualizações!$P$1:$P$1265,0)&gt;0, "Sim"), "Não")</f>
        <v>Sim</v>
      </c>
      <c r="AL67" s="79" t="str">
        <f>2025&amp;Tb_Portfólio[[#This Row],[SEI]]</f>
        <v>202511644/2022</v>
      </c>
      <c r="AM67" t="str">
        <f>IFERROR(IF(MATCH(AL67,Atualizações!$P$1:$P$2994,0)&gt;0, "Sim"), "Não")</f>
        <v>Sim</v>
      </c>
      <c r="AN67" s="79" t="str">
        <f>2026&amp;Tb_Portfólio[[#This Row],[SEI]]</f>
        <v>202611644/2022</v>
      </c>
      <c r="AO67" t="str">
        <f>IFERROR(IF(MATCH(AN67,Atualizações!$P$1:$P$2994,0)&gt;0, "Sim"), "Não")</f>
        <v>Sim</v>
      </c>
      <c r="AP67" s="79" t="str">
        <f>_xlfn.XLOOKUP(Tb_Portfólio[[#This Row],[SEI]],Tb_Atualizações[PROCESSO SEI],Tb_Atualizações[Explicações],"",0,-1)</f>
        <v>Data de término do projeto atualizada de março de 2026para 26/11/2026</v>
      </c>
      <c r="AQ67" s="79" t="str">
        <f>_xlfn.XLOOKUP(Tb_Portfólio[[#This Row],[SEI]],Tb_Mapa[SEI],Tb_Mapa[CONSULTOR RESPONSÁVEL],"",0,-1)</f>
        <v>Tony</v>
      </c>
    </row>
    <row r="68" spans="1:43" ht="162" hidden="1" customHeight="1">
      <c r="A68" s="149" t="s">
        <v>644</v>
      </c>
      <c r="B68" s="103" t="s">
        <v>645</v>
      </c>
      <c r="C68" s="97" t="s">
        <v>646</v>
      </c>
      <c r="D68" s="97"/>
      <c r="E68" s="322" t="s">
        <v>514</v>
      </c>
      <c r="F68" s="16" t="s">
        <v>44</v>
      </c>
      <c r="G68" s="7" t="s">
        <v>362</v>
      </c>
      <c r="H68" s="2" t="s">
        <v>46</v>
      </c>
      <c r="I68" s="7" t="s">
        <v>104</v>
      </c>
      <c r="J68" s="265" t="s">
        <v>647</v>
      </c>
      <c r="K68" s="7" t="s">
        <v>314</v>
      </c>
      <c r="L68" s="262">
        <v>45078</v>
      </c>
      <c r="M68" s="257" t="s">
        <v>648</v>
      </c>
      <c r="N68" s="234">
        <f>_xlfn.XLOOKUP(Tb_Portfólio[[#This Row],[SEI]],Tb_Atualizações[PROCESSO SEI],Tb_Atualizações[% PREVISTO],"",0,-1)</f>
        <v>0.83</v>
      </c>
      <c r="O68" s="234">
        <f>_xlfn.XLOOKUP(Tb_Portfólio[[#This Row],[SEI]],Tb_Atualizações[PROCESSO SEI],Tb_Atualizações[% EXECUTADO],"",0,-1)</f>
        <v>0.76</v>
      </c>
      <c r="P68" s="147">
        <f>IFERROR(Tb_Portfólio[[#This Row],[% EXECUTADO]]/Tb_Portfólio[[#This Row],[% PREVISTO]],"0%")</f>
        <v>0.9156626506024097</v>
      </c>
      <c r="Q68" s="146">
        <f>_xlfn.XLOOKUP(Tb_Portfólio[[#This Row],[SEI]],Tb_Atualizações[PROCESSO SEI],Tb_Atualizações[DATA DE ATUALIZAÇÃO],"",0,-1)</f>
        <v>46137</v>
      </c>
      <c r="R68" s="336">
        <f>_xlfn.XLOOKUP(Tb_Portfólio[[#This Row],[SEI]],Tb_Atualizações[PROCESSO SEI],Tb_Atualizações[Mês],,0,-1)</f>
        <v>46143</v>
      </c>
      <c r="S68" s="259"/>
      <c r="T68" s="268" t="s">
        <v>48</v>
      </c>
      <c r="U68"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68" s="95"/>
      <c r="W68" s="236">
        <f>IFERROR(Tb_Portfólio[[#This Row],[% EXECUTADO]]/Tb_Portfólio[[#This Row],[% PREVISTO]],0)</f>
        <v>0.9156626506024097</v>
      </c>
      <c r="X68" s="270" t="s">
        <v>649</v>
      </c>
      <c r="Y68" s="150"/>
      <c r="Z68" s="652"/>
      <c r="AA68" s="97" t="s">
        <v>51</v>
      </c>
      <c r="AB68" s="79" t="s">
        <v>558</v>
      </c>
      <c r="AC68" s="240" t="s">
        <v>67</v>
      </c>
      <c r="AD68" s="97" t="s">
        <v>650</v>
      </c>
      <c r="AE68" s="270" t="s">
        <v>651</v>
      </c>
      <c r="AF68" s="273">
        <f t="shared" ca="1" si="2"/>
        <v>46176</v>
      </c>
      <c r="AG68" s="383" t="s">
        <v>608</v>
      </c>
      <c r="AH68" s="97" t="s">
        <v>67</v>
      </c>
      <c r="AJ68" s="79" t="str">
        <f>2024&amp;Tb_Portfólio[[#This Row],[SEI]]</f>
        <v>202411645/2022</v>
      </c>
      <c r="AK68" t="str">
        <f>IFERROR(IF(MATCH(AJ68,Atualizações!$P$1:$P$1265,0)&gt;0, "Sim"), "Não")</f>
        <v>Sim</v>
      </c>
      <c r="AL68" s="79" t="str">
        <f>2025&amp;Tb_Portfólio[[#This Row],[SEI]]</f>
        <v>202511645/2022</v>
      </c>
      <c r="AM68" t="str">
        <f>IFERROR(IF(MATCH(AL68,Atualizações!$P$1:$P$2994,0)&gt;0, "Sim"), "Não")</f>
        <v>Sim</v>
      </c>
      <c r="AN68" s="79" t="str">
        <f>2026&amp;Tb_Portfólio[[#This Row],[SEI]]</f>
        <v>202611645/2022</v>
      </c>
      <c r="AO68" t="str">
        <f>IFERROR(IF(MATCH(AN68,Atualizações!$P$1:$P$2994,0)&gt;0, "Sim"), "Não")</f>
        <v>Sim</v>
      </c>
      <c r="AP68" s="79" t="str">
        <f>_xlfn.XLOOKUP(Tb_Portfólio[[#This Row],[SEI]],Tb_Atualizações[PROCESSO SEI],Tb_Atualizações[Explicações],"",0,-1)</f>
        <v xml:space="preserve">Outros fatos relevantes a registrar 
 Etapa Atual: Sugestão de precedentes similares/ implementação de camada BFF - Sprint 06 – 18/05/2026 a 05/06/2026. 
 Atividades em andamento: 
• Sugestão de precedente sem IA 
• Melhoria na API ao paginar as decisões. 
• Criação da funcionalidade de exportação do resultado da busca do PANGEA 
 Solicitado ao Gerente do Projeto, em reunião realizada em 04/05/2026, ajustes e correções no cronograma do projeto (PWA), visando corrigir: 
• Atividades sem informação de datas de início e término planejadas; 
• Não-conformidade entre datas de início e término reais e as datas planejadas; 
• Duração de atividades; 
• Identificação/inclusão das entregas do Backlog 2026 (inclusão de escopo autorizado). 
 O “%Concluído: 76%” informado neste relatório, não reflete a evolução do projeto. Os ajustes de cronograma solicitados seguem em elaboração pelo gerente do projeto. 
 Reunião de Ponto de Controle realizada em 04/05/2026, com destaque para: 
• Revisão da Prova de Conceito (POC) de detecção de similaridade entre precedentes jurídicos, avaliação do painel de processos sobrestados e alinhamento estratégico para a integração de base. </v>
      </c>
      <c r="AQ68" s="79" t="str">
        <f>_xlfn.XLOOKUP(Tb_Portfólio[[#This Row],[SEI]],Tb_Mapa[SEI],Tb_Mapa[CONSULTOR RESPONSÁVEL],"",0,-1)</f>
        <v>Juliana</v>
      </c>
    </row>
    <row r="69" spans="1:43" ht="216" hidden="1" customHeight="1">
      <c r="A69" s="149" t="s">
        <v>652</v>
      </c>
      <c r="B69" s="115" t="s">
        <v>653</v>
      </c>
      <c r="C69" s="115" t="s">
        <v>654</v>
      </c>
      <c r="D69" s="97"/>
      <c r="E69" s="79" t="s">
        <v>655</v>
      </c>
      <c r="F69" s="73" t="s">
        <v>656</v>
      </c>
      <c r="G69" s="97" t="s">
        <v>657</v>
      </c>
      <c r="H69" s="2" t="s">
        <v>658</v>
      </c>
      <c r="I69" s="97" t="s">
        <v>346</v>
      </c>
      <c r="J69" s="97" t="s">
        <v>659</v>
      </c>
      <c r="K69" s="7"/>
      <c r="L69" s="262">
        <v>45809</v>
      </c>
      <c r="M69" s="257">
        <v>46265</v>
      </c>
      <c r="N69" s="234">
        <f>_xlfn.XLOOKUP(Tb_Portfólio[[#This Row],[SEI]],Tb_Atualizações[PROCESSO SEI],Tb_Atualizações[% PREVISTO],"",0,-1)</f>
        <v>0.81</v>
      </c>
      <c r="O69" s="234">
        <f>_xlfn.XLOOKUP(Tb_Portfólio[[#This Row],[SEI]],Tb_Atualizações[PROCESSO SEI],Tb_Atualizações[% EXECUTADO],"",0,-1)</f>
        <v>0.81</v>
      </c>
      <c r="P69" s="234">
        <f>IFERROR(Tb_Portfólio[[#This Row],[% EXECUTADO]]/Tb_Portfólio[[#This Row],[% PREVISTO]],"0%")</f>
        <v>1</v>
      </c>
      <c r="Q69" s="146">
        <f>_xlfn.XLOOKUP(Tb_Portfólio[[#This Row],[SEI]],Tb_Atualizações[PROCESSO SEI],Tb_Atualizações[DATA DE ATUALIZAÇÃO],"",0,-1)</f>
        <v>46155</v>
      </c>
      <c r="R69" s="336">
        <f>_xlfn.XLOOKUP(Tb_Portfólio[[#This Row],[SEI]],Tb_Atualizações[PROCESSO SEI],Tb_Atualizações[Mês],,0,-1)</f>
        <v>46113</v>
      </c>
      <c r="S69" s="259"/>
      <c r="T69" s="268"/>
      <c r="U69"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69" s="95"/>
      <c r="W69" s="236">
        <f>IFERROR(Tb_Portfólio[[#This Row],[% EXECUTADO]]/Tb_Portfólio[[#This Row],[% PREVISTO]],0)</f>
        <v>1</v>
      </c>
      <c r="X69" s="270" t="s">
        <v>660</v>
      </c>
      <c r="Y69" s="652">
        <v>21270.400000000001</v>
      </c>
      <c r="Z69" s="652"/>
      <c r="AA69" s="97"/>
      <c r="AB69" s="79" t="s">
        <v>655</v>
      </c>
      <c r="AC69" s="73" t="s">
        <v>656</v>
      </c>
      <c r="AD69" s="97"/>
      <c r="AE69" s="270"/>
      <c r="AF69" s="273">
        <f t="shared" ca="1" si="2"/>
        <v>46176</v>
      </c>
      <c r="AG69" s="274"/>
      <c r="AH69" s="97"/>
      <c r="AJ69" s="79" t="str">
        <f>2024&amp;Tb_Portfólio[[#This Row],[SEI]]</f>
        <v>202411729/2025</v>
      </c>
      <c r="AK69" s="79" t="str">
        <f>IFERROR(IF(MATCH(AJ69,Atualizações!$P$1:$P$1265,0)&gt;0, "Sim"), "Não")</f>
        <v>Não</v>
      </c>
      <c r="AL69" s="79" t="str">
        <f>2025&amp;Tb_Portfólio[[#This Row],[SEI]]</f>
        <v>202511729/2025</v>
      </c>
      <c r="AM69" t="str">
        <f>IFERROR(IF(MATCH(AL69,Atualizações!$P$1:$P$2994,0)&gt;0, "Sim"), "Não")</f>
        <v>Sim</v>
      </c>
      <c r="AN69" s="79" t="str">
        <f>2026&amp;Tb_Portfólio[[#This Row],[SEI]]</f>
        <v>202611729/2025</v>
      </c>
      <c r="AO69" t="str">
        <f>IFERROR(IF(MATCH(AN69,Atualizações!$P$1:$P$2994,0)&gt;0, "Sim"), "Não")</f>
        <v>Sim</v>
      </c>
      <c r="AP69" s="79">
        <f>_xlfn.XLOOKUP(Tb_Portfólio[[#This Row],[SEI]],Tb_Atualizações[PROCESSO SEI],Tb_Atualizações[Explicações],"",0,-1)</f>
        <v>0</v>
      </c>
      <c r="AQ69" s="79" t="str">
        <f>_xlfn.XLOOKUP(Tb_Portfólio[[#This Row],[SEI]],Tb_Mapa[SEI],Tb_Mapa[CONSULTOR RESPONSÁVEL],"",0,-1)</f>
        <v>Raphael</v>
      </c>
    </row>
    <row r="70" spans="1:43" ht="409.5" hidden="1">
      <c r="A70" s="149" t="s">
        <v>661</v>
      </c>
      <c r="B70" s="103" t="s">
        <v>662</v>
      </c>
      <c r="C70" s="97" t="s">
        <v>663</v>
      </c>
      <c r="D70" s="97"/>
      <c r="E70" s="79" t="s">
        <v>43</v>
      </c>
      <c r="F70" s="73" t="s">
        <v>44</v>
      </c>
      <c r="G70" s="97" t="s">
        <v>602</v>
      </c>
      <c r="H70" s="2" t="s">
        <v>46</v>
      </c>
      <c r="I70" s="97" t="s">
        <v>240</v>
      </c>
      <c r="J70" s="97" t="s">
        <v>664</v>
      </c>
      <c r="K70" s="7" t="s">
        <v>665</v>
      </c>
      <c r="L70" s="262">
        <v>45593</v>
      </c>
      <c r="M70" s="257">
        <v>46379</v>
      </c>
      <c r="N70" s="234">
        <f>_xlfn.XLOOKUP(Tb_Portfólio[[#This Row],[SEI]],Tb_Atualizações[PROCESSO SEI],Tb_Atualizações[% PREVISTO],"",0,-1)</f>
        <v>0.73</v>
      </c>
      <c r="O70" s="234">
        <f>_xlfn.XLOOKUP(Tb_Portfólio[[#This Row],[SEI]],Tb_Atualizações[PROCESSO SEI],Tb_Atualizações[% EXECUTADO],"",0,-1)</f>
        <v>0.67</v>
      </c>
      <c r="P70" s="147">
        <f>IFERROR(Tb_Portfólio[[#This Row],[% EXECUTADO]]/Tb_Portfólio[[#This Row],[% PREVISTO]],"0%")</f>
        <v>0.91780821917808231</v>
      </c>
      <c r="Q70" s="146">
        <f>_xlfn.XLOOKUP(Tb_Portfólio[[#This Row],[SEI]],Tb_Atualizações[PROCESSO SEI],Tb_Atualizações[DATA DE ATUALIZAÇÃO],"",0,-1)</f>
        <v>46167</v>
      </c>
      <c r="R70" s="336">
        <f>_xlfn.XLOOKUP(Tb_Portfólio[[#This Row],[SEI]],Tb_Atualizações[PROCESSO SEI],Tb_Atualizações[Mês],,0,-1)</f>
        <v>46143</v>
      </c>
      <c r="S70" s="259"/>
      <c r="T70" s="268" t="s">
        <v>48</v>
      </c>
      <c r="U70"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70" s="95"/>
      <c r="W70" s="236">
        <f>IFERROR(Tb_Portfólio[[#This Row],[% EXECUTADO]]/Tb_Portfólio[[#This Row],[% PREVISTO]],0)</f>
        <v>0.91780821917808231</v>
      </c>
      <c r="X70" s="270"/>
      <c r="Y70" s="652">
        <v>6240931.7199999997</v>
      </c>
      <c r="Z70" s="652"/>
      <c r="AA70" s="97" t="s">
        <v>51</v>
      </c>
      <c r="AB70" s="79" t="s">
        <v>284</v>
      </c>
      <c r="AC70" s="2" t="s">
        <v>244</v>
      </c>
      <c r="AD70" s="97" t="s">
        <v>666</v>
      </c>
      <c r="AE70" s="270" t="s">
        <v>667</v>
      </c>
      <c r="AF70" s="273">
        <f t="shared" ca="1" si="2"/>
        <v>46176</v>
      </c>
      <c r="AG70" s="274" t="s">
        <v>608</v>
      </c>
      <c r="AH70" s="97" t="s">
        <v>67</v>
      </c>
      <c r="AJ70" s="79" t="str">
        <f>2024&amp;Tb_Portfólio[[#This Row],[SEI]]</f>
        <v>202411776/2024</v>
      </c>
      <c r="AK70" s="79" t="str">
        <f>IFERROR(IF(MATCH(AJ70,Atualizações!$P$1:$P$1265,0)&gt;0, "Sim"), "Não")</f>
        <v>Não</v>
      </c>
      <c r="AL70" s="79" t="str">
        <f>2025&amp;Tb_Portfólio[[#This Row],[SEI]]</f>
        <v>202511776/2024</v>
      </c>
      <c r="AM70" t="str">
        <f>IFERROR(IF(MATCH(AL70,Atualizações!$P$1:$P$2994,0)&gt;0, "Sim"), "Não")</f>
        <v>Sim</v>
      </c>
      <c r="AN70" s="79" t="str">
        <f>2026&amp;Tb_Portfólio[[#This Row],[SEI]]</f>
        <v>202611776/2024</v>
      </c>
      <c r="AO70" t="str">
        <f>IFERROR(IF(MATCH(AN70,Atualizações!$P$1:$P$2994,0)&gt;0, "Sim"), "Não")</f>
        <v>Sim</v>
      </c>
      <c r="AP70" s="79" t="str">
        <f>_xlfn.XLOOKUP(Tb_Portfólio[[#This Row],[SEI]],Tb_Atualizações[PROCESSO SEI],Tb_Atualizações[Explicações],"",0,-1)</f>
        <v xml:space="preserve">Outros fatos relevantes a registrar 
• Testes do Cadastro de pessoas em Pré-prod.  
• AMBIENTE PRÉ-PROD –Sugestão:  
 Alterar o linkpara um link específico e diferente do atual.  
 Encaminhar mensagem (ou SEI)somente para o grupo de testes informando que não deve ser divulgado esse novo link.  
 Testar Cadastro de Pessoas, posteriormente Unificação de RJI. 
 Desabilitar o ambienteaté nova necessidade.  
• Garantia da estabilização técnica do consumo de tokens integrados estritamente via plataforma PDPJ (atendendo à determinação da DTI). 
• Atendimento de N1 / N2 e N3 –Plantões e atendimentos em horários alternativos.  </v>
      </c>
      <c r="AQ70" s="79" t="str">
        <f>_xlfn.XLOOKUP(Tb_Portfólio[[#This Row],[SEI]],Tb_Mapa[SEI],Tb_Mapa[CONSULTOR RESPONSÁVEL],"",0,-1)</f>
        <v>Tony</v>
      </c>
    </row>
    <row r="71" spans="1:43" ht="47.25" hidden="1">
      <c r="A71" s="149" t="s">
        <v>668</v>
      </c>
      <c r="B71" s="280" t="s">
        <v>669</v>
      </c>
      <c r="C71" s="97" t="s">
        <v>670</v>
      </c>
      <c r="D71" s="97"/>
      <c r="E71" s="79" t="s">
        <v>562</v>
      </c>
      <c r="F71" s="73" t="s">
        <v>563</v>
      </c>
      <c r="G71" s="97" t="s">
        <v>671</v>
      </c>
      <c r="H71" s="8" t="s">
        <v>565</v>
      </c>
      <c r="I71" s="7" t="s">
        <v>672</v>
      </c>
      <c r="J71" s="112" t="s">
        <v>120</v>
      </c>
      <c r="K71" s="112" t="s">
        <v>673</v>
      </c>
      <c r="L71" s="262">
        <v>45446</v>
      </c>
      <c r="M71" s="257">
        <v>45581</v>
      </c>
      <c r="N71" s="234">
        <f>_xlfn.XLOOKUP(Tb_Portfólio[[#This Row],[SEI]],Tb_Atualizações[PROCESSO SEI],Tb_Atualizações[% PREVISTO],"",0,-1)</f>
        <v>1</v>
      </c>
      <c r="O71" s="234">
        <f>_xlfn.XLOOKUP(Tb_Portfólio[[#This Row],[SEI]],Tb_Atualizações[PROCESSO SEI],Tb_Atualizações[% EXECUTADO],"",0,-1)</f>
        <v>1</v>
      </c>
      <c r="P71" s="147">
        <f>IFERROR(Tb_Portfólio[[#This Row],[% EXECUTADO]]/Tb_Portfólio[[#This Row],[% PREVISTO]],"0%")</f>
        <v>1</v>
      </c>
      <c r="Q71" s="146">
        <f>_xlfn.XLOOKUP(Tb_Portfólio[[#This Row],[SEI]],Tb_Atualizações[PROCESSO SEI],Tb_Atualizações[DATA DE ATUALIZAÇÃO],"",0,-1)</f>
        <v>45604</v>
      </c>
      <c r="R71" s="336">
        <f>_xlfn.XLOOKUP(Tb_Portfólio[[#This Row],[SEI]],Tb_Atualizações[PROCESSO SEI],Tb_Atualizações[Mês],,0,-1)</f>
        <v>45566</v>
      </c>
      <c r="S71" s="259"/>
      <c r="T71" s="268"/>
      <c r="U7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71" s="95"/>
      <c r="W71" s="236">
        <f>IFERROR(Tb_Portfólio[[#This Row],[% EXECUTADO]]/Tb_Portfólio[[#This Row],[% PREVISTO]],0)</f>
        <v>1</v>
      </c>
      <c r="X71" s="270"/>
      <c r="Y71" s="150"/>
      <c r="Z71" s="652"/>
      <c r="AA71" s="97"/>
      <c r="AB71" s="79" t="s">
        <v>562</v>
      </c>
      <c r="AC71" s="73" t="s">
        <v>563</v>
      </c>
      <c r="AD71" s="97" t="s">
        <v>674</v>
      </c>
      <c r="AE71" s="270"/>
      <c r="AF71" s="273">
        <f t="shared" ca="1" si="2"/>
        <v>46176</v>
      </c>
      <c r="AG71" s="274"/>
      <c r="AH71" s="97"/>
      <c r="AJ71" s="79" t="str">
        <f>2024&amp;Tb_Portfólio[[#This Row],[SEI]]</f>
        <v>202411821/2024</v>
      </c>
      <c r="AK71" t="str">
        <f>IFERROR(IF(MATCH(AJ71,Atualizações!$P$1:$P$1265,0)&gt;0, "Sim"), "Não")</f>
        <v>Sim</v>
      </c>
      <c r="AL71" s="79" t="str">
        <f>2025&amp;Tb_Portfólio[[#This Row],[SEI]]</f>
        <v>202511821/2024</v>
      </c>
      <c r="AM71" t="str">
        <f>IFERROR(IF(MATCH(AL71,Atualizações!$P$1:$P$2994,0)&gt;0, "Sim"), "Não")</f>
        <v>Não</v>
      </c>
      <c r="AN71" s="79" t="str">
        <f>2026&amp;Tb_Portfólio[[#This Row],[SEI]]</f>
        <v>202611821/2024</v>
      </c>
      <c r="AO71" t="str">
        <f>IFERROR(IF(MATCH(AN71,Atualizações!$P$1:$P$2994,0)&gt;0, "Sim"), "Não")</f>
        <v>Não</v>
      </c>
      <c r="AP71" s="79">
        <f>_xlfn.XLOOKUP(Tb_Portfólio[[#This Row],[SEI]],Tb_Atualizações[PROCESSO SEI],Tb_Atualizações[Explicações],"",0,-1)</f>
        <v>0</v>
      </c>
      <c r="AQ71" s="79" t="str">
        <f>_xlfn.XLOOKUP(Tb_Portfólio[[#This Row],[SEI]],Tb_Mapa[SEI],Tb_Mapa[CONSULTOR RESPONSÁVEL],"",0,-1)</f>
        <v>Tony/finalizado</v>
      </c>
    </row>
    <row r="72" spans="1:43" ht="302.64999999999998" hidden="1" customHeight="1">
      <c r="A72" s="149" t="s">
        <v>675</v>
      </c>
      <c r="B72" s="103" t="s">
        <v>676</v>
      </c>
      <c r="C72" s="97" t="s">
        <v>677</v>
      </c>
      <c r="D72" s="97"/>
      <c r="E72" s="79" t="s">
        <v>66</v>
      </c>
      <c r="F72" s="73" t="s">
        <v>67</v>
      </c>
      <c r="G72" s="97" t="s">
        <v>192</v>
      </c>
      <c r="H72" s="2" t="s">
        <v>46</v>
      </c>
      <c r="I72" s="97" t="s">
        <v>678</v>
      </c>
      <c r="J72" s="97" t="s">
        <v>679</v>
      </c>
      <c r="K72" s="7" t="s">
        <v>680</v>
      </c>
      <c r="L72" s="262">
        <v>45476</v>
      </c>
      <c r="M72" s="257">
        <v>45899</v>
      </c>
      <c r="N72" s="234">
        <f>_xlfn.XLOOKUP(Tb_Portfólio[[#This Row],[SEI]],Tb_Atualizações[PROCESSO SEI],Tb_Atualizações[% PREVISTO],"",0,-1)</f>
        <v>0.98</v>
      </c>
      <c r="O72" s="234">
        <f>_xlfn.XLOOKUP(Tb_Portfólio[[#This Row],[SEI]],Tb_Atualizações[PROCESSO SEI],Tb_Atualizações[% EXECUTADO],"",0,-1)</f>
        <v>1</v>
      </c>
      <c r="P72" s="147">
        <f>IFERROR(Tb_Portfólio[[#This Row],[% EXECUTADO]]/Tb_Portfólio[[#This Row],[% PREVISTO]],"0%")</f>
        <v>1.0204081632653061</v>
      </c>
      <c r="Q72" s="146">
        <f>_xlfn.XLOOKUP(Tb_Portfólio[[#This Row],[SEI]],Tb_Atualizações[PROCESSO SEI],Tb_Atualizações[DATA DE ATUALIZAÇÃO],"",0,-1)</f>
        <v>45924</v>
      </c>
      <c r="R72" s="336">
        <f>_xlfn.XLOOKUP(Tb_Portfólio[[#This Row],[SEI]],Tb_Atualizações[PROCESSO SEI],Tb_Atualizações[Mês],,0,-1)</f>
        <v>45901</v>
      </c>
      <c r="S72" s="259"/>
      <c r="T72" s="268" t="s">
        <v>48</v>
      </c>
      <c r="U7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72" s="95"/>
      <c r="W72" s="236">
        <f>IFERROR(Tb_Portfólio[[#This Row],[% EXECUTADO]]/Tb_Portfólio[[#This Row],[% PREVISTO]],0)</f>
        <v>1.0204081632653061</v>
      </c>
      <c r="X72" s="294" t="s">
        <v>681</v>
      </c>
      <c r="Y72" s="150">
        <f>1315392.96+1025172.72+10000</f>
        <v>2350565.6799999997</v>
      </c>
      <c r="Z72" s="339"/>
      <c r="AA72" s="97" t="s">
        <v>51</v>
      </c>
      <c r="AB72" s="79" t="s">
        <v>137</v>
      </c>
      <c r="AC72" s="240" t="s">
        <v>67</v>
      </c>
      <c r="AD72" s="97" t="s">
        <v>682</v>
      </c>
      <c r="AE72" s="270" t="s">
        <v>683</v>
      </c>
      <c r="AF72" s="273">
        <f t="shared" ca="1" si="2"/>
        <v>46176</v>
      </c>
      <c r="AG72" s="274" t="s">
        <v>197</v>
      </c>
      <c r="AH72" s="97" t="s">
        <v>67</v>
      </c>
      <c r="AJ72" s="79" t="str">
        <f>2024&amp;Tb_Portfólio[[#This Row],[SEI]]</f>
        <v>202411988/2024</v>
      </c>
      <c r="AK72" s="79" t="str">
        <f>IFERROR(IF(MATCH(AJ72,Atualizações!$P$1:$P$1265,0)&gt;0, "Sim"), "Não")</f>
        <v>Não</v>
      </c>
      <c r="AL72" s="79" t="str">
        <f>2025&amp;Tb_Portfólio[[#This Row],[SEI]]</f>
        <v>202511988/2024</v>
      </c>
      <c r="AM72" t="str">
        <f>IFERROR(IF(MATCH(AL72,Atualizações!$P$1:$P$2994,0)&gt;0, "Sim"), "Não")</f>
        <v>Sim</v>
      </c>
      <c r="AN72" s="79" t="str">
        <f>2026&amp;Tb_Portfólio[[#This Row],[SEI]]</f>
        <v>202611988/2024</v>
      </c>
      <c r="AO72" t="str">
        <f>IFERROR(IF(MATCH(AN72,Atualizações!$P$1:$P$2994,0)&gt;0, "Sim"), "Não")</f>
        <v>Não</v>
      </c>
      <c r="AP72" s="79" t="str">
        <f>_xlfn.XLOOKUP(Tb_Portfólio[[#This Row],[SEI]],Tb_Atualizações[PROCESSO SEI],Tb_Atualizações[Explicações],"",0,-1)</f>
        <v>Pendente apenas o TEP</v>
      </c>
      <c r="AQ72" s="79" t="str">
        <f>_xlfn.XLOOKUP(Tb_Portfólio[[#This Row],[SEI]],Tb_Mapa[SEI],Tb_Mapa[CONSULTOR RESPONSÁVEL],"",0,-1)</f>
        <v>Igor</v>
      </c>
    </row>
    <row r="73" spans="1:43" ht="90" hidden="1">
      <c r="A73" s="149" t="s">
        <v>684</v>
      </c>
      <c r="B73" s="337" t="s">
        <v>685</v>
      </c>
      <c r="C73" s="97" t="s">
        <v>686</v>
      </c>
      <c r="D73" s="97"/>
      <c r="E73" s="79" t="s">
        <v>86</v>
      </c>
      <c r="F73" s="16" t="s">
        <v>44</v>
      </c>
      <c r="G73" s="97" t="s">
        <v>87</v>
      </c>
      <c r="H73" s="2" t="s">
        <v>46</v>
      </c>
      <c r="I73" s="7" t="s">
        <v>75</v>
      </c>
      <c r="J73" s="112" t="s">
        <v>166</v>
      </c>
      <c r="K73" s="112" t="s">
        <v>687</v>
      </c>
      <c r="L73" s="262">
        <v>44713</v>
      </c>
      <c r="M73" s="257" t="s">
        <v>688</v>
      </c>
      <c r="N73" s="234">
        <f>_xlfn.XLOOKUP(Tb_Portfólio[[#This Row],[SEI]],Tb_Atualizações[PROCESSO SEI],Tb_Atualizações[% PREVISTO],"",0,-1)</f>
        <v>0.86</v>
      </c>
      <c r="O73" s="234">
        <f>_xlfn.XLOOKUP(Tb_Portfólio[[#This Row],[SEI]],Tb_Atualizações[PROCESSO SEI],Tb_Atualizações[% EXECUTADO],"",0,-1)</f>
        <v>0.81</v>
      </c>
      <c r="P73" s="147">
        <f>IFERROR(Tb_Portfólio[[#This Row],[% EXECUTADO]]/Tb_Portfólio[[#This Row],[% PREVISTO]],"0%")</f>
        <v>0.94186046511627919</v>
      </c>
      <c r="Q73" s="146">
        <f>_xlfn.XLOOKUP(Tb_Portfólio[[#This Row],[SEI]],Tb_Atualizações[PROCESSO SEI],Tb_Atualizações[DATA DE ATUALIZAÇÃO],"",0,-1)</f>
        <v>46167</v>
      </c>
      <c r="R73" s="336">
        <f>_xlfn.XLOOKUP(Tb_Portfólio[[#This Row],[SEI]],Tb_Atualizações[PROCESSO SEI],Tb_Atualizações[Mês],,0,-1)</f>
        <v>46143</v>
      </c>
      <c r="S73" s="259"/>
      <c r="T73" s="268" t="s">
        <v>48</v>
      </c>
      <c r="U73"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73" s="95"/>
      <c r="W73" s="236">
        <f>IFERROR(Tb_Portfólio[[#This Row],[% EXECUTADO]]/Tb_Portfólio[[#This Row],[% PREVISTO]],0)</f>
        <v>0.94186046511627919</v>
      </c>
      <c r="X73" s="270"/>
      <c r="Y73" s="150"/>
      <c r="Z73" s="652"/>
      <c r="AA73" s="97" t="s">
        <v>51</v>
      </c>
      <c r="AB73" s="79" t="s">
        <v>86</v>
      </c>
      <c r="AC73" s="16" t="s">
        <v>92</v>
      </c>
      <c r="AD73" s="97" t="s">
        <v>689</v>
      </c>
      <c r="AE73" s="270"/>
      <c r="AF73" s="273">
        <f t="shared" ca="1" si="2"/>
        <v>46176</v>
      </c>
      <c r="AG73" s="274"/>
      <c r="AH73" s="97"/>
      <c r="AJ73" s="79" t="str">
        <f>2024&amp;Tb_Portfólio[[#This Row],[SEI]]</f>
        <v>202412135/2022</v>
      </c>
      <c r="AK73" t="str">
        <f>IFERROR(IF(MATCH(AJ73,Atualizações!$P$1:$P$1265,0)&gt;0, "Sim"), "Não")</f>
        <v>Sim</v>
      </c>
      <c r="AL73" s="79" t="str">
        <f>2025&amp;Tb_Portfólio[[#This Row],[SEI]]</f>
        <v>202512135/2022</v>
      </c>
      <c r="AM73" t="str">
        <f>IFERROR(IF(MATCH(AL73,Atualizações!$P$1:$P$2994,0)&gt;0, "Sim"), "Não")</f>
        <v>Sim</v>
      </c>
      <c r="AN73" s="79" t="str">
        <f>2026&amp;Tb_Portfólio[[#This Row],[SEI]]</f>
        <v>202612135/2022</v>
      </c>
      <c r="AO73" t="str">
        <f>IFERROR(IF(MATCH(AN73,Atualizações!$P$1:$P$2994,0)&gt;0, "Sim"), "Não")</f>
        <v>Sim</v>
      </c>
      <c r="AP73" s="79">
        <f>_xlfn.XLOOKUP(Tb_Portfólio[[#This Row],[SEI]],Tb_Atualizações[PROCESSO SEI],Tb_Atualizações[Explicações],"",0,-1)</f>
        <v>0</v>
      </c>
      <c r="AQ73" s="79" t="str">
        <f>_xlfn.XLOOKUP(Tb_Portfólio[[#This Row],[SEI]],Tb_Mapa[SEI],Tb_Mapa[CONSULTOR RESPONSÁVEL],"",0,-1)</f>
        <v>Juliana</v>
      </c>
    </row>
    <row r="74" spans="1:43" ht="101.1" hidden="1" customHeight="1">
      <c r="A74" s="149" t="s">
        <v>690</v>
      </c>
      <c r="B74" s="321" t="s">
        <v>691</v>
      </c>
      <c r="C74" s="115" t="s">
        <v>692</v>
      </c>
      <c r="D74" s="97"/>
      <c r="E74" s="79" t="s">
        <v>86</v>
      </c>
      <c r="F74" s="16" t="s">
        <v>44</v>
      </c>
      <c r="G74" s="97" t="s">
        <v>87</v>
      </c>
      <c r="H74" s="2" t="s">
        <v>46</v>
      </c>
      <c r="I74" s="97" t="s">
        <v>693</v>
      </c>
      <c r="J74" s="97" t="s">
        <v>694</v>
      </c>
      <c r="K74" s="325" t="s">
        <v>695</v>
      </c>
      <c r="L74" s="262">
        <v>45231</v>
      </c>
      <c r="M74" s="257">
        <v>46387</v>
      </c>
      <c r="N74" s="234">
        <f>_xlfn.XLOOKUP(Tb_Portfólio[[#This Row],[SEI]],Tb_Atualizações[PROCESSO SEI],Tb_Atualizações[% PREVISTO],"",0,-1)</f>
        <v>0.8</v>
      </c>
      <c r="O74" s="234">
        <f>_xlfn.XLOOKUP(Tb_Portfólio[[#This Row],[SEI]],Tb_Atualizações[PROCESSO SEI],Tb_Atualizações[% EXECUTADO],"",0,-1)</f>
        <v>0.7</v>
      </c>
      <c r="P74" s="147">
        <f>IFERROR(Tb_Portfólio[[#This Row],[% EXECUTADO]]/Tb_Portfólio[[#This Row],[% PREVISTO]],"0%")</f>
        <v>0.87499999999999989</v>
      </c>
      <c r="Q74" s="146">
        <f>_xlfn.XLOOKUP(Tb_Portfólio[[#This Row],[SEI]],Tb_Atualizações[PROCESSO SEI],Tb_Atualizações[DATA DE ATUALIZAÇÃO],"",0,-1)</f>
        <v>46167</v>
      </c>
      <c r="R74" s="336">
        <f>_xlfn.XLOOKUP(Tb_Portfólio[[#This Row],[SEI]],Tb_Atualizações[PROCESSO SEI],Tb_Atualizações[Mês],,0,-1)</f>
        <v>46143</v>
      </c>
      <c r="S74" s="259"/>
      <c r="T74" s="268" t="s">
        <v>48</v>
      </c>
      <c r="U74"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Em atenção</v>
      </c>
      <c r="V74" s="95"/>
      <c r="W74" s="236">
        <f>IFERROR(Tb_Portfólio[[#This Row],[% EXECUTADO]]/Tb_Portfólio[[#This Row],[% PREVISTO]],0)</f>
        <v>0.87499999999999989</v>
      </c>
      <c r="X74" s="270" t="s">
        <v>696</v>
      </c>
      <c r="Y74" s="303">
        <v>210882.54</v>
      </c>
      <c r="Z74" s="652"/>
      <c r="AA74" s="97" t="s">
        <v>51</v>
      </c>
      <c r="AB74" s="79" t="s">
        <v>86</v>
      </c>
      <c r="AC74" s="16" t="s">
        <v>92</v>
      </c>
      <c r="AD74" s="97" t="s">
        <v>697</v>
      </c>
      <c r="AE74" s="270"/>
      <c r="AF74" s="273">
        <f t="shared" ca="1" si="2"/>
        <v>46176</v>
      </c>
      <c r="AG74" s="274" t="s">
        <v>95</v>
      </c>
      <c r="AH74" s="97" t="s">
        <v>92</v>
      </c>
      <c r="AJ74" s="79" t="str">
        <f>2024&amp;Tb_Portfólio[[#This Row],[SEI]]</f>
        <v>202412215/2023</v>
      </c>
      <c r="AK74" t="str">
        <f>IFERROR(IF(MATCH(AJ74,Atualizações!$P$1:$P$1265,0)&gt;0, "Sim"), "Não")</f>
        <v>Sim</v>
      </c>
      <c r="AL74" s="79" t="str">
        <f>2025&amp;Tb_Portfólio[[#This Row],[SEI]]</f>
        <v>202512215/2023</v>
      </c>
      <c r="AM74" t="str">
        <f>IFERROR(IF(MATCH(AL74,Atualizações!$P$1:$P$2994,0)&gt;0, "Sim"), "Não")</f>
        <v>Sim</v>
      </c>
      <c r="AN74" s="79" t="str">
        <f>2026&amp;Tb_Portfólio[[#This Row],[SEI]]</f>
        <v>202612215/2023</v>
      </c>
      <c r="AO74" t="str">
        <f>IFERROR(IF(MATCH(AN74,Atualizações!$P$1:$P$2994,0)&gt;0, "Sim"), "Não")</f>
        <v>Sim</v>
      </c>
      <c r="AP74" s="79" t="str">
        <f>_xlfn.XLOOKUP(Tb_Portfólio[[#This Row],[SEI]],Tb_Atualizações[PROCESSO SEI],Tb_Atualizações[Explicações],"",0,-1)</f>
        <v>O projeto encontra-se na situação de “em atenção", porém, em conversa com o gerente do projeto, foi informado que o projeto está andando conforme o planejado, tendo sido identificada distorção na ferramenta de acompanhamento. Todavia, o problema foi identificado e a equipe do projeto já está trabalhando para sua correção.</v>
      </c>
      <c r="AQ74" s="79" t="str">
        <f>_xlfn.XLOOKUP(Tb_Portfólio[[#This Row],[SEI]],Tb_Mapa[SEI],Tb_Mapa[CONSULTOR RESPONSÁVEL],"",0,-1)</f>
        <v>Juliana</v>
      </c>
    </row>
    <row r="75" spans="1:43" ht="120" hidden="1">
      <c r="A75" s="149" t="s">
        <v>698</v>
      </c>
      <c r="B75" s="103" t="s">
        <v>699</v>
      </c>
      <c r="C75" s="97" t="s">
        <v>700</v>
      </c>
      <c r="D75" s="97"/>
      <c r="E75" s="322" t="s">
        <v>514</v>
      </c>
      <c r="F75" s="73" t="s">
        <v>44</v>
      </c>
      <c r="G75" s="97" t="s">
        <v>701</v>
      </c>
      <c r="H75" s="2" t="s">
        <v>702</v>
      </c>
      <c r="I75" s="115" t="s">
        <v>213</v>
      </c>
      <c r="J75" s="265" t="s">
        <v>214</v>
      </c>
      <c r="K75" s="7" t="s">
        <v>703</v>
      </c>
      <c r="L75" s="262">
        <v>45324</v>
      </c>
      <c r="M75" s="257">
        <v>45930</v>
      </c>
      <c r="N75" s="234">
        <f>_xlfn.XLOOKUP(Tb_Portfólio[[#This Row],[SEI]],Tb_Atualizações[PROCESSO SEI],Tb_Atualizações[% PREVISTO],"",0,-1)</f>
        <v>0.64</v>
      </c>
      <c r="O75" s="234">
        <f>_xlfn.XLOOKUP(Tb_Portfólio[[#This Row],[SEI]],Tb_Atualizações[PROCESSO SEI],Tb_Atualizações[% EXECUTADO],"",0,-1)</f>
        <v>0.32</v>
      </c>
      <c r="P75" s="147">
        <f>IFERROR(Tb_Portfólio[[#This Row],[% EXECUTADO]]/Tb_Portfólio[[#This Row],[% PREVISTO]],"0%")</f>
        <v>0.5</v>
      </c>
      <c r="Q75" s="146">
        <f>_xlfn.XLOOKUP(Tb_Portfólio[[#This Row],[SEI]],Tb_Atualizações[PROCESSO SEI],Tb_Atualizações[DATA DE ATUALIZAÇÃO],"",0,-1)</f>
        <v>46160</v>
      </c>
      <c r="R75" s="336">
        <f>_xlfn.XLOOKUP(Tb_Portfólio[[#This Row],[SEI]],Tb_Atualizações[PROCESSO SEI],Tb_Atualizações[Mês],,0,-1)</f>
        <v>45689</v>
      </c>
      <c r="S75" s="259"/>
      <c r="T75" s="268"/>
      <c r="U75" s="235" t="s">
        <v>277</v>
      </c>
      <c r="V75" s="95"/>
      <c r="W75" s="236">
        <f>IFERROR(Tb_Portfólio[[#This Row],[% EXECUTADO]]/Tb_Portfólio[[#This Row],[% PREVISTO]],0)</f>
        <v>0.5</v>
      </c>
      <c r="X75" s="294" t="s">
        <v>704</v>
      </c>
      <c r="Y75" s="652"/>
      <c r="Z75" s="652"/>
      <c r="AA75" s="97"/>
      <c r="AB75" s="79" t="s">
        <v>514</v>
      </c>
      <c r="AC75" s="2" t="s">
        <v>702</v>
      </c>
      <c r="AD75" s="115" t="s">
        <v>705</v>
      </c>
      <c r="AE75" s="270"/>
      <c r="AF75" s="273">
        <f t="shared" ca="1" si="2"/>
        <v>46176</v>
      </c>
      <c r="AG75" s="274"/>
      <c r="AH75" s="97"/>
      <c r="AJ75" s="79" t="str">
        <f>2024&amp;Tb_Portfólio[[#This Row],[SEI]]</f>
        <v>202413898/2024</v>
      </c>
      <c r="AK75" t="str">
        <f>IFERROR(IF(MATCH(AJ75,Atualizações!$P$1:$P$1265,0)&gt;0, "Sim"), "Não")</f>
        <v>Sim</v>
      </c>
      <c r="AL75" s="79" t="str">
        <f>2025&amp;Tb_Portfólio[[#This Row],[SEI]]</f>
        <v>202513898/2024</v>
      </c>
      <c r="AM75" t="str">
        <f>IFERROR(IF(MATCH(AL75,Atualizações!$P$1:$P$2994,0)&gt;0, "Sim"), "Não")</f>
        <v>Sim</v>
      </c>
      <c r="AN75" s="79" t="str">
        <f>2026&amp;Tb_Portfólio[[#This Row],[SEI]]</f>
        <v>202613898/2024</v>
      </c>
      <c r="AO75" t="str">
        <f>IFERROR(IF(MATCH(AN75,Atualizações!$P$1:$P$2994,0)&gt;0, "Sim"), "Não")</f>
        <v>Sim</v>
      </c>
      <c r="AP75" s="79" t="str">
        <f>_xlfn.XLOOKUP(Tb_Portfólio[[#This Row],[SEI]],Tb_Atualizações[PROCESSO SEI],Tb_Atualizações[Explicações],"",0,-1)</f>
        <v>Em conversa com a Cristina, foi explicado que dr. Daniel pediu para dar o projeto como finalizado.</v>
      </c>
      <c r="AQ75" s="79" t="str">
        <f>_xlfn.XLOOKUP(Tb_Portfólio[[#This Row],[SEI]],Tb_Mapa[SEI],Tb_Mapa[CONSULTOR RESPONSÁVEL],"",0,-1)</f>
        <v>Juliana</v>
      </c>
    </row>
    <row r="76" spans="1:43" ht="345" hidden="1">
      <c r="A76" s="149" t="s">
        <v>706</v>
      </c>
      <c r="B76" s="103" t="s">
        <v>707</v>
      </c>
      <c r="C76" s="97" t="s">
        <v>708</v>
      </c>
      <c r="D76" s="97"/>
      <c r="E76" s="79" t="s">
        <v>201</v>
      </c>
      <c r="F76" s="73" t="s">
        <v>202</v>
      </c>
      <c r="G76" s="97" t="s">
        <v>203</v>
      </c>
      <c r="H76" s="73" t="s">
        <v>202</v>
      </c>
      <c r="I76" s="97" t="s">
        <v>709</v>
      </c>
      <c r="J76" s="97" t="s">
        <v>710</v>
      </c>
      <c r="K76" s="7" t="s">
        <v>711</v>
      </c>
      <c r="L76" s="262">
        <v>45847</v>
      </c>
      <c r="M76" s="257">
        <v>45923</v>
      </c>
      <c r="N76" s="234">
        <f>_xlfn.XLOOKUP(Tb_Portfólio[[#This Row],[SEI]],Tb_Atualizações[PROCESSO SEI],Tb_Atualizações[% PREVISTO],"",0,-1)</f>
        <v>0</v>
      </c>
      <c r="O76" s="234">
        <f>_xlfn.XLOOKUP(Tb_Portfólio[[#This Row],[SEI]],Tb_Atualizações[PROCESSO SEI],Tb_Atualizações[% EXECUTADO],"",0,-1)</f>
        <v>0</v>
      </c>
      <c r="P76" s="234" t="str">
        <f>IFERROR(Tb_Portfólio[[#This Row],[% EXECUTADO]]/Tb_Portfólio[[#This Row],[% PREVISTO]],"0%")</f>
        <v>0%</v>
      </c>
      <c r="Q76" s="73">
        <f>_xlfn.XLOOKUP(Tb_Portfólio[[#This Row],[SEI]],Tb_Atualizações[PROCESSO SEI],Tb_Atualizações[DATA DE ATUALIZAÇÃO],"",0,-1)</f>
        <v>46038</v>
      </c>
      <c r="R76" s="146">
        <f>_xlfn.XLOOKUP(Tb_Portfólio[[#This Row],[SEI]],Tb_Atualizações[PROCESSO SEI],Tb_Atualizações[Mês],,0,-1)</f>
        <v>46023</v>
      </c>
      <c r="S76" s="259"/>
      <c r="T76" s="268"/>
      <c r="U76"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76" s="95"/>
      <c r="W76" s="236">
        <f>IFERROR(Tb_Portfólio[[#This Row],[% EXECUTADO]]/Tb_Portfólio[[#This Row],[% PREVISTO]],0)</f>
        <v>0</v>
      </c>
      <c r="X76" s="294" t="s">
        <v>712</v>
      </c>
      <c r="Y76" s="150"/>
      <c r="Z76" s="150"/>
      <c r="AA76" s="97"/>
      <c r="AB76" s="79" t="s">
        <v>207</v>
      </c>
      <c r="AC76" s="73" t="s">
        <v>202</v>
      </c>
      <c r="AD76" s="97"/>
      <c r="AE76" s="270" t="s">
        <v>713</v>
      </c>
      <c r="AF76" s="273">
        <f t="shared" ca="1" si="2"/>
        <v>46176</v>
      </c>
      <c r="AG76" s="274"/>
      <c r="AH76" s="97"/>
      <c r="AJ76" s="79" t="str">
        <f>2024&amp;Tb_Portfólio[[#This Row],[SEI]]</f>
        <v>202413961/2025</v>
      </c>
      <c r="AK76" s="79" t="str">
        <f>IFERROR(IF(MATCH(AJ76,Atualizações!$P$1:$P$1265,0)&gt;0, "Sim"), "Não")</f>
        <v>Não</v>
      </c>
      <c r="AL76" s="79" t="str">
        <f>2025&amp;Tb_Portfólio[[#This Row],[SEI]]</f>
        <v>202513961/2025</v>
      </c>
      <c r="AM76" s="79" t="str">
        <f>IFERROR(IF(MATCH(AL76,Atualizações!$P$1:$P$2994,0)&gt;0, "Sim"), "Não")</f>
        <v>Não</v>
      </c>
      <c r="AN76" s="79" t="str">
        <f>2026&amp;Tb_Portfólio[[#This Row],[SEI]]</f>
        <v>202613961/2025</v>
      </c>
      <c r="AO76" s="79" t="str">
        <f>IFERROR(IF(MATCH(AN76,Atualizações!$P$1:$P$2994,0)&gt;0, "Sim"), "Não")</f>
        <v>Sim</v>
      </c>
      <c r="AP76" s="79" t="str">
        <f>_xlfn.XLOOKUP(Tb_Portfólio[[#This Row],[SEI]],Tb_Atualizações[PROCESSO SEI],Tb_Atualizações[Explicações],"",0,-1)</f>
        <v>Cadastro do projeto</v>
      </c>
      <c r="AQ76" s="79" t="str">
        <f>_xlfn.XLOOKUP(Tb_Portfólio[[#This Row],[SEI]],Tb_Mapa[SEI],Tb_Mapa[CONSULTOR RESPONSÁVEL],"",0,-1)</f>
        <v>Igor</v>
      </c>
    </row>
    <row r="77" spans="1:43" ht="255" hidden="1">
      <c r="A77" s="149" t="s">
        <v>714</v>
      </c>
      <c r="B77" s="103" t="s">
        <v>715</v>
      </c>
      <c r="C77" s="97" t="s">
        <v>716</v>
      </c>
      <c r="D77" s="97"/>
      <c r="E77" s="79" t="s">
        <v>201</v>
      </c>
      <c r="F77" s="73" t="s">
        <v>202</v>
      </c>
      <c r="G77" s="97" t="s">
        <v>203</v>
      </c>
      <c r="H77" s="73" t="s">
        <v>202</v>
      </c>
      <c r="I77" s="97" t="s">
        <v>717</v>
      </c>
      <c r="J77" s="97" t="s">
        <v>718</v>
      </c>
      <c r="K77" s="7"/>
      <c r="L77" s="262">
        <v>45538</v>
      </c>
      <c r="M77" s="257">
        <v>46293</v>
      </c>
      <c r="N77" s="234">
        <f>_xlfn.XLOOKUP(Tb_Portfólio[[#This Row],[SEI]],Tb_Atualizações[PROCESSO SEI],Tb_Atualizações[% PREVISTO],"",0,-1)</f>
        <v>0.94</v>
      </c>
      <c r="O77" s="234">
        <f>_xlfn.XLOOKUP(Tb_Portfólio[[#This Row],[SEI]],Tb_Atualizações[PROCESSO SEI],Tb_Atualizações[% EXECUTADO],"",0,-1)</f>
        <v>0.94</v>
      </c>
      <c r="P77" s="147">
        <f>IFERROR(Tb_Portfólio[[#This Row],[% EXECUTADO]]/Tb_Portfólio[[#This Row],[% PREVISTO]],"0%")</f>
        <v>1</v>
      </c>
      <c r="Q77" s="146">
        <f>_xlfn.XLOOKUP(Tb_Portfólio[[#This Row],[SEI]],Tb_Atualizações[PROCESSO SEI],Tb_Atualizações[DATA DE ATUALIZAÇÃO],"",0,-1)</f>
        <v>46105</v>
      </c>
      <c r="R77" s="336">
        <f>_xlfn.XLOOKUP(Tb_Portfólio[[#This Row],[SEI]],Tb_Atualizações[PROCESSO SEI],Tb_Atualizações[Mês],,0,-1)</f>
        <v>46082</v>
      </c>
      <c r="S77" s="259"/>
      <c r="T77" s="268"/>
      <c r="U77"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77" s="95"/>
      <c r="W77" s="236">
        <f>IFERROR(Tb_Portfólio[[#This Row],[% EXECUTADO]]/Tb_Portfólio[[#This Row],[% PREVISTO]],0)</f>
        <v>1</v>
      </c>
      <c r="X77" s="270" t="s">
        <v>719</v>
      </c>
      <c r="Y77" s="652"/>
      <c r="Z77" s="652"/>
      <c r="AA77" s="97"/>
      <c r="AB77" s="79" t="s">
        <v>720</v>
      </c>
      <c r="AC77" s="73" t="s">
        <v>202</v>
      </c>
      <c r="AD77" s="270" t="s">
        <v>721</v>
      </c>
      <c r="AE77" s="239"/>
      <c r="AF77" s="273">
        <f t="shared" ca="1" si="2"/>
        <v>46176</v>
      </c>
      <c r="AG77" s="274"/>
      <c r="AH77" s="97"/>
      <c r="AJ77" s="79" t="str">
        <f>2024&amp;Tb_Portfólio[[#This Row],[SEI]]</f>
        <v>202414204/2024</v>
      </c>
      <c r="AK77" s="79" t="str">
        <f>IFERROR(IF(MATCH(AJ77,Atualizações!$P$1:$P$1265,0)&gt;0, "Sim"), "Não")</f>
        <v>Sim</v>
      </c>
      <c r="AL77" s="79" t="str">
        <f>2025&amp;Tb_Portfólio[[#This Row],[SEI]]</f>
        <v>202514204/2024</v>
      </c>
      <c r="AM77" t="str">
        <f>IFERROR(IF(MATCH(AL77,Atualizações!$P$1:$P$2994,0)&gt;0, "Sim"), "Não")</f>
        <v>Sim</v>
      </c>
      <c r="AN77" s="79" t="str">
        <f>2026&amp;Tb_Portfólio[[#This Row],[SEI]]</f>
        <v>202614204/2024</v>
      </c>
      <c r="AO77" t="str">
        <f>IFERROR(IF(MATCH(AN77,Atualizações!$P$1:$P$2994,0)&gt;0, "Sim"), "Não")</f>
        <v>Sim</v>
      </c>
      <c r="AP77" s="79" t="str">
        <f>_xlfn.XLOOKUP(Tb_Portfólio[[#This Row],[SEI]],Tb_Atualizações[PROCESSO SEI],Tb_Atualizações[Explicações],"",0,-1)</f>
        <v>5ª medição do projeto.  A equipe do projeto avaliou que o PNC Digital oferece maior capacidade de consolidação, análise e divulgação das informações, motivo pelo qual passou a ser considerado o principal instrumento para a transparência dos resultados. A expectativa é que os dados estejam disponibilizados por ocasião do segundo Encontro Nacional do Programa Novos Caminhos, a ser realizado nos dias 5, 6 e 7 de agosto, em Manaus.</v>
      </c>
      <c r="AQ77" s="79" t="str">
        <f>_xlfn.XLOOKUP(Tb_Portfólio[[#This Row],[SEI]],Tb_Mapa[SEI],Tb_Mapa[CONSULTOR RESPONSÁVEL],"",0,-1)</f>
        <v>Juliana</v>
      </c>
    </row>
    <row r="78" spans="1:43" ht="409.5" hidden="1">
      <c r="A78" s="149" t="s">
        <v>722</v>
      </c>
      <c r="B78" s="103" t="s">
        <v>723</v>
      </c>
      <c r="C78" s="97" t="s">
        <v>724</v>
      </c>
      <c r="D78" s="97"/>
      <c r="E78" s="79" t="s">
        <v>43</v>
      </c>
      <c r="F78" s="73" t="s">
        <v>44</v>
      </c>
      <c r="G78" s="97" t="s">
        <v>132</v>
      </c>
      <c r="H78" s="2" t="s">
        <v>46</v>
      </c>
      <c r="I78" s="7" t="s">
        <v>165</v>
      </c>
      <c r="J78" s="7" t="s">
        <v>725</v>
      </c>
      <c r="K78" s="7"/>
      <c r="L78" s="262">
        <v>45261</v>
      </c>
      <c r="M78" s="257">
        <v>46387</v>
      </c>
      <c r="N78" s="234">
        <f>_xlfn.XLOOKUP(Tb_Portfólio[[#This Row],[SEI]],Tb_Atualizações[PROCESSO SEI],Tb_Atualizações[% PREVISTO],"",0,-1)</f>
        <v>0.56000000000000005</v>
      </c>
      <c r="O78" s="234">
        <f>_xlfn.XLOOKUP(Tb_Portfólio[[#This Row],[SEI]],Tb_Atualizações[PROCESSO SEI],Tb_Atualizações[% EXECUTADO],"",0,-1)</f>
        <v>0.56000000000000005</v>
      </c>
      <c r="P78" s="147">
        <f>IFERROR(Tb_Portfólio[[#This Row],[% EXECUTADO]]/Tb_Portfólio[[#This Row],[% PREVISTO]],"0%")</f>
        <v>1</v>
      </c>
      <c r="Q78" s="146">
        <f>_xlfn.XLOOKUP(Tb_Portfólio[[#This Row],[SEI]],Tb_Atualizações[PROCESSO SEI],Tb_Atualizações[DATA DE ATUALIZAÇÃO],"",0,-1)</f>
        <v>46167</v>
      </c>
      <c r="R78" s="336">
        <f>_xlfn.XLOOKUP(Tb_Portfólio[[#This Row],[SEI]],Tb_Atualizações[PROCESSO SEI],Tb_Atualizações[Mês],,0,-1)</f>
        <v>46143</v>
      </c>
      <c r="S78" s="259"/>
      <c r="T78" s="268" t="s">
        <v>48</v>
      </c>
      <c r="U78"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78" s="95"/>
      <c r="W78" s="236">
        <f>IFERROR(Tb_Portfólio[[#This Row],[% EXECUTADO]]/Tb_Portfólio[[#This Row],[% PREVISTO]],0)</f>
        <v>1</v>
      </c>
      <c r="X78" s="270"/>
      <c r="Y78" s="652">
        <v>2224030.15</v>
      </c>
      <c r="Z78" s="652"/>
      <c r="AA78" s="97" t="s">
        <v>51</v>
      </c>
      <c r="AB78" s="79" t="s">
        <v>163</v>
      </c>
      <c r="AC78" s="73" t="s">
        <v>67</v>
      </c>
      <c r="AD78" s="97" t="s">
        <v>726</v>
      </c>
      <c r="AE78" s="270" t="s">
        <v>727</v>
      </c>
      <c r="AF78" s="273">
        <f t="shared" ref="AF78:AF107" ca="1" si="3">TODAY()</f>
        <v>46176</v>
      </c>
      <c r="AG78" s="274" t="s">
        <v>197</v>
      </c>
      <c r="AH78" s="97" t="s">
        <v>67</v>
      </c>
      <c r="AJ78" s="79" t="str">
        <f>2024&amp;Tb_Portfólio[[#This Row],[SEI]]</f>
        <v>202414965/2024</v>
      </c>
      <c r="AK78" s="79" t="str">
        <f>IFERROR(IF(MATCH(AJ78,Atualizações!$P$1:$P$1265,0)&gt;0, "Sim"), "Não")</f>
        <v>Não</v>
      </c>
      <c r="AL78" s="79" t="str">
        <f>2025&amp;Tb_Portfólio[[#This Row],[SEI]]</f>
        <v>202514965/2024</v>
      </c>
      <c r="AM78" t="str">
        <f>IFERROR(IF(MATCH(AL78,Atualizações!$P$1:$P$2994,0)&gt;0, "Sim"), "Não")</f>
        <v>Sim</v>
      </c>
      <c r="AN78" s="79" t="str">
        <f>2026&amp;Tb_Portfólio[[#This Row],[SEI]]</f>
        <v>202614965/2024</v>
      </c>
      <c r="AO78" t="str">
        <f>IFERROR(IF(MATCH(AN78,Atualizações!$P$1:$P$2994,0)&gt;0, "Sim"), "Não")</f>
        <v>Sim</v>
      </c>
      <c r="AP78" s="79" t="str">
        <f>_xlfn.XLOOKUP(Tb_Portfólio[[#This Row],[SEI]],Tb_Atualizações[PROCESSO SEI],Tb_Atualizações[Explicações],"",0,-1)</f>
        <v xml:space="preserve">Outros fatos relevantes a registrar 
 Etapa atual: Melhorias evolutivas e corretivas 
 Status operacional e entregas recentes:  
• Duas releases executadas no período; 
• Atendimento ao chamados N3; 
• Duas atividades TPU finalizadas: adicionar atributo de procedimento; estudo para geração de múltiplas cartas de desenvolvimento. 
 SIRF:  
• Em homologação à mais de 250 dias, aguardando validação do FONAREF.  
• Pendente a solicitação de envio de detalhamento do escopo da homologação está em análise pela equipe técnica PNUD. 
• Gerente do projeto enviou o detalhamento das pendências negociais do SIRF para escalonamento pelos gestores PNUD, destacou que a regulamentação do CNJ é apontada como crítica para adoção pelos tribunais. 
 Avisos e Alertas PDPJ: versão de avisos em teste, corrigindo erros para liberar a entrada em produção da V2. 
 Notificações: aumento do volume de notificações com o advento do iMensagem do Data Lake. 
 Phase out - Transferência de Tecnologia: 
• Etapa atual: Criação do cronograma Phase-out; 
• Documentação: Correção da documentação do Delegação de perfil e Avisos PDPJ; 
• Etapa prevista: Criação da documentação dos demais projetos; 
• Próximos passos: Enviar para o time de phase-out as correções solicitadas após finalizadas. 
• Agendada reunião de alinhamento para definir estratégias de phaseout, a ocorrer em 10/06/2026.  
 Solicitado ajustes e correções no cronograma do projeto (PWA) ao Gerente do Projeto, em abril de 2026, visando corrigir: atividades sem informação de datas de início e término planejadas, não conformidade entre as datas de início e término reais e as datas planejadas, e duração das atividades.  
 O “%Concluído: 56%” informado neste relatório, não reflete a evolução do projeto. Os ajustes de cronograma solicitados seguem em elaboração pelo gerente do projeto. </v>
      </c>
      <c r="AQ78" s="79" t="str">
        <f>_xlfn.XLOOKUP(Tb_Portfólio[[#This Row],[SEI]],Tb_Mapa[SEI],Tb_Mapa[CONSULTOR RESPONSÁVEL],"",0,-1)</f>
        <v>Raphael</v>
      </c>
    </row>
    <row r="79" spans="1:43" ht="162" hidden="1" customHeight="1">
      <c r="A79" s="149" t="s">
        <v>728</v>
      </c>
      <c r="B79" s="103" t="s">
        <v>729</v>
      </c>
      <c r="C79" s="97" t="s">
        <v>730</v>
      </c>
      <c r="D79" s="97"/>
      <c r="E79" s="281" t="s">
        <v>731</v>
      </c>
      <c r="F79" s="286" t="s">
        <v>44</v>
      </c>
      <c r="G79" s="349" t="s">
        <v>732</v>
      </c>
      <c r="H79" s="2" t="s">
        <v>733</v>
      </c>
      <c r="I79" s="115" t="s">
        <v>305</v>
      </c>
      <c r="J79" s="287" t="s">
        <v>120</v>
      </c>
      <c r="K79" s="115" t="s">
        <v>734</v>
      </c>
      <c r="L79" s="262">
        <v>45664</v>
      </c>
      <c r="M79" s="257">
        <v>46376</v>
      </c>
      <c r="N79" s="234">
        <f>_xlfn.XLOOKUP(Tb_Portfólio[[#This Row],[SEI]],Tb_Atualizações[PROCESSO SEI],Tb_Atualizações[% PREVISTO],"",0,-1)</f>
        <v>0.43</v>
      </c>
      <c r="O79" s="234">
        <f>_xlfn.XLOOKUP(Tb_Portfólio[[#This Row],[SEI]],Tb_Atualizações[PROCESSO SEI],Tb_Atualizações[% EXECUTADO],"",0,-1)</f>
        <v>0.43</v>
      </c>
      <c r="P79" s="147">
        <f>IFERROR(Tb_Portfólio[[#This Row],[% EXECUTADO]]/Tb_Portfólio[[#This Row],[% PREVISTO]],"0%")</f>
        <v>1</v>
      </c>
      <c r="Q79" s="146">
        <f>_xlfn.XLOOKUP(Tb_Portfólio[[#This Row],[SEI]],Tb_Atualizações[PROCESSO SEI],Tb_Atualizações[DATA DE ATUALIZAÇÃO],"",0,-1)</f>
        <v>46128</v>
      </c>
      <c r="R79" s="336">
        <f>_xlfn.XLOOKUP(Tb_Portfólio[[#This Row],[SEI]],Tb_Atualizações[PROCESSO SEI],Tb_Atualizações[Mês],,0,-1)</f>
        <v>46082</v>
      </c>
      <c r="S79" s="259"/>
      <c r="T79" s="288" t="s">
        <v>729</v>
      </c>
      <c r="U79"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79" s="95"/>
      <c r="W79" s="236">
        <f>IFERROR(Tb_Portfólio[[#This Row],[% EXECUTADO]]/Tb_Portfólio[[#This Row],[% PREVISTO]],0)</f>
        <v>1</v>
      </c>
      <c r="X79" s="294" t="s">
        <v>735</v>
      </c>
      <c r="Y79" s="652">
        <f>70056+4500+53833</f>
        <v>128389</v>
      </c>
      <c r="Z79" s="652"/>
      <c r="AA79" s="97"/>
      <c r="AB79" s="79" t="s">
        <v>736</v>
      </c>
      <c r="AC79" s="2" t="s">
        <v>733</v>
      </c>
      <c r="AD79" s="97" t="s">
        <v>737</v>
      </c>
      <c r="AE79" s="270"/>
      <c r="AF79" s="273">
        <f t="shared" ca="1" si="3"/>
        <v>46176</v>
      </c>
      <c r="AG79" s="274"/>
      <c r="AH79" s="97"/>
      <c r="AJ79" s="79" t="str">
        <f>2024&amp;Tb_Portfólio[[#This Row],[SEI]]</f>
        <v>202415844/2024</v>
      </c>
      <c r="AK79" t="str">
        <f>IFERROR(IF(MATCH(AJ79,Atualizações!$P$1:$P$1265,0)&gt;0, "Sim"), "Não")</f>
        <v>Não</v>
      </c>
      <c r="AL79" s="79" t="str">
        <f>2025&amp;Tb_Portfólio[[#This Row],[SEI]]</f>
        <v>202515844/2024</v>
      </c>
      <c r="AM79" t="str">
        <f>IFERROR(IF(MATCH(AL79,Atualizações!$P$1:$P$2994,0)&gt;0, "Sim"), "Não")</f>
        <v>Sim</v>
      </c>
      <c r="AN79" s="79" t="str">
        <f>2026&amp;Tb_Portfólio[[#This Row],[SEI]]</f>
        <v>202615844/2024</v>
      </c>
      <c r="AO79" t="str">
        <f>IFERROR(IF(MATCH(AN79,Atualizações!$P$1:$P$2994,0)&gt;0, "Sim"), "Não")</f>
        <v>Sim</v>
      </c>
      <c r="AP79" s="79">
        <f>_xlfn.XLOOKUP(Tb_Portfólio[[#This Row],[SEI]],Tb_Atualizações[PROCESSO SEI],Tb_Atualizações[Explicações],"",0,-1)</f>
        <v>0</v>
      </c>
      <c r="AQ79" s="79" t="str">
        <f>_xlfn.XLOOKUP(Tb_Portfólio[[#This Row],[SEI]],Tb_Mapa[SEI],Tb_Mapa[CONSULTOR RESPONSÁVEL],"",0,-1)</f>
        <v>Juliana</v>
      </c>
    </row>
    <row r="80" spans="1:43" ht="409.5" hidden="1">
      <c r="A80" s="149" t="s">
        <v>738</v>
      </c>
      <c r="B80" s="103" t="s">
        <v>739</v>
      </c>
      <c r="C80" s="97" t="s">
        <v>740</v>
      </c>
      <c r="D80" s="97"/>
      <c r="E80" s="79" t="s">
        <v>43</v>
      </c>
      <c r="F80" s="73" t="s">
        <v>44</v>
      </c>
      <c r="G80" s="7" t="s">
        <v>232</v>
      </c>
      <c r="H80" s="2" t="s">
        <v>46</v>
      </c>
      <c r="I80" s="97" t="s">
        <v>741</v>
      </c>
      <c r="J80" s="97" t="s">
        <v>742</v>
      </c>
      <c r="K80" s="7"/>
      <c r="L80" s="262">
        <v>45714</v>
      </c>
      <c r="M80" s="257">
        <v>46195</v>
      </c>
      <c r="N80" s="234">
        <f>_xlfn.XLOOKUP(Tb_Portfólio[[#This Row],[SEI]],Tb_Atualizações[PROCESSO SEI],Tb_Atualizações[% PREVISTO],"",0,-1)</f>
        <v>0.91</v>
      </c>
      <c r="O80" s="234">
        <f>_xlfn.XLOOKUP(Tb_Portfólio[[#This Row],[SEI]],Tb_Atualizações[PROCESSO SEI],Tb_Atualizações[% EXECUTADO],"",0,-1)</f>
        <v>0.67</v>
      </c>
      <c r="P80" s="234">
        <f>IFERROR(Tb_Portfólio[[#This Row],[% EXECUTADO]]/Tb_Portfólio[[#This Row],[% PREVISTO]],"0%")</f>
        <v>0.73626373626373631</v>
      </c>
      <c r="Q80" s="146">
        <f>_xlfn.XLOOKUP(Tb_Portfólio[[#This Row],[SEI]],Tb_Atualizações[PROCESSO SEI],Tb_Atualizações[DATA DE ATUALIZAÇÃO],"",0,-1)</f>
        <v>46167</v>
      </c>
      <c r="R80" s="336">
        <f>_xlfn.XLOOKUP(Tb_Portfólio[[#This Row],[SEI]],Tb_Atualizações[PROCESSO SEI],Tb_Atualizações[Mês],,0,-1)</f>
        <v>46143</v>
      </c>
      <c r="S80" s="259"/>
      <c r="T80" s="268" t="s">
        <v>48</v>
      </c>
      <c r="U80"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80" s="95"/>
      <c r="W80" s="236">
        <f>IFERROR(Tb_Portfólio[[#This Row],[% EXECUTADO]]/Tb_Portfólio[[#This Row],[% PREVISTO]],0)</f>
        <v>0.73626373626373631</v>
      </c>
      <c r="X80" s="270" t="s">
        <v>743</v>
      </c>
      <c r="Y80" s="652">
        <v>894453.84</v>
      </c>
      <c r="Z80" s="652"/>
      <c r="AA80" s="97" t="s">
        <v>51</v>
      </c>
      <c r="AB80" s="79" t="s">
        <v>393</v>
      </c>
      <c r="AC80" s="73" t="s">
        <v>80</v>
      </c>
      <c r="AD80" s="97" t="s">
        <v>744</v>
      </c>
      <c r="AE80" s="270" t="s">
        <v>745</v>
      </c>
      <c r="AF80" s="273">
        <f t="shared" ca="1" si="3"/>
        <v>46176</v>
      </c>
      <c r="AG80" s="274" t="s">
        <v>746</v>
      </c>
      <c r="AH80" s="97" t="s">
        <v>67</v>
      </c>
      <c r="AJ80" s="79" t="str">
        <f>2024&amp;Tb_Portfólio[[#This Row],[SEI]]</f>
        <v>202416319/2024</v>
      </c>
      <c r="AK80" s="79" t="str">
        <f>IFERROR(IF(MATCH(AJ80,Atualizações!$P$1:$P$1265,0)&gt;0, "Sim"), "Não")</f>
        <v>Não</v>
      </c>
      <c r="AL80" s="79" t="str">
        <f>2025&amp;Tb_Portfólio[[#This Row],[SEI]]</f>
        <v>202516319/2024</v>
      </c>
      <c r="AM80" t="str">
        <f>IFERROR(IF(MATCH(AL80,Atualizações!$P$1:$P$2994,0)&gt;0, "Sim"), "Não")</f>
        <v>Sim</v>
      </c>
      <c r="AN80" s="79" t="str">
        <f>2026&amp;Tb_Portfólio[[#This Row],[SEI]]</f>
        <v>202616319/2024</v>
      </c>
      <c r="AO80" t="str">
        <f>IFERROR(IF(MATCH(AN80,Atualizações!$P$1:$P$2994,0)&gt;0, "Sim"), "Não")</f>
        <v>Sim</v>
      </c>
      <c r="AP80" s="79" t="str">
        <f>_xlfn.XLOOKUP(Tb_Portfólio[[#This Row],[SEI]],Tb_Atualizações[PROCESSO SEI],Tb_Atualizações[Explicações],"",0,-1)</f>
        <v>registrou-se que as etapas 1 e 2 do projeto encontram-se integralmente concluídas, com a entrega da versão desktop dos formulários, a disponibilização da versão mobile da plataforma e a realização de integrações com serviços de dados. A etapa 3 encontra-se em execução, com avanço de 61%, contemplando o desenvolvimento da versão offline dos formulários e dos dashboards de consulta, com previsão de conclusão em 23 de abril de 2026. A etapa 4 ainda não foi iniciada, estando prevista para início ao final de abril de 2026, com conclusão estimada para 25 de junho de 2026, envolvendo integrações finais com sistemas externos. A equipe do projeto informou que, até a data da medição, não houve registro de problemas relevantes, encontrando-se o andamento dentro do esperado.</v>
      </c>
      <c r="AQ80" s="79" t="str">
        <f>_xlfn.XLOOKUP(Tb_Portfólio[[#This Row],[SEI]],Tb_Mapa[SEI],Tb_Mapa[CONSULTOR RESPONSÁVEL],"",0,-1)</f>
        <v>Juliana</v>
      </c>
    </row>
    <row r="81" spans="1:43" ht="135" hidden="1">
      <c r="A81" s="149" t="s">
        <v>747</v>
      </c>
      <c r="B81" s="103" t="s">
        <v>748</v>
      </c>
      <c r="C81" s="97" t="s">
        <v>749</v>
      </c>
      <c r="D81" s="97"/>
      <c r="E81" s="79" t="s">
        <v>750</v>
      </c>
      <c r="F81" s="16" t="s">
        <v>44</v>
      </c>
      <c r="G81" s="97" t="s">
        <v>74</v>
      </c>
      <c r="H81" s="16" t="s">
        <v>44</v>
      </c>
      <c r="I81" s="97" t="s">
        <v>751</v>
      </c>
      <c r="J81" s="97" t="s">
        <v>752</v>
      </c>
      <c r="K81" s="7"/>
      <c r="L81" s="262">
        <v>45991</v>
      </c>
      <c r="M81" s="257">
        <v>46265</v>
      </c>
      <c r="N81" s="234">
        <f>_xlfn.XLOOKUP(Tb_Portfólio[[#This Row],[SEI]],Tb_Atualizações[PROCESSO SEI],Tb_Atualizações[% PREVISTO],"",0,-1)</f>
        <v>0.27</v>
      </c>
      <c r="O81" s="234">
        <f>_xlfn.XLOOKUP(Tb_Portfólio[[#This Row],[SEI]],Tb_Atualizações[PROCESSO SEI],Tb_Atualizações[% EXECUTADO],"",0,-1)</f>
        <v>0.5</v>
      </c>
      <c r="P81" s="234">
        <f>IFERROR(Tb_Portfólio[[#This Row],[% EXECUTADO]]/Tb_Portfólio[[#This Row],[% PREVISTO]],"0%")</f>
        <v>1.8518518518518516</v>
      </c>
      <c r="Q81" s="73">
        <f>_xlfn.XLOOKUP(Tb_Portfólio[[#This Row],[SEI]],Tb_Atualizações[PROCESSO SEI],Tb_Atualizações[DATA DE ATUALIZAÇÃO],"",0,-1)</f>
        <v>46059</v>
      </c>
      <c r="R81" s="146">
        <f>_xlfn.XLOOKUP(Tb_Portfólio[[#This Row],[SEI]],Tb_Atualizações[PROCESSO SEI],Tb_Atualizações[Mês],,0,-1)</f>
        <v>46023</v>
      </c>
      <c r="S81" s="259"/>
      <c r="T81" s="268"/>
      <c r="U81"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81" s="95"/>
      <c r="W81" s="236">
        <f>IFERROR(Tb_Portfólio[[#This Row],[% EXECUTADO]]/Tb_Portfólio[[#This Row],[% PREVISTO]],0)</f>
        <v>1.8518518518518516</v>
      </c>
      <c r="X81" s="270" t="s">
        <v>753</v>
      </c>
      <c r="Y81" s="470" t="s">
        <v>754</v>
      </c>
      <c r="Z81" s="652"/>
      <c r="AA81" s="97"/>
      <c r="AB81" s="79" t="s">
        <v>750</v>
      </c>
      <c r="AC81" s="16" t="s">
        <v>44</v>
      </c>
      <c r="AD81" s="97" t="s">
        <v>755</v>
      </c>
      <c r="AE81" s="270"/>
      <c r="AF81" s="273">
        <f t="shared" ca="1" si="3"/>
        <v>46176</v>
      </c>
      <c r="AG81" s="274"/>
      <c r="AH81" s="97"/>
      <c r="AJ81" s="79" t="str">
        <f>2024&amp;Tb_Portfólio[[#This Row],[SEI]]</f>
        <v>202416689/2025</v>
      </c>
      <c r="AK81" s="79" t="str">
        <f>IFERROR(IF(MATCH(AJ81,Atualizações!$P$1:$P$1265,0)&gt;0, "Sim"), "Não")</f>
        <v>Não</v>
      </c>
      <c r="AL81" s="79" t="str">
        <f>2025&amp;Tb_Portfólio[[#This Row],[SEI]]</f>
        <v>202516689/2025</v>
      </c>
      <c r="AM81" t="str">
        <f>IFERROR(IF(MATCH(AL81,Atualizações!$P$1:$P$2994,0)&gt;0, "Sim"), "Não")</f>
        <v>Sim</v>
      </c>
      <c r="AN81" s="79" t="str">
        <f>2026&amp;Tb_Portfólio[[#This Row],[SEI]]</f>
        <v>202616689/2025</v>
      </c>
      <c r="AO81" t="str">
        <f>IFERROR(IF(MATCH(AN81,Atualizações!$P$1:$P$2994,0)&gt;0, "Sim"), "Não")</f>
        <v>Sim</v>
      </c>
      <c r="AP81" s="79">
        <f>_xlfn.XLOOKUP(Tb_Portfólio[[#This Row],[SEI]],Tb_Atualizações[PROCESSO SEI],Tb_Atualizações[Explicações],"",0,-1)</f>
        <v>0</v>
      </c>
      <c r="AQ81" s="79" t="str">
        <f>_xlfn.XLOOKUP(Tb_Portfólio[[#This Row],[SEI]],Tb_Mapa[SEI],Tb_Mapa[CONSULTOR RESPONSÁVEL],"",0,-1)</f>
        <v>Tony</v>
      </c>
    </row>
    <row r="82" spans="1:43" ht="270" hidden="1">
      <c r="A82" s="149" t="s">
        <v>756</v>
      </c>
      <c r="B82" s="103" t="s">
        <v>757</v>
      </c>
      <c r="C82" s="97" t="s">
        <v>758</v>
      </c>
      <c r="D82" s="97"/>
      <c r="E82" s="79" t="s">
        <v>759</v>
      </c>
      <c r="F82" s="73" t="s">
        <v>92</v>
      </c>
      <c r="G82" s="97" t="s">
        <v>87</v>
      </c>
      <c r="H82" s="2" t="s">
        <v>46</v>
      </c>
      <c r="I82" s="97" t="s">
        <v>760</v>
      </c>
      <c r="J82" s="97" t="s">
        <v>761</v>
      </c>
      <c r="K82" s="7" t="s">
        <v>762</v>
      </c>
      <c r="L82" s="262">
        <v>45915</v>
      </c>
      <c r="M82" s="257">
        <v>46387</v>
      </c>
      <c r="N82" s="234">
        <f>_xlfn.XLOOKUP(Tb_Portfólio[[#This Row],[SEI]],Tb_Atualizações[PROCESSO SEI],Tb_Atualizações[% PREVISTO],"",0,-1)</f>
        <v>0.64</v>
      </c>
      <c r="O82" s="234">
        <f>_xlfn.XLOOKUP(Tb_Portfólio[[#This Row],[SEI]],Tb_Atualizações[PROCESSO SEI],Tb_Atualizações[% EXECUTADO],"",0,-1)</f>
        <v>0.45</v>
      </c>
      <c r="P82" s="234">
        <f>IFERROR(Tb_Portfólio[[#This Row],[% EXECUTADO]]/Tb_Portfólio[[#This Row],[% PREVISTO]],"0%")</f>
        <v>0.703125</v>
      </c>
      <c r="Q82" s="521">
        <f>_xlfn.XLOOKUP(Tb_Portfólio[[#This Row],[SEI]],Tb_Atualizações[PROCESSO SEI],Tb_Atualizações[DATA DE ATUALIZAÇÃO],"",0,-1)</f>
        <v>46167</v>
      </c>
      <c r="R82" s="146">
        <f>_xlfn.XLOOKUP(Tb_Portfólio[[#This Row],[SEI]],Tb_Atualizações[PROCESSO SEI],Tb_Atualizações[Mês],,0,-1)</f>
        <v>46143</v>
      </c>
      <c r="S82" s="259"/>
      <c r="T82" s="268" t="s">
        <v>48</v>
      </c>
      <c r="U82"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82" s="95"/>
      <c r="W82" s="236">
        <f>IFERROR(Tb_Portfólio[[#This Row],[% EXECUTADO]]/Tb_Portfólio[[#This Row],[% PREVISTO]],0)</f>
        <v>0.703125</v>
      </c>
      <c r="X82" s="294" t="s">
        <v>763</v>
      </c>
      <c r="Y82" s="652" t="s">
        <v>764</v>
      </c>
      <c r="Z82" s="652"/>
      <c r="AA82" s="97"/>
      <c r="AB82" s="79" t="s">
        <v>759</v>
      </c>
      <c r="AC82" s="73" t="s">
        <v>92</v>
      </c>
      <c r="AD82" s="97" t="s">
        <v>765</v>
      </c>
      <c r="AE82" s="270"/>
      <c r="AF82" s="273">
        <f t="shared" ca="1" si="3"/>
        <v>46176</v>
      </c>
      <c r="AG82" s="274" t="s">
        <v>145</v>
      </c>
      <c r="AH82" s="97" t="s">
        <v>228</v>
      </c>
      <c r="AJ82" s="79" t="str">
        <f>2024&amp;Tb_Portfólio[[#This Row],[SEI]]</f>
        <v>202416882/2025</v>
      </c>
      <c r="AK82" s="79" t="str">
        <f>IFERROR(IF(MATCH(AJ82,Atualizações!$P$1:$P$1265,0)&gt;0, "Sim"), "Não")</f>
        <v>Não</v>
      </c>
      <c r="AL82" s="79" t="str">
        <f>2025&amp;Tb_Portfólio[[#This Row],[SEI]]</f>
        <v>202516882/2025</v>
      </c>
      <c r="AM82" s="79" t="str">
        <f>IFERROR(IF(MATCH(AL82,Atualizações!$P$1:$P$2994,0)&gt;0, "Sim"), "Não")</f>
        <v>Não</v>
      </c>
      <c r="AN82" s="79" t="str">
        <f>2026&amp;Tb_Portfólio[[#This Row],[SEI]]</f>
        <v>202616882/2025</v>
      </c>
      <c r="AO82" s="79" t="str">
        <f>IFERROR(IF(MATCH(AN82,Atualizações!$P$1:$P$2994,0)&gt;0, "Sim"), "Não")</f>
        <v>Sim</v>
      </c>
      <c r="AP82" s="79">
        <f>_xlfn.XLOOKUP(Tb_Portfólio[[#This Row],[SEI]],Tb_Atualizações[PROCESSO SEI],Tb_Atualizações[Explicações],"",0,-1)</f>
        <v>0</v>
      </c>
      <c r="AQ82" s="79" t="str">
        <f>_xlfn.XLOOKUP(Tb_Portfólio[[#This Row],[SEI]],Tb_Mapa[SEI],Tb_Mapa[CONSULTOR RESPONSÁVEL],"",0,-1)</f>
        <v>Tony</v>
      </c>
    </row>
    <row r="83" spans="1:43" ht="120" hidden="1">
      <c r="A83" s="149" t="s">
        <v>766</v>
      </c>
      <c r="B83" s="103" t="s">
        <v>767</v>
      </c>
      <c r="C83" s="97" t="s">
        <v>768</v>
      </c>
      <c r="D83" s="97"/>
      <c r="E83" s="79" t="s">
        <v>759</v>
      </c>
      <c r="F83" s="73" t="s">
        <v>92</v>
      </c>
      <c r="G83" s="97" t="s">
        <v>87</v>
      </c>
      <c r="H83" s="2" t="s">
        <v>46</v>
      </c>
      <c r="I83" s="97" t="s">
        <v>769</v>
      </c>
      <c r="J83" s="97" t="s">
        <v>752</v>
      </c>
      <c r="K83" s="7" t="s">
        <v>770</v>
      </c>
      <c r="L83" s="262">
        <v>45947</v>
      </c>
      <c r="M83" s="257">
        <v>46387</v>
      </c>
      <c r="N83" s="234">
        <f>_xlfn.XLOOKUP(Tb_Portfólio[[#This Row],[SEI]],Tb_Atualizações[PROCESSO SEI],Tb_Atualizações[% PREVISTO],"",0,-1)</f>
        <v>0.52</v>
      </c>
      <c r="O83" s="234">
        <f>_xlfn.XLOOKUP(Tb_Portfólio[[#This Row],[SEI]],Tb_Atualizações[PROCESSO SEI],Tb_Atualizações[% EXECUTADO],"",0,-1)</f>
        <v>0.35</v>
      </c>
      <c r="P83" s="234">
        <f>IFERROR(Tb_Portfólio[[#This Row],[% EXECUTADO]]/Tb_Portfólio[[#This Row],[% PREVISTO]],"0%")</f>
        <v>0.67307692307692302</v>
      </c>
      <c r="Q83" s="521">
        <f>_xlfn.XLOOKUP(Tb_Portfólio[[#This Row],[SEI]],Tb_Atualizações[PROCESSO SEI],Tb_Atualizações[DATA DE ATUALIZAÇÃO],"",0,-1)</f>
        <v>46167</v>
      </c>
      <c r="R83" s="146">
        <f>_xlfn.XLOOKUP(Tb_Portfólio[[#This Row],[SEI]],Tb_Atualizações[PROCESSO SEI],Tb_Atualizações[Mês],,0,-1)</f>
        <v>46143</v>
      </c>
      <c r="S83" s="259"/>
      <c r="T83" s="268" t="s">
        <v>48</v>
      </c>
      <c r="U83"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83" s="95"/>
      <c r="W83" s="236">
        <f>IFERROR(Tb_Portfólio[[#This Row],[% EXECUTADO]]/Tb_Portfólio[[#This Row],[% PREVISTO]],0)</f>
        <v>0.67307692307692302</v>
      </c>
      <c r="X83" s="270" t="s">
        <v>771</v>
      </c>
      <c r="Y83" s="652" t="s">
        <v>764</v>
      </c>
      <c r="Z83" s="652"/>
      <c r="AA83" s="97"/>
      <c r="AB83" s="79" t="s">
        <v>759</v>
      </c>
      <c r="AC83" s="73" t="s">
        <v>92</v>
      </c>
      <c r="AD83" s="97" t="s">
        <v>772</v>
      </c>
      <c r="AE83" s="270"/>
      <c r="AF83" s="273">
        <f t="shared" ca="1" si="3"/>
        <v>46176</v>
      </c>
      <c r="AG83" s="274"/>
      <c r="AH83" s="97"/>
      <c r="AJ83" s="79" t="str">
        <f>2024&amp;Tb_Portfólio[[#This Row],[SEI]]</f>
        <v>202417085/2025</v>
      </c>
      <c r="AK83" s="79" t="str">
        <f>IFERROR(IF(MATCH(AJ83,Atualizações!$P$1:$P$1265,0)&gt;0, "Sim"), "Não")</f>
        <v>Não</v>
      </c>
      <c r="AL83" s="79" t="str">
        <f>2025&amp;Tb_Portfólio[[#This Row],[SEI]]</f>
        <v>202517085/2025</v>
      </c>
      <c r="AM83" t="str">
        <f>IFERROR(IF(MATCH(AL83,Atualizações!$P$1:$P$2994,0)&gt;0, "Sim"), "Não")</f>
        <v>Sim</v>
      </c>
      <c r="AN83" s="79" t="str">
        <f>2026&amp;Tb_Portfólio[[#This Row],[SEI]]</f>
        <v>202617085/2025</v>
      </c>
      <c r="AO83" t="str">
        <f>IFERROR(IF(MATCH(AN83,Atualizações!$P$1:$P$2994,0)&gt;0, "Sim"), "Não")</f>
        <v>Sim</v>
      </c>
      <c r="AP83" s="79">
        <f>_xlfn.XLOOKUP(Tb_Portfólio[[#This Row],[SEI]],Tb_Atualizações[PROCESSO SEI],Tb_Atualizações[Explicações],"",0,-1)</f>
        <v>0</v>
      </c>
      <c r="AQ83" s="79" t="str">
        <f>_xlfn.XLOOKUP(Tb_Portfólio[[#This Row],[SEI]],Tb_Mapa[SEI],Tb_Mapa[CONSULTOR RESPONSÁVEL],"",0,-1)</f>
        <v>Tony</v>
      </c>
    </row>
    <row r="84" spans="1:43" ht="409.5" hidden="1">
      <c r="A84" s="149" t="s">
        <v>773</v>
      </c>
      <c r="B84" s="103" t="s">
        <v>774</v>
      </c>
      <c r="C84" s="97" t="s">
        <v>775</v>
      </c>
      <c r="D84" s="97"/>
      <c r="E84" s="79" t="s">
        <v>43</v>
      </c>
      <c r="F84" s="73" t="s">
        <v>44</v>
      </c>
      <c r="G84" s="97" t="s">
        <v>536</v>
      </c>
      <c r="H84" s="2" t="s">
        <v>46</v>
      </c>
      <c r="I84" s="97" t="s">
        <v>776</v>
      </c>
      <c r="J84" s="97" t="s">
        <v>777</v>
      </c>
      <c r="K84" s="7"/>
      <c r="L84" s="262">
        <v>45677</v>
      </c>
      <c r="M84" s="257">
        <v>46371</v>
      </c>
      <c r="N84" s="234">
        <f>_xlfn.XLOOKUP(Tb_Portfólio[[#This Row],[SEI]],Tb_Atualizações[PROCESSO SEI],Tb_Atualizações[% PREVISTO],"",0,-1)</f>
        <v>0.7</v>
      </c>
      <c r="O84" s="234">
        <f>_xlfn.XLOOKUP(Tb_Portfólio[[#This Row],[SEI]],Tb_Atualizações[PROCESSO SEI],Tb_Atualizações[% EXECUTADO],"",0,-1)</f>
        <v>0.5</v>
      </c>
      <c r="P84" s="147">
        <f>IFERROR(Tb_Portfólio[[#This Row],[% EXECUTADO]]/Tb_Portfólio[[#This Row],[% PREVISTO]],"0%")</f>
        <v>0.7142857142857143</v>
      </c>
      <c r="Q84" s="146">
        <f>_xlfn.XLOOKUP(Tb_Portfólio[[#This Row],[SEI]],Tb_Atualizações[PROCESSO SEI],Tb_Atualizações[DATA DE ATUALIZAÇÃO],"",0,-1)</f>
        <v>46137</v>
      </c>
      <c r="R84" s="336">
        <f>_xlfn.XLOOKUP(Tb_Portfólio[[#This Row],[SEI]],Tb_Atualizações[PROCESSO SEI],Tb_Atualizações[Mês],,0,-1)</f>
        <v>46143</v>
      </c>
      <c r="S84" s="259"/>
      <c r="T84" s="268" t="s">
        <v>48</v>
      </c>
      <c r="U84"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84" s="95"/>
      <c r="W84" s="236">
        <f>IFERROR(Tb_Portfólio[[#This Row],[% EXECUTADO]]/Tb_Portfólio[[#This Row],[% PREVISTO]],0)</f>
        <v>0.7142857142857143</v>
      </c>
      <c r="X84" s="270" t="s">
        <v>778</v>
      </c>
      <c r="Y84" s="652">
        <v>495325.56</v>
      </c>
      <c r="Z84" s="652"/>
      <c r="AA84" s="97" t="s">
        <v>51</v>
      </c>
      <c r="AB84" s="79" t="s">
        <v>137</v>
      </c>
      <c r="AC84" s="240" t="s">
        <v>67</v>
      </c>
      <c r="AD84" s="97" t="s">
        <v>779</v>
      </c>
      <c r="AE84" s="270" t="s">
        <v>780</v>
      </c>
      <c r="AF84" s="273">
        <f t="shared" ca="1" si="3"/>
        <v>46176</v>
      </c>
      <c r="AG84" s="274" t="s">
        <v>140</v>
      </c>
      <c r="AH84" s="97" t="s">
        <v>67</v>
      </c>
      <c r="AJ84" s="79" t="str">
        <f>2024&amp;Tb_Portfólio[[#This Row],[SEI]]</f>
        <v xml:space="preserve">202417372/2024 </v>
      </c>
      <c r="AK84" s="79" t="str">
        <f>IFERROR(IF(MATCH(AJ84,Atualizações!$P$1:$P$1265,0)&gt;0, "Sim"), "Não")</f>
        <v>Não</v>
      </c>
      <c r="AL84" s="79" t="str">
        <f>2025&amp;Tb_Portfólio[[#This Row],[SEI]]</f>
        <v xml:space="preserve">202517372/2024 </v>
      </c>
      <c r="AM84" t="str">
        <f>IFERROR(IF(MATCH(AL84,Atualizações!$P$1:$P$2994,0)&gt;0, "Sim"), "Não")</f>
        <v>Sim</v>
      </c>
      <c r="AN84" s="79" t="str">
        <f>2026&amp;Tb_Portfólio[[#This Row],[SEI]]</f>
        <v xml:space="preserve">202617372/2024 </v>
      </c>
      <c r="AO84" t="str">
        <f>IFERROR(IF(MATCH(AN84,Atualizações!$P$1:$P$2994,0)&gt;0, "Sim"), "Não")</f>
        <v>Sim</v>
      </c>
      <c r="AP84" s="79" t="str">
        <f>_xlfn.XLOOKUP(Tb_Portfólio[[#This Row],[SEI]],Tb_Atualizações[PROCESSO SEI],Tb_Atualizações[Explicações],"",0,-1)</f>
        <v>Outros fatos relevantes a registrar 
 Sprint 25/35 – 06 a 26/05/2026 
 Confirmada a solicitação de 03 (três) endpoints ao Data Lake: 02 (dois) para Qualificação de Dados e 01 (hum) para Consulta Nacional de Pessoas. 
 Pontos de atenção: 
• Necessidade de realizar carga full de pessoas para melhoria de enriquecimento e realização de deduplicação 
• Possível retirada do escopo a integração com TSE por causa das eleições (prazo de 40 dias para definição). 
• Avaliando endpointsSERP com base na experiência de integração do Sniper: mecanismo de autenticação com token usuário SSO 
• Atraso na integração com SAREF: acesso ao endpointde georreferenciamento da apresentação da pessoa 
 Solicitações: 
• Mentor negocial em tratativas para estabelecer contatos técnicos com TSE e SERP; 
• ECP/DTI  verificando o PWA sobre a distorção do SPI do projeto; 
• Solicitado ao Jairo acesso ao endpointSAREF com dados de georreferenciamento da 
apresentação remota por reconhecimento facial</v>
      </c>
      <c r="AQ84" s="79" t="str">
        <f>_xlfn.XLOOKUP(Tb_Portfólio[[#This Row],[SEI]],Tb_Mapa[SEI],Tb_Mapa[CONSULTOR RESPONSÁVEL],"",0,-1)</f>
        <v>Tony</v>
      </c>
    </row>
    <row r="85" spans="1:43" ht="120" hidden="1">
      <c r="A85" s="290" t="s">
        <v>781</v>
      </c>
      <c r="B85" s="662" t="s">
        <v>782</v>
      </c>
      <c r="C85" s="97" t="s">
        <v>783</v>
      </c>
      <c r="D85" s="97"/>
      <c r="E85" s="281" t="s">
        <v>592</v>
      </c>
      <c r="F85" s="2" t="s">
        <v>244</v>
      </c>
      <c r="G85" s="295" t="s">
        <v>784</v>
      </c>
      <c r="H85" s="2" t="s">
        <v>46</v>
      </c>
      <c r="I85" s="97" t="s">
        <v>785</v>
      </c>
      <c r="J85" s="97" t="s">
        <v>786</v>
      </c>
      <c r="K85" s="7"/>
      <c r="L85" s="262">
        <v>45323</v>
      </c>
      <c r="M85" s="257">
        <v>45657</v>
      </c>
      <c r="N85" s="234">
        <f>_xlfn.XLOOKUP(Tb_Portfólio[[#This Row],[SEI]],Tb_Atualizações[PROCESSO SEI],Tb_Atualizações[% PREVISTO],"",0,-1)</f>
        <v>1</v>
      </c>
      <c r="O85" s="234">
        <f>_xlfn.XLOOKUP(Tb_Portfólio[[#This Row],[SEI]],Tb_Atualizações[PROCESSO SEI],Tb_Atualizações[% EXECUTADO],"",0,-1)</f>
        <v>1</v>
      </c>
      <c r="P85" s="147">
        <f>IFERROR(Tb_Portfólio[[#This Row],[% EXECUTADO]]/Tb_Portfólio[[#This Row],[% PREVISTO]],"0%")</f>
        <v>1</v>
      </c>
      <c r="Q85" s="146">
        <f>_xlfn.XLOOKUP(Tb_Portfólio[[#This Row],[SEI]],Tb_Atualizações[PROCESSO SEI],Tb_Atualizações[DATA DE ATUALIZAÇÃO],"",0,-1)</f>
        <v>45642</v>
      </c>
      <c r="R85" s="336">
        <f>_xlfn.XLOOKUP(Tb_Portfólio[[#This Row],[SEI]],Tb_Atualizações[PROCESSO SEI],Tb_Atualizações[Mês],,0,-1)</f>
        <v>45627</v>
      </c>
      <c r="S85" s="259"/>
      <c r="T85" s="268" t="s">
        <v>787</v>
      </c>
      <c r="U85"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85" s="95"/>
      <c r="W85" s="236">
        <f>IFERROR(Tb_Portfólio[[#This Row],[% EXECUTADO]]/Tb_Portfólio[[#This Row],[% PREVISTO]],0)</f>
        <v>1</v>
      </c>
      <c r="X85" s="291" t="s">
        <v>788</v>
      </c>
      <c r="Y85" s="663"/>
      <c r="Z85" s="663"/>
      <c r="AA85" s="497" t="s">
        <v>789</v>
      </c>
      <c r="AB85" s="281" t="s">
        <v>592</v>
      </c>
      <c r="AC85" s="2" t="s">
        <v>244</v>
      </c>
      <c r="AD85" s="97"/>
      <c r="AE85" s="292" t="s">
        <v>790</v>
      </c>
      <c r="AF85" s="273">
        <f t="shared" ca="1" si="3"/>
        <v>46176</v>
      </c>
      <c r="AG85" s="296" t="s">
        <v>791</v>
      </c>
      <c r="AH85" s="7" t="s">
        <v>244</v>
      </c>
      <c r="AJ85" s="79" t="str">
        <f>2024&amp;Tb_Portfólio[[#This Row],[SEI]]</f>
        <v>202417466/2024</v>
      </c>
      <c r="AK85" t="str">
        <f>IFERROR(IF(MATCH(AJ85,Atualizações!$P$1:$P$1265,0)&gt;0, "Sim"), "Não")</f>
        <v>Sim</v>
      </c>
      <c r="AL85" s="79" t="str">
        <f>2025&amp;Tb_Portfólio[[#This Row],[SEI]]</f>
        <v>202517466/2024</v>
      </c>
      <c r="AM85" t="str">
        <f>IFERROR(IF(MATCH(AL85,Atualizações!$P$1:$P$2994,0)&gt;0, "Sim"), "Não")</f>
        <v>Não</v>
      </c>
      <c r="AN85" s="79" t="str">
        <f>2026&amp;Tb_Portfólio[[#This Row],[SEI]]</f>
        <v>202617466/2024</v>
      </c>
      <c r="AO85" t="str">
        <f>IFERROR(IF(MATCH(AN85,Atualizações!$P$1:$P$2994,0)&gt;0, "Sim"), "Não")</f>
        <v>Não</v>
      </c>
      <c r="AP85" s="79">
        <f>_xlfn.XLOOKUP(Tb_Portfólio[[#This Row],[SEI]],Tb_Atualizações[PROCESSO SEI],Tb_Atualizações[Explicações],"",0,-1)</f>
        <v>0</v>
      </c>
      <c r="AQ85" s="79" t="str">
        <f>_xlfn.XLOOKUP(Tb_Portfólio[[#This Row],[SEI]],Tb_Mapa[SEI],Tb_Mapa[CONSULTOR RESPONSÁVEL],"",0,-1)</f>
        <v>Tony/finalizado</v>
      </c>
    </row>
    <row r="86" spans="1:43" ht="120" hidden="1">
      <c r="A86" s="290" t="s">
        <v>792</v>
      </c>
      <c r="B86" s="662" t="s">
        <v>793</v>
      </c>
      <c r="C86" s="97" t="s">
        <v>794</v>
      </c>
      <c r="D86" s="97"/>
      <c r="E86" s="281" t="s">
        <v>592</v>
      </c>
      <c r="F86" s="2" t="s">
        <v>244</v>
      </c>
      <c r="G86" s="295" t="s">
        <v>784</v>
      </c>
      <c r="H86" s="2" t="s">
        <v>46</v>
      </c>
      <c r="I86" s="97" t="s">
        <v>785</v>
      </c>
      <c r="J86" s="97" t="s">
        <v>786</v>
      </c>
      <c r="K86" s="7"/>
      <c r="L86" s="262">
        <v>45323</v>
      </c>
      <c r="M86" s="257">
        <v>45657</v>
      </c>
      <c r="N86" s="234">
        <f>_xlfn.XLOOKUP(Tb_Portfólio[[#This Row],[SEI]],Tb_Atualizações[PROCESSO SEI],Tb_Atualizações[% PREVISTO],"",0,-1)</f>
        <v>1</v>
      </c>
      <c r="O86" s="234">
        <f>_xlfn.XLOOKUP(Tb_Portfólio[[#This Row],[SEI]],Tb_Atualizações[PROCESSO SEI],Tb_Atualizações[% EXECUTADO],"",0,-1)</f>
        <v>1</v>
      </c>
      <c r="P86" s="147">
        <f>IFERROR(Tb_Portfólio[[#This Row],[% EXECUTADO]]/Tb_Portfólio[[#This Row],[% PREVISTO]],"0%")</f>
        <v>1</v>
      </c>
      <c r="Q86" s="146">
        <f>_xlfn.XLOOKUP(Tb_Portfólio[[#This Row],[SEI]],Tb_Atualizações[PROCESSO SEI],Tb_Atualizações[DATA DE ATUALIZAÇÃO],"",0,-1)</f>
        <v>45642</v>
      </c>
      <c r="R86" s="336">
        <f>_xlfn.XLOOKUP(Tb_Portfólio[[#This Row],[SEI]],Tb_Atualizações[PROCESSO SEI],Tb_Atualizações[Mês],,0,-1)</f>
        <v>45627</v>
      </c>
      <c r="S86" s="259"/>
      <c r="T86" s="268" t="s">
        <v>787</v>
      </c>
      <c r="U86"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86" s="95"/>
      <c r="W86" s="236">
        <f>IFERROR(Tb_Portfólio[[#This Row],[% EXECUTADO]]/Tb_Portfólio[[#This Row],[% PREVISTO]],0)</f>
        <v>1</v>
      </c>
      <c r="X86" s="291" t="s">
        <v>795</v>
      </c>
      <c r="Y86" s="663"/>
      <c r="Z86" s="663"/>
      <c r="AA86" s="497" t="s">
        <v>789</v>
      </c>
      <c r="AB86" s="281" t="s">
        <v>592</v>
      </c>
      <c r="AC86" s="2" t="s">
        <v>244</v>
      </c>
      <c r="AD86" s="97"/>
      <c r="AE86" s="291" t="s">
        <v>795</v>
      </c>
      <c r="AF86" s="273">
        <f t="shared" ca="1" si="3"/>
        <v>46176</v>
      </c>
      <c r="AG86" s="296" t="s">
        <v>791</v>
      </c>
      <c r="AH86" s="7" t="s">
        <v>244</v>
      </c>
      <c r="AJ86" s="79" t="str">
        <f>2024&amp;Tb_Portfólio[[#This Row],[SEI]]</f>
        <v>2024174661/2024</v>
      </c>
      <c r="AK86" t="str">
        <f>IFERROR(IF(MATCH(AJ86,Atualizações!$P$1:$P$1265,0)&gt;0, "Sim"), "Não")</f>
        <v>Sim</v>
      </c>
      <c r="AL86" s="79" t="str">
        <f>2025&amp;Tb_Portfólio[[#This Row],[SEI]]</f>
        <v>2025174661/2024</v>
      </c>
      <c r="AM86" t="str">
        <f>IFERROR(IF(MATCH(AL86,Atualizações!$P$1:$P$2994,0)&gt;0, "Sim"), "Não")</f>
        <v>Não</v>
      </c>
      <c r="AN86" s="79" t="str">
        <f>2026&amp;Tb_Portfólio[[#This Row],[SEI]]</f>
        <v>2026174661/2024</v>
      </c>
      <c r="AO86" t="str">
        <f>IFERROR(IF(MATCH(AN86,Atualizações!$P$1:$P$2994,0)&gt;0, "Sim"), "Não")</f>
        <v>Não</v>
      </c>
      <c r="AP86" s="79">
        <f>_xlfn.XLOOKUP(Tb_Portfólio[[#This Row],[SEI]],Tb_Atualizações[PROCESSO SEI],Tb_Atualizações[Explicações],"",0,-1)</f>
        <v>0</v>
      </c>
      <c r="AQ86" s="79" t="str">
        <f>_xlfn.XLOOKUP(Tb_Portfólio[[#This Row],[SEI]],Tb_Mapa[SEI],Tb_Mapa[CONSULTOR RESPONSÁVEL],"",0,-1)</f>
        <v>Tony/finalizado</v>
      </c>
    </row>
    <row r="87" spans="1:43" ht="120" hidden="1">
      <c r="A87" s="149" t="s">
        <v>796</v>
      </c>
      <c r="B87" s="662" t="s">
        <v>797</v>
      </c>
      <c r="C87" s="97" t="s">
        <v>798</v>
      </c>
      <c r="D87" s="97"/>
      <c r="E87" s="285" t="s">
        <v>592</v>
      </c>
      <c r="F87" s="2" t="s">
        <v>244</v>
      </c>
      <c r="G87" s="377" t="s">
        <v>784</v>
      </c>
      <c r="H87" s="2" t="s">
        <v>46</v>
      </c>
      <c r="I87" s="79" t="s">
        <v>785</v>
      </c>
      <c r="J87" s="79" t="s">
        <v>786</v>
      </c>
      <c r="K87" s="19"/>
      <c r="L87" s="262">
        <v>45323</v>
      </c>
      <c r="M87" s="257">
        <v>45657</v>
      </c>
      <c r="N87" s="234">
        <f>_xlfn.XLOOKUP(Tb_Portfólio[[#This Row],[SEI]],Tb_Atualizações[PROCESSO SEI],Tb_Atualizações[% PREVISTO],"",0,-1)</f>
        <v>1</v>
      </c>
      <c r="O87" s="234">
        <f>_xlfn.XLOOKUP(Tb_Portfólio[[#This Row],[SEI]],Tb_Atualizações[PROCESSO SEI],Tb_Atualizações[% EXECUTADO],"",0,-1)</f>
        <v>1</v>
      </c>
      <c r="P87" s="147">
        <f>IFERROR(Tb_Portfólio[[#This Row],[% EXECUTADO]]/Tb_Portfólio[[#This Row],[% PREVISTO]],"0%")</f>
        <v>1</v>
      </c>
      <c r="Q87" s="146">
        <f>_xlfn.XLOOKUP(Tb_Portfólio[[#This Row],[SEI]],Tb_Atualizações[PROCESSO SEI],Tb_Atualizações[DATA DE ATUALIZAÇÃO],"",0,-1)</f>
        <v>45642</v>
      </c>
      <c r="R87" s="336">
        <f>_xlfn.XLOOKUP(Tb_Portfólio[[#This Row],[SEI]],Tb_Atualizações[PROCESSO SEI],Tb_Atualizações[Mês],,0,-1)</f>
        <v>45627</v>
      </c>
      <c r="S87" s="259"/>
      <c r="T87" s="7" t="s">
        <v>787</v>
      </c>
      <c r="U87"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87" s="95"/>
      <c r="W87" s="236">
        <f>IFERROR(Tb_Portfólio[[#This Row],[% EXECUTADO]]/Tb_Portfólio[[#This Row],[% PREVISTO]],0)</f>
        <v>1</v>
      </c>
      <c r="X87" s="301" t="s">
        <v>799</v>
      </c>
      <c r="Y87" s="150"/>
      <c r="Z87" s="150"/>
      <c r="AA87" s="207" t="s">
        <v>789</v>
      </c>
      <c r="AB87" s="281" t="s">
        <v>592</v>
      </c>
      <c r="AC87" s="2" t="s">
        <v>244</v>
      </c>
      <c r="AD87" s="97"/>
      <c r="AE87" s="305"/>
      <c r="AF87" s="273">
        <f t="shared" ca="1" si="3"/>
        <v>46176</v>
      </c>
      <c r="AG87" s="297" t="s">
        <v>791</v>
      </c>
      <c r="AH87" s="7" t="s">
        <v>244</v>
      </c>
      <c r="AJ87" s="79" t="str">
        <f>2024&amp;Tb_Portfólio[[#This Row],[SEI]]</f>
        <v>20241746610/2024</v>
      </c>
      <c r="AK87" t="str">
        <f>IFERROR(IF(MATCH(AJ87,Atualizações!$P$1:$P$1265,0)&gt;0, "Sim"), "Não")</f>
        <v>Sim</v>
      </c>
      <c r="AL87" s="79" t="str">
        <f>2025&amp;Tb_Portfólio[[#This Row],[SEI]]</f>
        <v>20251746610/2024</v>
      </c>
      <c r="AM87" t="str">
        <f>IFERROR(IF(MATCH(AL87,Atualizações!$P$1:$P$2994,0)&gt;0, "Sim"), "Não")</f>
        <v>Não</v>
      </c>
      <c r="AN87" s="79" t="str">
        <f>2026&amp;Tb_Portfólio[[#This Row],[SEI]]</f>
        <v>20261746610/2024</v>
      </c>
      <c r="AO87" t="str">
        <f>IFERROR(IF(MATCH(AN87,Atualizações!$P$1:$P$2994,0)&gt;0, "Sim"), "Não")</f>
        <v>Não</v>
      </c>
      <c r="AP87" s="79">
        <f>_xlfn.XLOOKUP(Tb_Portfólio[[#This Row],[SEI]],Tb_Atualizações[PROCESSO SEI],Tb_Atualizações[Explicações],"",0,-1)</f>
        <v>0</v>
      </c>
      <c r="AQ87" s="79" t="str">
        <f>_xlfn.XLOOKUP(Tb_Portfólio[[#This Row],[SEI]],Tb_Mapa[SEI],Tb_Mapa[CONSULTOR RESPONSÁVEL],"",0,-1)</f>
        <v>Tony/finalizado</v>
      </c>
    </row>
    <row r="88" spans="1:43" ht="120" hidden="1">
      <c r="A88" s="149" t="s">
        <v>800</v>
      </c>
      <c r="B88" s="662" t="s">
        <v>801</v>
      </c>
      <c r="C88" s="97" t="s">
        <v>802</v>
      </c>
      <c r="D88" s="97"/>
      <c r="E88" s="285" t="s">
        <v>592</v>
      </c>
      <c r="F88" s="7" t="s">
        <v>244</v>
      </c>
      <c r="G88" s="283" t="s">
        <v>784</v>
      </c>
      <c r="H88" s="2" t="s">
        <v>46</v>
      </c>
      <c r="I88" s="97" t="s">
        <v>785</v>
      </c>
      <c r="J88" s="97" t="s">
        <v>786</v>
      </c>
      <c r="K88" s="7"/>
      <c r="L88" s="262">
        <v>45323</v>
      </c>
      <c r="M88" s="257">
        <v>45657</v>
      </c>
      <c r="N88" s="298">
        <f>_xlfn.XLOOKUP(Tb_Portfólio[[#This Row],[SEI]],Tb_Atualizações[PROCESSO SEI],Tb_Atualizações[% PREVISTO],"",0,-1)</f>
        <v>1</v>
      </c>
      <c r="O88" s="258">
        <f>_xlfn.XLOOKUP(Tb_Portfólio[[#This Row],[SEI]],Tb_Atualizações[PROCESSO SEI],Tb_Atualizações[% EXECUTADO],"",0,-1)</f>
        <v>1</v>
      </c>
      <c r="P88" s="147">
        <f>IFERROR(Tb_Portfólio[[#This Row],[% EXECUTADO]]/Tb_Portfólio[[#This Row],[% PREVISTO]],"0%")</f>
        <v>1</v>
      </c>
      <c r="Q88" s="146">
        <f>_xlfn.XLOOKUP(Tb_Portfólio[[#This Row],[SEI]],Tb_Atualizações[PROCESSO SEI],Tb_Atualizações[DATA DE ATUALIZAÇÃO],"",0,-1)</f>
        <v>45642</v>
      </c>
      <c r="R88" s="336">
        <f>_xlfn.XLOOKUP(Tb_Portfólio[[#This Row],[SEI]],Tb_Atualizações[PROCESSO SEI],Tb_Atualizações[Mês],,0,-1)</f>
        <v>45627</v>
      </c>
      <c r="S88" s="259"/>
      <c r="T88" s="268" t="s">
        <v>787</v>
      </c>
      <c r="U88"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88" s="95"/>
      <c r="W88" s="236">
        <f>IFERROR(Tb_Portfólio[[#This Row],[% EXECUTADO]]/Tb_Portfólio[[#This Row],[% PREVISTO]],0)</f>
        <v>1</v>
      </c>
      <c r="X88" s="302" t="s">
        <v>803</v>
      </c>
      <c r="Y88" s="150"/>
      <c r="Z88" s="150"/>
      <c r="AA88" s="207" t="s">
        <v>789</v>
      </c>
      <c r="AB88" s="281" t="s">
        <v>592</v>
      </c>
      <c r="AC88" s="2" t="s">
        <v>244</v>
      </c>
      <c r="AD88" s="97"/>
      <c r="AE88" s="330" t="s">
        <v>804</v>
      </c>
      <c r="AF88" s="273">
        <f t="shared" ca="1" si="3"/>
        <v>46176</v>
      </c>
      <c r="AG88" s="297" t="s">
        <v>791</v>
      </c>
      <c r="AH88" s="19" t="s">
        <v>244</v>
      </c>
      <c r="AJ88" s="79" t="str">
        <f>2024&amp;Tb_Portfólio[[#This Row],[SEI]]</f>
        <v>20241746611/2024</v>
      </c>
      <c r="AK88" t="str">
        <f>IFERROR(IF(MATCH(AJ88,Atualizações!$P$1:$P$1265,0)&gt;0, "Sim"), "Não")</f>
        <v>Sim</v>
      </c>
      <c r="AL88" s="79" t="str">
        <f>2025&amp;Tb_Portfólio[[#This Row],[SEI]]</f>
        <v>20251746611/2024</v>
      </c>
      <c r="AM88" t="str">
        <f>IFERROR(IF(MATCH(AL88,Atualizações!$P$1:$P$2994,0)&gt;0, "Sim"), "Não")</f>
        <v>Não</v>
      </c>
      <c r="AN88" s="79" t="str">
        <f>2026&amp;Tb_Portfólio[[#This Row],[SEI]]</f>
        <v>20261746611/2024</v>
      </c>
      <c r="AO88" t="str">
        <f>IFERROR(IF(MATCH(AN88,Atualizações!$P$1:$P$2994,0)&gt;0, "Sim"), "Não")</f>
        <v>Não</v>
      </c>
      <c r="AP88" s="79">
        <f>_xlfn.XLOOKUP(Tb_Portfólio[[#This Row],[SEI]],Tb_Atualizações[PROCESSO SEI],Tb_Atualizações[Explicações],"",0,-1)</f>
        <v>0</v>
      </c>
      <c r="AQ88" s="79" t="str">
        <f>_xlfn.XLOOKUP(Tb_Portfólio[[#This Row],[SEI]],Tb_Mapa[SEI],Tb_Mapa[CONSULTOR RESPONSÁVEL],"",0,-1)</f>
        <v>Tony/finalizado</v>
      </c>
    </row>
    <row r="89" spans="1:43" ht="120" hidden="1">
      <c r="A89" s="149" t="s">
        <v>805</v>
      </c>
      <c r="B89" s="662" t="s">
        <v>806</v>
      </c>
      <c r="C89" s="97" t="s">
        <v>807</v>
      </c>
      <c r="D89" s="97"/>
      <c r="E89" s="285" t="s">
        <v>592</v>
      </c>
      <c r="F89" s="2" t="s">
        <v>244</v>
      </c>
      <c r="G89" s="377" t="s">
        <v>784</v>
      </c>
      <c r="H89" s="7" t="s">
        <v>46</v>
      </c>
      <c r="I89" s="97" t="s">
        <v>785</v>
      </c>
      <c r="J89" s="97" t="s">
        <v>786</v>
      </c>
      <c r="K89" s="7"/>
      <c r="L89" s="262">
        <v>45323</v>
      </c>
      <c r="M89" s="257">
        <v>45657</v>
      </c>
      <c r="N89" s="298">
        <f>_xlfn.XLOOKUP(Tb_Portfólio[[#This Row],[SEI]],Tb_Atualizações[PROCESSO SEI],Tb_Atualizações[% PREVISTO],"",0,-1)</f>
        <v>1</v>
      </c>
      <c r="O89" s="258">
        <f>_xlfn.XLOOKUP(Tb_Portfólio[[#This Row],[SEI]],Tb_Atualizações[PROCESSO SEI],Tb_Atualizações[% EXECUTADO],"",0,-1)</f>
        <v>1</v>
      </c>
      <c r="P89" s="147">
        <f>IFERROR(Tb_Portfólio[[#This Row],[% EXECUTADO]]/Tb_Portfólio[[#This Row],[% PREVISTO]],"0%")</f>
        <v>1</v>
      </c>
      <c r="Q89" s="146">
        <f>_xlfn.XLOOKUP(Tb_Portfólio[[#This Row],[SEI]],Tb_Atualizações[PROCESSO SEI],Tb_Atualizações[DATA DE ATUALIZAÇÃO],"",0,-1)</f>
        <v>45642</v>
      </c>
      <c r="R89" s="336">
        <f>_xlfn.XLOOKUP(Tb_Portfólio[[#This Row],[SEI]],Tb_Atualizações[PROCESSO SEI],Tb_Atualizações[Mês],,0,-1)</f>
        <v>45627</v>
      </c>
      <c r="S89" s="259"/>
      <c r="T89" s="268" t="s">
        <v>787</v>
      </c>
      <c r="U8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89" s="209"/>
      <c r="W89" s="236">
        <f>IFERROR(Tb_Portfólio[[#This Row],[% EXECUTADO]]/Tb_Portfólio[[#This Row],[% PREVISTO]],0)</f>
        <v>1</v>
      </c>
      <c r="X89" s="302" t="s">
        <v>808</v>
      </c>
      <c r="Y89" s="150"/>
      <c r="Z89" s="150"/>
      <c r="AA89" s="496" t="s">
        <v>789</v>
      </c>
      <c r="AB89" s="285" t="s">
        <v>592</v>
      </c>
      <c r="AC89" s="7" t="s">
        <v>244</v>
      </c>
      <c r="AD89" s="97"/>
      <c r="AE89" s="330" t="s">
        <v>809</v>
      </c>
      <c r="AF89" s="273">
        <f t="shared" ca="1" si="3"/>
        <v>46176</v>
      </c>
      <c r="AG89" s="297" t="s">
        <v>791</v>
      </c>
      <c r="AH89" s="19" t="s">
        <v>244</v>
      </c>
      <c r="AJ89" s="79" t="str">
        <f>2024&amp;Tb_Portfólio[[#This Row],[SEI]]</f>
        <v>20241746612/2024</v>
      </c>
      <c r="AK89" t="str">
        <f>IFERROR(IF(MATCH(AJ89,Atualizações!$P$1:$P$1265,0)&gt;0, "Sim"), "Não")</f>
        <v>Sim</v>
      </c>
      <c r="AL89" s="79" t="str">
        <f>2025&amp;Tb_Portfólio[[#This Row],[SEI]]</f>
        <v>20251746612/2024</v>
      </c>
      <c r="AM89" t="str">
        <f>IFERROR(IF(MATCH(AL89,Atualizações!$P$1:$P$2994,0)&gt;0, "Sim"), "Não")</f>
        <v>Não</v>
      </c>
      <c r="AN89" s="79" t="str">
        <f>2026&amp;Tb_Portfólio[[#This Row],[SEI]]</f>
        <v>20261746612/2024</v>
      </c>
      <c r="AO89" t="str">
        <f>IFERROR(IF(MATCH(AN89,Atualizações!$P$1:$P$2994,0)&gt;0, "Sim"), "Não")</f>
        <v>Não</v>
      </c>
      <c r="AP89" s="79">
        <f>_xlfn.XLOOKUP(Tb_Portfólio[[#This Row],[SEI]],Tb_Atualizações[PROCESSO SEI],Tb_Atualizações[Explicações],"",0,-1)</f>
        <v>0</v>
      </c>
      <c r="AQ89" s="79" t="str">
        <f>_xlfn.XLOOKUP(Tb_Portfólio[[#This Row],[SEI]],Tb_Mapa[SEI],Tb_Mapa[CONSULTOR RESPONSÁVEL],"",0,-1)</f>
        <v>Tony/finalizado</v>
      </c>
    </row>
    <row r="90" spans="1:43" ht="120" hidden="1">
      <c r="A90" s="149" t="s">
        <v>810</v>
      </c>
      <c r="B90" s="103" t="s">
        <v>811</v>
      </c>
      <c r="C90" s="97" t="s">
        <v>812</v>
      </c>
      <c r="D90" s="97"/>
      <c r="E90" s="285" t="s">
        <v>592</v>
      </c>
      <c r="F90" s="7" t="s">
        <v>244</v>
      </c>
      <c r="G90" s="283" t="s">
        <v>784</v>
      </c>
      <c r="H90" s="7" t="s">
        <v>46</v>
      </c>
      <c r="I90" s="97" t="s">
        <v>785</v>
      </c>
      <c r="J90" s="97" t="s">
        <v>786</v>
      </c>
      <c r="K90" s="7"/>
      <c r="L90" s="262">
        <v>45323</v>
      </c>
      <c r="M90" s="257">
        <v>45657</v>
      </c>
      <c r="N90" s="298">
        <f>_xlfn.XLOOKUP(Tb_Portfólio[[#This Row],[SEI]],Tb_Atualizações[PROCESSO SEI],Tb_Atualizações[% PREVISTO],"",0,-1)</f>
        <v>1</v>
      </c>
      <c r="O90" s="258">
        <f>_xlfn.XLOOKUP(Tb_Portfólio[[#This Row],[SEI]],Tb_Atualizações[PROCESSO SEI],Tb_Atualizações[% EXECUTADO],"",0,-1)</f>
        <v>1</v>
      </c>
      <c r="P90" s="147">
        <f>IFERROR(Tb_Portfólio[[#This Row],[% EXECUTADO]]/Tb_Portfólio[[#This Row],[% PREVISTO]],"0%")</f>
        <v>1</v>
      </c>
      <c r="Q90" s="146">
        <f>_xlfn.XLOOKUP(Tb_Portfólio[[#This Row],[SEI]],Tb_Atualizações[PROCESSO SEI],Tb_Atualizações[DATA DE ATUALIZAÇÃO],"",0,-1)</f>
        <v>45642</v>
      </c>
      <c r="R90" s="336">
        <f>_xlfn.XLOOKUP(Tb_Portfólio[[#This Row],[SEI]],Tb_Atualizações[PROCESSO SEI],Tb_Atualizações[Mês],,0,-1)</f>
        <v>45627</v>
      </c>
      <c r="S90" s="259"/>
      <c r="T90" s="268" t="s">
        <v>787</v>
      </c>
      <c r="U90"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0" s="95"/>
      <c r="W90" s="236">
        <f>IFERROR(Tb_Portfólio[[#This Row],[% EXECUTADO]]/Tb_Portfólio[[#This Row],[% PREVISTO]],0)</f>
        <v>1</v>
      </c>
      <c r="X90" s="326" t="s">
        <v>813</v>
      </c>
      <c r="Y90" s="150"/>
      <c r="Z90" s="150"/>
      <c r="AA90" s="329" t="s">
        <v>789</v>
      </c>
      <c r="AB90" s="285" t="s">
        <v>592</v>
      </c>
      <c r="AC90" s="7" t="s">
        <v>244</v>
      </c>
      <c r="AD90" s="97"/>
      <c r="AE90" s="330" t="s">
        <v>813</v>
      </c>
      <c r="AF90" s="273">
        <f t="shared" ca="1" si="3"/>
        <v>46176</v>
      </c>
      <c r="AG90" s="297" t="s">
        <v>791</v>
      </c>
      <c r="AH90" s="19" t="s">
        <v>244</v>
      </c>
      <c r="AJ90" s="79" t="str">
        <f>2024&amp;Tb_Portfólio[[#This Row],[SEI]]</f>
        <v>20241746613/2024</v>
      </c>
      <c r="AK90" t="str">
        <f>IFERROR(IF(MATCH(AJ90,Atualizações!$P$1:$P$1265,0)&gt;0, "Sim"), "Não")</f>
        <v>Sim</v>
      </c>
      <c r="AL90" s="79" t="str">
        <f>2025&amp;Tb_Portfólio[[#This Row],[SEI]]</f>
        <v>20251746613/2024</v>
      </c>
      <c r="AM90" t="str">
        <f>IFERROR(IF(MATCH(AL90,Atualizações!$P$1:$P$2994,0)&gt;0, "Sim"), "Não")</f>
        <v>Não</v>
      </c>
      <c r="AN90" s="79" t="str">
        <f>2026&amp;Tb_Portfólio[[#This Row],[SEI]]</f>
        <v>20261746613/2024</v>
      </c>
      <c r="AO90" t="str">
        <f>IFERROR(IF(MATCH(AN90,Atualizações!$P$1:$P$2994,0)&gt;0, "Sim"), "Não")</f>
        <v>Não</v>
      </c>
      <c r="AP90" s="79">
        <f>_xlfn.XLOOKUP(Tb_Portfólio[[#This Row],[SEI]],Tb_Atualizações[PROCESSO SEI],Tb_Atualizações[Explicações],"",0,-1)</f>
        <v>0</v>
      </c>
      <c r="AQ90" s="79" t="str">
        <f>_xlfn.XLOOKUP(Tb_Portfólio[[#This Row],[SEI]],Tb_Mapa[SEI],Tb_Mapa[CONSULTOR RESPONSÁVEL],"",0,-1)</f>
        <v>Tony/finalizado</v>
      </c>
    </row>
    <row r="91" spans="1:43" ht="150" hidden="1" customHeight="1">
      <c r="A91" s="149" t="s">
        <v>814</v>
      </c>
      <c r="B91" s="662" t="s">
        <v>815</v>
      </c>
      <c r="C91" s="97" t="s">
        <v>816</v>
      </c>
      <c r="D91" s="97"/>
      <c r="E91" s="285" t="s">
        <v>592</v>
      </c>
      <c r="F91" s="7" t="s">
        <v>244</v>
      </c>
      <c r="G91" s="283" t="s">
        <v>784</v>
      </c>
      <c r="H91" s="7" t="s">
        <v>46</v>
      </c>
      <c r="I91" s="97" t="s">
        <v>785</v>
      </c>
      <c r="J91" s="97" t="s">
        <v>786</v>
      </c>
      <c r="K91" s="7"/>
      <c r="L91" s="262">
        <v>45323</v>
      </c>
      <c r="M91" s="257">
        <v>45657</v>
      </c>
      <c r="N91" s="298">
        <f>_xlfn.XLOOKUP(Tb_Portfólio[[#This Row],[SEI]],Tb_Atualizações[PROCESSO SEI],Tb_Atualizações[% PREVISTO],"",0,-1)</f>
        <v>1</v>
      </c>
      <c r="O91" s="258">
        <f>_xlfn.XLOOKUP(Tb_Portfólio[[#This Row],[SEI]],Tb_Atualizações[PROCESSO SEI],Tb_Atualizações[% EXECUTADO],"",0,-1)</f>
        <v>1</v>
      </c>
      <c r="P91" s="147">
        <f>IFERROR(Tb_Portfólio[[#This Row],[% EXECUTADO]]/Tb_Portfólio[[#This Row],[% PREVISTO]],"0%")</f>
        <v>1</v>
      </c>
      <c r="Q91" s="146">
        <f>_xlfn.XLOOKUP(Tb_Portfólio[[#This Row],[SEI]],Tb_Atualizações[PROCESSO SEI],Tb_Atualizações[DATA DE ATUALIZAÇÃO],"",0,-1)</f>
        <v>45642</v>
      </c>
      <c r="R91" s="336">
        <f>_xlfn.XLOOKUP(Tb_Portfólio[[#This Row],[SEI]],Tb_Atualizações[PROCESSO SEI],Tb_Atualizações[Mês],,0,-1)</f>
        <v>45627</v>
      </c>
      <c r="S91" s="259"/>
      <c r="T91" s="268" t="s">
        <v>787</v>
      </c>
      <c r="U9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1" s="95"/>
      <c r="W91" s="236">
        <f>IFERROR(Tb_Portfólio[[#This Row],[% EXECUTADO]]/Tb_Portfólio[[#This Row],[% PREVISTO]],0)</f>
        <v>1</v>
      </c>
      <c r="X91" s="326" t="s">
        <v>817</v>
      </c>
      <c r="Y91" s="150"/>
      <c r="Z91" s="150"/>
      <c r="AA91" s="329" t="s">
        <v>789</v>
      </c>
      <c r="AB91" s="372" t="s">
        <v>592</v>
      </c>
      <c r="AC91" s="2" t="s">
        <v>244</v>
      </c>
      <c r="AD91" s="97"/>
      <c r="AE91" s="330" t="s">
        <v>817</v>
      </c>
      <c r="AF91" s="273">
        <f t="shared" ca="1" si="3"/>
        <v>46176</v>
      </c>
      <c r="AG91" s="297" t="s">
        <v>791</v>
      </c>
      <c r="AH91" s="19" t="s">
        <v>244</v>
      </c>
      <c r="AJ91" s="79" t="str">
        <f>2024&amp;Tb_Portfólio[[#This Row],[SEI]]</f>
        <v>20241746614/2024</v>
      </c>
      <c r="AK91" t="str">
        <f>IFERROR(IF(MATCH(AJ91,Atualizações!$P$1:$P$1265,0)&gt;0, "Sim"), "Não")</f>
        <v>Sim</v>
      </c>
      <c r="AL91" s="79" t="str">
        <f>2025&amp;Tb_Portfólio[[#This Row],[SEI]]</f>
        <v>20251746614/2024</v>
      </c>
      <c r="AM91" t="str">
        <f>IFERROR(IF(MATCH(AL91,Atualizações!$P$1:$P$2994,0)&gt;0, "Sim"), "Não")</f>
        <v>Não</v>
      </c>
      <c r="AN91" s="79" t="str">
        <f>2026&amp;Tb_Portfólio[[#This Row],[SEI]]</f>
        <v>20261746614/2024</v>
      </c>
      <c r="AO91" t="str">
        <f>IFERROR(IF(MATCH(AN91,Atualizações!$P$1:$P$2994,0)&gt;0, "Sim"), "Não")</f>
        <v>Não</v>
      </c>
      <c r="AP91" s="79">
        <f>_xlfn.XLOOKUP(Tb_Portfólio[[#This Row],[SEI]],Tb_Atualizações[PROCESSO SEI],Tb_Atualizações[Explicações],"",0,-1)</f>
        <v>0</v>
      </c>
      <c r="AQ91" s="79" t="str">
        <f>_xlfn.XLOOKUP(Tb_Portfólio[[#This Row],[SEI]],Tb_Mapa[SEI],Tb_Mapa[CONSULTOR RESPONSÁVEL],"",0,-1)</f>
        <v>Tony/finalizado</v>
      </c>
    </row>
    <row r="92" spans="1:43" ht="120" hidden="1">
      <c r="A92" s="149" t="s">
        <v>818</v>
      </c>
      <c r="B92" s="662" t="s">
        <v>819</v>
      </c>
      <c r="C92" s="97" t="s">
        <v>820</v>
      </c>
      <c r="D92" s="97"/>
      <c r="E92" s="285" t="s">
        <v>592</v>
      </c>
      <c r="F92" s="2" t="s">
        <v>244</v>
      </c>
      <c r="G92" s="283" t="s">
        <v>784</v>
      </c>
      <c r="H92" s="2" t="s">
        <v>46</v>
      </c>
      <c r="I92" s="97" t="s">
        <v>785</v>
      </c>
      <c r="J92" s="97" t="s">
        <v>786</v>
      </c>
      <c r="K92" s="7"/>
      <c r="L92" s="262">
        <v>45323</v>
      </c>
      <c r="M92" s="257">
        <v>45716</v>
      </c>
      <c r="N92" s="298">
        <f>_xlfn.XLOOKUP(Tb_Portfólio[[#This Row],[SEI]],Tb_Atualizações[PROCESSO SEI],Tb_Atualizações[% PREVISTO],"",0,-1)</f>
        <v>1</v>
      </c>
      <c r="O92" s="258">
        <f>_xlfn.XLOOKUP(Tb_Portfólio[[#This Row],[SEI]],Tb_Atualizações[PROCESSO SEI],Tb_Atualizações[% EXECUTADO],"",0,-1)</f>
        <v>1</v>
      </c>
      <c r="P92" s="147">
        <f>IFERROR(Tb_Portfólio[[#This Row],[% EXECUTADO]]/Tb_Portfólio[[#This Row],[% PREVISTO]],"0%")</f>
        <v>1</v>
      </c>
      <c r="Q92" s="146">
        <f>_xlfn.XLOOKUP(Tb_Portfólio[[#This Row],[SEI]],Tb_Atualizações[PROCESSO SEI],Tb_Atualizações[DATA DE ATUALIZAÇÃO],"",0,-1)</f>
        <v>45642</v>
      </c>
      <c r="R92" s="336">
        <f>_xlfn.XLOOKUP(Tb_Portfólio[[#This Row],[SEI]],Tb_Atualizações[PROCESSO SEI],Tb_Atualizações[Mês],,0,-1)</f>
        <v>45627</v>
      </c>
      <c r="S92" s="259"/>
      <c r="T92" s="268" t="s">
        <v>787</v>
      </c>
      <c r="U9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2" s="95"/>
      <c r="W92" s="236">
        <f>IFERROR(Tb_Portfólio[[#This Row],[% EXECUTADO]]/Tb_Portfólio[[#This Row],[% PREVISTO]],0)</f>
        <v>1</v>
      </c>
      <c r="X92" s="301" t="s">
        <v>821</v>
      </c>
      <c r="Y92" s="150"/>
      <c r="Z92" s="150"/>
      <c r="AA92" s="329" t="s">
        <v>789</v>
      </c>
      <c r="AB92" s="285" t="s">
        <v>592</v>
      </c>
      <c r="AC92" s="7" t="s">
        <v>244</v>
      </c>
      <c r="AD92" s="97"/>
      <c r="AE92" s="305"/>
      <c r="AF92" s="273">
        <f t="shared" ca="1" si="3"/>
        <v>46176</v>
      </c>
      <c r="AG92" s="297" t="s">
        <v>791</v>
      </c>
      <c r="AH92" s="19" t="s">
        <v>244</v>
      </c>
      <c r="AJ92" s="79" t="str">
        <f>2024&amp;Tb_Portfólio[[#This Row],[SEI]]</f>
        <v>20241746615/2024</v>
      </c>
      <c r="AK92" t="str">
        <f>IFERROR(IF(MATCH(AJ92,Atualizações!$P$1:$P$1265,0)&gt;0, "Sim"), "Não")</f>
        <v>Sim</v>
      </c>
      <c r="AL92" s="79" t="str">
        <f>2025&amp;Tb_Portfólio[[#This Row],[SEI]]</f>
        <v>20251746615/2024</v>
      </c>
      <c r="AM92" t="str">
        <f>IFERROR(IF(MATCH(AL92,Atualizações!$P$1:$P$2994,0)&gt;0, "Sim"), "Não")</f>
        <v>Não</v>
      </c>
      <c r="AN92" s="79" t="str">
        <f>2026&amp;Tb_Portfólio[[#This Row],[SEI]]</f>
        <v>20261746615/2024</v>
      </c>
      <c r="AO92" t="str">
        <f>IFERROR(IF(MATCH(AN92,Atualizações!$P$1:$P$2994,0)&gt;0, "Sim"), "Não")</f>
        <v>Não</v>
      </c>
      <c r="AP92" s="79">
        <f>_xlfn.XLOOKUP(Tb_Portfólio[[#This Row],[SEI]],Tb_Atualizações[PROCESSO SEI],Tb_Atualizações[Explicações],"",0,-1)</f>
        <v>0</v>
      </c>
      <c r="AQ92" s="79" t="str">
        <f>_xlfn.XLOOKUP(Tb_Portfólio[[#This Row],[SEI]],Tb_Mapa[SEI],Tb_Mapa[CONSULTOR RESPONSÁVEL],"",0,-1)</f>
        <v>Tony/finalizado</v>
      </c>
    </row>
    <row r="93" spans="1:43" ht="120" hidden="1">
      <c r="A93" s="149" t="s">
        <v>822</v>
      </c>
      <c r="B93" s="103" t="s">
        <v>823</v>
      </c>
      <c r="C93" s="97" t="s">
        <v>824</v>
      </c>
      <c r="D93" s="97"/>
      <c r="E93" s="285" t="s">
        <v>592</v>
      </c>
      <c r="F93" s="7" t="s">
        <v>244</v>
      </c>
      <c r="G93" s="283" t="s">
        <v>784</v>
      </c>
      <c r="H93" s="2" t="s">
        <v>46</v>
      </c>
      <c r="I93" s="97" t="s">
        <v>785</v>
      </c>
      <c r="J93" s="97" t="s">
        <v>786</v>
      </c>
      <c r="K93" s="7"/>
      <c r="L93" s="262">
        <v>45323</v>
      </c>
      <c r="M93" s="257">
        <v>45657</v>
      </c>
      <c r="N93" s="298">
        <f>_xlfn.XLOOKUP(Tb_Portfólio[[#This Row],[SEI]],Tb_Atualizações[PROCESSO SEI],Tb_Atualizações[% PREVISTO],"",0,-1)</f>
        <v>1</v>
      </c>
      <c r="O93" s="258">
        <f>_xlfn.XLOOKUP(Tb_Portfólio[[#This Row],[SEI]],Tb_Atualizações[PROCESSO SEI],Tb_Atualizações[% EXECUTADO],"",0,-1)</f>
        <v>1</v>
      </c>
      <c r="P93" s="147">
        <f>IFERROR(Tb_Portfólio[[#This Row],[% EXECUTADO]]/Tb_Portfólio[[#This Row],[% PREVISTO]],"0%")</f>
        <v>1</v>
      </c>
      <c r="Q93" s="146">
        <f>_xlfn.XLOOKUP(Tb_Portfólio[[#This Row],[SEI]],Tb_Atualizações[PROCESSO SEI],Tb_Atualizações[DATA DE ATUALIZAÇÃO],"",0,-1)</f>
        <v>45642</v>
      </c>
      <c r="R93" s="336">
        <f>_xlfn.XLOOKUP(Tb_Portfólio[[#This Row],[SEI]],Tb_Atualizações[PROCESSO SEI],Tb_Atualizações[Mês],,0,-1)</f>
        <v>45627</v>
      </c>
      <c r="S93" s="259"/>
      <c r="T93" s="268" t="s">
        <v>787</v>
      </c>
      <c r="U93"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3" s="95"/>
      <c r="W93" s="236">
        <f>IFERROR(Tb_Portfólio[[#This Row],[% EXECUTADO]]/Tb_Portfólio[[#This Row],[% PREVISTO]],0)</f>
        <v>1</v>
      </c>
      <c r="X93" s="326" t="s">
        <v>825</v>
      </c>
      <c r="Y93" s="150"/>
      <c r="Z93" s="150"/>
      <c r="AA93" s="207" t="s">
        <v>789</v>
      </c>
      <c r="AB93" s="281" t="s">
        <v>592</v>
      </c>
      <c r="AC93" s="7" t="s">
        <v>244</v>
      </c>
      <c r="AD93" s="97"/>
      <c r="AE93" s="330" t="s">
        <v>825</v>
      </c>
      <c r="AF93" s="273">
        <f t="shared" ca="1" si="3"/>
        <v>46176</v>
      </c>
      <c r="AG93" s="297" t="s">
        <v>791</v>
      </c>
      <c r="AH93" s="19" t="s">
        <v>244</v>
      </c>
      <c r="AJ93" s="79" t="str">
        <f>2024&amp;Tb_Portfólio[[#This Row],[SEI]]</f>
        <v>20241746616/2024</v>
      </c>
      <c r="AK93" t="str">
        <f>IFERROR(IF(MATCH(AJ93,Atualizações!$P$1:$P$1265,0)&gt;0, "Sim"), "Não")</f>
        <v>Sim</v>
      </c>
      <c r="AL93" s="79" t="str">
        <f>2025&amp;Tb_Portfólio[[#This Row],[SEI]]</f>
        <v>20251746616/2024</v>
      </c>
      <c r="AM93" t="str">
        <f>IFERROR(IF(MATCH(AL93,Atualizações!$P$1:$P$2994,0)&gt;0, "Sim"), "Não")</f>
        <v>Não</v>
      </c>
      <c r="AN93" s="79" t="str">
        <f>2026&amp;Tb_Portfólio[[#This Row],[SEI]]</f>
        <v>20261746616/2024</v>
      </c>
      <c r="AO93" t="str">
        <f>IFERROR(IF(MATCH(AN93,Atualizações!$P$1:$P$2994,0)&gt;0, "Sim"), "Não")</f>
        <v>Não</v>
      </c>
      <c r="AP93" s="79">
        <f>_xlfn.XLOOKUP(Tb_Portfólio[[#This Row],[SEI]],Tb_Atualizações[PROCESSO SEI],Tb_Atualizações[Explicações],"",0,-1)</f>
        <v>0</v>
      </c>
      <c r="AQ93" s="79" t="str">
        <f>_xlfn.XLOOKUP(Tb_Portfólio[[#This Row],[SEI]],Tb_Mapa[SEI],Tb_Mapa[CONSULTOR RESPONSÁVEL],"",0,-1)</f>
        <v>Tony/finalizado</v>
      </c>
    </row>
    <row r="94" spans="1:43" ht="120" hidden="1">
      <c r="A94" s="149" t="s">
        <v>826</v>
      </c>
      <c r="B94" s="103" t="s">
        <v>827</v>
      </c>
      <c r="C94" s="97" t="s">
        <v>828</v>
      </c>
      <c r="D94" s="97"/>
      <c r="E94" s="285" t="s">
        <v>592</v>
      </c>
      <c r="F94" s="7" t="s">
        <v>244</v>
      </c>
      <c r="G94" s="283" t="s">
        <v>784</v>
      </c>
      <c r="H94" s="7" t="s">
        <v>46</v>
      </c>
      <c r="I94" s="97" t="s">
        <v>785</v>
      </c>
      <c r="J94" s="97" t="s">
        <v>786</v>
      </c>
      <c r="K94" s="7"/>
      <c r="L94" s="262">
        <v>45323</v>
      </c>
      <c r="M94" s="257">
        <v>45657</v>
      </c>
      <c r="N94" s="298">
        <f>_xlfn.XLOOKUP(Tb_Portfólio[[#This Row],[SEI]],Tb_Atualizações[PROCESSO SEI],Tb_Atualizações[% PREVISTO],"",0,-1)</f>
        <v>1</v>
      </c>
      <c r="O94" s="258">
        <f>_xlfn.XLOOKUP(Tb_Portfólio[[#This Row],[SEI]],Tb_Atualizações[PROCESSO SEI],Tb_Atualizações[% EXECUTADO],"",0,-1)</f>
        <v>1</v>
      </c>
      <c r="P94" s="147">
        <f>IFERROR(Tb_Portfólio[[#This Row],[% EXECUTADO]]/Tb_Portfólio[[#This Row],[% PREVISTO]],"0%")</f>
        <v>1</v>
      </c>
      <c r="Q94" s="146">
        <f>_xlfn.XLOOKUP(Tb_Portfólio[[#This Row],[SEI]],Tb_Atualizações[PROCESSO SEI],Tb_Atualizações[DATA DE ATUALIZAÇÃO],"",0,-1)</f>
        <v>45642</v>
      </c>
      <c r="R94" s="336">
        <f>_xlfn.XLOOKUP(Tb_Portfólio[[#This Row],[SEI]],Tb_Atualizações[PROCESSO SEI],Tb_Atualizações[Mês],,0,-1)</f>
        <v>45627</v>
      </c>
      <c r="S94" s="259"/>
      <c r="T94" s="268" t="s">
        <v>787</v>
      </c>
      <c r="U94"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4" s="95"/>
      <c r="W94" s="236">
        <f>IFERROR(Tb_Portfólio[[#This Row],[% EXECUTADO]]/Tb_Portfólio[[#This Row],[% PREVISTO]],0)</f>
        <v>1</v>
      </c>
      <c r="X94" s="326" t="s">
        <v>829</v>
      </c>
      <c r="Y94" s="150"/>
      <c r="Z94" s="226"/>
      <c r="AA94" s="207" t="s">
        <v>789</v>
      </c>
      <c r="AB94" s="285" t="s">
        <v>592</v>
      </c>
      <c r="AC94" s="7" t="s">
        <v>244</v>
      </c>
      <c r="AD94" s="97"/>
      <c r="AE94" s="330" t="s">
        <v>829</v>
      </c>
      <c r="AF94" s="273">
        <f t="shared" ca="1" si="3"/>
        <v>46176</v>
      </c>
      <c r="AG94" s="297" t="s">
        <v>791</v>
      </c>
      <c r="AH94" s="19" t="s">
        <v>244</v>
      </c>
      <c r="AJ94" s="79" t="str">
        <f>2024&amp;Tb_Portfólio[[#This Row],[SEI]]</f>
        <v>20241746617/2024</v>
      </c>
      <c r="AK94" t="str">
        <f>IFERROR(IF(MATCH(AJ94,Atualizações!$P$1:$P$1265,0)&gt;0, "Sim"), "Não")</f>
        <v>Sim</v>
      </c>
      <c r="AL94" s="79" t="str">
        <f>2025&amp;Tb_Portfólio[[#This Row],[SEI]]</f>
        <v>20251746617/2024</v>
      </c>
      <c r="AM94" t="str">
        <f>IFERROR(IF(MATCH(AL94,Atualizações!$P$1:$P$2994,0)&gt;0, "Sim"), "Não")</f>
        <v>Não</v>
      </c>
      <c r="AN94" s="79" t="str">
        <f>2026&amp;Tb_Portfólio[[#This Row],[SEI]]</f>
        <v>20261746617/2024</v>
      </c>
      <c r="AO94" t="str">
        <f>IFERROR(IF(MATCH(AN94,Atualizações!$P$1:$P$2994,0)&gt;0, "Sim"), "Não")</f>
        <v>Não</v>
      </c>
      <c r="AP94" s="79">
        <f>_xlfn.XLOOKUP(Tb_Portfólio[[#This Row],[SEI]],Tb_Atualizações[PROCESSO SEI],Tb_Atualizações[Explicações],"",0,-1)</f>
        <v>0</v>
      </c>
      <c r="AQ94" s="79" t="str">
        <f>_xlfn.XLOOKUP(Tb_Portfólio[[#This Row],[SEI]],Tb_Mapa[SEI],Tb_Mapa[CONSULTOR RESPONSÁVEL],"",0,-1)</f>
        <v>Tony/finalizado</v>
      </c>
    </row>
    <row r="95" spans="1:43" ht="120" hidden="1">
      <c r="A95" s="149" t="s">
        <v>830</v>
      </c>
      <c r="B95" s="662" t="s">
        <v>831</v>
      </c>
      <c r="C95" s="97" t="s">
        <v>832</v>
      </c>
      <c r="D95" s="97"/>
      <c r="E95" s="281" t="s">
        <v>592</v>
      </c>
      <c r="F95" s="2" t="s">
        <v>244</v>
      </c>
      <c r="G95" s="283" t="s">
        <v>784</v>
      </c>
      <c r="H95" s="7" t="s">
        <v>46</v>
      </c>
      <c r="I95" s="97" t="s">
        <v>785</v>
      </c>
      <c r="J95" s="97" t="s">
        <v>786</v>
      </c>
      <c r="K95" s="7"/>
      <c r="L95" s="262">
        <v>45323</v>
      </c>
      <c r="M95" s="257">
        <v>45657</v>
      </c>
      <c r="N95" s="298">
        <f>_xlfn.XLOOKUP(Tb_Portfólio[[#This Row],[SEI]],Tb_Atualizações[PROCESSO SEI],Tb_Atualizações[% PREVISTO],"",0,-1)</f>
        <v>1</v>
      </c>
      <c r="O95" s="258">
        <f>_xlfn.XLOOKUP(Tb_Portfólio[[#This Row],[SEI]],Tb_Atualizações[PROCESSO SEI],Tb_Atualizações[% EXECUTADO],"",0,-1)</f>
        <v>1</v>
      </c>
      <c r="P95" s="147">
        <f>IFERROR(Tb_Portfólio[[#This Row],[% EXECUTADO]]/Tb_Portfólio[[#This Row],[% PREVISTO]],"0%")</f>
        <v>1</v>
      </c>
      <c r="Q95" s="146">
        <f>_xlfn.XLOOKUP(Tb_Portfólio[[#This Row],[SEI]],Tb_Atualizações[PROCESSO SEI],Tb_Atualizações[DATA DE ATUALIZAÇÃO],"",0,-1)</f>
        <v>45642</v>
      </c>
      <c r="R95" s="336">
        <f>_xlfn.XLOOKUP(Tb_Portfólio[[#This Row],[SEI]],Tb_Atualizações[PROCESSO SEI],Tb_Atualizações[Mês],,0,-1)</f>
        <v>45627</v>
      </c>
      <c r="S95" s="259"/>
      <c r="T95" s="268" t="s">
        <v>787</v>
      </c>
      <c r="U95"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5" s="95"/>
      <c r="W95" s="236">
        <f>IFERROR(Tb_Portfólio[[#This Row],[% EXECUTADO]]/Tb_Portfólio[[#This Row],[% PREVISTO]],0)</f>
        <v>1</v>
      </c>
      <c r="X95" s="326" t="s">
        <v>833</v>
      </c>
      <c r="Y95" s="150"/>
      <c r="Z95" s="150"/>
      <c r="AA95" s="207" t="s">
        <v>789</v>
      </c>
      <c r="AB95" s="285" t="s">
        <v>592</v>
      </c>
      <c r="AC95" s="7" t="s">
        <v>244</v>
      </c>
      <c r="AD95" s="97"/>
      <c r="AE95" s="330" t="s">
        <v>833</v>
      </c>
      <c r="AF95" s="273">
        <f t="shared" ca="1" si="3"/>
        <v>46176</v>
      </c>
      <c r="AG95" s="377" t="s">
        <v>791</v>
      </c>
      <c r="AH95" s="19" t="s">
        <v>244</v>
      </c>
      <c r="AJ95" s="79" t="str">
        <f>2024&amp;Tb_Portfólio[[#This Row],[SEI]]</f>
        <v>20241746618/2024</v>
      </c>
      <c r="AK95" t="str">
        <f>IFERROR(IF(MATCH(AJ95,Atualizações!$P$1:$P$1265,0)&gt;0, "Sim"), "Não")</f>
        <v>Sim</v>
      </c>
      <c r="AL95" s="79" t="str">
        <f>2025&amp;Tb_Portfólio[[#This Row],[SEI]]</f>
        <v>20251746618/2024</v>
      </c>
      <c r="AM95" t="str">
        <f>IFERROR(IF(MATCH(AL95,Atualizações!$P$1:$P$2994,0)&gt;0, "Sim"), "Não")</f>
        <v>Não</v>
      </c>
      <c r="AN95" s="79" t="str">
        <f>2026&amp;Tb_Portfólio[[#This Row],[SEI]]</f>
        <v>20261746618/2024</v>
      </c>
      <c r="AO95" t="str">
        <f>IFERROR(IF(MATCH(AN95,Atualizações!$P$1:$P$2994,0)&gt;0, "Sim"), "Não")</f>
        <v>Não</v>
      </c>
      <c r="AP95" s="79">
        <f>_xlfn.XLOOKUP(Tb_Portfólio[[#This Row],[SEI]],Tb_Atualizações[PROCESSO SEI],Tb_Atualizações[Explicações],"",0,-1)</f>
        <v>0</v>
      </c>
      <c r="AQ95" s="79" t="str">
        <f>_xlfn.XLOOKUP(Tb_Portfólio[[#This Row],[SEI]],Tb_Mapa[SEI],Tb_Mapa[CONSULTOR RESPONSÁVEL],"",0,-1)</f>
        <v>Tony/finalizado</v>
      </c>
    </row>
    <row r="96" spans="1:43" ht="120" hidden="1">
      <c r="A96" s="149" t="s">
        <v>834</v>
      </c>
      <c r="B96" s="103" t="s">
        <v>835</v>
      </c>
      <c r="C96" s="97" t="s">
        <v>836</v>
      </c>
      <c r="D96" s="97"/>
      <c r="E96" s="285" t="s">
        <v>592</v>
      </c>
      <c r="F96" s="7" t="s">
        <v>244</v>
      </c>
      <c r="G96" s="459" t="s">
        <v>784</v>
      </c>
      <c r="H96" s="7" t="s">
        <v>46</v>
      </c>
      <c r="I96" s="97" t="s">
        <v>785</v>
      </c>
      <c r="J96" s="97" t="s">
        <v>786</v>
      </c>
      <c r="K96" s="7"/>
      <c r="L96" s="262">
        <v>45323</v>
      </c>
      <c r="M96" s="257">
        <v>46011</v>
      </c>
      <c r="N96" s="298">
        <f>_xlfn.XLOOKUP(Tb_Portfólio[[#This Row],[SEI]],Tb_Atualizações[PROCESSO SEI],Tb_Atualizações[% PREVISTO],"",0,-1)</f>
        <v>1</v>
      </c>
      <c r="O96" s="258">
        <f>_xlfn.XLOOKUP(Tb_Portfólio[[#This Row],[SEI]],Tb_Atualizações[PROCESSO SEI],Tb_Atualizações[% EXECUTADO],"",0,-1)</f>
        <v>1</v>
      </c>
      <c r="P96" s="147">
        <f>IFERROR(Tb_Portfólio[[#This Row],[% EXECUTADO]]/Tb_Portfólio[[#This Row],[% PREVISTO]],"0%")</f>
        <v>1</v>
      </c>
      <c r="Q96" s="146">
        <f>_xlfn.XLOOKUP(Tb_Portfólio[[#This Row],[SEI]],Tb_Atualizações[PROCESSO SEI],Tb_Atualizações[DATA DE ATUALIZAÇÃO],"",0,-1)</f>
        <v>45950</v>
      </c>
      <c r="R96" s="336">
        <f>_xlfn.XLOOKUP(Tb_Portfólio[[#This Row],[SEI]],Tb_Atualizações[PROCESSO SEI],Tb_Atualizações[Mês],,0,-1)</f>
        <v>45992</v>
      </c>
      <c r="S96" s="259"/>
      <c r="T96" s="268" t="s">
        <v>787</v>
      </c>
      <c r="U96"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6" s="95"/>
      <c r="W96" s="236">
        <f>IFERROR(Tb_Portfólio[[#This Row],[% EXECUTADO]]/Tb_Portfólio[[#This Row],[% PREVISTO]],0)</f>
        <v>1</v>
      </c>
      <c r="X96" s="326" t="s">
        <v>837</v>
      </c>
      <c r="Y96" s="150"/>
      <c r="Z96" s="150"/>
      <c r="AA96" s="207" t="s">
        <v>789</v>
      </c>
      <c r="AB96" s="285" t="s">
        <v>592</v>
      </c>
      <c r="AC96" s="7" t="s">
        <v>244</v>
      </c>
      <c r="AD96" s="97"/>
      <c r="AE96" s="330" t="s">
        <v>838</v>
      </c>
      <c r="AF96" s="273">
        <f t="shared" ca="1" si="3"/>
        <v>46176</v>
      </c>
      <c r="AG96" s="297" t="s">
        <v>791</v>
      </c>
      <c r="AH96" s="19" t="s">
        <v>244</v>
      </c>
      <c r="AJ96" s="79" t="str">
        <f>2024&amp;Tb_Portfólio[[#This Row],[SEI]]</f>
        <v>20241746619/2024</v>
      </c>
      <c r="AK96" t="str">
        <f>IFERROR(IF(MATCH(AJ96,Atualizações!$P$1:$P$1265,0)&gt;0, "Sim"), "Não")</f>
        <v>Sim</v>
      </c>
      <c r="AL96" s="79" t="str">
        <f>2025&amp;Tb_Portfólio[[#This Row],[SEI]]</f>
        <v>20251746619/2024</v>
      </c>
      <c r="AM96" t="str">
        <f>IFERROR(IF(MATCH(AL96,Atualizações!$P$1:$P$2994,0)&gt;0, "Sim"), "Não")</f>
        <v>Sim</v>
      </c>
      <c r="AN96" s="79" t="str">
        <f>2026&amp;Tb_Portfólio[[#This Row],[SEI]]</f>
        <v>20261746619/2024</v>
      </c>
      <c r="AO96" t="str">
        <f>IFERROR(IF(MATCH(AN96,Atualizações!$P$1:$P$2994,0)&gt;0, "Sim"), "Não")</f>
        <v>Não</v>
      </c>
      <c r="AP96" s="79">
        <f>_xlfn.XLOOKUP(Tb_Portfólio[[#This Row],[SEI]],Tb_Atualizações[PROCESSO SEI],Tb_Atualizações[Explicações],"",0,-1)</f>
        <v>0</v>
      </c>
      <c r="AQ96" s="79" t="str">
        <f>_xlfn.XLOOKUP(Tb_Portfólio[[#This Row],[SEI]],Tb_Mapa[SEI],Tb_Mapa[CONSULTOR RESPONSÁVEL],"",0,-1)</f>
        <v>Tony</v>
      </c>
    </row>
    <row r="97" spans="1:43" ht="139.35" hidden="1" customHeight="1">
      <c r="A97" s="149" t="s">
        <v>839</v>
      </c>
      <c r="B97" s="662" t="s">
        <v>840</v>
      </c>
      <c r="C97" s="97" t="s">
        <v>841</v>
      </c>
      <c r="D97" s="97"/>
      <c r="E97" s="285" t="s">
        <v>592</v>
      </c>
      <c r="F97" s="7" t="s">
        <v>244</v>
      </c>
      <c r="G97" s="295" t="s">
        <v>784</v>
      </c>
      <c r="H97" s="7" t="s">
        <v>46</v>
      </c>
      <c r="I97" s="97" t="s">
        <v>785</v>
      </c>
      <c r="J97" s="97" t="s">
        <v>786</v>
      </c>
      <c r="K97" s="7"/>
      <c r="L97" s="262">
        <v>45323</v>
      </c>
      <c r="M97" s="257">
        <v>45657</v>
      </c>
      <c r="N97" s="298">
        <f>_xlfn.XLOOKUP(Tb_Portfólio[[#This Row],[SEI]],Tb_Atualizações[PROCESSO SEI],Tb_Atualizações[% PREVISTO],"",0,-1)</f>
        <v>1</v>
      </c>
      <c r="O97" s="258">
        <f>_xlfn.XLOOKUP(Tb_Portfólio[[#This Row],[SEI]],Tb_Atualizações[PROCESSO SEI],Tb_Atualizações[% EXECUTADO],"",0,-1)</f>
        <v>1</v>
      </c>
      <c r="P97" s="147">
        <f>IFERROR(Tb_Portfólio[[#This Row],[% EXECUTADO]]/Tb_Portfólio[[#This Row],[% PREVISTO]],"0%")</f>
        <v>1</v>
      </c>
      <c r="Q97" s="146">
        <f>_xlfn.XLOOKUP(Tb_Portfólio[[#This Row],[SEI]],Tb_Atualizações[PROCESSO SEI],Tb_Atualizações[DATA DE ATUALIZAÇÃO],"",0,-1)</f>
        <v>45642</v>
      </c>
      <c r="R97" s="336">
        <f>_xlfn.XLOOKUP(Tb_Portfólio[[#This Row],[SEI]],Tb_Atualizações[PROCESSO SEI],Tb_Atualizações[Mês],,0,-1)</f>
        <v>45627</v>
      </c>
      <c r="S97" s="259"/>
      <c r="T97" s="268" t="s">
        <v>787</v>
      </c>
      <c r="U97"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7" s="95"/>
      <c r="W97" s="236">
        <f>IFERROR(Tb_Portfólio[[#This Row],[% EXECUTADO]]/Tb_Portfólio[[#This Row],[% PREVISTO]],0)</f>
        <v>1</v>
      </c>
      <c r="X97" s="302" t="s">
        <v>842</v>
      </c>
      <c r="Y97" s="663"/>
      <c r="Z97" s="663"/>
      <c r="AA97" s="497" t="s">
        <v>789</v>
      </c>
      <c r="AB97" s="281" t="s">
        <v>592</v>
      </c>
      <c r="AC97" s="2" t="s">
        <v>244</v>
      </c>
      <c r="AD97" s="97"/>
      <c r="AE97" s="330" t="s">
        <v>843</v>
      </c>
      <c r="AF97" s="273">
        <f t="shared" ca="1" si="3"/>
        <v>46176</v>
      </c>
      <c r="AG97" s="296" t="s">
        <v>791</v>
      </c>
      <c r="AH97" s="19" t="s">
        <v>244</v>
      </c>
      <c r="AJ97" s="79" t="str">
        <f>2024&amp;Tb_Portfólio[[#This Row],[SEI]]</f>
        <v>2024174662/2024</v>
      </c>
      <c r="AK97" t="str">
        <f>IFERROR(IF(MATCH(AJ97,Atualizações!$P$1:$P$1265,0)&gt;0, "Sim"), "Não")</f>
        <v>Sim</v>
      </c>
      <c r="AL97" s="79" t="str">
        <f>2025&amp;Tb_Portfólio[[#This Row],[SEI]]</f>
        <v>2025174662/2024</v>
      </c>
      <c r="AM97" t="str">
        <f>IFERROR(IF(MATCH(AL97,Atualizações!$P$1:$P$2994,0)&gt;0, "Sim"), "Não")</f>
        <v>Não</v>
      </c>
      <c r="AN97" s="79" t="str">
        <f>2026&amp;Tb_Portfólio[[#This Row],[SEI]]</f>
        <v>2026174662/2024</v>
      </c>
      <c r="AO97" t="str">
        <f>IFERROR(IF(MATCH(AN97,Atualizações!$P$1:$P$2994,0)&gt;0, "Sim"), "Não")</f>
        <v>Não</v>
      </c>
      <c r="AP97" s="79">
        <f>_xlfn.XLOOKUP(Tb_Portfólio[[#This Row],[SEI]],Tb_Atualizações[PROCESSO SEI],Tb_Atualizações[Explicações],"",0,-1)</f>
        <v>0</v>
      </c>
      <c r="AQ97" s="79" t="str">
        <f>_xlfn.XLOOKUP(Tb_Portfólio[[#This Row],[SEI]],Tb_Mapa[SEI],Tb_Mapa[CONSULTOR RESPONSÁVEL],"",0,-1)</f>
        <v>Tony/finalizado</v>
      </c>
    </row>
    <row r="98" spans="1:43" ht="135" hidden="1">
      <c r="A98" s="149" t="s">
        <v>844</v>
      </c>
      <c r="B98" s="103" t="s">
        <v>845</v>
      </c>
      <c r="C98" s="97" t="s">
        <v>846</v>
      </c>
      <c r="D98" s="97"/>
      <c r="E98" s="285" t="s">
        <v>592</v>
      </c>
      <c r="F98" s="2" t="s">
        <v>244</v>
      </c>
      <c r="G98" s="283" t="s">
        <v>784</v>
      </c>
      <c r="H98" s="7" t="s">
        <v>46</v>
      </c>
      <c r="I98" s="97" t="s">
        <v>785</v>
      </c>
      <c r="J98" s="97" t="s">
        <v>786</v>
      </c>
      <c r="K98" s="7"/>
      <c r="L98" s="262">
        <v>45323</v>
      </c>
      <c r="M98" s="257">
        <v>46387</v>
      </c>
      <c r="N98" s="298">
        <f>_xlfn.XLOOKUP(Tb_Portfólio[[#This Row],[SEI]],Tb_Atualizações[PROCESSO SEI],Tb_Atualizações[% PREVISTO],"",0,-1)</f>
        <v>0.75</v>
      </c>
      <c r="O98" s="258">
        <f>_xlfn.XLOOKUP(Tb_Portfólio[[#This Row],[SEI]],Tb_Atualizações[PROCESSO SEI],Tb_Atualizações[% EXECUTADO],"",0,-1)</f>
        <v>0.75</v>
      </c>
      <c r="P98" s="147">
        <f>IFERROR(Tb_Portfólio[[#This Row],[% EXECUTADO]]/Tb_Portfólio[[#This Row],[% PREVISTO]],"0%")</f>
        <v>1</v>
      </c>
      <c r="Q98" s="146">
        <f>_xlfn.XLOOKUP(Tb_Portfólio[[#This Row],[SEI]],Tb_Atualizações[PROCESSO SEI],Tb_Atualizações[DATA DE ATUALIZAÇÃO],"",0,-1)</f>
        <v>46155</v>
      </c>
      <c r="R98" s="336">
        <f>_xlfn.XLOOKUP(Tb_Portfólio[[#This Row],[SEI]],Tb_Atualizações[PROCESSO SEI],Tb_Atualizações[Mês],,0,-1)</f>
        <v>46113</v>
      </c>
      <c r="S98" s="259"/>
      <c r="T98" s="268" t="s">
        <v>787</v>
      </c>
      <c r="U98" s="235"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98" s="95"/>
      <c r="W98" s="236">
        <f>IFERROR(Tb_Portfólio[[#This Row],[% EXECUTADO]]/Tb_Portfólio[[#This Row],[% PREVISTO]],0)</f>
        <v>1</v>
      </c>
      <c r="X98" s="302" t="s">
        <v>847</v>
      </c>
      <c r="Y98" s="150"/>
      <c r="Z98" s="150"/>
      <c r="AA98" s="207" t="s">
        <v>789</v>
      </c>
      <c r="AB98" s="285" t="s">
        <v>592</v>
      </c>
      <c r="AC98" s="2" t="s">
        <v>244</v>
      </c>
      <c r="AD98" s="97"/>
      <c r="AE98" s="330" t="s">
        <v>848</v>
      </c>
      <c r="AF98" s="273">
        <f t="shared" ca="1" si="3"/>
        <v>46176</v>
      </c>
      <c r="AG98" s="297" t="s">
        <v>791</v>
      </c>
      <c r="AH98" s="19" t="s">
        <v>244</v>
      </c>
      <c r="AJ98" s="79" t="str">
        <f>2024&amp;Tb_Portfólio[[#This Row],[SEI]]</f>
        <v>20241746620/2024</v>
      </c>
      <c r="AK98" t="str">
        <f>IFERROR(IF(MATCH(AJ98,Atualizações!$P$1:$P$1265,0)&gt;0, "Sim"), "Não")</f>
        <v>Sim</v>
      </c>
      <c r="AL98" s="79" t="str">
        <f>2025&amp;Tb_Portfólio[[#This Row],[SEI]]</f>
        <v>20251746620/2024</v>
      </c>
      <c r="AM98" t="str">
        <f>IFERROR(IF(MATCH(AL98,Atualizações!$P$1:$P$2994,0)&gt;0, "Sim"), "Não")</f>
        <v>Sim</v>
      </c>
      <c r="AN98" s="79" t="str">
        <f>2026&amp;Tb_Portfólio[[#This Row],[SEI]]</f>
        <v>20261746620/2024</v>
      </c>
      <c r="AO98" t="str">
        <f>IFERROR(IF(MATCH(AN98,Atualizações!$P$1:$P$2994,0)&gt;0, "Sim"), "Não")</f>
        <v>Sim</v>
      </c>
      <c r="AP98" s="79">
        <f>_xlfn.XLOOKUP(Tb_Portfólio[[#This Row],[SEI]],Tb_Atualizações[PROCESSO SEI],Tb_Atualizações[Explicações],"",0,-1)</f>
        <v>0</v>
      </c>
      <c r="AQ98" s="79" t="str">
        <f>_xlfn.XLOOKUP(Tb_Portfólio[[#This Row],[SEI]],Tb_Mapa[SEI],Tb_Mapa[CONSULTOR RESPONSÁVEL],"",0,-1)</f>
        <v>Tony</v>
      </c>
    </row>
    <row r="99" spans="1:43" ht="120" hidden="1">
      <c r="A99" s="149" t="s">
        <v>849</v>
      </c>
      <c r="B99" s="103" t="s">
        <v>850</v>
      </c>
      <c r="C99" s="97" t="s">
        <v>851</v>
      </c>
      <c r="D99" s="97"/>
      <c r="E99" s="281" t="s">
        <v>592</v>
      </c>
      <c r="F99" s="2" t="s">
        <v>244</v>
      </c>
      <c r="G99" s="283" t="s">
        <v>784</v>
      </c>
      <c r="H99" s="7" t="s">
        <v>46</v>
      </c>
      <c r="I99" s="97" t="s">
        <v>785</v>
      </c>
      <c r="J99" s="97" t="s">
        <v>786</v>
      </c>
      <c r="K99" s="7"/>
      <c r="L99" s="262">
        <v>45323</v>
      </c>
      <c r="M99" s="257">
        <v>45657</v>
      </c>
      <c r="N99" s="298">
        <f>_xlfn.XLOOKUP(Tb_Portfólio[[#This Row],[SEI]],Tb_Atualizações[PROCESSO SEI],Tb_Atualizações[% PREVISTO],"",0,-1)</f>
        <v>1</v>
      </c>
      <c r="O99" s="258">
        <f>_xlfn.XLOOKUP(Tb_Portfólio[[#This Row],[SEI]],Tb_Atualizações[PROCESSO SEI],Tb_Atualizações[% EXECUTADO],"",0,-1)</f>
        <v>1</v>
      </c>
      <c r="P99" s="147">
        <f>IFERROR(Tb_Portfólio[[#This Row],[% EXECUTADO]]/Tb_Portfólio[[#This Row],[% PREVISTO]],"0%")</f>
        <v>1</v>
      </c>
      <c r="Q99" s="146">
        <f>_xlfn.XLOOKUP(Tb_Portfólio[[#This Row],[SEI]],Tb_Atualizações[PROCESSO SEI],Tb_Atualizações[DATA DE ATUALIZAÇÃO],"",0,-1)</f>
        <v>45642</v>
      </c>
      <c r="R99" s="336">
        <f>_xlfn.XLOOKUP(Tb_Portfólio[[#This Row],[SEI]],Tb_Atualizações[PROCESSO SEI],Tb_Atualizações[Mês],,0,-1)</f>
        <v>45627</v>
      </c>
      <c r="S99" s="259"/>
      <c r="T99" s="268" t="s">
        <v>787</v>
      </c>
      <c r="U9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99" s="95"/>
      <c r="W99" s="236">
        <f>IFERROR(Tb_Portfólio[[#This Row],[% EXECUTADO]]/Tb_Portfólio[[#This Row],[% PREVISTO]],0)</f>
        <v>1</v>
      </c>
      <c r="X99" s="326" t="s">
        <v>852</v>
      </c>
      <c r="Y99" s="150"/>
      <c r="Z99" s="150"/>
      <c r="AA99" s="329" t="s">
        <v>789</v>
      </c>
      <c r="AB99" s="281" t="s">
        <v>592</v>
      </c>
      <c r="AC99" s="7" t="s">
        <v>244</v>
      </c>
      <c r="AD99" s="97"/>
      <c r="AE99" s="330" t="s">
        <v>852</v>
      </c>
      <c r="AF99" s="273">
        <f t="shared" ca="1" si="3"/>
        <v>46176</v>
      </c>
      <c r="AG99" s="297" t="s">
        <v>791</v>
      </c>
      <c r="AH99" s="19" t="s">
        <v>244</v>
      </c>
      <c r="AJ99" s="79" t="str">
        <f>2024&amp;Tb_Portfólio[[#This Row],[SEI]]</f>
        <v>20241746621/2024</v>
      </c>
      <c r="AK99" t="str">
        <f>IFERROR(IF(MATCH(AJ99,Atualizações!$P$1:$P$1265,0)&gt;0, "Sim"), "Não")</f>
        <v>Sim</v>
      </c>
      <c r="AL99" s="79" t="str">
        <f>2025&amp;Tb_Portfólio[[#This Row],[SEI]]</f>
        <v>20251746621/2024</v>
      </c>
      <c r="AM99" t="str">
        <f>IFERROR(IF(MATCH(AL99,Atualizações!$P$1:$P$2994,0)&gt;0, "Sim"), "Não")</f>
        <v>Não</v>
      </c>
      <c r="AN99" s="79" t="str">
        <f>2026&amp;Tb_Portfólio[[#This Row],[SEI]]</f>
        <v>20261746621/2024</v>
      </c>
      <c r="AO99" t="str">
        <f>IFERROR(IF(MATCH(AN99,Atualizações!$P$1:$P$2994,0)&gt;0, "Sim"), "Não")</f>
        <v>Não</v>
      </c>
      <c r="AP99" s="79">
        <f>_xlfn.XLOOKUP(Tb_Portfólio[[#This Row],[SEI]],Tb_Atualizações[PROCESSO SEI],Tb_Atualizações[Explicações],"",0,-1)</f>
        <v>0</v>
      </c>
      <c r="AQ99" s="79" t="str">
        <f>_xlfn.XLOOKUP(Tb_Portfólio[[#This Row],[SEI]],Tb_Mapa[SEI],Tb_Mapa[CONSULTOR RESPONSÁVEL],"",0,-1)</f>
        <v>Tony/finalizado</v>
      </c>
    </row>
    <row r="100" spans="1:43" ht="180" hidden="1">
      <c r="A100" s="149" t="s">
        <v>853</v>
      </c>
      <c r="B100" s="103" t="s">
        <v>854</v>
      </c>
      <c r="C100" s="97" t="s">
        <v>855</v>
      </c>
      <c r="D100" s="97"/>
      <c r="E100" s="372" t="s">
        <v>592</v>
      </c>
      <c r="F100" s="2" t="s">
        <v>244</v>
      </c>
      <c r="G100" s="283" t="s">
        <v>784</v>
      </c>
      <c r="H100" s="2" t="s">
        <v>46</v>
      </c>
      <c r="I100" s="97" t="s">
        <v>785</v>
      </c>
      <c r="J100" s="97" t="s">
        <v>786</v>
      </c>
      <c r="K100" s="7"/>
      <c r="L100" s="262">
        <v>45323</v>
      </c>
      <c r="M100" s="257">
        <v>45657</v>
      </c>
      <c r="N100" s="298">
        <f>_xlfn.XLOOKUP(Tb_Portfólio[[#This Row],[SEI]],Tb_Atualizações[PROCESSO SEI],Tb_Atualizações[% PREVISTO],"",0,-1)</f>
        <v>1</v>
      </c>
      <c r="O100" s="258">
        <f>_xlfn.XLOOKUP(Tb_Portfólio[[#This Row],[SEI]],Tb_Atualizações[PROCESSO SEI],Tb_Atualizações[% EXECUTADO],"",0,-1)</f>
        <v>1</v>
      </c>
      <c r="P100" s="147">
        <f>IFERROR(Tb_Portfólio[[#This Row],[% EXECUTADO]]/Tb_Portfólio[[#This Row],[% PREVISTO]],"0%")</f>
        <v>1</v>
      </c>
      <c r="Q100" s="146">
        <f>_xlfn.XLOOKUP(Tb_Portfólio[[#This Row],[SEI]],Tb_Atualizações[PROCESSO SEI],Tb_Atualizações[DATA DE ATUALIZAÇÃO],"",0,-1)</f>
        <v>45642</v>
      </c>
      <c r="R100" s="336">
        <f>_xlfn.XLOOKUP(Tb_Portfólio[[#This Row],[SEI]],Tb_Atualizações[PROCESSO SEI],Tb_Atualizações[Mês],,0,-1)</f>
        <v>45627</v>
      </c>
      <c r="S100" s="259"/>
      <c r="T100" s="268" t="s">
        <v>787</v>
      </c>
      <c r="U100"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0" s="95"/>
      <c r="W100" s="236">
        <f>IFERROR(Tb_Portfólio[[#This Row],[% EXECUTADO]]/Tb_Portfólio[[#This Row],[% PREVISTO]],0)</f>
        <v>1</v>
      </c>
      <c r="X100" s="326" t="s">
        <v>856</v>
      </c>
      <c r="Y100" s="150"/>
      <c r="Z100" s="150"/>
      <c r="AA100" s="207" t="s">
        <v>789</v>
      </c>
      <c r="AB100" s="281" t="s">
        <v>592</v>
      </c>
      <c r="AC100" s="2" t="s">
        <v>244</v>
      </c>
      <c r="AD100" s="97"/>
      <c r="AE100" s="330" t="s">
        <v>856</v>
      </c>
      <c r="AF100" s="273">
        <f t="shared" ca="1" si="3"/>
        <v>46176</v>
      </c>
      <c r="AG100" s="297" t="s">
        <v>791</v>
      </c>
      <c r="AH100" s="7" t="s">
        <v>244</v>
      </c>
      <c r="AJ100" s="79" t="str">
        <f>2024&amp;Tb_Portfólio[[#This Row],[SEI]]</f>
        <v>20241746622/2024</v>
      </c>
      <c r="AK100" t="str">
        <f>IFERROR(IF(MATCH(AJ100,Atualizações!$P$1:$P$1265,0)&gt;0, "Sim"), "Não")</f>
        <v>Sim</v>
      </c>
      <c r="AL100" s="79" t="str">
        <f>2025&amp;Tb_Portfólio[[#This Row],[SEI]]</f>
        <v>20251746622/2024</v>
      </c>
      <c r="AM100" t="str">
        <f>IFERROR(IF(MATCH(AL100,Atualizações!$P$1:$P$2994,0)&gt;0, "Sim"), "Não")</f>
        <v>Não</v>
      </c>
      <c r="AN100" s="79" t="str">
        <f>2026&amp;Tb_Portfólio[[#This Row],[SEI]]</f>
        <v>20261746622/2024</v>
      </c>
      <c r="AO100" t="str">
        <f>IFERROR(IF(MATCH(AN100,Atualizações!$P$1:$P$2994,0)&gt;0, "Sim"), "Não")</f>
        <v>Não</v>
      </c>
      <c r="AP100" s="79">
        <f>_xlfn.XLOOKUP(Tb_Portfólio[[#This Row],[SEI]],Tb_Atualizações[PROCESSO SEI],Tb_Atualizações[Explicações],"",0,-1)</f>
        <v>0</v>
      </c>
      <c r="AQ100" s="79" t="str">
        <f>_xlfn.XLOOKUP(Tb_Portfólio[[#This Row],[SEI]],Tb_Mapa[SEI],Tb_Mapa[CONSULTOR RESPONSÁVEL],"",0,-1)</f>
        <v>Tony/finalizado</v>
      </c>
    </row>
    <row r="101" spans="1:43" ht="120" hidden="1">
      <c r="A101" s="149" t="s">
        <v>857</v>
      </c>
      <c r="B101" s="103" t="s">
        <v>858</v>
      </c>
      <c r="C101" s="97" t="s">
        <v>859</v>
      </c>
      <c r="D101" s="97"/>
      <c r="E101" s="281" t="s">
        <v>592</v>
      </c>
      <c r="F101" s="2" t="s">
        <v>244</v>
      </c>
      <c r="G101" s="283" t="s">
        <v>784</v>
      </c>
      <c r="H101" s="2" t="s">
        <v>46</v>
      </c>
      <c r="I101" s="97" t="s">
        <v>785</v>
      </c>
      <c r="J101" s="97" t="s">
        <v>786</v>
      </c>
      <c r="K101" s="7"/>
      <c r="L101" s="262">
        <v>45323</v>
      </c>
      <c r="M101" s="257">
        <v>45657</v>
      </c>
      <c r="N101" s="298">
        <f>_xlfn.XLOOKUP(Tb_Portfólio[[#This Row],[SEI]],Tb_Atualizações[PROCESSO SEI],Tb_Atualizações[% PREVISTO],"",0,-1)</f>
        <v>1</v>
      </c>
      <c r="O101" s="258">
        <f>_xlfn.XLOOKUP(Tb_Portfólio[[#This Row],[SEI]],Tb_Atualizações[PROCESSO SEI],Tb_Atualizações[% EXECUTADO],"",0,-1)</f>
        <v>1</v>
      </c>
      <c r="P101" s="147">
        <f>IFERROR(Tb_Portfólio[[#This Row],[% EXECUTADO]]/Tb_Portfólio[[#This Row],[% PREVISTO]],"0%")</f>
        <v>1</v>
      </c>
      <c r="Q101" s="146">
        <f>_xlfn.XLOOKUP(Tb_Portfólio[[#This Row],[SEI]],Tb_Atualizações[PROCESSO SEI],Tb_Atualizações[DATA DE ATUALIZAÇÃO],"",0,-1)</f>
        <v>45642</v>
      </c>
      <c r="R101" s="336">
        <f>_xlfn.XLOOKUP(Tb_Portfólio[[#This Row],[SEI]],Tb_Atualizações[PROCESSO SEI],Tb_Atualizações[Mês],,0,-1)</f>
        <v>45627</v>
      </c>
      <c r="S101" s="259"/>
      <c r="T101" s="268" t="s">
        <v>787</v>
      </c>
      <c r="U101"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1" s="95"/>
      <c r="W101" s="236">
        <f>IFERROR(Tb_Portfólio[[#This Row],[% EXECUTADO]]/Tb_Portfólio[[#This Row],[% PREVISTO]],0)</f>
        <v>1</v>
      </c>
      <c r="X101" s="326" t="s">
        <v>860</v>
      </c>
      <c r="Y101" s="150"/>
      <c r="Z101" s="150"/>
      <c r="AA101" s="207" t="s">
        <v>789</v>
      </c>
      <c r="AB101" s="285" t="s">
        <v>592</v>
      </c>
      <c r="AC101" s="7" t="s">
        <v>244</v>
      </c>
      <c r="AD101" s="97"/>
      <c r="AE101" s="330" t="s">
        <v>860</v>
      </c>
      <c r="AF101" s="273">
        <f t="shared" ca="1" si="3"/>
        <v>46176</v>
      </c>
      <c r="AG101" s="297" t="s">
        <v>791</v>
      </c>
      <c r="AH101" s="7" t="s">
        <v>244</v>
      </c>
      <c r="AJ101" s="79" t="str">
        <f>2024&amp;Tb_Portfólio[[#This Row],[SEI]]</f>
        <v>20241746623/2024</v>
      </c>
      <c r="AK101" t="str">
        <f>IFERROR(IF(MATCH(AJ101,Atualizações!$P$1:$P$1265,0)&gt;0, "Sim"), "Não")</f>
        <v>Sim</v>
      </c>
      <c r="AL101" s="79" t="str">
        <f>2025&amp;Tb_Portfólio[[#This Row],[SEI]]</f>
        <v>20251746623/2024</v>
      </c>
      <c r="AM101" t="str">
        <f>IFERROR(IF(MATCH(AL101,Atualizações!$P$1:$P$2994,0)&gt;0, "Sim"), "Não")</f>
        <v>Não</v>
      </c>
      <c r="AN101" s="79" t="str">
        <f>2026&amp;Tb_Portfólio[[#This Row],[SEI]]</f>
        <v>20261746623/2024</v>
      </c>
      <c r="AO101" t="str">
        <f>IFERROR(IF(MATCH(AN101,Atualizações!$P$1:$P$2994,0)&gt;0, "Sim"), "Não")</f>
        <v>Não</v>
      </c>
      <c r="AP101" s="79">
        <f>_xlfn.XLOOKUP(Tb_Portfólio[[#This Row],[SEI]],Tb_Atualizações[PROCESSO SEI],Tb_Atualizações[Explicações],"",0,-1)</f>
        <v>0</v>
      </c>
      <c r="AQ101" s="79" t="str">
        <f>_xlfn.XLOOKUP(Tb_Portfólio[[#This Row],[SEI]],Tb_Mapa[SEI],Tb_Mapa[CONSULTOR RESPONSÁVEL],"",0,-1)</f>
        <v>Tony/finalizado</v>
      </c>
    </row>
    <row r="102" spans="1:43" ht="150" hidden="1">
      <c r="A102" s="149" t="s">
        <v>861</v>
      </c>
      <c r="B102" s="103" t="s">
        <v>862</v>
      </c>
      <c r="C102" s="97" t="s">
        <v>863</v>
      </c>
      <c r="D102" s="97"/>
      <c r="E102" s="281" t="s">
        <v>592</v>
      </c>
      <c r="F102" s="2" t="s">
        <v>244</v>
      </c>
      <c r="G102" s="283" t="s">
        <v>784</v>
      </c>
      <c r="H102" s="2" t="s">
        <v>46</v>
      </c>
      <c r="I102" s="97" t="s">
        <v>785</v>
      </c>
      <c r="J102" s="97" t="s">
        <v>786</v>
      </c>
      <c r="K102" s="7"/>
      <c r="L102" s="262">
        <v>45323</v>
      </c>
      <c r="M102" s="257">
        <v>45657</v>
      </c>
      <c r="N102" s="298">
        <f>_xlfn.XLOOKUP(Tb_Portfólio[[#This Row],[SEI]],Tb_Atualizações[PROCESSO SEI],Tb_Atualizações[% PREVISTO],"",0,-1)</f>
        <v>1</v>
      </c>
      <c r="O102" s="258">
        <f>_xlfn.XLOOKUP(Tb_Portfólio[[#This Row],[SEI]],Tb_Atualizações[PROCESSO SEI],Tb_Atualizações[% EXECUTADO],"",0,-1)</f>
        <v>1</v>
      </c>
      <c r="P102" s="147">
        <f>IFERROR(Tb_Portfólio[[#This Row],[% EXECUTADO]]/Tb_Portfólio[[#This Row],[% PREVISTO]],"0%")</f>
        <v>1</v>
      </c>
      <c r="Q102" s="146">
        <f>_xlfn.XLOOKUP(Tb_Portfólio[[#This Row],[SEI]],Tb_Atualizações[PROCESSO SEI],Tb_Atualizações[DATA DE ATUALIZAÇÃO],"",0,-1)</f>
        <v>45642</v>
      </c>
      <c r="R102" s="336">
        <f>_xlfn.XLOOKUP(Tb_Portfólio[[#This Row],[SEI]],Tb_Atualizações[PROCESSO SEI],Tb_Atualizações[Mês],,0,-1)</f>
        <v>45627</v>
      </c>
      <c r="S102" s="259"/>
      <c r="T102" s="268" t="s">
        <v>787</v>
      </c>
      <c r="U102"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2" s="95"/>
      <c r="W102" s="236">
        <f>IFERROR(Tb_Portfólio[[#This Row],[% EXECUTADO]]/Tb_Portfólio[[#This Row],[% PREVISTO]],0)</f>
        <v>1</v>
      </c>
      <c r="X102" s="326" t="s">
        <v>864</v>
      </c>
      <c r="Y102" s="150"/>
      <c r="Z102" s="150"/>
      <c r="AA102" s="207" t="s">
        <v>789</v>
      </c>
      <c r="AB102" s="372" t="s">
        <v>592</v>
      </c>
      <c r="AC102" s="2" t="s">
        <v>244</v>
      </c>
      <c r="AD102" s="97"/>
      <c r="AE102" s="330" t="s">
        <v>864</v>
      </c>
      <c r="AF102" s="273">
        <f t="shared" ca="1" si="3"/>
        <v>46176</v>
      </c>
      <c r="AG102" s="297" t="s">
        <v>791</v>
      </c>
      <c r="AH102" s="19" t="s">
        <v>244</v>
      </c>
      <c r="AJ102" s="79" t="str">
        <f>2024&amp;Tb_Portfólio[[#This Row],[SEI]]</f>
        <v>20241746624/2024</v>
      </c>
      <c r="AK102" t="str">
        <f>IFERROR(IF(MATCH(AJ102,Atualizações!$P$1:$P$1265,0)&gt;0, "Sim"), "Não")</f>
        <v>Sim</v>
      </c>
      <c r="AL102" s="79" t="str">
        <f>2025&amp;Tb_Portfólio[[#This Row],[SEI]]</f>
        <v>20251746624/2024</v>
      </c>
      <c r="AM102" t="str">
        <f>IFERROR(IF(MATCH(AL102,Atualizações!$P$1:$P$2994,0)&gt;0, "Sim"), "Não")</f>
        <v>Não</v>
      </c>
      <c r="AN102" s="79" t="str">
        <f>2026&amp;Tb_Portfólio[[#This Row],[SEI]]</f>
        <v>20261746624/2024</v>
      </c>
      <c r="AO102" t="str">
        <f>IFERROR(IF(MATCH(AN102,Atualizações!$P$1:$P$2994,0)&gt;0, "Sim"), "Não")</f>
        <v>Não</v>
      </c>
      <c r="AP102" s="79">
        <f>_xlfn.XLOOKUP(Tb_Portfólio[[#This Row],[SEI]],Tb_Atualizações[PROCESSO SEI],Tb_Atualizações[Explicações],"",0,-1)</f>
        <v>0</v>
      </c>
      <c r="AQ102" s="79" t="str">
        <f>_xlfn.XLOOKUP(Tb_Portfólio[[#This Row],[SEI]],Tb_Mapa[SEI],Tb_Mapa[CONSULTOR RESPONSÁVEL],"",0,-1)</f>
        <v>Tony/finalizado</v>
      </c>
    </row>
    <row r="103" spans="1:43" ht="135" hidden="1">
      <c r="A103" s="149" t="s">
        <v>865</v>
      </c>
      <c r="B103" s="139" t="s">
        <v>866</v>
      </c>
      <c r="C103" s="79" t="s">
        <v>867</v>
      </c>
      <c r="D103" s="97"/>
      <c r="E103" s="285" t="s">
        <v>592</v>
      </c>
      <c r="F103" s="7" t="s">
        <v>244</v>
      </c>
      <c r="G103" s="283" t="s">
        <v>784</v>
      </c>
      <c r="H103" s="7" t="s">
        <v>46</v>
      </c>
      <c r="I103" s="97" t="s">
        <v>785</v>
      </c>
      <c r="J103" s="97" t="s">
        <v>786</v>
      </c>
      <c r="K103" s="7"/>
      <c r="L103" s="262">
        <v>45323</v>
      </c>
      <c r="M103" s="257">
        <v>46233</v>
      </c>
      <c r="N103" s="298">
        <f>_xlfn.XLOOKUP(Tb_Portfólio[[#This Row],[SEI]],Tb_Atualizações[PROCESSO SEI],Tb_Atualizações[% PREVISTO],"",0,-1)</f>
        <v>0.75</v>
      </c>
      <c r="O103" s="258">
        <f>_xlfn.XLOOKUP(Tb_Portfólio[[#This Row],[SEI]],Tb_Atualizações[PROCESSO SEI],Tb_Atualizações[% EXECUTADO],"",0,-1)</f>
        <v>0.75</v>
      </c>
      <c r="P103" s="431">
        <f>IFERROR(Tb_Portfólio[[#This Row],[% EXECUTADO]]/Tb_Portfólio[[#This Row],[% PREVISTO]],"0%")</f>
        <v>1</v>
      </c>
      <c r="Q103" s="146">
        <f>_xlfn.XLOOKUP(Tb_Portfólio[[#This Row],[SEI]],Tb_Atualizações[PROCESSO SEI],Tb_Atualizações[DATA DE ATUALIZAÇÃO],"",0,-1)</f>
        <v>46155</v>
      </c>
      <c r="R103" s="336">
        <f>_xlfn.XLOOKUP(Tb_Portfólio[[#This Row],[SEI]],Tb_Atualizações[PROCESSO SEI],Tb_Atualizações[Mês],,0,-1)</f>
        <v>46113</v>
      </c>
      <c r="S103" s="259"/>
      <c r="T103" s="268" t="s">
        <v>787</v>
      </c>
      <c r="U103"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103" s="95"/>
      <c r="W103" s="402">
        <f>IFERROR(Tb_Portfólio[[#This Row],[% EXECUTADO]]/Tb_Portfólio[[#This Row],[% PREVISTO]],0)</f>
        <v>1</v>
      </c>
      <c r="X103" s="326" t="s">
        <v>868</v>
      </c>
      <c r="Y103" s="150"/>
      <c r="Z103" s="150"/>
      <c r="AA103" s="207" t="s">
        <v>789</v>
      </c>
      <c r="AB103" s="285" t="s">
        <v>592</v>
      </c>
      <c r="AC103" s="7" t="s">
        <v>244</v>
      </c>
      <c r="AD103" s="97"/>
      <c r="AE103" s="330" t="s">
        <v>869</v>
      </c>
      <c r="AF103" s="273">
        <f t="shared" ca="1" si="3"/>
        <v>46176</v>
      </c>
      <c r="AG103" s="297" t="s">
        <v>791</v>
      </c>
      <c r="AH103" s="19" t="s">
        <v>244</v>
      </c>
      <c r="AJ103" s="79" t="str">
        <f>2024&amp;Tb_Portfólio[[#This Row],[SEI]]</f>
        <v>20241746625/2024</v>
      </c>
      <c r="AK103" t="str">
        <f>IFERROR(IF(MATCH(AJ103,Atualizações!$P$1:$P$1265,0)&gt;0, "Sim"), "Não")</f>
        <v>Sim</v>
      </c>
      <c r="AL103" s="79" t="str">
        <f>2025&amp;Tb_Portfólio[[#This Row],[SEI]]</f>
        <v>20251746625/2024</v>
      </c>
      <c r="AM103" t="str">
        <f>IFERROR(IF(MATCH(AL103,Atualizações!$P$1:$P$2994,0)&gt;0, "Sim"), "Não")</f>
        <v>Sim</v>
      </c>
      <c r="AN103" s="79" t="str">
        <f>2026&amp;Tb_Portfólio[[#This Row],[SEI]]</f>
        <v>20261746625/2024</v>
      </c>
      <c r="AO103" t="str">
        <f>IFERROR(IF(MATCH(AN103,Atualizações!$P$1:$P$2994,0)&gt;0, "Sim"), "Não")</f>
        <v>Sim</v>
      </c>
      <c r="AP103" s="79">
        <f>_xlfn.XLOOKUP(Tb_Portfólio[[#This Row],[SEI]],Tb_Atualizações[PROCESSO SEI],Tb_Atualizações[Explicações],"",0,-1)</f>
        <v>0</v>
      </c>
      <c r="AQ103" s="79" t="str">
        <f>_xlfn.XLOOKUP(Tb_Portfólio[[#This Row],[SEI]],Tb_Mapa[SEI],Tb_Mapa[CONSULTOR RESPONSÁVEL],"",0,-1)</f>
        <v>Tony</v>
      </c>
    </row>
    <row r="104" spans="1:43" ht="120" hidden="1">
      <c r="A104" s="149" t="s">
        <v>870</v>
      </c>
      <c r="B104" s="103" t="s">
        <v>871</v>
      </c>
      <c r="C104" s="97" t="s">
        <v>872</v>
      </c>
      <c r="D104" s="97"/>
      <c r="E104" s="281" t="s">
        <v>592</v>
      </c>
      <c r="F104" s="2" t="s">
        <v>244</v>
      </c>
      <c r="G104" s="283" t="s">
        <v>784</v>
      </c>
      <c r="H104" s="2" t="s">
        <v>46</v>
      </c>
      <c r="I104" s="97" t="s">
        <v>785</v>
      </c>
      <c r="J104" s="97" t="s">
        <v>786</v>
      </c>
      <c r="K104" s="7"/>
      <c r="L104" s="262">
        <v>45323</v>
      </c>
      <c r="M104" s="257">
        <v>45657</v>
      </c>
      <c r="N104" s="298">
        <f>_xlfn.XLOOKUP(Tb_Portfólio[[#This Row],[SEI]],Tb_Atualizações[PROCESSO SEI],Tb_Atualizações[% PREVISTO],"",0,-1)</f>
        <v>1</v>
      </c>
      <c r="O104" s="258">
        <f>_xlfn.XLOOKUP(Tb_Portfólio[[#This Row],[SEI]],Tb_Atualizações[PROCESSO SEI],Tb_Atualizações[% EXECUTADO],"",0,-1)</f>
        <v>1</v>
      </c>
      <c r="P104" s="431">
        <f>IFERROR(Tb_Portfólio[[#This Row],[% EXECUTADO]]/Tb_Portfólio[[#This Row],[% PREVISTO]],"0%")</f>
        <v>1</v>
      </c>
      <c r="Q104" s="146">
        <f>_xlfn.XLOOKUP(Tb_Portfólio[[#This Row],[SEI]],Tb_Atualizações[PROCESSO SEI],Tb_Atualizações[DATA DE ATUALIZAÇÃO],"",0,-1)</f>
        <v>45642</v>
      </c>
      <c r="R104" s="336">
        <f>_xlfn.XLOOKUP(Tb_Portfólio[[#This Row],[SEI]],Tb_Atualizações[PROCESSO SEI],Tb_Atualizações[Mês],,0,-1)</f>
        <v>45627</v>
      </c>
      <c r="S104" s="259"/>
      <c r="T104" s="268" t="s">
        <v>787</v>
      </c>
      <c r="U104"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4" s="95"/>
      <c r="W104" s="402">
        <f>IFERROR(Tb_Portfólio[[#This Row],[% EXECUTADO]]/Tb_Portfólio[[#This Row],[% PREVISTO]],0)</f>
        <v>1</v>
      </c>
      <c r="X104" s="350" t="s">
        <v>873</v>
      </c>
      <c r="Y104" s="150"/>
      <c r="Z104" s="150"/>
      <c r="AA104" s="207" t="s">
        <v>789</v>
      </c>
      <c r="AB104" s="281" t="s">
        <v>592</v>
      </c>
      <c r="AC104" s="2" t="s">
        <v>244</v>
      </c>
      <c r="AD104" s="97"/>
      <c r="AE104" s="353" t="s">
        <v>873</v>
      </c>
      <c r="AF104" s="273">
        <f t="shared" ca="1" si="3"/>
        <v>46176</v>
      </c>
      <c r="AG104" s="297" t="s">
        <v>791</v>
      </c>
      <c r="AH104" s="7" t="s">
        <v>244</v>
      </c>
      <c r="AJ104" s="79" t="str">
        <f>2024&amp;Tb_Portfólio[[#This Row],[SEI]]</f>
        <v>20241746626/2024</v>
      </c>
      <c r="AK104" t="str">
        <f>IFERROR(IF(MATCH(AJ104,Atualizações!$P$1:$P$1265,0)&gt;0, "Sim"), "Não")</f>
        <v>Sim</v>
      </c>
      <c r="AL104" s="79" t="str">
        <f>2025&amp;Tb_Portfólio[[#This Row],[SEI]]</f>
        <v>20251746626/2024</v>
      </c>
      <c r="AM104" t="str">
        <f>IFERROR(IF(MATCH(AL104,Atualizações!$P$1:$P$2994,0)&gt;0, "Sim"), "Não")</f>
        <v>Não</v>
      </c>
      <c r="AN104" s="79" t="str">
        <f>2026&amp;Tb_Portfólio[[#This Row],[SEI]]</f>
        <v>20261746626/2024</v>
      </c>
      <c r="AO104" t="str">
        <f>IFERROR(IF(MATCH(AN104,Atualizações!$P$1:$P$2994,0)&gt;0, "Sim"), "Não")</f>
        <v>Não</v>
      </c>
      <c r="AP104" s="79">
        <f>_xlfn.XLOOKUP(Tb_Portfólio[[#This Row],[SEI]],Tb_Atualizações[PROCESSO SEI],Tb_Atualizações[Explicações],"",0,-1)</f>
        <v>0</v>
      </c>
      <c r="AQ104" s="79" t="str">
        <f>_xlfn.XLOOKUP(Tb_Portfólio[[#This Row],[SEI]],Tb_Mapa[SEI],Tb_Mapa[CONSULTOR RESPONSÁVEL],"",0,-1)</f>
        <v>Tony/finalizado</v>
      </c>
    </row>
    <row r="105" spans="1:43" ht="120" hidden="1">
      <c r="A105" s="149" t="s">
        <v>874</v>
      </c>
      <c r="B105" s="103" t="s">
        <v>875</v>
      </c>
      <c r="C105" s="97" t="s">
        <v>876</v>
      </c>
      <c r="D105" s="97"/>
      <c r="E105" s="285" t="s">
        <v>592</v>
      </c>
      <c r="F105" s="7" t="s">
        <v>244</v>
      </c>
      <c r="G105" s="283" t="s">
        <v>784</v>
      </c>
      <c r="H105" s="7" t="s">
        <v>46</v>
      </c>
      <c r="I105" s="97" t="s">
        <v>785</v>
      </c>
      <c r="J105" s="97" t="s">
        <v>786</v>
      </c>
      <c r="K105" s="7"/>
      <c r="L105" s="262">
        <v>45323</v>
      </c>
      <c r="M105" s="257">
        <v>45657</v>
      </c>
      <c r="N105" s="298">
        <f>_xlfn.XLOOKUP(Tb_Portfólio[[#This Row],[SEI]],Tb_Atualizações[PROCESSO SEI],Tb_Atualizações[% PREVISTO],"",0,-1)</f>
        <v>1</v>
      </c>
      <c r="O105" s="258">
        <f>_xlfn.XLOOKUP(Tb_Portfólio[[#This Row],[SEI]],Tb_Atualizações[PROCESSO SEI],Tb_Atualizações[% EXECUTADO],"",0,-1)</f>
        <v>1</v>
      </c>
      <c r="P105" s="431">
        <f>IFERROR(Tb_Portfólio[[#This Row],[% EXECUTADO]]/Tb_Portfólio[[#This Row],[% PREVISTO]],"0%")</f>
        <v>1</v>
      </c>
      <c r="Q105" s="146">
        <f>_xlfn.XLOOKUP(Tb_Portfólio[[#This Row],[SEI]],Tb_Atualizações[PROCESSO SEI],Tb_Atualizações[DATA DE ATUALIZAÇÃO],"",0,-1)</f>
        <v>45642</v>
      </c>
      <c r="R105" s="336">
        <f>_xlfn.XLOOKUP(Tb_Portfólio[[#This Row],[SEI]],Tb_Atualizações[PROCESSO SEI],Tb_Atualizações[Mês],,0,-1)</f>
        <v>45627</v>
      </c>
      <c r="S105" s="259"/>
      <c r="T105" s="268" t="s">
        <v>787</v>
      </c>
      <c r="U105"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5" s="95"/>
      <c r="W105" s="402">
        <f>IFERROR(Tb_Portfólio[[#This Row],[% EXECUTADO]]/Tb_Portfólio[[#This Row],[% PREVISTO]],0)</f>
        <v>1</v>
      </c>
      <c r="X105" s="326" t="s">
        <v>877</v>
      </c>
      <c r="Y105" s="150"/>
      <c r="Z105" s="150"/>
      <c r="AA105" s="207" t="s">
        <v>789</v>
      </c>
      <c r="AB105" s="285" t="s">
        <v>592</v>
      </c>
      <c r="AC105" s="7" t="s">
        <v>244</v>
      </c>
      <c r="AD105" s="97"/>
      <c r="AE105" s="326" t="s">
        <v>877</v>
      </c>
      <c r="AF105" s="273">
        <f t="shared" ca="1" si="3"/>
        <v>46176</v>
      </c>
      <c r="AG105" s="297" t="s">
        <v>791</v>
      </c>
      <c r="AH105" s="19" t="s">
        <v>244</v>
      </c>
      <c r="AJ105" s="79" t="str">
        <f>2024&amp;Tb_Portfólio[[#This Row],[SEI]]</f>
        <v>20241746627/2024</v>
      </c>
      <c r="AK105" t="str">
        <f>IFERROR(IF(MATCH(AJ105,Atualizações!$P$1:$P$1265,0)&gt;0, "Sim"), "Não")</f>
        <v>Sim</v>
      </c>
      <c r="AL105" s="79" t="str">
        <f>2025&amp;Tb_Portfólio[[#This Row],[SEI]]</f>
        <v>20251746627/2024</v>
      </c>
      <c r="AM105" t="str">
        <f>IFERROR(IF(MATCH(AL105,Atualizações!$P$1:$P$2994,0)&gt;0, "Sim"), "Não")</f>
        <v>Não</v>
      </c>
      <c r="AN105" s="79" t="str">
        <f>2026&amp;Tb_Portfólio[[#This Row],[SEI]]</f>
        <v>20261746627/2024</v>
      </c>
      <c r="AO105" t="str">
        <f>IFERROR(IF(MATCH(AN105,Atualizações!$P$1:$P$2994,0)&gt;0, "Sim"), "Não")</f>
        <v>Não</v>
      </c>
      <c r="AP105" s="79">
        <f>_xlfn.XLOOKUP(Tb_Portfólio[[#This Row],[SEI]],Tb_Atualizações[PROCESSO SEI],Tb_Atualizações[Explicações],"",0,-1)</f>
        <v>0</v>
      </c>
      <c r="AQ105" s="79" t="str">
        <f>_xlfn.XLOOKUP(Tb_Portfólio[[#This Row],[SEI]],Tb_Mapa[SEI],Tb_Mapa[CONSULTOR RESPONSÁVEL],"",0,-1)</f>
        <v>Tony/finalizado</v>
      </c>
    </row>
    <row r="106" spans="1:43" ht="126.6" hidden="1" customHeight="1">
      <c r="A106" s="149" t="s">
        <v>878</v>
      </c>
      <c r="B106" s="103" t="s">
        <v>879</v>
      </c>
      <c r="C106" s="97" t="s">
        <v>880</v>
      </c>
      <c r="D106" s="97"/>
      <c r="E106" s="281" t="s">
        <v>592</v>
      </c>
      <c r="F106" s="2" t="s">
        <v>244</v>
      </c>
      <c r="G106" s="377" t="s">
        <v>784</v>
      </c>
      <c r="H106" s="2" t="s">
        <v>46</v>
      </c>
      <c r="I106" s="97" t="s">
        <v>785</v>
      </c>
      <c r="J106" s="97" t="s">
        <v>786</v>
      </c>
      <c r="K106" s="7"/>
      <c r="L106" s="262">
        <v>45323</v>
      </c>
      <c r="M106" s="257">
        <v>46022</v>
      </c>
      <c r="N106" s="298">
        <f>_xlfn.XLOOKUP(Tb_Portfólio[[#This Row],[SEI]],Tb_Atualizações[PROCESSO SEI],Tb_Atualizações[% PREVISTO],"",0,-1)</f>
        <v>1</v>
      </c>
      <c r="O106" s="258">
        <f>_xlfn.XLOOKUP(Tb_Portfólio[[#This Row],[SEI]],Tb_Atualizações[PROCESSO SEI],Tb_Atualizações[% EXECUTADO],"",0,-1)</f>
        <v>1</v>
      </c>
      <c r="P106" s="431">
        <f>IFERROR(Tb_Portfólio[[#This Row],[% EXECUTADO]]/Tb_Portfólio[[#This Row],[% PREVISTO]],"0%")</f>
        <v>1</v>
      </c>
      <c r="Q106" s="146">
        <f>_xlfn.XLOOKUP(Tb_Portfólio[[#This Row],[SEI]],Tb_Atualizações[PROCESSO SEI],Tb_Atualizações[DATA DE ATUALIZAÇÃO],"",0,-1)</f>
        <v>46011</v>
      </c>
      <c r="R106" s="336">
        <f>_xlfn.XLOOKUP(Tb_Portfólio[[#This Row],[SEI]],Tb_Atualizações[PROCESSO SEI],Tb_Atualizações[Mês],,0,-1)</f>
        <v>45992</v>
      </c>
      <c r="S106" s="259"/>
      <c r="T106" s="268" t="s">
        <v>787</v>
      </c>
      <c r="U106"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6" s="95"/>
      <c r="W106" s="402">
        <f>IFERROR(Tb_Portfólio[[#This Row],[% EXECUTADO]]/Tb_Portfólio[[#This Row],[% PREVISTO]],0)</f>
        <v>1</v>
      </c>
      <c r="X106" s="327" t="s">
        <v>881</v>
      </c>
      <c r="Y106" s="150"/>
      <c r="Z106" s="150"/>
      <c r="AA106" s="207" t="s">
        <v>789</v>
      </c>
      <c r="AB106" s="285" t="s">
        <v>592</v>
      </c>
      <c r="AC106" s="2" t="s">
        <v>244</v>
      </c>
      <c r="AD106" s="97"/>
      <c r="AE106" s="331"/>
      <c r="AF106" s="273">
        <f t="shared" ca="1" si="3"/>
        <v>46176</v>
      </c>
      <c r="AG106" s="297" t="s">
        <v>791</v>
      </c>
      <c r="AH106" s="7" t="s">
        <v>244</v>
      </c>
      <c r="AJ106" s="79" t="str">
        <f>2024&amp;Tb_Portfólio[[#This Row],[SEI]]</f>
        <v>20241746628/2024</v>
      </c>
      <c r="AK106" t="str">
        <f>IFERROR(IF(MATCH(AJ106,Atualizações!$P$1:$P$1265,0)&gt;0, "Sim"), "Não")</f>
        <v>Sim</v>
      </c>
      <c r="AL106" s="79" t="str">
        <f>2025&amp;Tb_Portfólio[[#This Row],[SEI]]</f>
        <v>20251746628/2024</v>
      </c>
      <c r="AM106" t="str">
        <f>IFERROR(IF(MATCH(AL106,Atualizações!$P$1:$P$2994,0)&gt;0, "Sim"), "Não")</f>
        <v>Sim</v>
      </c>
      <c r="AN106" s="79" t="str">
        <f>2026&amp;Tb_Portfólio[[#This Row],[SEI]]</f>
        <v>20261746628/2024</v>
      </c>
      <c r="AO106" t="str">
        <f>IFERROR(IF(MATCH(AN106,Atualizações!$P$1:$P$2994,0)&gt;0, "Sim"), "Não")</f>
        <v>Não</v>
      </c>
      <c r="AP106" s="79">
        <f>_xlfn.XLOOKUP(Tb_Portfólio[[#This Row],[SEI]],Tb_Atualizações[PROCESSO SEI],Tb_Atualizações[Explicações],"",0,-1)</f>
        <v>0</v>
      </c>
      <c r="AQ106" s="79" t="str">
        <f>_xlfn.XLOOKUP(Tb_Portfólio[[#This Row],[SEI]],Tb_Mapa[SEI],Tb_Mapa[CONSULTOR RESPONSÁVEL],"",0,-1)</f>
        <v>Tony</v>
      </c>
    </row>
    <row r="107" spans="1:43" ht="409.5" hidden="1">
      <c r="A107" s="149" t="s">
        <v>882</v>
      </c>
      <c r="B107" s="103" t="s">
        <v>883</v>
      </c>
      <c r="C107" s="97" t="s">
        <v>884</v>
      </c>
      <c r="D107" s="97"/>
      <c r="E107" s="285" t="s">
        <v>592</v>
      </c>
      <c r="F107" s="7" t="s">
        <v>244</v>
      </c>
      <c r="G107" s="97" t="s">
        <v>885</v>
      </c>
      <c r="H107" s="2" t="s">
        <v>886</v>
      </c>
      <c r="I107" s="97" t="s">
        <v>240</v>
      </c>
      <c r="J107" s="97" t="s">
        <v>786</v>
      </c>
      <c r="K107" s="7"/>
      <c r="L107" s="262">
        <v>45869</v>
      </c>
      <c r="M107" s="257">
        <v>46387</v>
      </c>
      <c r="N107" s="298">
        <f>_xlfn.XLOOKUP(Tb_Portfólio[[#This Row],[SEI]],Tb_Atualizações[PROCESSO SEI],Tb_Atualizações[% PREVISTO],"",0,-1)</f>
        <v>0</v>
      </c>
      <c r="O107" s="258">
        <f>_xlfn.XLOOKUP(Tb_Portfólio[[#This Row],[SEI]],Tb_Atualizações[PROCESSO SEI],Tb_Atualizações[% EXECUTADO],"",0,-1)</f>
        <v>0</v>
      </c>
      <c r="P107" s="258" t="str">
        <f>IFERROR(Tb_Portfólio[[#This Row],[% EXECUTADO]]/Tb_Portfólio[[#This Row],[% PREVISTO]],"0%")</f>
        <v>0%</v>
      </c>
      <c r="Q107" s="146">
        <f>_xlfn.XLOOKUP(Tb_Portfólio[[#This Row],[SEI]],Tb_Atualizações[PROCESSO SEI],Tb_Atualizações[DATA DE ATUALIZAÇÃO],"",0,-1)</f>
        <v>46042</v>
      </c>
      <c r="R107" s="266">
        <f>_xlfn.XLOOKUP(Tb_Portfólio[[#This Row],[SEI]],Tb_Atualizações[PROCESSO SEI],Tb_Atualizações[Mês],,0,-1)</f>
        <v>46023</v>
      </c>
      <c r="S107" s="259"/>
      <c r="T107" s="268" t="s">
        <v>787</v>
      </c>
      <c r="U107"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07" s="95"/>
      <c r="W107" s="402">
        <f>IFERROR(Tb_Portfólio[[#This Row],[% EXECUTADO]]/Tb_Portfólio[[#This Row],[% PREVISTO]],0)</f>
        <v>0</v>
      </c>
      <c r="X107" s="97" t="s">
        <v>887</v>
      </c>
      <c r="Y107" s="652"/>
      <c r="Z107" s="652"/>
      <c r="AA107" s="207" t="s">
        <v>789</v>
      </c>
      <c r="AB107" s="281" t="s">
        <v>592</v>
      </c>
      <c r="AC107" s="7" t="s">
        <v>244</v>
      </c>
      <c r="AD107" s="97"/>
      <c r="AE107" s="274"/>
      <c r="AF107" s="273">
        <f t="shared" ca="1" si="3"/>
        <v>46176</v>
      </c>
      <c r="AG107" s="274"/>
      <c r="AJ107" s="79" t="str">
        <f>2024&amp;Tb_Portfólio[[#This Row],[SEI]]</f>
        <v>20241746629/2024</v>
      </c>
      <c r="AK107" s="79" t="str">
        <f>IFERROR(IF(MATCH(AJ107,Atualizações!$P$1:$P$1265,0)&gt;0, "Sim"), "Não")</f>
        <v>Não</v>
      </c>
      <c r="AL107" s="79" t="str">
        <f>2025&amp;Tb_Portfólio[[#This Row],[SEI]]</f>
        <v>20251746629/2024</v>
      </c>
      <c r="AM107" s="79" t="str">
        <f>IFERROR(IF(MATCH(AL107,Atualizações!$P$1:$P$2994,0)&gt;0, "Sim"), "Não")</f>
        <v>Não</v>
      </c>
      <c r="AN107" s="79" t="str">
        <f>2026&amp;Tb_Portfólio[[#This Row],[SEI]]</f>
        <v>20261746629/2024</v>
      </c>
      <c r="AO107" s="79" t="str">
        <f>IFERROR(IF(MATCH(AN107,Atualizações!$P$1:$P$2994,0)&gt;0, "Sim"), "Não")</f>
        <v>Sim</v>
      </c>
      <c r="AP107" s="79" t="str">
        <f>_xlfn.XLOOKUP(Tb_Portfólio[[#This Row],[SEI]],Tb_Atualizações[PROCESSO SEI],Tb_Atualizações[Explicações],"",0,-1)</f>
        <v>Cadastro do programa</v>
      </c>
      <c r="AQ107" s="79" t="str">
        <f>_xlfn.XLOOKUP(Tb_Portfólio[[#This Row],[SEI]],Tb_Mapa[SEI],Tb_Mapa[CONSULTOR RESPONSÁVEL],"",0,-1)</f>
        <v>Tony</v>
      </c>
    </row>
    <row r="108" spans="1:43" ht="120" hidden="1">
      <c r="A108" s="149" t="s">
        <v>888</v>
      </c>
      <c r="B108" s="139" t="s">
        <v>889</v>
      </c>
      <c r="C108" s="97" t="s">
        <v>890</v>
      </c>
      <c r="D108" s="97"/>
      <c r="E108" s="285" t="s">
        <v>592</v>
      </c>
      <c r="F108" s="7" t="s">
        <v>244</v>
      </c>
      <c r="G108" s="295" t="s">
        <v>784</v>
      </c>
      <c r="H108" s="2" t="s">
        <v>46</v>
      </c>
      <c r="I108" s="97" t="s">
        <v>785</v>
      </c>
      <c r="J108" s="97" t="s">
        <v>786</v>
      </c>
      <c r="K108" s="7"/>
      <c r="L108" s="262">
        <v>45323</v>
      </c>
      <c r="M108" s="257">
        <v>45962</v>
      </c>
      <c r="N108" s="298">
        <f>_xlfn.XLOOKUP(Tb_Portfólio[[#This Row],[SEI]],Tb_Atualizações[PROCESSO SEI],Tb_Atualizações[% PREVISTO],"",0,-1)</f>
        <v>1</v>
      </c>
      <c r="O108" s="258">
        <f>_xlfn.XLOOKUP(Tb_Portfólio[[#This Row],[SEI]],Tb_Atualizações[PROCESSO SEI],Tb_Atualizações[% EXECUTADO],"",0,-1)</f>
        <v>1</v>
      </c>
      <c r="P108" s="431">
        <f>IFERROR(Tb_Portfólio[[#This Row],[% EXECUTADO]]/Tb_Portfólio[[#This Row],[% PREVISTO]],"0%")</f>
        <v>1</v>
      </c>
      <c r="Q108" s="146">
        <f>_xlfn.XLOOKUP(Tb_Portfólio[[#This Row],[SEI]],Tb_Atualizações[PROCESSO SEI],Tb_Atualizações[DATA DE ATUALIZAÇÃO],"",0,-1)</f>
        <v>45874</v>
      </c>
      <c r="R108" s="432">
        <f>_xlfn.XLOOKUP(Tb_Portfólio[[#This Row],[SEI]],Tb_Atualizações[PROCESSO SEI],Tb_Atualizações[Mês],,0,-1)</f>
        <v>45839</v>
      </c>
      <c r="S108" s="259"/>
      <c r="T108" s="268" t="s">
        <v>787</v>
      </c>
      <c r="U108"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8" s="95"/>
      <c r="W108" s="402">
        <f>IFERROR(Tb_Portfólio[[#This Row],[% EXECUTADO]]/Tb_Portfólio[[#This Row],[% PREVISTO]],0)</f>
        <v>1</v>
      </c>
      <c r="X108" s="302" t="s">
        <v>891</v>
      </c>
      <c r="Y108" s="663"/>
      <c r="Z108" s="663"/>
      <c r="AA108" s="497" t="s">
        <v>789</v>
      </c>
      <c r="AB108" s="281" t="s">
        <v>592</v>
      </c>
      <c r="AC108" s="7" t="s">
        <v>244</v>
      </c>
      <c r="AD108" s="97"/>
      <c r="AE108" s="306" t="s">
        <v>892</v>
      </c>
      <c r="AF108" s="273">
        <f t="shared" ref="AF108:AF116" ca="1" si="4">TODAY()</f>
        <v>46176</v>
      </c>
      <c r="AG108" s="296" t="s">
        <v>791</v>
      </c>
      <c r="AH108" s="7" t="s">
        <v>244</v>
      </c>
      <c r="AJ108" s="79" t="str">
        <f>2024&amp;Tb_Portfólio[[#This Row],[SEI]]</f>
        <v>2024174663/2024</v>
      </c>
      <c r="AK108" t="str">
        <f>IFERROR(IF(MATCH(AJ108,Atualizações!$P$1:$P$1265,0)&gt;0, "Sim"), "Não")</f>
        <v>Sim</v>
      </c>
      <c r="AL108" s="79" t="str">
        <f>2025&amp;Tb_Portfólio[[#This Row],[SEI]]</f>
        <v>2025174663/2024</v>
      </c>
      <c r="AM108" t="str">
        <f>IFERROR(IF(MATCH(AL108,Atualizações!$P$1:$P$2994,0)&gt;0, "Sim"), "Não")</f>
        <v>Sim</v>
      </c>
      <c r="AN108" s="79" t="str">
        <f>2026&amp;Tb_Portfólio[[#This Row],[SEI]]</f>
        <v>2026174663/2024</v>
      </c>
      <c r="AO108" t="str">
        <f>IFERROR(IF(MATCH(AN108,Atualizações!$P$1:$P$2994,0)&gt;0, "Sim"), "Não")</f>
        <v>Não</v>
      </c>
      <c r="AP108" s="79">
        <f>_xlfn.XLOOKUP(Tb_Portfólio[[#This Row],[SEI]],Tb_Atualizações[PROCESSO SEI],Tb_Atualizações[Explicações],"",0,-1)</f>
        <v>0</v>
      </c>
      <c r="AQ108" s="79" t="str">
        <f>_xlfn.XLOOKUP(Tb_Portfólio[[#This Row],[SEI]],Tb_Mapa[SEI],Tb_Mapa[CONSULTOR RESPONSÁVEL],"",0,-1)</f>
        <v>Tony</v>
      </c>
    </row>
    <row r="109" spans="1:43" ht="120" hidden="1">
      <c r="A109" s="232" t="s">
        <v>893</v>
      </c>
      <c r="B109" s="75" t="s">
        <v>894</v>
      </c>
      <c r="C109" s="73" t="s">
        <v>895</v>
      </c>
      <c r="D109" s="73"/>
      <c r="E109" s="372" t="s">
        <v>592</v>
      </c>
      <c r="F109" s="7" t="s">
        <v>244</v>
      </c>
      <c r="G109" s="459" t="s">
        <v>784</v>
      </c>
      <c r="H109" s="7" t="s">
        <v>46</v>
      </c>
      <c r="I109" s="73" t="s">
        <v>785</v>
      </c>
      <c r="J109" s="73" t="s">
        <v>786</v>
      </c>
      <c r="K109" s="2"/>
      <c r="L109" s="468">
        <v>45323</v>
      </c>
      <c r="M109" s="238">
        <v>45900</v>
      </c>
      <c r="N109" s="520">
        <f>_xlfn.XLOOKUP(Tb_Portfólio[[#This Row],[SEI]],Tb_Atualizações[PROCESSO SEI],Tb_Atualizações[% PREVISTO],"",0,-1)</f>
        <v>1</v>
      </c>
      <c r="O109" s="234">
        <f>_xlfn.XLOOKUP(Tb_Portfólio[[#This Row],[SEI]],Tb_Atualizações[PROCESSO SEI],Tb_Atualizações[% EXECUTADO],"",0,-1)</f>
        <v>1</v>
      </c>
      <c r="P109" s="147">
        <f>IFERROR(Tb_Portfólio[[#This Row],[% EXECUTADO]]/Tb_Portfólio[[#This Row],[% PREVISTO]],"0%")</f>
        <v>1</v>
      </c>
      <c r="Q109" s="146">
        <f>_xlfn.XLOOKUP(Tb_Portfólio[[#This Row],[SEI]],Tb_Atualizações[PROCESSO SEI],Tb_Atualizações[DATA DE ATUALIZAÇÃO],"",0,-1)</f>
        <v>46011</v>
      </c>
      <c r="R109" s="432">
        <f>_xlfn.XLOOKUP(Tb_Portfólio[[#This Row],[SEI]],Tb_Atualizações[PROCESSO SEI],Tb_Atualizações[Mês],,0,-1)</f>
        <v>45992</v>
      </c>
      <c r="S109" s="235"/>
      <c r="T109" s="6" t="s">
        <v>787</v>
      </c>
      <c r="U109"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09" s="469"/>
      <c r="W109" s="236">
        <f>IFERROR(Tb_Portfólio[[#This Row],[% EXECUTADO]]/Tb_Portfólio[[#This Row],[% PREVISTO]],0)</f>
        <v>1</v>
      </c>
      <c r="X109" s="460" t="s">
        <v>896</v>
      </c>
      <c r="Y109" s="150"/>
      <c r="Z109" s="148"/>
      <c r="AA109" s="329" t="s">
        <v>789</v>
      </c>
      <c r="AB109" s="372" t="s">
        <v>592</v>
      </c>
      <c r="AC109" s="7" t="s">
        <v>244</v>
      </c>
      <c r="AD109" s="73"/>
      <c r="AE109" s="465"/>
      <c r="AF109" s="225">
        <f t="shared" ca="1" si="4"/>
        <v>46176</v>
      </c>
      <c r="AG109" s="466" t="s">
        <v>791</v>
      </c>
      <c r="AH109" s="19" t="s">
        <v>244</v>
      </c>
      <c r="AJ109" s="79" t="str">
        <f>2024&amp;Tb_Portfólio[[#This Row],[SEI]]</f>
        <v>2024174664/2024</v>
      </c>
      <c r="AK109" t="str">
        <f>IFERROR(IF(MATCH(AJ109,Atualizações!$P$1:$P$1265,0)&gt;0, "Sim"), "Não")</f>
        <v>Sim</v>
      </c>
      <c r="AL109" s="79" t="str">
        <f>2025&amp;Tb_Portfólio[[#This Row],[SEI]]</f>
        <v>2025174664/2024</v>
      </c>
      <c r="AM109" t="str">
        <f>IFERROR(IF(MATCH(AL109,Atualizações!$P$1:$P$2994,0)&gt;0, "Sim"), "Não")</f>
        <v>Sim</v>
      </c>
      <c r="AN109" s="79" t="str">
        <f>2026&amp;Tb_Portfólio[[#This Row],[SEI]]</f>
        <v>2026174664/2024</v>
      </c>
      <c r="AO109" t="str">
        <f>IFERROR(IF(MATCH(AN109,Atualizações!$P$1:$P$2994,0)&gt;0, "Sim"), "Não")</f>
        <v>Não</v>
      </c>
      <c r="AP109" s="79">
        <f>_xlfn.XLOOKUP(Tb_Portfólio[[#This Row],[SEI]],Tb_Atualizações[PROCESSO SEI],Tb_Atualizações[Explicações],"",0,-1)</f>
        <v>0</v>
      </c>
      <c r="AQ109" s="79" t="str">
        <f>_xlfn.XLOOKUP(Tb_Portfólio[[#This Row],[SEI]],Tb_Mapa[SEI],Tb_Mapa[CONSULTOR RESPONSÁVEL],"",0,-1)</f>
        <v>Tony</v>
      </c>
    </row>
    <row r="110" spans="1:43" ht="120" hidden="1">
      <c r="A110" s="232" t="s">
        <v>897</v>
      </c>
      <c r="B110" s="75" t="s">
        <v>898</v>
      </c>
      <c r="C110" s="73" t="s">
        <v>899</v>
      </c>
      <c r="D110" s="73"/>
      <c r="E110" s="372" t="s">
        <v>592</v>
      </c>
      <c r="F110" s="7" t="s">
        <v>244</v>
      </c>
      <c r="G110" s="459" t="s">
        <v>784</v>
      </c>
      <c r="H110" s="7" t="s">
        <v>46</v>
      </c>
      <c r="I110" s="73" t="s">
        <v>785</v>
      </c>
      <c r="J110" s="73" t="s">
        <v>786</v>
      </c>
      <c r="K110" s="2"/>
      <c r="L110" s="468">
        <v>45323</v>
      </c>
      <c r="M110" s="238">
        <v>45657</v>
      </c>
      <c r="N110" s="520">
        <f>_xlfn.XLOOKUP(Tb_Portfólio[[#This Row],[SEI]],Tb_Atualizações[PROCESSO SEI],Tb_Atualizações[% PREVISTO],"",0,-1)</f>
        <v>1</v>
      </c>
      <c r="O110" s="234">
        <f>_xlfn.XLOOKUP(Tb_Portfólio[[#This Row],[SEI]],Tb_Atualizações[PROCESSO SEI],Tb_Atualizações[% EXECUTADO],"",0,-1)</f>
        <v>1</v>
      </c>
      <c r="P110" s="147">
        <f>IFERROR(Tb_Portfólio[[#This Row],[% EXECUTADO]]/Tb_Portfólio[[#This Row],[% PREVISTO]],"0%")</f>
        <v>1</v>
      </c>
      <c r="Q110" s="266">
        <f>_xlfn.XLOOKUP(Tb_Portfólio[[#This Row],[SEI]],Tb_Atualizações[PROCESSO SEI],Tb_Atualizações[DATA DE ATUALIZAÇÃO],"",0,-1)</f>
        <v>45642</v>
      </c>
      <c r="R110" s="432">
        <f>_xlfn.XLOOKUP(Tb_Portfólio[[#This Row],[SEI]],Tb_Atualizações[PROCESSO SEI],Tb_Atualizações[Mês],,0,-1)</f>
        <v>45627</v>
      </c>
      <c r="S110" s="235"/>
      <c r="T110" s="6" t="s">
        <v>787</v>
      </c>
      <c r="U110" s="235"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10" s="469"/>
      <c r="W110" s="236">
        <f>IFERROR(Tb_Portfólio[[#This Row],[% EXECUTADO]]/Tb_Portfólio[[#This Row],[% PREVISTO]],0)</f>
        <v>1</v>
      </c>
      <c r="X110" s="460" t="s">
        <v>900</v>
      </c>
      <c r="Y110" s="150"/>
      <c r="Z110" s="148"/>
      <c r="AA110" s="329" t="s">
        <v>789</v>
      </c>
      <c r="AB110" s="372" t="s">
        <v>592</v>
      </c>
      <c r="AC110" s="7" t="s">
        <v>244</v>
      </c>
      <c r="AD110" s="73"/>
      <c r="AE110" s="465"/>
      <c r="AF110" s="225">
        <f t="shared" ca="1" si="4"/>
        <v>46176</v>
      </c>
      <c r="AG110" s="466" t="s">
        <v>791</v>
      </c>
      <c r="AH110" s="19" t="s">
        <v>244</v>
      </c>
      <c r="AJ110" s="79" t="str">
        <f>2024&amp;Tb_Portfólio[[#This Row],[SEI]]</f>
        <v>2024174665/2024</v>
      </c>
      <c r="AK110" t="str">
        <f>IFERROR(IF(MATCH(AJ110,Atualizações!$P$1:$P$1265,0)&gt;0, "Sim"), "Não")</f>
        <v>Sim</v>
      </c>
      <c r="AL110" s="79" t="str">
        <f>2025&amp;Tb_Portfólio[[#This Row],[SEI]]</f>
        <v>2025174665/2024</v>
      </c>
      <c r="AM110" t="str">
        <f>IFERROR(IF(MATCH(AL110,Atualizações!$P$1:$P$2994,0)&gt;0, "Sim"), "Não")</f>
        <v>Não</v>
      </c>
      <c r="AN110" s="79" t="str">
        <f>2026&amp;Tb_Portfólio[[#This Row],[SEI]]</f>
        <v>2026174665/2024</v>
      </c>
      <c r="AO110" t="str">
        <f>IFERROR(IF(MATCH(AN110,Atualizações!$P$1:$P$2994,0)&gt;0, "Sim"), "Não")</f>
        <v>Não</v>
      </c>
      <c r="AP110" s="79">
        <f>_xlfn.XLOOKUP(Tb_Portfólio[[#This Row],[SEI]],Tb_Atualizações[PROCESSO SEI],Tb_Atualizações[Explicações],"",0,-1)</f>
        <v>0</v>
      </c>
      <c r="AQ110" s="79" t="str">
        <f>_xlfn.XLOOKUP(Tb_Portfólio[[#This Row],[SEI]],Tb_Mapa[SEI],Tb_Mapa[CONSULTOR RESPONSÁVEL],"",0,-1)</f>
        <v>Tony/finalizado</v>
      </c>
    </row>
    <row r="111" spans="1:43" ht="120" hidden="1">
      <c r="A111" s="149" t="s">
        <v>901</v>
      </c>
      <c r="B111" s="103" t="s">
        <v>902</v>
      </c>
      <c r="C111" s="97" t="s">
        <v>903</v>
      </c>
      <c r="D111" s="97"/>
      <c r="E111" s="285" t="s">
        <v>592</v>
      </c>
      <c r="F111" s="7" t="s">
        <v>244</v>
      </c>
      <c r="G111" s="283" t="s">
        <v>784</v>
      </c>
      <c r="H111" s="7" t="s">
        <v>46</v>
      </c>
      <c r="I111" s="97" t="s">
        <v>785</v>
      </c>
      <c r="J111" s="97" t="s">
        <v>786</v>
      </c>
      <c r="K111" s="7"/>
      <c r="L111" s="262">
        <v>45323</v>
      </c>
      <c r="M111" s="257">
        <v>46203</v>
      </c>
      <c r="N111" s="298">
        <f>_xlfn.XLOOKUP(Tb_Portfólio[[#This Row],[SEI]],Tb_Atualizações[PROCESSO SEI],Tb_Atualizações[% PREVISTO],"",0,-1)</f>
        <v>0.9</v>
      </c>
      <c r="O111" s="258">
        <f>_xlfn.XLOOKUP(Tb_Portfólio[[#This Row],[SEI]],Tb_Atualizações[PROCESSO SEI],Tb_Atualizações[% EXECUTADO],"",0,-1)</f>
        <v>0.9</v>
      </c>
      <c r="P111" s="431">
        <f>IFERROR(Tb_Portfólio[[#This Row],[% EXECUTADO]]/Tb_Portfólio[[#This Row],[% PREVISTO]],"0%")</f>
        <v>1</v>
      </c>
      <c r="Q111" s="266">
        <f>_xlfn.XLOOKUP(Tb_Portfólio[[#This Row],[SEI]],Tb_Atualizações[PROCESSO SEI],Tb_Atualizações[DATA DE ATUALIZAÇÃO],"",0,-1)</f>
        <v>46155</v>
      </c>
      <c r="R111" s="432">
        <f>_xlfn.XLOOKUP(Tb_Portfólio[[#This Row],[SEI]],Tb_Atualizações[PROCESSO SEI],Tb_Atualizações[Mês],,0,-1)</f>
        <v>46113</v>
      </c>
      <c r="S111" s="259"/>
      <c r="T111" s="268" t="s">
        <v>787</v>
      </c>
      <c r="U111"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111" s="95"/>
      <c r="W111" s="402">
        <f>IFERROR(Tb_Portfólio[[#This Row],[% EXECUTADO]]/Tb_Portfólio[[#This Row],[% PREVISTO]],0)</f>
        <v>1</v>
      </c>
      <c r="X111" s="301" t="s">
        <v>904</v>
      </c>
      <c r="Y111" s="150"/>
      <c r="Z111" s="150"/>
      <c r="AA111" s="207" t="s">
        <v>789</v>
      </c>
      <c r="AB111" s="285" t="s">
        <v>592</v>
      </c>
      <c r="AC111" s="7" t="s">
        <v>244</v>
      </c>
      <c r="AD111" s="97"/>
      <c r="AE111" s="305"/>
      <c r="AF111" s="273">
        <f t="shared" ca="1" si="4"/>
        <v>46176</v>
      </c>
      <c r="AG111" s="297" t="s">
        <v>791</v>
      </c>
      <c r="AH111" s="19" t="s">
        <v>244</v>
      </c>
      <c r="AJ111" s="79" t="str">
        <f>2024&amp;Tb_Portfólio[[#This Row],[SEI]]</f>
        <v>2024174666/2024</v>
      </c>
      <c r="AK111" t="str">
        <f>IFERROR(IF(MATCH(AJ111,Atualizações!$P$1:$P$1265,0)&gt;0, "Sim"), "Não")</f>
        <v>Sim</v>
      </c>
      <c r="AL111" s="79" t="str">
        <f>2025&amp;Tb_Portfólio[[#This Row],[SEI]]</f>
        <v>2025174666/2024</v>
      </c>
      <c r="AM111" t="str">
        <f>IFERROR(IF(MATCH(AL111,Atualizações!$P$1:$P$2994,0)&gt;0, "Sim"), "Não")</f>
        <v>Sim</v>
      </c>
      <c r="AN111" s="79" t="str">
        <f>2026&amp;Tb_Portfólio[[#This Row],[SEI]]</f>
        <v>2026174666/2024</v>
      </c>
      <c r="AO111" t="str">
        <f>IFERROR(IF(MATCH(AN111,Atualizações!$P$1:$P$2994,0)&gt;0, "Sim"), "Não")</f>
        <v>Sim</v>
      </c>
      <c r="AP111" s="79">
        <f>_xlfn.XLOOKUP(Tb_Portfólio[[#This Row],[SEI]],Tb_Atualizações[PROCESSO SEI],Tb_Atualizações[Explicações],"",0,-1)</f>
        <v>0</v>
      </c>
      <c r="AQ111" s="79" t="str">
        <f>_xlfn.XLOOKUP(Tb_Portfólio[[#This Row],[SEI]],Tb_Mapa[SEI],Tb_Mapa[CONSULTOR RESPONSÁVEL],"",0,-1)</f>
        <v>Tony</v>
      </c>
    </row>
    <row r="112" spans="1:43" ht="120" hidden="1">
      <c r="A112" s="149" t="s">
        <v>905</v>
      </c>
      <c r="B112" s="662" t="s">
        <v>906</v>
      </c>
      <c r="C112" s="97" t="s">
        <v>907</v>
      </c>
      <c r="D112" s="97"/>
      <c r="E112" s="285" t="s">
        <v>592</v>
      </c>
      <c r="F112" s="7" t="s">
        <v>244</v>
      </c>
      <c r="G112" s="283" t="s">
        <v>784</v>
      </c>
      <c r="H112" s="7" t="s">
        <v>46</v>
      </c>
      <c r="I112" s="97" t="s">
        <v>785</v>
      </c>
      <c r="J112" s="97" t="s">
        <v>786</v>
      </c>
      <c r="K112" s="7"/>
      <c r="L112" s="262">
        <v>45323</v>
      </c>
      <c r="M112" s="257">
        <v>45657</v>
      </c>
      <c r="N112" s="298">
        <f>_xlfn.XLOOKUP(Tb_Portfólio[[#This Row],[SEI]],Tb_Atualizações[PROCESSO SEI],Tb_Atualizações[% PREVISTO],"",0,-1)</f>
        <v>1</v>
      </c>
      <c r="O112" s="258">
        <f>_xlfn.XLOOKUP(Tb_Portfólio[[#This Row],[SEI]],Tb_Atualizações[PROCESSO SEI],Tb_Atualizações[% EXECUTADO],"",0,-1)</f>
        <v>1</v>
      </c>
      <c r="P112" s="431">
        <f>IFERROR(Tb_Portfólio[[#This Row],[% EXECUTADO]]/Tb_Portfólio[[#This Row],[% PREVISTO]],"0%")</f>
        <v>1</v>
      </c>
      <c r="Q112" s="266">
        <f>_xlfn.XLOOKUP(Tb_Portfólio[[#This Row],[SEI]],Tb_Atualizações[PROCESSO SEI],Tb_Atualizações[DATA DE ATUALIZAÇÃO],"",0,-1)</f>
        <v>45642</v>
      </c>
      <c r="R112" s="432">
        <f>_xlfn.XLOOKUP(Tb_Portfólio[[#This Row],[SEI]],Tb_Atualizações[PROCESSO SEI],Tb_Atualizações[Mês],,0,-1)</f>
        <v>45627</v>
      </c>
      <c r="S112" s="259"/>
      <c r="T112" s="268" t="s">
        <v>787</v>
      </c>
      <c r="U112"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12" s="95"/>
      <c r="W112" s="402">
        <f>IFERROR(Tb_Portfólio[[#This Row],[% EXECUTADO]]/Tb_Portfólio[[#This Row],[% PREVISTO]],0)</f>
        <v>1</v>
      </c>
      <c r="X112" s="326" t="s">
        <v>908</v>
      </c>
      <c r="Y112" s="150"/>
      <c r="Z112" s="150"/>
      <c r="AA112" s="207" t="s">
        <v>789</v>
      </c>
      <c r="AB112" s="285" t="s">
        <v>592</v>
      </c>
      <c r="AC112" s="7" t="s">
        <v>244</v>
      </c>
      <c r="AD112" s="97"/>
      <c r="AE112" s="330" t="s">
        <v>908</v>
      </c>
      <c r="AF112" s="273">
        <f t="shared" ca="1" si="4"/>
        <v>46176</v>
      </c>
      <c r="AG112" s="297" t="s">
        <v>791</v>
      </c>
      <c r="AH112" s="19" t="s">
        <v>244</v>
      </c>
      <c r="AJ112" s="79" t="str">
        <f>2024&amp;Tb_Portfólio[[#This Row],[SEI]]</f>
        <v>2024174667/2024</v>
      </c>
      <c r="AK112" t="str">
        <f>IFERROR(IF(MATCH(AJ112,Atualizações!$P$1:$P$1265,0)&gt;0, "Sim"), "Não")</f>
        <v>Sim</v>
      </c>
      <c r="AL112" s="79" t="str">
        <f>2025&amp;Tb_Portfólio[[#This Row],[SEI]]</f>
        <v>2025174667/2024</v>
      </c>
      <c r="AM112" t="str">
        <f>IFERROR(IF(MATCH(AL112,Atualizações!$P$1:$P$2994,0)&gt;0, "Sim"), "Não")</f>
        <v>Não</v>
      </c>
      <c r="AN112" s="79" t="str">
        <f>2026&amp;Tb_Portfólio[[#This Row],[SEI]]</f>
        <v>2026174667/2024</v>
      </c>
      <c r="AO112" t="str">
        <f>IFERROR(IF(MATCH(AN112,Atualizações!$P$1:$P$2994,0)&gt;0, "Sim"), "Não")</f>
        <v>Não</v>
      </c>
      <c r="AP112" s="79">
        <f>_xlfn.XLOOKUP(Tb_Portfólio[[#This Row],[SEI]],Tb_Atualizações[PROCESSO SEI],Tb_Atualizações[Explicações],"",0,-1)</f>
        <v>0</v>
      </c>
      <c r="AQ112" s="79" t="str">
        <f>_xlfn.XLOOKUP(Tb_Portfólio[[#This Row],[SEI]],Tb_Mapa[SEI],Tb_Mapa[CONSULTOR RESPONSÁVEL],"",0,-1)</f>
        <v>Tony/finalizado</v>
      </c>
    </row>
    <row r="113" spans="1:43" ht="120" hidden="1">
      <c r="A113" s="149" t="s">
        <v>909</v>
      </c>
      <c r="B113" s="662" t="s">
        <v>910</v>
      </c>
      <c r="C113" s="97" t="s">
        <v>911</v>
      </c>
      <c r="D113" s="97"/>
      <c r="E113" s="285" t="s">
        <v>592</v>
      </c>
      <c r="F113" s="2" t="s">
        <v>244</v>
      </c>
      <c r="G113" s="377" t="s">
        <v>784</v>
      </c>
      <c r="H113" s="2" t="s">
        <v>46</v>
      </c>
      <c r="I113" s="97" t="s">
        <v>785</v>
      </c>
      <c r="J113" s="97" t="s">
        <v>786</v>
      </c>
      <c r="K113" s="7"/>
      <c r="L113" s="262">
        <v>45323</v>
      </c>
      <c r="M113" s="257">
        <v>45657</v>
      </c>
      <c r="N113" s="298">
        <f>_xlfn.XLOOKUP(Tb_Portfólio[[#This Row],[SEI]],Tb_Atualizações[PROCESSO SEI],Tb_Atualizações[% PREVISTO],"",0,-1)</f>
        <v>1</v>
      </c>
      <c r="O113" s="258">
        <f>_xlfn.XLOOKUP(Tb_Portfólio[[#This Row],[SEI]],Tb_Atualizações[PROCESSO SEI],Tb_Atualizações[% EXECUTADO],"",0,-1)</f>
        <v>1</v>
      </c>
      <c r="P113" s="431">
        <f>IFERROR(Tb_Portfólio[[#This Row],[% EXECUTADO]]/Tb_Portfólio[[#This Row],[% PREVISTO]],"0%")</f>
        <v>1</v>
      </c>
      <c r="Q113" s="266">
        <f>_xlfn.XLOOKUP(Tb_Portfólio[[#This Row],[SEI]],Tb_Atualizações[PROCESSO SEI],Tb_Atualizações[DATA DE ATUALIZAÇÃO],"",0,-1)</f>
        <v>45642</v>
      </c>
      <c r="R113" s="432">
        <f>_xlfn.XLOOKUP(Tb_Portfólio[[#This Row],[SEI]],Tb_Atualizações[PROCESSO SEI],Tb_Atualizações[Mês],,0,-1)</f>
        <v>45627</v>
      </c>
      <c r="S113" s="259"/>
      <c r="T113" s="268" t="s">
        <v>787</v>
      </c>
      <c r="U113"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13" s="95"/>
      <c r="W113" s="402">
        <f>IFERROR(Tb_Portfólio[[#This Row],[% EXECUTADO]]/Tb_Portfólio[[#This Row],[% PREVISTO]],0)</f>
        <v>1</v>
      </c>
      <c r="X113" s="326" t="s">
        <v>912</v>
      </c>
      <c r="Y113" s="150"/>
      <c r="Z113" s="150"/>
      <c r="AA113" s="207" t="s">
        <v>789</v>
      </c>
      <c r="AB113" s="285" t="s">
        <v>592</v>
      </c>
      <c r="AC113" s="19" t="s">
        <v>244</v>
      </c>
      <c r="AD113" s="97"/>
      <c r="AE113" s="330" t="s">
        <v>912</v>
      </c>
      <c r="AF113" s="273">
        <f t="shared" ca="1" si="4"/>
        <v>46176</v>
      </c>
      <c r="AG113" s="297" t="s">
        <v>791</v>
      </c>
      <c r="AH113" s="19" t="s">
        <v>244</v>
      </c>
      <c r="AJ113" s="79" t="str">
        <f>2024&amp;Tb_Portfólio[[#This Row],[SEI]]</f>
        <v>2024174668/2024</v>
      </c>
      <c r="AK113" t="str">
        <f>IFERROR(IF(MATCH(AJ113,Atualizações!$P$1:$P$1265,0)&gt;0, "Sim"), "Não")</f>
        <v>Sim</v>
      </c>
      <c r="AL113" s="79" t="str">
        <f>2025&amp;Tb_Portfólio[[#This Row],[SEI]]</f>
        <v>2025174668/2024</v>
      </c>
      <c r="AM113" t="str">
        <f>IFERROR(IF(MATCH(AL113,Atualizações!$P$1:$P$2994,0)&gt;0, "Sim"), "Não")</f>
        <v>Não</v>
      </c>
      <c r="AN113" s="79" t="str">
        <f>2026&amp;Tb_Portfólio[[#This Row],[SEI]]</f>
        <v>2026174668/2024</v>
      </c>
      <c r="AO113" t="str">
        <f>IFERROR(IF(MATCH(AN113,Atualizações!$P$1:$P$2994,0)&gt;0, "Sim"), "Não")</f>
        <v>Não</v>
      </c>
      <c r="AP113" s="79">
        <f>_xlfn.XLOOKUP(Tb_Portfólio[[#This Row],[SEI]],Tb_Atualizações[PROCESSO SEI],Tb_Atualizações[Explicações],"",0,-1)</f>
        <v>0</v>
      </c>
      <c r="AQ113" s="79" t="str">
        <f>_xlfn.XLOOKUP(Tb_Portfólio[[#This Row],[SEI]],Tb_Mapa[SEI],Tb_Mapa[CONSULTOR RESPONSÁVEL],"",0,-1)</f>
        <v>Tony/finalizado</v>
      </c>
    </row>
    <row r="114" spans="1:43" ht="120" hidden="1">
      <c r="A114" s="149" t="s">
        <v>913</v>
      </c>
      <c r="B114" s="662" t="s">
        <v>914</v>
      </c>
      <c r="C114" s="97" t="s">
        <v>915</v>
      </c>
      <c r="D114" s="97"/>
      <c r="E114" s="285" t="s">
        <v>592</v>
      </c>
      <c r="F114" s="7" t="s">
        <v>244</v>
      </c>
      <c r="G114" s="283" t="s">
        <v>784</v>
      </c>
      <c r="H114" s="7" t="s">
        <v>46</v>
      </c>
      <c r="I114" s="97" t="s">
        <v>785</v>
      </c>
      <c r="J114" s="97" t="s">
        <v>786</v>
      </c>
      <c r="K114" s="7"/>
      <c r="L114" s="262">
        <v>45323</v>
      </c>
      <c r="M114" s="257">
        <v>45657</v>
      </c>
      <c r="N114" s="298">
        <f>_xlfn.XLOOKUP(Tb_Portfólio[[#This Row],[SEI]],Tb_Atualizações[PROCESSO SEI],Tb_Atualizações[% PREVISTO],"",0,-1)</f>
        <v>1</v>
      </c>
      <c r="O114" s="258">
        <f>_xlfn.XLOOKUP(Tb_Portfólio[[#This Row],[SEI]],Tb_Atualizações[PROCESSO SEI],Tb_Atualizações[% EXECUTADO],"",0,-1)</f>
        <v>1</v>
      </c>
      <c r="P114" s="431">
        <f>IFERROR(Tb_Portfólio[[#This Row],[% EXECUTADO]]/Tb_Portfólio[[#This Row],[% PREVISTO]],"0%")</f>
        <v>1</v>
      </c>
      <c r="Q114" s="266">
        <f>_xlfn.XLOOKUP(Tb_Portfólio[[#This Row],[SEI]],Tb_Atualizações[PROCESSO SEI],Tb_Atualizações[DATA DE ATUALIZAÇÃO],"",0,-1)</f>
        <v>45642</v>
      </c>
      <c r="R114" s="432">
        <f>_xlfn.XLOOKUP(Tb_Portfólio[[#This Row],[SEI]],Tb_Atualizações[PROCESSO SEI],Tb_Atualizações[Mês],,0,-1)</f>
        <v>45627</v>
      </c>
      <c r="S114" s="259"/>
      <c r="T114" s="268" t="s">
        <v>787</v>
      </c>
      <c r="U114"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14" s="95"/>
      <c r="W114" s="402">
        <f>IFERROR(Tb_Portfólio[[#This Row],[% EXECUTADO]]/Tb_Portfólio[[#This Row],[% PREVISTO]],0)</f>
        <v>1</v>
      </c>
      <c r="X114" s="326" t="s">
        <v>916</v>
      </c>
      <c r="Y114" s="150"/>
      <c r="Z114" s="150"/>
      <c r="AA114" s="207" t="s">
        <v>789</v>
      </c>
      <c r="AB114" s="285" t="s">
        <v>592</v>
      </c>
      <c r="AC114" s="7" t="s">
        <v>244</v>
      </c>
      <c r="AD114" s="97"/>
      <c r="AE114" s="330" t="s">
        <v>916</v>
      </c>
      <c r="AF114" s="273">
        <f t="shared" ca="1" si="4"/>
        <v>46176</v>
      </c>
      <c r="AG114" s="297" t="s">
        <v>791</v>
      </c>
      <c r="AH114" s="19" t="s">
        <v>244</v>
      </c>
      <c r="AJ114" s="79" t="str">
        <f>2024&amp;Tb_Portfólio[[#This Row],[SEI]]</f>
        <v>2024174669/2024</v>
      </c>
      <c r="AK114" t="str">
        <f>IFERROR(IF(MATCH(AJ114,Atualizações!$P$1:$P$1265,0)&gt;0, "Sim"), "Não")</f>
        <v>Sim</v>
      </c>
      <c r="AL114" s="79" t="str">
        <f>2025&amp;Tb_Portfólio[[#This Row],[SEI]]</f>
        <v>2025174669/2024</v>
      </c>
      <c r="AM114" t="str">
        <f>IFERROR(IF(MATCH(AL114,Atualizações!$P$1:$P$2994,0)&gt;0, "Sim"), "Não")</f>
        <v>Não</v>
      </c>
      <c r="AN114" s="79" t="str">
        <f>2026&amp;Tb_Portfólio[[#This Row],[SEI]]</f>
        <v>2026174669/2024</v>
      </c>
      <c r="AO114" t="str">
        <f>IFERROR(IF(MATCH(AN114,Atualizações!$P$1:$P$2994,0)&gt;0, "Sim"), "Não")</f>
        <v>Não</v>
      </c>
      <c r="AP114" s="79">
        <f>_xlfn.XLOOKUP(Tb_Portfólio[[#This Row],[SEI]],Tb_Atualizações[PROCESSO SEI],Tb_Atualizações[Explicações],"",0,-1)</f>
        <v>0</v>
      </c>
      <c r="AQ114" s="79" t="str">
        <f>_xlfn.XLOOKUP(Tb_Portfólio[[#This Row],[SEI]],Tb_Mapa[SEI],Tb_Mapa[CONSULTOR RESPONSÁVEL],"",0,-1)</f>
        <v>Tony/finalizado</v>
      </c>
    </row>
    <row r="115" spans="1:43" ht="120" hidden="1">
      <c r="A115" s="149" t="s">
        <v>917</v>
      </c>
      <c r="B115" s="512" t="s">
        <v>918</v>
      </c>
      <c r="C115" s="97" t="s">
        <v>919</v>
      </c>
      <c r="D115" s="97"/>
      <c r="E115" s="97" t="s">
        <v>43</v>
      </c>
      <c r="F115" s="97" t="s">
        <v>44</v>
      </c>
      <c r="G115" s="97" t="s">
        <v>239</v>
      </c>
      <c r="H115" s="7" t="s">
        <v>46</v>
      </c>
      <c r="I115" s="97" t="s">
        <v>920</v>
      </c>
      <c r="J115" s="97" t="s">
        <v>921</v>
      </c>
      <c r="K115" s="7" t="s">
        <v>922</v>
      </c>
      <c r="L115" s="262">
        <v>45706</v>
      </c>
      <c r="M115" s="257">
        <v>46386</v>
      </c>
      <c r="N115" s="298">
        <f>_xlfn.XLOOKUP(Tb_Portfólio[[#This Row],[SEI]],Tb_Atualizações[PROCESSO SEI],Tb_Atualizações[% PREVISTO],"",0,-1)</f>
        <v>0.69</v>
      </c>
      <c r="O115" s="258">
        <f>_xlfn.XLOOKUP(Tb_Portfólio[[#This Row],[SEI]],Tb_Atualizações[PROCESSO SEI],Tb_Atualizações[% EXECUTADO],"",0,-1)</f>
        <v>0.66</v>
      </c>
      <c r="P115" s="258">
        <f>IFERROR(Tb_Portfólio[[#This Row],[% EXECUTADO]]/Tb_Portfólio[[#This Row],[% PREVISTO]],"0%")</f>
        <v>0.95652173913043492</v>
      </c>
      <c r="Q115" s="266">
        <f>_xlfn.XLOOKUP(Tb_Portfólio[[#This Row],[SEI]],Tb_Atualizações[PROCESSO SEI],Tb_Atualizações[DATA DE ATUALIZAÇÃO],"",0,-1)</f>
        <v>46137</v>
      </c>
      <c r="R115" s="266">
        <f>_xlfn.XLOOKUP(Tb_Portfólio[[#This Row],[SEI]],Tb_Atualizações[PROCESSO SEI],Tb_Atualizações[Mês],,0,-1)</f>
        <v>46143</v>
      </c>
      <c r="S115" s="259"/>
      <c r="T115" s="268" t="s">
        <v>48</v>
      </c>
      <c r="U115"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No prazo</v>
      </c>
      <c r="V115" s="95"/>
      <c r="W115" s="402">
        <f>IFERROR(Tb_Portfólio[[#This Row],[% EXECUTADO]]/Tb_Portfólio[[#This Row],[% PREVISTO]],0)</f>
        <v>0.95652173913043492</v>
      </c>
      <c r="X115" s="97"/>
      <c r="Y115" s="652">
        <v>222976.88</v>
      </c>
      <c r="Z115" s="652"/>
      <c r="AA115" s="97" t="s">
        <v>51</v>
      </c>
      <c r="AB115" s="97" t="s">
        <v>150</v>
      </c>
      <c r="AC115" s="255" t="s">
        <v>44</v>
      </c>
      <c r="AD115" s="97" t="s">
        <v>923</v>
      </c>
      <c r="AE115" s="274"/>
      <c r="AF115" s="273">
        <f t="shared" ca="1" si="4"/>
        <v>46176</v>
      </c>
      <c r="AG115" s="274" t="s">
        <v>924</v>
      </c>
      <c r="AH115" s="79" t="s">
        <v>67</v>
      </c>
      <c r="AJ115" s="79" t="str">
        <f>2024&amp;Tb_Portfólio[[#This Row],[SEI]]</f>
        <v>202417529/2024</v>
      </c>
      <c r="AK115" s="79" t="str">
        <f>IFERROR(IF(MATCH(AJ115,Atualizações!$P$1:$P$1265,0)&gt;0, "Sim"), "Não")</f>
        <v>Não</v>
      </c>
      <c r="AL115" s="79" t="str">
        <f>2025&amp;Tb_Portfólio[[#This Row],[SEI]]</f>
        <v>202517529/2024</v>
      </c>
      <c r="AM115" t="str">
        <f>IFERROR(IF(MATCH(AL115,Atualizações!$P$1:$P$2994,0)&gt;0, "Sim"), "Não")</f>
        <v>Sim</v>
      </c>
      <c r="AN115" s="79" t="str">
        <f>2026&amp;Tb_Portfólio[[#This Row],[SEI]]</f>
        <v>202617529/2024</v>
      </c>
      <c r="AO115" t="str">
        <f>IFERROR(IF(MATCH(AN115,Atualizações!$P$1:$P$2994,0)&gt;0, "Sim"), "Não")</f>
        <v>Sim</v>
      </c>
      <c r="AP115" s="79">
        <f>_xlfn.XLOOKUP(Tb_Portfólio[[#This Row],[SEI]],Tb_Atualizações[PROCESSO SEI],Tb_Atualizações[Explicações],"",0,-1)</f>
        <v>0</v>
      </c>
      <c r="AQ115" s="79" t="str">
        <f>_xlfn.XLOOKUP(Tb_Portfólio[[#This Row],[SEI]],Tb_Mapa[SEI],Tb_Mapa[CONSULTOR RESPONSÁVEL],"",0,-1)</f>
        <v>Raphael</v>
      </c>
    </row>
    <row r="116" spans="1:43" ht="132.6" hidden="1" customHeight="1">
      <c r="A116" s="149" t="s">
        <v>925</v>
      </c>
      <c r="B116" s="139" t="s">
        <v>926</v>
      </c>
      <c r="C116" s="97" t="s">
        <v>927</v>
      </c>
      <c r="D116" s="97"/>
      <c r="E116" s="97" t="s">
        <v>928</v>
      </c>
      <c r="F116" s="255" t="s">
        <v>44</v>
      </c>
      <c r="G116" s="97" t="s">
        <v>293</v>
      </c>
      <c r="H116" s="255" t="s">
        <v>44</v>
      </c>
      <c r="I116" s="97" t="s">
        <v>240</v>
      </c>
      <c r="J116" s="97" t="s">
        <v>929</v>
      </c>
      <c r="K116" s="7" t="s">
        <v>930</v>
      </c>
      <c r="L116" s="262" t="s">
        <v>931</v>
      </c>
      <c r="M116" s="257">
        <v>46037</v>
      </c>
      <c r="N116" s="298">
        <f>_xlfn.XLOOKUP(Tb_Portfólio[[#This Row],[SEI]],Tb_Atualizações[PROCESSO SEI],Tb_Atualizações[% PREVISTO],"",0,-1)</f>
        <v>1</v>
      </c>
      <c r="O116" s="258">
        <f>_xlfn.XLOOKUP(Tb_Portfólio[[#This Row],[SEI]],Tb_Atualizações[PROCESSO SEI],Tb_Atualizações[% EXECUTADO],"",0,-1)</f>
        <v>1</v>
      </c>
      <c r="P116" s="258">
        <f>IFERROR(Tb_Portfólio[[#This Row],[% EXECUTADO]]/Tb_Portfólio[[#This Row],[% PREVISTO]],"0%")</f>
        <v>1</v>
      </c>
      <c r="Q116" s="266">
        <f>_xlfn.XLOOKUP(Tb_Portfólio[[#This Row],[SEI]],Tb_Atualizações[PROCESSO SEI],Tb_Atualizações[DATA DE ATUALIZAÇÃO],"",0,-1)</f>
        <v>46057</v>
      </c>
      <c r="R116" s="266">
        <f>_xlfn.XLOOKUP(Tb_Portfólio[[#This Row],[SEI]],Tb_Atualizações[PROCESSO SEI],Tb_Atualizações[Mês],,0,-1)</f>
        <v>46023</v>
      </c>
      <c r="S116" s="259"/>
      <c r="T116" s="268"/>
      <c r="U116" s="259" t="str">
        <f>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Finalizado</v>
      </c>
      <c r="V116" s="95"/>
      <c r="W116" s="402">
        <f>IFERROR(Tb_Portfólio[[#This Row],[% EXECUTADO]]/Tb_Portfólio[[#This Row],[% PREVISTO]],0)</f>
        <v>1</v>
      </c>
      <c r="X116" s="97" t="s">
        <v>932</v>
      </c>
      <c r="Y116" s="470"/>
      <c r="Z116" s="652"/>
      <c r="AA116" s="97"/>
      <c r="AB116" s="79" t="s">
        <v>928</v>
      </c>
      <c r="AC116" s="255" t="s">
        <v>44</v>
      </c>
      <c r="AD116" s="97" t="s">
        <v>933</v>
      </c>
      <c r="AE116" s="274"/>
      <c r="AF116" s="273">
        <f t="shared" ca="1" si="4"/>
        <v>46176</v>
      </c>
      <c r="AG116" s="274"/>
      <c r="AJ116" s="79" t="str">
        <f>2024&amp;Tb_Portfólio[[#This Row],[SEI]]</f>
        <v>202419706/2025</v>
      </c>
      <c r="AK116" s="79" t="str">
        <f>IFERROR(IF(MATCH(AJ116,Atualizações!$P$1:$P$1265,0)&gt;0, "Sim"), "Não")</f>
        <v>Não</v>
      </c>
      <c r="AL116" s="79" t="str">
        <f>2025&amp;Tb_Portfólio[[#This Row],[SEI]]</f>
        <v>202519706/2025</v>
      </c>
      <c r="AM116" t="str">
        <f>IFERROR(IF(MATCH(AL116,Atualizações!$P$1:$P$2994,0)&gt;0, "Sim"), "Não")</f>
        <v>Sim</v>
      </c>
      <c r="AN116" s="79" t="str">
        <f>2026&amp;Tb_Portfólio[[#This Row],[SEI]]</f>
        <v>202619706/2025</v>
      </c>
      <c r="AO116" t="str">
        <f>IFERROR(IF(MATCH(AN116,Atualizações!$P$1:$P$2994,0)&gt;0, "Sim"), "Não")</f>
        <v>Sim</v>
      </c>
      <c r="AP116" s="79">
        <f>_xlfn.XLOOKUP(Tb_Portfólio[[#This Row],[SEI]],Tb_Atualizações[PROCESSO SEI],Tb_Atualizações[Explicações],"",0,-1)</f>
        <v>0</v>
      </c>
      <c r="AQ116" s="79" t="str">
        <f>_xlfn.XLOOKUP(Tb_Portfólio[[#This Row],[SEI]],Tb_Mapa[SEI],Tb_Mapa[CONSULTOR RESPONSÁVEL],"",0,-1)</f>
        <v>Finalizado/Juliana</v>
      </c>
    </row>
    <row r="117" spans="1:43" ht="180" hidden="1">
      <c r="A117" s="149" t="s">
        <v>934</v>
      </c>
      <c r="B117" s="139" t="s">
        <v>935</v>
      </c>
      <c r="C117" s="97" t="s">
        <v>936</v>
      </c>
      <c r="D117" s="97"/>
      <c r="E117" s="97" t="s">
        <v>937</v>
      </c>
      <c r="F117" s="97" t="s">
        <v>116</v>
      </c>
      <c r="G117" s="97" t="s">
        <v>938</v>
      </c>
      <c r="H117" s="255" t="s">
        <v>44</v>
      </c>
      <c r="I117" s="97" t="s">
        <v>939</v>
      </c>
      <c r="J117" s="97" t="s">
        <v>294</v>
      </c>
      <c r="K117" s="7" t="s">
        <v>940</v>
      </c>
      <c r="L117" s="262">
        <v>45996</v>
      </c>
      <c r="M117" s="257">
        <v>46741</v>
      </c>
      <c r="N117" s="298">
        <f>_xlfn.XLOOKUP(Tb_Portfólio[[#This Row],[SEI]],Tb_Atualizações[PROCESSO SEI],Tb_Atualizações[% PREVISTO],"",0,-1)</f>
        <v>0</v>
      </c>
      <c r="O117" s="258">
        <f>_xlfn.XLOOKUP(Tb_Portfólio[[#This Row],[SEI]],Tb_Atualizações[PROCESSO SEI],Tb_Atualizações[% EXECUTADO],"",0,-1)</f>
        <v>0</v>
      </c>
      <c r="P117" s="258" t="str">
        <f>IFERROR(Tb_Portfólio[[#This Row],[% EXECUTADO]]/Tb_Portfólio[[#This Row],[% PREVISTO]],"0%")</f>
        <v>0%</v>
      </c>
      <c r="Q117" s="266">
        <f>_xlfn.XLOOKUP(Tb_Portfólio[[#This Row],[SEI]],Tb_Atualizações[PROCESSO SEI],Tb_Atualizações[DATA DE ATUALIZAÇÃO],"",0,-1)</f>
        <v>46078</v>
      </c>
      <c r="R117" s="266">
        <f>_xlfn.XLOOKUP(Tb_Portfólio[[#This Row],[SEI]],Tb_Atualizações[PROCESSO SEI],Tb_Atualizações[Mês],,0,-1)</f>
        <v>46054</v>
      </c>
      <c r="S117" s="259"/>
      <c r="T117" s="268"/>
      <c r="U117"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17" s="95"/>
      <c r="W117" s="402">
        <f>IFERROR(Tb_Portfólio[[#This Row],[% EXECUTADO]]/Tb_Portfólio[[#This Row],[% PREVISTO]],0)</f>
        <v>0</v>
      </c>
      <c r="X117" s="97" t="s">
        <v>941</v>
      </c>
      <c r="Y117" s="652"/>
      <c r="Z117" s="652"/>
      <c r="AA117" s="97"/>
      <c r="AB117" s="97" t="s">
        <v>942</v>
      </c>
      <c r="AC117" s="255" t="s">
        <v>44</v>
      </c>
      <c r="AD117" s="97" t="s">
        <v>943</v>
      </c>
      <c r="AE117" s="274"/>
      <c r="AF117" s="273">
        <f t="shared" ref="AF117" ca="1" si="5">TODAY()</f>
        <v>46176</v>
      </c>
      <c r="AG117" s="274"/>
      <c r="AJ117" s="79" t="str">
        <f>2024&amp;Tb_Portfólio[[#This Row],[SEI]]</f>
        <v>202421959/2025</v>
      </c>
      <c r="AK117" s="79" t="str">
        <f>IFERROR(IF(MATCH(AJ117,Atualizações!$P$1:$P$1265,0)&gt;0, "Sim"), "Não")</f>
        <v>Não</v>
      </c>
      <c r="AL117" s="79" t="str">
        <f>2025&amp;Tb_Portfólio[[#This Row],[SEI]]</f>
        <v>202521959/2025</v>
      </c>
      <c r="AM117" s="79" t="str">
        <f>IFERROR(IF(MATCH(AL117,Atualizações!$P$1:$P$2994,0)&gt;0, "Sim"), "Não")</f>
        <v>Não</v>
      </c>
      <c r="AN117" s="79" t="str">
        <f>2026&amp;Tb_Portfólio[[#This Row],[SEI]]</f>
        <v>202621959/2025</v>
      </c>
      <c r="AO117" s="79" t="str">
        <f>IFERROR(IF(MATCH(AN117,Atualizações!$P$1:$P$2994,0)&gt;0, "Sim"), "Não")</f>
        <v>Sim</v>
      </c>
      <c r="AP117" s="79" t="str">
        <f>_xlfn.XLOOKUP(Tb_Portfólio[[#This Row],[SEI]],Tb_Atualizações[PROCESSO SEI],Tb_Atualizações[Explicações],"",0,-1)</f>
        <v>Cadastro no portfólio</v>
      </c>
      <c r="AQ117" s="79" t="str">
        <f>_xlfn.XLOOKUP(Tb_Portfólio[[#This Row],[SEI]],Tb_Mapa[SEI],Tb_Mapa[CONSULTOR RESPONSÁVEL],"",0,-1)</f>
        <v>Juliana</v>
      </c>
    </row>
    <row r="118" spans="1:43" ht="195" hidden="1">
      <c r="A118" s="149" t="s">
        <v>944</v>
      </c>
      <c r="B118" s="103" t="s">
        <v>945</v>
      </c>
      <c r="C118" s="97" t="s">
        <v>946</v>
      </c>
      <c r="D118" s="97"/>
      <c r="E118" s="97" t="s">
        <v>201</v>
      </c>
      <c r="F118" s="97" t="s">
        <v>202</v>
      </c>
      <c r="G118" s="97" t="s">
        <v>203</v>
      </c>
      <c r="H118" s="97" t="s">
        <v>202</v>
      </c>
      <c r="I118" s="97" t="s">
        <v>717</v>
      </c>
      <c r="J118" s="97" t="s">
        <v>718</v>
      </c>
      <c r="K118" s="7" t="s">
        <v>947</v>
      </c>
      <c r="L118" s="262">
        <v>46082</v>
      </c>
      <c r="M118" s="257">
        <v>46173</v>
      </c>
      <c r="N118" s="654">
        <f>_xlfn.XLOOKUP(Tb_Portfólio[[#This Row],[SEI]],Tb_Atualizações[PROCESSO SEI],Tb_Atualizações[% PREVISTO],"",0,-1)</f>
        <v>0</v>
      </c>
      <c r="O118" s="655">
        <f>_xlfn.XLOOKUP(Tb_Portfólio[[#This Row],[SEI]],Tb_Atualizações[PROCESSO SEI],Tb_Atualizações[% EXECUTADO],"",0,-1)</f>
        <v>0</v>
      </c>
      <c r="P118" s="258" t="str">
        <f>IFERROR(Tb_Portfólio[[#This Row],[% EXECUTADO]]/Tb_Portfólio[[#This Row],[% PREVISTO]],"0%")</f>
        <v>0%</v>
      </c>
      <c r="Q118" s="266">
        <f>_xlfn.XLOOKUP(Tb_Portfólio[[#This Row],[SEI]],Tb_Atualizações[PROCESSO SEI],Tb_Atualizações[DATA DE ATUALIZAÇÃO],"",0,-1)</f>
        <v>46108</v>
      </c>
      <c r="R118" s="266">
        <f>_xlfn.XLOOKUP(Tb_Portfólio[[#This Row],[SEI]],Tb_Atualizações[PROCESSO SEI],Tb_Atualizações[Mês],,0,-1)</f>
        <v>46082</v>
      </c>
      <c r="S118" s="656"/>
      <c r="T118" s="268"/>
      <c r="U118"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118" s="95"/>
      <c r="W118" s="402">
        <f>IFERROR(Tb_Portfólio[[#This Row],[% EXECUTADO]]/Tb_Portfólio[[#This Row],[% PREVISTO]],0)</f>
        <v>0</v>
      </c>
      <c r="X118" s="261" t="s">
        <v>948</v>
      </c>
      <c r="Y118" s="732"/>
      <c r="Z118" s="732"/>
      <c r="AA118" s="97"/>
      <c r="AB118" s="97" t="s">
        <v>949</v>
      </c>
      <c r="AC118" s="97" t="s">
        <v>202</v>
      </c>
      <c r="AD118" s="97" t="s">
        <v>950</v>
      </c>
      <c r="AE118" s="274"/>
      <c r="AF118" s="273">
        <f t="shared" ref="AF118:AF123" ca="1" si="6">TODAY()</f>
        <v>46176</v>
      </c>
      <c r="AG118" s="274"/>
      <c r="AJ118" s="79" t="str">
        <f>2024&amp;Tb_Portfólio[[#This Row],[SEI]]</f>
        <v>202401485/2026</v>
      </c>
      <c r="AK118" s="79" t="str">
        <f>IFERROR(IF(MATCH(AJ118,Atualizações!$P$1:$P$1265,0)&gt;0, "Sim"), "Não")</f>
        <v>Não</v>
      </c>
      <c r="AL118" s="79" t="str">
        <f>2025&amp;Tb_Portfólio[[#This Row],[SEI]]</f>
        <v>202501485/2026</v>
      </c>
      <c r="AM118" s="79" t="str">
        <f>IFERROR(IF(MATCH(AL118,Atualizações!$P$1:$P$2994,0)&gt;0, "Sim"), "Não")</f>
        <v>Não</v>
      </c>
      <c r="AN118" s="79" t="str">
        <f>2026&amp;Tb_Portfólio[[#This Row],[SEI]]</f>
        <v>202601485/2026</v>
      </c>
      <c r="AO118" s="79" t="str">
        <f>IFERROR(IF(MATCH(AN118,Atualizações!$P$1:$P$2994,0)&gt;0, "Sim"), "Não")</f>
        <v>Sim</v>
      </c>
      <c r="AP118" s="79" t="str">
        <f>_xlfn.XLOOKUP(Tb_Portfólio[[#This Row],[SEI]],Tb_Atualizações[PROCESSO SEI],Tb_Atualizações[Explicações],"",0,-1)</f>
        <v>Cadastro na base</v>
      </c>
      <c r="AQ118" s="79" t="str">
        <f>_xlfn.XLOOKUP(Tb_Portfólio[[#This Row],[SEI]],Tb_Mapa[SEI],Tb_Mapa[CONSULTOR RESPONSÁVEL],"",0,-1)</f>
        <v>Juliana</v>
      </c>
    </row>
    <row r="119" spans="1:43" ht="105" hidden="1">
      <c r="A119" s="149" t="s">
        <v>951</v>
      </c>
      <c r="B119" s="103" t="s">
        <v>952</v>
      </c>
      <c r="C119" s="97" t="s">
        <v>953</v>
      </c>
      <c r="D119" s="97"/>
      <c r="E119" s="97" t="s">
        <v>954</v>
      </c>
      <c r="F119" s="255" t="s">
        <v>44</v>
      </c>
      <c r="G119" s="97" t="s">
        <v>955</v>
      </c>
      <c r="H119" s="255" t="s">
        <v>44</v>
      </c>
      <c r="I119" s="97" t="s">
        <v>240</v>
      </c>
      <c r="J119" s="97" t="s">
        <v>166</v>
      </c>
      <c r="K119" s="19" t="s">
        <v>956</v>
      </c>
      <c r="L119" s="262">
        <v>46057</v>
      </c>
      <c r="M119" s="257">
        <v>46650</v>
      </c>
      <c r="N119" s="298">
        <f>_xlfn.XLOOKUP(Tb_Portfólio[[#This Row],[SEI]],Tb_Atualizações[PROCESSO SEI],Tb_Atualizações[% PREVISTO],"",0,-1)</f>
        <v>0</v>
      </c>
      <c r="O119" s="258">
        <f>_xlfn.XLOOKUP(Tb_Portfólio[[#This Row],[SEI]],Tb_Atualizações[PROCESSO SEI],Tb_Atualizações[% EXECUTADO],"",0,-1)</f>
        <v>0</v>
      </c>
      <c r="P119" s="258" t="str">
        <f>IFERROR(Tb_Portfólio[[#This Row],[% EXECUTADO]]/Tb_Portfólio[[#This Row],[% PREVISTO]],"0%")</f>
        <v>0%</v>
      </c>
      <c r="Q119" s="266">
        <f>_xlfn.XLOOKUP(Tb_Portfólio[[#This Row],[SEI]],Tb_Atualizações[PROCESSO SEI],Tb_Atualizações[DATA DE ATUALIZAÇÃO],"",0,-1)</f>
        <v>46098</v>
      </c>
      <c r="R119" s="266">
        <f>_xlfn.XLOOKUP(Tb_Portfólio[[#This Row],[SEI]],Tb_Atualizações[PROCESSO SEI],Tb_Atualizações[Mês],,0,-1)</f>
        <v>46082</v>
      </c>
      <c r="S119" s="259"/>
      <c r="T119" s="268"/>
      <c r="U119"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19" s="95"/>
      <c r="W119" s="402">
        <f>IFERROR(Tb_Portfólio[[#This Row],[% EXECUTADO]]/Tb_Portfólio[[#This Row],[% PREVISTO]],0)</f>
        <v>0</v>
      </c>
      <c r="X119" s="97"/>
      <c r="Y119" s="652"/>
      <c r="Z119" s="652"/>
      <c r="AA119" s="97"/>
      <c r="AB119" s="97"/>
      <c r="AC119" s="97"/>
      <c r="AD119" s="97"/>
      <c r="AE119" s="274"/>
      <c r="AF119" s="273">
        <f t="shared" ca="1" si="6"/>
        <v>46176</v>
      </c>
      <c r="AG119" s="274"/>
      <c r="AJ119" s="79" t="str">
        <f>2024&amp;Tb_Portfólio[[#This Row],[SEI]]</f>
        <v>202402797/2026</v>
      </c>
      <c r="AK119" s="79" t="str">
        <f>IFERROR(IF(MATCH(AJ119,Atualizações!$P$1:$P$1265,0)&gt;0, "Sim"), "Não")</f>
        <v>Não</v>
      </c>
      <c r="AL119" s="79" t="str">
        <f>2025&amp;Tb_Portfólio[[#This Row],[SEI]]</f>
        <v>202502797/2026</v>
      </c>
      <c r="AM119" s="79" t="str">
        <f>IFERROR(IF(MATCH(AL119,Atualizações!$P$1:$P$2994,0)&gt;0, "Sim"), "Não")</f>
        <v>Não</v>
      </c>
      <c r="AN119" s="79" t="str">
        <f>2026&amp;Tb_Portfólio[[#This Row],[SEI]]</f>
        <v>202602797/2026</v>
      </c>
      <c r="AO119" s="79" t="str">
        <f>IFERROR(IF(MATCH(AN119,Atualizações!$P$1:$P$2994,0)&gt;0, "Sim"), "Não")</f>
        <v>Sim</v>
      </c>
      <c r="AP119" s="79" t="str">
        <f>_xlfn.XLOOKUP(Tb_Portfólio[[#This Row],[SEI]],Tb_Atualizações[PROCESSO SEI],Tb_Atualizações[Explicações],"",0,-1)</f>
        <v>Inclusão no portfólio</v>
      </c>
      <c r="AQ119" s="79" t="str">
        <f>_xlfn.XLOOKUP(Tb_Portfólio[[#This Row],[SEI]],Tb_Mapa[SEI],Tb_Mapa[CONSULTOR RESPONSÁVEL],"",0,-1)</f>
        <v>Juliana</v>
      </c>
    </row>
    <row r="120" spans="1:43" ht="150" hidden="1">
      <c r="A120" s="149" t="s">
        <v>957</v>
      </c>
      <c r="B120" s="103" t="s">
        <v>958</v>
      </c>
      <c r="C120" s="97" t="s">
        <v>959</v>
      </c>
      <c r="D120" s="97"/>
      <c r="E120" s="79" t="s">
        <v>201</v>
      </c>
      <c r="F120" s="97" t="s">
        <v>202</v>
      </c>
      <c r="G120" s="97" t="s">
        <v>203</v>
      </c>
      <c r="H120" s="73" t="s">
        <v>202</v>
      </c>
      <c r="I120" s="97" t="s">
        <v>717</v>
      </c>
      <c r="J120" s="97" t="s">
        <v>718</v>
      </c>
      <c r="K120" s="7" t="s">
        <v>960</v>
      </c>
      <c r="L120" s="262">
        <v>46024</v>
      </c>
      <c r="M120" s="257">
        <v>46376</v>
      </c>
      <c r="N120" s="298">
        <f>_xlfn.XLOOKUP(Tb_Portfólio[[#This Row],[SEI]],Tb_Atualizações[PROCESSO SEI],Tb_Atualizações[% PREVISTO],"",0,-1)</f>
        <v>0</v>
      </c>
      <c r="O120" s="258">
        <f>_xlfn.XLOOKUP(Tb_Portfólio[[#This Row],[SEI]],Tb_Atualizações[PROCESSO SEI],Tb_Atualizações[% EXECUTADO],"",0,-1)</f>
        <v>0</v>
      </c>
      <c r="P120" s="258" t="str">
        <f>IFERROR(Tb_Portfólio[[#This Row],[% EXECUTADO]]/Tb_Portfólio[[#This Row],[% PREVISTO]],"0%")</f>
        <v>0%</v>
      </c>
      <c r="Q120" s="266">
        <f>_xlfn.XLOOKUP(Tb_Portfólio[[#This Row],[SEI]],Tb_Atualizações[PROCESSO SEI],Tb_Atualizações[DATA DE ATUALIZAÇÃO],"",0,-1)</f>
        <v>46107</v>
      </c>
      <c r="R120" s="266">
        <f>_xlfn.XLOOKUP(Tb_Portfólio[[#This Row],[SEI]],Tb_Atualizações[PROCESSO SEI],Tb_Atualizações[Mês],,0,-1)</f>
        <v>46082</v>
      </c>
      <c r="S120" s="259"/>
      <c r="T120" s="268"/>
      <c r="U120"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0" s="95"/>
      <c r="W120" s="402">
        <f>IFERROR(Tb_Portfólio[[#This Row],[% EXECUTADO]]/Tb_Portfólio[[#This Row],[% PREVISTO]],0)</f>
        <v>0</v>
      </c>
      <c r="X120" s="261" t="s">
        <v>961</v>
      </c>
      <c r="Y120" s="150"/>
      <c r="Z120" s="150"/>
      <c r="AA120" s="97"/>
      <c r="AB120" s="97" t="s">
        <v>949</v>
      </c>
      <c r="AC120" s="73" t="s">
        <v>202</v>
      </c>
      <c r="AD120" s="97" t="s">
        <v>962</v>
      </c>
      <c r="AE120" s="274"/>
      <c r="AF120" s="273">
        <f t="shared" ca="1" si="6"/>
        <v>46176</v>
      </c>
      <c r="AG120" s="274"/>
      <c r="AJ120" s="79" t="str">
        <f>2024&amp;Tb_Portfólio[[#This Row],[SEI]]</f>
        <v>202400037/2026</v>
      </c>
      <c r="AK120" s="79" t="str">
        <f>IFERROR(IF(MATCH(AJ120,Atualizações!$P$1:$P$1265,0)&gt;0, "Sim"), "Não")</f>
        <v>Não</v>
      </c>
      <c r="AL120" s="79" t="str">
        <f>2025&amp;Tb_Portfólio[[#This Row],[SEI]]</f>
        <v>202500037/2026</v>
      </c>
      <c r="AM120" s="79" t="str">
        <f>IFERROR(IF(MATCH(AL120,Atualizações!$P$1:$P$2994,0)&gt;0, "Sim"), "Não")</f>
        <v>Não</v>
      </c>
      <c r="AN120" s="79" t="str">
        <f>2026&amp;Tb_Portfólio[[#This Row],[SEI]]</f>
        <v>202600037/2026</v>
      </c>
      <c r="AO120" s="79" t="str">
        <f>IFERROR(IF(MATCH(AN120,Atualizações!$P$1:$P$2994,0)&gt;0, "Sim"), "Não")</f>
        <v>Sim</v>
      </c>
      <c r="AP120" s="79" t="str">
        <f>_xlfn.XLOOKUP(Tb_Portfólio[[#This Row],[SEI]],Tb_Atualizações[PROCESSO SEI],Tb_Atualizações[Explicações],"",0,-1)</f>
        <v>Cadastro na base. O cronograma vai até o dia 31/3/2026, mas a data final foi considerar 20/12/2026 porque existe a previsão textual no TAP de execução da segunda etapa do projeto durante todo o ano de 2026.</v>
      </c>
      <c r="AQ120" s="79" t="str">
        <f>_xlfn.XLOOKUP(Tb_Portfólio[[#This Row],[SEI]],Tb_Mapa[SEI],Tb_Mapa[CONSULTOR RESPONSÁVEL],"",0,-1)</f>
        <v>Juliana</v>
      </c>
    </row>
    <row r="121" spans="1:43" ht="75" hidden="1">
      <c r="A121" s="149" t="s">
        <v>963</v>
      </c>
      <c r="B121" s="103" t="s">
        <v>964</v>
      </c>
      <c r="C121" s="97" t="s">
        <v>965</v>
      </c>
      <c r="D121" s="97"/>
      <c r="E121" s="97" t="s">
        <v>966</v>
      </c>
      <c r="F121" s="73" t="s">
        <v>656</v>
      </c>
      <c r="G121" s="97" t="s">
        <v>967</v>
      </c>
      <c r="H121" s="73" t="s">
        <v>656</v>
      </c>
      <c r="I121" s="97" t="s">
        <v>346</v>
      </c>
      <c r="J121" s="97" t="s">
        <v>146</v>
      </c>
      <c r="K121" s="7" t="s">
        <v>968</v>
      </c>
      <c r="L121" s="262">
        <v>46090</v>
      </c>
      <c r="M121" s="257">
        <v>46168</v>
      </c>
      <c r="N121" s="298">
        <f>_xlfn.XLOOKUP(Tb_Portfólio[[#This Row],[SEI]],Tb_Atualizações[PROCESSO SEI],Tb_Atualizações[% PREVISTO],"",0,-1)</f>
        <v>0</v>
      </c>
      <c r="O121" s="258">
        <f>_xlfn.XLOOKUP(Tb_Portfólio[[#This Row],[SEI]],Tb_Atualizações[PROCESSO SEI],Tb_Atualizações[% EXECUTADO],"",0,-1)</f>
        <v>0</v>
      </c>
      <c r="P121" s="258" t="str">
        <f>IFERROR(Tb_Portfólio[[#This Row],[% EXECUTADO]]/Tb_Portfólio[[#This Row],[% PREVISTO]],"0%")</f>
        <v>0%</v>
      </c>
      <c r="Q121" s="266">
        <f>_xlfn.XLOOKUP(Tb_Portfólio[[#This Row],[SEI]],Tb_Atualizações[PROCESSO SEI],Tb_Atualizações[DATA DE ATUALIZAÇÃO],"",0,-1)</f>
        <v>46107</v>
      </c>
      <c r="R121" s="266">
        <f>_xlfn.XLOOKUP(Tb_Portfólio[[#This Row],[SEI]],Tb_Atualizações[PROCESSO SEI],Tb_Atualizações[Mês],,0,-1)</f>
        <v>46082</v>
      </c>
      <c r="S121" s="259"/>
      <c r="T121" s="268"/>
      <c r="U121"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121" s="95"/>
      <c r="W121" s="402">
        <f>IFERROR(Tb_Portfólio[[#This Row],[% EXECUTADO]]/Tb_Portfólio[[#This Row],[% PREVISTO]],0)</f>
        <v>0</v>
      </c>
      <c r="X121" s="261" t="s">
        <v>969</v>
      </c>
      <c r="Y121" s="150"/>
      <c r="Z121" s="150"/>
      <c r="AA121" s="97"/>
      <c r="AB121" s="97" t="s">
        <v>966</v>
      </c>
      <c r="AC121" s="73" t="s">
        <v>656</v>
      </c>
      <c r="AD121" s="97" t="s">
        <v>970</v>
      </c>
      <c r="AE121" s="274"/>
      <c r="AF121" s="273">
        <f t="shared" ca="1" si="6"/>
        <v>46176</v>
      </c>
      <c r="AG121" s="274"/>
      <c r="AJ121" s="79" t="str">
        <f>2024&amp;Tb_Portfólio[[#This Row],[SEI]]</f>
        <v>202404050/2026</v>
      </c>
      <c r="AK121" s="79" t="str">
        <f>IFERROR(IF(MATCH(AJ121,Atualizações!$P$1:$P$1265,0)&gt;0, "Sim"), "Não")</f>
        <v>Não</v>
      </c>
      <c r="AL121" s="79" t="str">
        <f>2025&amp;Tb_Portfólio[[#This Row],[SEI]]</f>
        <v>202504050/2026</v>
      </c>
      <c r="AM121" s="79" t="str">
        <f>IFERROR(IF(MATCH(AL121,Atualizações!$P$1:$P$2994,0)&gt;0, "Sim"), "Não")</f>
        <v>Não</v>
      </c>
      <c r="AN121" s="79" t="str">
        <f>2026&amp;Tb_Portfólio[[#This Row],[SEI]]</f>
        <v>202604050/2026</v>
      </c>
      <c r="AO121" s="79" t="str">
        <f>IFERROR(IF(MATCH(AN121,Atualizações!$P$1:$P$2994,0)&gt;0, "Sim"), "Não")</f>
        <v>Sim</v>
      </c>
      <c r="AP121" s="79" t="str">
        <f>_xlfn.XLOOKUP(Tb_Portfólio[[#This Row],[SEI]],Tb_Atualizações[PROCESSO SEI],Tb_Atualizações[Explicações],"",0,-1)</f>
        <v>Cadastro na base</v>
      </c>
      <c r="AQ121" s="79" t="str">
        <f>_xlfn.XLOOKUP(Tb_Portfólio[[#This Row],[SEI]],Tb_Mapa[SEI],Tb_Mapa[CONSULTOR RESPONSÁVEL],"",0,-1)</f>
        <v>Juliana</v>
      </c>
    </row>
    <row r="122" spans="1:43" ht="195" hidden="1" customHeight="1">
      <c r="A122" s="149" t="s">
        <v>971</v>
      </c>
      <c r="B122" s="692" t="s">
        <v>972</v>
      </c>
      <c r="C122" s="97" t="s">
        <v>973</v>
      </c>
      <c r="D122" s="97"/>
      <c r="E122" s="79" t="s">
        <v>966</v>
      </c>
      <c r="F122" s="97" t="s">
        <v>656</v>
      </c>
      <c r="G122" s="97" t="s">
        <v>974</v>
      </c>
      <c r="H122" s="73" t="s">
        <v>656</v>
      </c>
      <c r="I122" s="97" t="s">
        <v>346</v>
      </c>
      <c r="J122" s="97" t="s">
        <v>146</v>
      </c>
      <c r="K122" s="7" t="s">
        <v>975</v>
      </c>
      <c r="L122" s="262">
        <v>45778</v>
      </c>
      <c r="M122" s="257">
        <v>46650</v>
      </c>
      <c r="N122" s="654">
        <f>_xlfn.XLOOKUP(Tb_Portfólio[[#This Row],[SEI]],Tb_Atualizações[PROCESSO SEI],Tb_Atualizações[% PREVISTO],"",0,-1)</f>
        <v>0</v>
      </c>
      <c r="O122" s="655">
        <f>_xlfn.XLOOKUP(Tb_Portfólio[[#This Row],[SEI]],Tb_Atualizações[PROCESSO SEI],Tb_Atualizações[% EXECUTADO],"",0,-1)</f>
        <v>0</v>
      </c>
      <c r="P122" s="258" t="str">
        <f>IFERROR(Tb_Portfólio[[#This Row],[% EXECUTADO]]/Tb_Portfólio[[#This Row],[% PREVISTO]],"0%")</f>
        <v>0%</v>
      </c>
      <c r="Q122" s="266">
        <f>_xlfn.XLOOKUP(Tb_Portfólio[[#This Row],[SEI]],Tb_Atualizações[PROCESSO SEI],Tb_Atualizações[DATA DE ATUALIZAÇÃO],"",0,-1)</f>
        <v>46112</v>
      </c>
      <c r="R122" s="266">
        <f>_xlfn.XLOOKUP(Tb_Portfólio[[#This Row],[SEI]],Tb_Atualizações[PROCESSO SEI],Tb_Atualizações[Mês],,0,-1)</f>
        <v>46082</v>
      </c>
      <c r="S122" s="656"/>
      <c r="T122" s="268"/>
      <c r="U122"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2" s="95"/>
      <c r="W122" s="402">
        <f>IFERROR(Tb_Portfólio[[#This Row],[% EXECUTADO]]/Tb_Portfólio[[#This Row],[% PREVISTO]],0)</f>
        <v>0</v>
      </c>
      <c r="X122" s="261" t="s">
        <v>976</v>
      </c>
      <c r="Y122" s="732"/>
      <c r="Z122" s="732"/>
      <c r="AA122" s="97"/>
      <c r="AB122" s="97" t="s">
        <v>966</v>
      </c>
      <c r="AC122" s="73" t="s">
        <v>656</v>
      </c>
      <c r="AD122" s="97" t="s">
        <v>977</v>
      </c>
      <c r="AE122" s="274"/>
      <c r="AF122" s="273">
        <f t="shared" ca="1" si="6"/>
        <v>46176</v>
      </c>
      <c r="AG122" s="274"/>
      <c r="AJ122" s="79" t="str">
        <f>2024&amp;Tb_Portfólio[[#This Row],[SEI]]</f>
        <v>202404235/2026</v>
      </c>
      <c r="AK122" s="79" t="str">
        <f>IFERROR(IF(MATCH(AJ122,Atualizações!$P$1:$P$1265,0)&gt;0, "Sim"), "Não")</f>
        <v>Não</v>
      </c>
      <c r="AL122" s="79" t="str">
        <f>2025&amp;Tb_Portfólio[[#This Row],[SEI]]</f>
        <v>202504235/2026</v>
      </c>
      <c r="AM122" s="79" t="str">
        <f>IFERROR(IF(MATCH(AL122,Atualizações!$P$1:$P$2994,0)&gt;0, "Sim"), "Não")</f>
        <v>Não</v>
      </c>
      <c r="AN122" s="79" t="str">
        <f>2026&amp;Tb_Portfólio[[#This Row],[SEI]]</f>
        <v>202604235/2026</v>
      </c>
      <c r="AO122" s="79" t="str">
        <f>IFERROR(IF(MATCH(AN122,Atualizações!$P$1:$P$2994,0)&gt;0, "Sim"), "Não")</f>
        <v>Sim</v>
      </c>
      <c r="AP122" s="79" t="str">
        <f>_xlfn.XLOOKUP(Tb_Portfólio[[#This Row],[SEI]],Tb_Atualizações[PROCESSO SEI],Tb_Atualizações[Explicações],"",0,-1)</f>
        <v>Cadastro na base</v>
      </c>
      <c r="AQ122" s="79" t="str">
        <f>_xlfn.XLOOKUP(Tb_Portfólio[[#This Row],[SEI]],Tb_Mapa[SEI],Tb_Mapa[CONSULTOR RESPONSÁVEL],"",0,-1)</f>
        <v>Juliana</v>
      </c>
    </row>
    <row r="123" spans="1:43" ht="75" hidden="1" customHeight="1">
      <c r="A123" s="149" t="s">
        <v>978</v>
      </c>
      <c r="B123" s="139" t="s">
        <v>979</v>
      </c>
      <c r="C123" s="97" t="s">
        <v>980</v>
      </c>
      <c r="D123" s="97"/>
      <c r="E123" s="97" t="s">
        <v>942</v>
      </c>
      <c r="F123" s="16" t="s">
        <v>44</v>
      </c>
      <c r="G123" s="97" t="s">
        <v>981</v>
      </c>
      <c r="H123" s="2" t="s">
        <v>46</v>
      </c>
      <c r="I123" s="97" t="s">
        <v>920</v>
      </c>
      <c r="J123" s="97" t="s">
        <v>294</v>
      </c>
      <c r="K123" s="693" t="s">
        <v>982</v>
      </c>
      <c r="L123" s="262">
        <v>46023</v>
      </c>
      <c r="M123" s="257">
        <v>46386</v>
      </c>
      <c r="N123" s="298">
        <f>_xlfn.XLOOKUP(Tb_Portfólio[[#This Row],[SEI]],Tb_Atualizações[PROCESSO SEI],Tb_Atualizações[% PREVISTO],"",0,-1)</f>
        <v>0.37</v>
      </c>
      <c r="O123" s="258">
        <f>_xlfn.XLOOKUP(Tb_Portfólio[[#This Row],[SEI]],Tb_Atualizações[PROCESSO SEI],Tb_Atualizações[% EXECUTADO],"",0,-1)</f>
        <v>0.22</v>
      </c>
      <c r="P123" s="258">
        <f>IFERROR(Tb_Portfólio[[#This Row],[% EXECUTADO]]/Tb_Portfólio[[#This Row],[% PREVISTO]],"0%")</f>
        <v>0.59459459459459463</v>
      </c>
      <c r="Q123" s="266">
        <f>_xlfn.XLOOKUP(Tb_Portfólio[[#This Row],[SEI]],Tb_Atualizações[PROCESSO SEI],Tb_Atualizações[DATA DE ATUALIZAÇÃO],"",0,-1)</f>
        <v>46167</v>
      </c>
      <c r="R123" s="266">
        <f>_xlfn.XLOOKUP(Tb_Portfólio[[#This Row],[SEI]],Tb_Atualizações[PROCESSO SEI],Tb_Atualizações[Mês],,0,-1)</f>
        <v>46143</v>
      </c>
      <c r="S123" s="259"/>
      <c r="T123" s="268" t="s">
        <v>48</v>
      </c>
      <c r="U123"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Atrasado ou Crítico</v>
      </c>
      <c r="V123" s="95"/>
      <c r="W123" s="402">
        <f>IFERROR(Tb_Portfólio[[#This Row],[% EXECUTADO]]/Tb_Portfólio[[#This Row],[% PREVISTO]],0)</f>
        <v>0.59459459459459463</v>
      </c>
      <c r="X123" s="261" t="s">
        <v>983</v>
      </c>
      <c r="Y123" s="652">
        <v>1509177.59</v>
      </c>
      <c r="Z123" s="652"/>
      <c r="AA123" s="97" t="s">
        <v>51</v>
      </c>
      <c r="AB123" s="97" t="s">
        <v>942</v>
      </c>
      <c r="AC123" s="73" t="s">
        <v>44</v>
      </c>
      <c r="AD123" s="97" t="s">
        <v>984</v>
      </c>
      <c r="AE123" s="274"/>
      <c r="AF123" s="273">
        <f t="shared" ca="1" si="6"/>
        <v>46176</v>
      </c>
      <c r="AG123" s="274" t="s">
        <v>95</v>
      </c>
      <c r="AH123" s="79" t="s">
        <v>92</v>
      </c>
      <c r="AJ123" s="79" t="str">
        <f>2024&amp;Tb_Portfólio[[#This Row],[SEI]]</f>
        <v>202418150/2025</v>
      </c>
      <c r="AK123" s="79" t="str">
        <f>IFERROR(IF(MATCH(AJ123,Atualizações!$P$1:$P$1265,0)&gt;0, "Sim"), "Não")</f>
        <v>Não</v>
      </c>
      <c r="AL123" s="79" t="str">
        <f>2025&amp;Tb_Portfólio[[#This Row],[SEI]]</f>
        <v>202518150/2025</v>
      </c>
      <c r="AM123" s="79" t="str">
        <f>IFERROR(IF(MATCH(AL123,Atualizações!$P$1:$P$2994,0)&gt;0, "Sim"), "Não")</f>
        <v>Não</v>
      </c>
      <c r="AN123" s="79" t="str">
        <f>2026&amp;Tb_Portfólio[[#This Row],[SEI]]</f>
        <v>202618150/2025</v>
      </c>
      <c r="AO123" s="79" t="str">
        <f>IFERROR(IF(MATCH(AN123,Atualizações!$P$1:$P$2994,0)&gt;0, "Sim"), "Não")</f>
        <v>Sim</v>
      </c>
      <c r="AP123" s="79">
        <f>_xlfn.XLOOKUP(Tb_Portfólio[[#This Row],[SEI]],Tb_Atualizações[PROCESSO SEI],Tb_Atualizações[Explicações],"",0,-1)</f>
        <v>0</v>
      </c>
      <c r="AQ123" s="79" t="str">
        <f>_xlfn.XLOOKUP(Tb_Portfólio[[#This Row],[SEI]],Tb_Mapa[SEI],Tb_Mapa[CONSULTOR RESPONSÁVEL],"",0,-1)</f>
        <v>Raphael</v>
      </c>
    </row>
    <row r="124" spans="1:43" ht="330" hidden="1">
      <c r="A124" s="149" t="s">
        <v>985</v>
      </c>
      <c r="B124" s="103" t="s">
        <v>986</v>
      </c>
      <c r="C124" s="97" t="s">
        <v>987</v>
      </c>
      <c r="D124" s="97"/>
      <c r="E124" s="79" t="s">
        <v>562</v>
      </c>
      <c r="F124" s="73" t="s">
        <v>563</v>
      </c>
      <c r="G124" s="79" t="s">
        <v>564</v>
      </c>
      <c r="H124" s="2" t="s">
        <v>565</v>
      </c>
      <c r="I124" s="97" t="s">
        <v>988</v>
      </c>
      <c r="J124" s="97" t="s">
        <v>989</v>
      </c>
      <c r="K124" s="7" t="s">
        <v>990</v>
      </c>
      <c r="L124" s="262">
        <v>46097</v>
      </c>
      <c r="M124" s="257">
        <v>46326</v>
      </c>
      <c r="N124" s="654">
        <f>_xlfn.XLOOKUP(Tb_Portfólio[[#This Row],[SEI]],Tb_Atualizações[PROCESSO SEI],Tb_Atualizações[% PREVISTO],"",0,-1)</f>
        <v>0</v>
      </c>
      <c r="O124" s="655">
        <f>_xlfn.XLOOKUP(Tb_Portfólio[[#This Row],[SEI]],Tb_Atualizações[PROCESSO SEI],Tb_Atualizações[% EXECUTADO],"",0,-1)</f>
        <v>0</v>
      </c>
      <c r="P124" s="258" t="str">
        <f>IFERROR(Tb_Portfólio[[#This Row],[% EXECUTADO]]/Tb_Portfólio[[#This Row],[% PREVISTO]],"0%")</f>
        <v>0%</v>
      </c>
      <c r="Q124" s="266">
        <f>_xlfn.XLOOKUP(Tb_Portfólio[[#This Row],[SEI]],Tb_Atualizações[PROCESSO SEI],Tb_Atualizações[DATA DE ATUALIZAÇÃO],"",0,-1)</f>
        <v>46127</v>
      </c>
      <c r="R124" s="266">
        <f>_xlfn.XLOOKUP(Tb_Portfólio[[#This Row],[SEI]],Tb_Atualizações[PROCESSO SEI],Tb_Atualizações[Mês],,0,-1)</f>
        <v>46082</v>
      </c>
      <c r="S124" s="656"/>
      <c r="T124" s="268"/>
      <c r="U124"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4" s="95"/>
      <c r="W124" s="402">
        <f>IFERROR(Tb_Portfólio[[#This Row],[% EXECUTADO]]/Tb_Portfólio[[#This Row],[% PREVISTO]],0)</f>
        <v>0</v>
      </c>
      <c r="X124" s="97" t="s">
        <v>991</v>
      </c>
      <c r="Y124" s="732"/>
      <c r="Z124" s="732"/>
      <c r="AA124" s="97"/>
      <c r="AB124" s="97" t="s">
        <v>992</v>
      </c>
      <c r="AC124" s="97" t="s">
        <v>44</v>
      </c>
      <c r="AD124" s="97" t="s">
        <v>993</v>
      </c>
      <c r="AE124" s="274"/>
      <c r="AF124" s="273">
        <f t="shared" ref="AF124:AF129" ca="1" si="7">TODAY()</f>
        <v>46176</v>
      </c>
      <c r="AG124" s="274"/>
      <c r="AJ124" s="79" t="str">
        <f>2024&amp;Tb_Portfólio[[#This Row],[SEI]]</f>
        <v>202405947/2026</v>
      </c>
      <c r="AK124" s="79" t="str">
        <f>IFERROR(IF(MATCH(AJ124,Atualizações!$P$1:$P$1265,0)&gt;0, "Sim"), "Não")</f>
        <v>Não</v>
      </c>
      <c r="AL124" s="79" t="str">
        <f>2025&amp;Tb_Portfólio[[#This Row],[SEI]]</f>
        <v>202505947/2026</v>
      </c>
      <c r="AM124" s="79" t="str">
        <f>IFERROR(IF(MATCH(AL124,Atualizações!$P$1:$P$2994,0)&gt;0, "Sim"), "Não")</f>
        <v>Não</v>
      </c>
      <c r="AN124" s="79" t="str">
        <f>2026&amp;Tb_Portfólio[[#This Row],[SEI]]</f>
        <v>202605947/2026</v>
      </c>
      <c r="AO124" s="79" t="str">
        <f>IFERROR(IF(MATCH(AN124,Atualizações!$P$1:$P$2994,0)&gt;0, "Sim"), "Não")</f>
        <v>Sim</v>
      </c>
      <c r="AP124" s="79" t="str">
        <f>_xlfn.XLOOKUP(Tb_Portfólio[[#This Row],[SEI]],Tb_Atualizações[PROCESSO SEI],Tb_Atualizações[Explicações],"",0,-1)</f>
        <v>Inclusão no portfólio</v>
      </c>
      <c r="AQ124" s="79" t="str">
        <f>_xlfn.XLOOKUP(Tb_Portfólio[[#This Row],[SEI]],Tb_Mapa[SEI],Tb_Mapa[CONSULTOR RESPONSÁVEL],"",0,-1)</f>
        <v>Juliana</v>
      </c>
    </row>
    <row r="125" spans="1:43" ht="90" hidden="1">
      <c r="A125" s="149" t="s">
        <v>994</v>
      </c>
      <c r="B125" s="103" t="s">
        <v>995</v>
      </c>
      <c r="C125" s="97" t="s">
        <v>996</v>
      </c>
      <c r="D125" s="97"/>
      <c r="E125" s="97" t="s">
        <v>997</v>
      </c>
      <c r="F125" s="16" t="s">
        <v>44</v>
      </c>
      <c r="G125" s="97" t="s">
        <v>998</v>
      </c>
      <c r="H125" s="16" t="s">
        <v>44</v>
      </c>
      <c r="I125" s="97" t="s">
        <v>999</v>
      </c>
      <c r="J125" s="97" t="s">
        <v>294</v>
      </c>
      <c r="K125" s="7" t="s">
        <v>1000</v>
      </c>
      <c r="L125" s="262">
        <v>46028</v>
      </c>
      <c r="M125" s="257">
        <v>46376</v>
      </c>
      <c r="N125" s="654">
        <f>_xlfn.XLOOKUP(Tb_Portfólio[[#This Row],[SEI]],Tb_Atualizações[PROCESSO SEI],Tb_Atualizações[% PREVISTO],"",0,-1)</f>
        <v>0</v>
      </c>
      <c r="O125" s="655">
        <f>_xlfn.XLOOKUP(Tb_Portfólio[[#This Row],[SEI]],Tb_Atualizações[PROCESSO SEI],Tb_Atualizações[% EXECUTADO],"",0,-1)</f>
        <v>0</v>
      </c>
      <c r="P125" s="258" t="str">
        <f>IFERROR(Tb_Portfólio[[#This Row],[% EXECUTADO]]/Tb_Portfólio[[#This Row],[% PREVISTO]],"0%")</f>
        <v>0%</v>
      </c>
      <c r="Q125" s="266">
        <f>_xlfn.XLOOKUP(Tb_Portfólio[[#This Row],[SEI]],Tb_Atualizações[PROCESSO SEI],Tb_Atualizações[DATA DE ATUALIZAÇÃO],"",0,-1)</f>
        <v>46147</v>
      </c>
      <c r="R125" s="266">
        <f>_xlfn.XLOOKUP(Tb_Portfólio[[#This Row],[SEI]],Tb_Atualizações[PROCESSO SEI],Tb_Atualizações[Mês],,0,-1)</f>
        <v>46113</v>
      </c>
      <c r="S125" s="656"/>
      <c r="T125" s="268"/>
      <c r="U125"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5" s="95"/>
      <c r="W125" s="402">
        <f>IFERROR(Tb_Portfólio[[#This Row],[% EXECUTADO]]/Tb_Portfólio[[#This Row],[% PREVISTO]],0)</f>
        <v>0</v>
      </c>
      <c r="X125" s="261" t="s">
        <v>1001</v>
      </c>
      <c r="Y125" s="732"/>
      <c r="Z125" s="732"/>
      <c r="AA125" s="97"/>
      <c r="AB125" s="97" t="s">
        <v>1002</v>
      </c>
      <c r="AC125" s="97" t="s">
        <v>44</v>
      </c>
      <c r="AD125" s="97" t="s">
        <v>1003</v>
      </c>
      <c r="AE125" s="274"/>
      <c r="AF125" s="273">
        <f t="shared" ca="1" si="7"/>
        <v>46176</v>
      </c>
      <c r="AG125" s="274"/>
      <c r="AJ125" s="79" t="str">
        <f>2024&amp;Tb_Portfólio[[#This Row],[SEI]]</f>
        <v>202418801/2025</v>
      </c>
      <c r="AK125" s="79" t="str">
        <f>IFERROR(IF(MATCH(AJ125,Atualizações!$P$1:$P$1265,0)&gt;0, "Sim"), "Não")</f>
        <v>Não</v>
      </c>
      <c r="AL125" s="79" t="str">
        <f>2025&amp;Tb_Portfólio[[#This Row],[SEI]]</f>
        <v>202518801/2025</v>
      </c>
      <c r="AM125" s="79" t="str">
        <f>IFERROR(IF(MATCH(AL125,Atualizações!$P$1:$P$2994,0)&gt;0, "Sim"), "Não")</f>
        <v>Não</v>
      </c>
      <c r="AN125" s="79" t="str">
        <f>2026&amp;Tb_Portfólio[[#This Row],[SEI]]</f>
        <v>202618801/2025</v>
      </c>
      <c r="AO125" s="79" t="str">
        <f>IFERROR(IF(MATCH(AN125,Atualizações!$P$1:$P$2994,0)&gt;0, "Sim"), "Não")</f>
        <v>Sim</v>
      </c>
      <c r="AP125" s="79" t="str">
        <f>_xlfn.XLOOKUP(Tb_Portfólio[[#This Row],[SEI]],Tb_Atualizações[PROCESSO SEI],Tb_Atualizações[Explicações],"",0,-1)</f>
        <v>Inclusão no portfólio</v>
      </c>
      <c r="AQ125" s="79">
        <f>_xlfn.XLOOKUP(Tb_Portfólio[[#This Row],[SEI]],Tb_Mapa[SEI],Tb_Mapa[CONSULTOR RESPONSÁVEL],"",0,-1)</f>
        <v>0</v>
      </c>
    </row>
    <row r="126" spans="1:43" ht="105" hidden="1">
      <c r="A126" s="149" t="s">
        <v>1004</v>
      </c>
      <c r="B126" s="103" t="s">
        <v>1005</v>
      </c>
      <c r="C126" s="97" t="s">
        <v>1006</v>
      </c>
      <c r="D126" s="97"/>
      <c r="E126" s="97" t="s">
        <v>144</v>
      </c>
      <c r="F126" s="16" t="s">
        <v>44</v>
      </c>
      <c r="G126" s="97" t="s">
        <v>293</v>
      </c>
      <c r="H126" s="16" t="s">
        <v>44</v>
      </c>
      <c r="I126" s="97" t="s">
        <v>240</v>
      </c>
      <c r="J126" s="97" t="s">
        <v>294</v>
      </c>
      <c r="K126" s="7" t="s">
        <v>1007</v>
      </c>
      <c r="L126" s="262">
        <v>45962</v>
      </c>
      <c r="M126" s="257">
        <v>46295</v>
      </c>
      <c r="N126" s="654">
        <f>_xlfn.XLOOKUP(Tb_Portfólio[[#This Row],[SEI]],Tb_Atualizações[PROCESSO SEI],Tb_Atualizações[% PREVISTO],"",0,-1)</f>
        <v>0</v>
      </c>
      <c r="O126" s="655">
        <f>_xlfn.XLOOKUP(Tb_Portfólio[[#This Row],[SEI]],Tb_Atualizações[PROCESSO SEI],Tb_Atualizações[% EXECUTADO],"",0,-1)</f>
        <v>0</v>
      </c>
      <c r="P126" s="258" t="str">
        <f>IFERROR(Tb_Portfólio[[#This Row],[% EXECUTADO]]/Tb_Portfólio[[#This Row],[% PREVISTO]],"0%")</f>
        <v>0%</v>
      </c>
      <c r="Q126" s="266">
        <f>_xlfn.XLOOKUP(Tb_Portfólio[[#This Row],[SEI]],Tb_Atualizações[PROCESSO SEI],Tb_Atualizações[DATA DE ATUALIZAÇÃO],"",0,-1)</f>
        <v>46155</v>
      </c>
      <c r="R126" s="266">
        <f>_xlfn.XLOOKUP(Tb_Portfólio[[#This Row],[SEI]],Tb_Atualizações[PROCESSO SEI],Tb_Atualizações[Mês],,0,-1)</f>
        <v>46113</v>
      </c>
      <c r="S126" s="656"/>
      <c r="T126" s="268"/>
      <c r="U126"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6" s="95"/>
      <c r="W126" s="402">
        <f>IFERROR(Tb_Portfólio[[#This Row],[% EXECUTADO]]/Tb_Portfólio[[#This Row],[% PREVISTO]],0)</f>
        <v>0</v>
      </c>
      <c r="X126" s="261" t="s">
        <v>1008</v>
      </c>
      <c r="Y126" s="732"/>
      <c r="Z126" s="732"/>
      <c r="AA126" s="97"/>
      <c r="AB126" s="97" t="s">
        <v>144</v>
      </c>
      <c r="AC126" s="97" t="s">
        <v>44</v>
      </c>
      <c r="AD126" s="97" t="s">
        <v>1009</v>
      </c>
      <c r="AE126" s="274"/>
      <c r="AF126" s="273">
        <f t="shared" ca="1" si="7"/>
        <v>46176</v>
      </c>
      <c r="AG126" s="274"/>
      <c r="AJ126" s="79" t="str">
        <f>2024&amp;Tb_Portfólio[[#This Row],[SEI]]</f>
        <v>202400050/2026</v>
      </c>
      <c r="AK126" s="79" t="str">
        <f>IFERROR(IF(MATCH(AJ126,Atualizações!$P$1:$P$1265,0)&gt;0, "Sim"), "Não")</f>
        <v>Não</v>
      </c>
      <c r="AL126" s="79" t="str">
        <f>2025&amp;Tb_Portfólio[[#This Row],[SEI]]</f>
        <v>202500050/2026</v>
      </c>
      <c r="AM126" s="79" t="str">
        <f>IFERROR(IF(MATCH(AL126,Atualizações!$P$1:$P$2994,0)&gt;0, "Sim"), "Não")</f>
        <v>Não</v>
      </c>
      <c r="AN126" s="79" t="str">
        <f>2026&amp;Tb_Portfólio[[#This Row],[SEI]]</f>
        <v>202600050/2026</v>
      </c>
      <c r="AO126" s="79" t="str">
        <f>IFERROR(IF(MATCH(AN126,Atualizações!$P$1:$P$2994,0)&gt;0, "Sim"), "Não")</f>
        <v>Sim</v>
      </c>
      <c r="AP126" s="79" t="str">
        <f>_xlfn.XLOOKUP(Tb_Portfólio[[#This Row],[SEI]],Tb_Atualizações[PROCESSO SEI],Tb_Atualizações[Explicações],"",0,-1)</f>
        <v>Inclusão no portfólio</v>
      </c>
      <c r="AQ126" s="79" t="str">
        <f>_xlfn.XLOOKUP(Tb_Portfólio[[#This Row],[SEI]],Tb_Mapa[SEI],Tb_Mapa[CONSULTOR RESPONSÁVEL],"",0,-1)</f>
        <v>Juliana</v>
      </c>
    </row>
    <row r="127" spans="1:43" ht="409.5" hidden="1">
      <c r="A127" s="149" t="s">
        <v>1010</v>
      </c>
      <c r="B127" s="103" t="s">
        <v>1011</v>
      </c>
      <c r="C127" s="97" t="s">
        <v>1012</v>
      </c>
      <c r="D127" s="97"/>
      <c r="E127" s="97" t="s">
        <v>1013</v>
      </c>
      <c r="F127" s="97" t="s">
        <v>1014</v>
      </c>
      <c r="G127" s="97" t="s">
        <v>1015</v>
      </c>
      <c r="H127" s="97" t="s">
        <v>1014</v>
      </c>
      <c r="I127" s="97" t="s">
        <v>1016</v>
      </c>
      <c r="J127" s="97" t="s">
        <v>1017</v>
      </c>
      <c r="K127" s="7" t="s">
        <v>1018</v>
      </c>
      <c r="L127" s="262">
        <v>46082</v>
      </c>
      <c r="M127" s="257">
        <v>46741</v>
      </c>
      <c r="N127" s="654">
        <f>_xlfn.XLOOKUP(Tb_Portfólio[[#This Row],[SEI]],Tb_Atualizações[PROCESSO SEI],Tb_Atualizações[% PREVISTO],"",0,-1)</f>
        <v>0</v>
      </c>
      <c r="O127" s="655">
        <f>_xlfn.XLOOKUP(Tb_Portfólio[[#This Row],[SEI]],Tb_Atualizações[PROCESSO SEI],Tb_Atualizações[% EXECUTADO],"",0,-1)</f>
        <v>0</v>
      </c>
      <c r="P127" s="258" t="str">
        <f>IFERROR(Tb_Portfólio[[#This Row],[% EXECUTADO]]/Tb_Portfólio[[#This Row],[% PREVISTO]],"0%")</f>
        <v>0%</v>
      </c>
      <c r="Q127" s="266">
        <f>_xlfn.XLOOKUP(Tb_Portfólio[[#This Row],[SEI]],Tb_Atualizações[PROCESSO SEI],Tb_Atualizações[DATA DE ATUALIZAÇÃO],"",0,-1)</f>
        <v>46154</v>
      </c>
      <c r="R127" s="266">
        <f>_xlfn.XLOOKUP(Tb_Portfólio[[#This Row],[SEI]],Tb_Atualizações[PROCESSO SEI],Tb_Atualizações[Mês],,0,-1)</f>
        <v>46113</v>
      </c>
      <c r="S127" s="656"/>
      <c r="T127" s="268"/>
      <c r="U127"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7" s="95"/>
      <c r="W127" s="402">
        <f>IFERROR(Tb_Portfólio[[#This Row],[% EXECUTADO]]/Tb_Portfólio[[#This Row],[% PREVISTO]],0)</f>
        <v>0</v>
      </c>
      <c r="X127" s="261" t="s">
        <v>1019</v>
      </c>
      <c r="Y127" s="732">
        <v>105000</v>
      </c>
      <c r="Z127" s="732"/>
      <c r="AA127" s="97"/>
      <c r="AB127" s="97" t="s">
        <v>928</v>
      </c>
      <c r="AC127" s="97" t="s">
        <v>44</v>
      </c>
      <c r="AD127" s="97" t="s">
        <v>1020</v>
      </c>
      <c r="AE127" s="274"/>
      <c r="AF127" s="273">
        <f t="shared" ca="1" si="7"/>
        <v>46176</v>
      </c>
      <c r="AG127" s="274"/>
      <c r="AJ127" s="79" t="str">
        <f>2024&amp;Tb_Portfólio[[#This Row],[SEI]]</f>
        <v>202403868/2026</v>
      </c>
      <c r="AK127" s="79" t="str">
        <f>IFERROR(IF(MATCH(AJ127,Atualizações!$P$1:$P$1265,0)&gt;0, "Sim"), "Não")</f>
        <v>Não</v>
      </c>
      <c r="AL127" s="79" t="str">
        <f>2025&amp;Tb_Portfólio[[#This Row],[SEI]]</f>
        <v>202503868/2026</v>
      </c>
      <c r="AM127" s="79" t="str">
        <f>IFERROR(IF(MATCH(AL127,Atualizações!$P$1:$P$2994,0)&gt;0, "Sim"), "Não")</f>
        <v>Não</v>
      </c>
      <c r="AN127" s="79" t="str">
        <f>2026&amp;Tb_Portfólio[[#This Row],[SEI]]</f>
        <v>202603868/2026</v>
      </c>
      <c r="AO127" s="79" t="str">
        <f>IFERROR(IF(MATCH(AN127,Atualizações!$P$1:$P$2994,0)&gt;0, "Sim"), "Não")</f>
        <v>Sim</v>
      </c>
      <c r="AP127" s="79" t="str">
        <f>_xlfn.XLOOKUP(Tb_Portfólio[[#This Row],[SEI]],Tb_Atualizações[PROCESSO SEI],Tb_Atualizações[Explicações],"",0,-1)</f>
        <v>Inclusão no portfólio</v>
      </c>
      <c r="AQ127" s="79" t="str">
        <f>_xlfn.XLOOKUP(Tb_Portfólio[[#This Row],[SEI]],Tb_Mapa[SEI],Tb_Mapa[CONSULTOR RESPONSÁVEL],"",0,-1)</f>
        <v>Juliana</v>
      </c>
    </row>
    <row r="128" spans="1:43" ht="75" hidden="1">
      <c r="A128" s="149" t="s">
        <v>1021</v>
      </c>
      <c r="B128" s="103" t="s">
        <v>1022</v>
      </c>
      <c r="C128" s="97" t="s">
        <v>1023</v>
      </c>
      <c r="D128" s="97"/>
      <c r="E128" s="97" t="s">
        <v>1024</v>
      </c>
      <c r="F128" s="97" t="s">
        <v>733</v>
      </c>
      <c r="G128" s="97" t="s">
        <v>1025</v>
      </c>
      <c r="H128" s="7" t="s">
        <v>733</v>
      </c>
      <c r="I128" s="97" t="s">
        <v>305</v>
      </c>
      <c r="J128" s="97" t="s">
        <v>1026</v>
      </c>
      <c r="K128" s="7" t="s">
        <v>1027</v>
      </c>
      <c r="L128" s="262">
        <v>45769</v>
      </c>
      <c r="M128" s="257">
        <v>46234</v>
      </c>
      <c r="N128" s="654">
        <f>_xlfn.XLOOKUP(Tb_Portfólio[[#This Row],[SEI]],Tb_Atualizações[PROCESSO SEI],Tb_Atualizações[% PREVISTO],"",0,-1)</f>
        <v>0</v>
      </c>
      <c r="O128" s="655">
        <f>_xlfn.XLOOKUP(Tb_Portfólio[[#This Row],[SEI]],Tb_Atualizações[PROCESSO SEI],Tb_Atualizações[% EXECUTADO],"",0,-1)</f>
        <v>0</v>
      </c>
      <c r="P128" s="258" t="str">
        <f>IFERROR(Tb_Portfólio[[#This Row],[% EXECUTADO]]/Tb_Portfólio[[#This Row],[% PREVISTO]],"0%")</f>
        <v>0%</v>
      </c>
      <c r="Q128" s="266">
        <f>_xlfn.XLOOKUP(Tb_Portfólio[[#This Row],[SEI]],Tb_Atualizações[PROCESSO SEI],Tb_Atualizações[DATA DE ATUALIZAÇÃO],"",0,-1)</f>
        <v>46161</v>
      </c>
      <c r="R128" s="266">
        <f>_xlfn.XLOOKUP(Tb_Portfólio[[#This Row],[SEI]],Tb_Atualizações[PROCESSO SEI],Tb_Atualizações[Mês],,0,-1)</f>
        <v>46113</v>
      </c>
      <c r="S128" s="656"/>
      <c r="T128" s="268"/>
      <c r="U128"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8" s="95"/>
      <c r="W128" s="402">
        <f>IFERROR(Tb_Portfólio[[#This Row],[% EXECUTADO]]/Tb_Portfólio[[#This Row],[% PREVISTO]],0)</f>
        <v>0</v>
      </c>
      <c r="X128" s="261" t="s">
        <v>1028</v>
      </c>
      <c r="Y128" s="732">
        <v>51700</v>
      </c>
      <c r="Z128" s="732"/>
      <c r="AA128" s="97"/>
      <c r="AB128" s="97" t="s">
        <v>1029</v>
      </c>
      <c r="AC128" s="97" t="s">
        <v>733</v>
      </c>
      <c r="AD128" s="97" t="s">
        <v>1030</v>
      </c>
      <c r="AE128" s="274"/>
      <c r="AF128" s="273">
        <f t="shared" ca="1" si="7"/>
        <v>46176</v>
      </c>
      <c r="AG128" s="274"/>
      <c r="AJ128" s="79" t="str">
        <f>2024&amp;Tb_Portfólio[[#This Row],[SEI]]</f>
        <v>202420137/2025</v>
      </c>
      <c r="AK128" s="79" t="str">
        <f>IFERROR(IF(MATCH(AJ128,Atualizações!$P$1:$P$1265,0)&gt;0, "Sim"), "Não")</f>
        <v>Não</v>
      </c>
      <c r="AL128" s="79" t="str">
        <f>2025&amp;Tb_Portfólio[[#This Row],[SEI]]</f>
        <v>202520137/2025</v>
      </c>
      <c r="AM128" s="79" t="str">
        <f>IFERROR(IF(MATCH(AL128,Atualizações!$P$1:$P$2994,0)&gt;0, "Sim"), "Não")</f>
        <v>Não</v>
      </c>
      <c r="AN128" s="79" t="str">
        <f>2026&amp;Tb_Portfólio[[#This Row],[SEI]]</f>
        <v>202620137/2025</v>
      </c>
      <c r="AO128" s="79" t="str">
        <f>IFERROR(IF(MATCH(AN128,Atualizações!$P$1:$P$2994,0)&gt;0, "Sim"), "Não")</f>
        <v>Sim</v>
      </c>
      <c r="AP128" s="79" t="str">
        <f>_xlfn.XLOOKUP(Tb_Portfólio[[#This Row],[SEI]],Tb_Atualizações[PROCESSO SEI],Tb_Atualizações[Explicações],"",0,-1)</f>
        <v>Inclusão no portfólio</v>
      </c>
      <c r="AQ128" s="79" t="str">
        <f>_xlfn.XLOOKUP(Tb_Portfólio[[#This Row],[SEI]],Tb_Mapa[SEI],Tb_Mapa[CONSULTOR RESPONSÁVEL],"",0,-1)</f>
        <v>Juliana</v>
      </c>
    </row>
    <row r="129" spans="1:43" ht="109.5" hidden="1" customHeight="1">
      <c r="A129" s="149" t="s">
        <v>1031</v>
      </c>
      <c r="B129" s="103" t="s">
        <v>1032</v>
      </c>
      <c r="C129" s="97" t="s">
        <v>1033</v>
      </c>
      <c r="D129" s="97"/>
      <c r="E129" s="97" t="s">
        <v>79</v>
      </c>
      <c r="F129" s="97" t="s">
        <v>44</v>
      </c>
      <c r="G129" s="97" t="s">
        <v>145</v>
      </c>
      <c r="H129" s="7" t="s">
        <v>92</v>
      </c>
      <c r="I129" s="97" t="s">
        <v>1034</v>
      </c>
      <c r="J129" s="97" t="s">
        <v>1035</v>
      </c>
      <c r="K129" s="7" t="s">
        <v>1036</v>
      </c>
      <c r="L129" s="262">
        <v>46148</v>
      </c>
      <c r="M129" s="257">
        <v>46740</v>
      </c>
      <c r="N129" s="654">
        <f>_xlfn.XLOOKUP(Tb_Portfólio[[#This Row],[SEI]],Tb_Atualizações[PROCESSO SEI],Tb_Atualizações[% PREVISTO],"",0,-1)</f>
        <v>0</v>
      </c>
      <c r="O129" s="655">
        <f>_xlfn.XLOOKUP(Tb_Portfólio[[#This Row],[SEI]],Tb_Atualizações[PROCESSO SEI],Tb_Atualizações[% EXECUTADO],"",0,-1)</f>
        <v>0</v>
      </c>
      <c r="P129" s="258" t="str">
        <f>IFERROR(Tb_Portfólio[[#This Row],[% EXECUTADO]]/Tb_Portfólio[[#This Row],[% PREVISTO]],"0%")</f>
        <v>0%</v>
      </c>
      <c r="Q129" s="266">
        <f>_xlfn.XLOOKUP(Tb_Portfólio[[#This Row],[SEI]],Tb_Atualizações[PROCESSO SEI],Tb_Atualizações[DATA DE ATUALIZAÇÃO],"",0,-1)</f>
        <v>46164</v>
      </c>
      <c r="R129" s="266">
        <f>_xlfn.XLOOKUP(Tb_Portfólio[[#This Row],[SEI]],Tb_Atualizações[PROCESSO SEI],Tb_Atualizações[Mês],,0,-1)</f>
        <v>46143</v>
      </c>
      <c r="S129" s="656"/>
      <c r="T129" s="268"/>
      <c r="U129" s="259" t="str">
        <f ca="1">IF(Tb_Portfólio[[#This Row],[% EXECUTADO]]=100%,"Finalizado",IF(Tb_Portfólio[[#This Row],[PREVISÃO DE TERMINO]]&lt;Tb_Portfólio[[#This Row],[Hoje]],"Atrasado ou Crítico",IF(Tb_Portfólio[[#This Row],[% EXECUTADO]]=0,"Autorizado",IF(Tb_Portfólio[[#This Row],[MEDIÇÃO DE STATUS]]&gt;=95%,"No prazo",IF(Tb_Portfólio[[#This Row],[MEDIÇÃO DE STATUS]]&lt;85%,"Atrasado ou Crítico",IF(Tb_Portfólio[[#This Row],[MEDIÇÃO DE STATUS]]&lt;=95%,"Em atenção"))))))</f>
        <v>Autorizado</v>
      </c>
      <c r="V129" s="95"/>
      <c r="W129" s="402">
        <f>IFERROR(Tb_Portfólio[[#This Row],[% EXECUTADO]]/Tb_Portfólio[[#This Row],[% PREVISTO]],0)</f>
        <v>0</v>
      </c>
      <c r="X129" s="261" t="s">
        <v>1037</v>
      </c>
      <c r="Y129" s="732">
        <v>440075.66</v>
      </c>
      <c r="Z129" s="732"/>
      <c r="AA129" s="97"/>
      <c r="AB129" s="97" t="s">
        <v>1038</v>
      </c>
      <c r="AC129" s="97" t="s">
        <v>92</v>
      </c>
      <c r="AD129" s="97" t="s">
        <v>1039</v>
      </c>
      <c r="AE129" s="274"/>
      <c r="AF129" s="273">
        <f t="shared" ca="1" si="7"/>
        <v>46176</v>
      </c>
      <c r="AG129" s="274"/>
      <c r="AJ129" s="79" t="str">
        <f>2024&amp;Tb_Portfólio[[#This Row],[SEI]]</f>
        <v>202420362/2025</v>
      </c>
      <c r="AK129" s="79" t="str">
        <f>IFERROR(IF(MATCH(AJ129,Atualizações!$P$1:$P$1265,0)&gt;0, "Sim"), "Não")</f>
        <v>Não</v>
      </c>
      <c r="AL129" s="79" t="str">
        <f>2025&amp;Tb_Portfólio[[#This Row],[SEI]]</f>
        <v>202520362/2025</v>
      </c>
      <c r="AM129" s="79" t="str">
        <f>IFERROR(IF(MATCH(AL129,Atualizações!$P$1:$P$2994,0)&gt;0, "Sim"), "Não")</f>
        <v>Não</v>
      </c>
      <c r="AN129" s="79" t="str">
        <f>2026&amp;Tb_Portfólio[[#This Row],[SEI]]</f>
        <v>202620362/2025</v>
      </c>
      <c r="AO129" s="79" t="str">
        <f>IFERROR(IF(MATCH(AN129,Atualizações!$P$1:$P$2994,0)&gt;0, "Sim"), "Não")</f>
        <v>Sim</v>
      </c>
      <c r="AP129" s="79" t="str">
        <f>_xlfn.XLOOKUP(Tb_Portfólio[[#This Row],[SEI]],Tb_Atualizações[PROCESSO SEI],Tb_Atualizações[Explicações],"",0,-1)</f>
        <v>Cadastro na base</v>
      </c>
      <c r="AQ129" s="79" t="str">
        <f>_xlfn.XLOOKUP(Tb_Portfólio[[#This Row],[SEI]],Tb_Mapa[SEI],Tb_Mapa[CONSULTOR RESPONSÁVEL],"",0,-1)</f>
        <v>Juliana</v>
      </c>
    </row>
  </sheetData>
  <mergeCells count="1">
    <mergeCell ref="A1:AA1"/>
  </mergeCells>
  <phoneticPr fontId="14" type="noConversion"/>
  <conditionalFormatting sqref="A55:A116 A1:A53 A118:A119 A121:A1048576">
    <cfRule type="duplicateValues" dxfId="482" priority="361"/>
  </conditionalFormatting>
  <conditionalFormatting sqref="M3:M129">
    <cfRule type="cellIs" dxfId="481" priority="367" operator="greaterThan">
      <formula>$AQ$1</formula>
    </cfRule>
    <cfRule type="cellIs" dxfId="480" priority="374" operator="lessThan">
      <formula>$AQ$1</formula>
    </cfRule>
  </conditionalFormatting>
  <conditionalFormatting sqref="M54">
    <cfRule type="cellIs" dxfId="479" priority="350" operator="greaterThan">
      <formula>$AQ$1</formula>
    </cfRule>
    <cfRule type="cellIs" dxfId="478" priority="357" operator="lessThan">
      <formula>$AQ$1</formula>
    </cfRule>
  </conditionalFormatting>
  <conditionalFormatting sqref="P3:P129">
    <cfRule type="cellIs" dxfId="477" priority="32" operator="equal">
      <formula>"0%"</formula>
    </cfRule>
    <cfRule type="cellIs" dxfId="476" priority="34" operator="lessThan">
      <formula>0.85</formula>
    </cfRule>
    <cfRule type="cellIs" dxfId="475" priority="369" operator="between">
      <formula>0.85</formula>
      <formula>0.95</formula>
    </cfRule>
  </conditionalFormatting>
  <conditionalFormatting sqref="P3:P227">
    <cfRule type="cellIs" dxfId="474" priority="371" operator="greaterThan">
      <formula>0.9499</formula>
    </cfRule>
  </conditionalFormatting>
  <conditionalFormatting sqref="P54">
    <cfRule type="cellIs" dxfId="473" priority="352" operator="between">
      <formula>0.85</formula>
      <formula>0.95</formula>
    </cfRule>
    <cfRule type="cellIs" dxfId="472" priority="354" operator="greaterThan">
      <formula>0.9499</formula>
    </cfRule>
  </conditionalFormatting>
  <conditionalFormatting sqref="P58:P86">
    <cfRule type="cellIs" dxfId="471" priority="33" operator="between">
      <formula>0.85</formula>
      <formula>0.95</formula>
    </cfRule>
    <cfRule type="cellIs" dxfId="470" priority="35" operator="greaterThan">
      <formula>0.9499</formula>
    </cfRule>
  </conditionalFormatting>
  <conditionalFormatting sqref="U1:U1048576">
    <cfRule type="cellIs" dxfId="469" priority="372" operator="equal">
      <formula>"Autorizado"</formula>
    </cfRule>
    <cfRule type="cellIs" dxfId="468" priority="373" operator="equal">
      <formula>"Finalizado"</formula>
    </cfRule>
  </conditionalFormatting>
  <conditionalFormatting sqref="U3:U129">
    <cfRule type="cellIs" dxfId="467" priority="39" operator="equal">
      <formula>"Em Atenção"</formula>
    </cfRule>
    <cfRule type="cellIs" dxfId="466" priority="40" operator="equal">
      <formula>"No prazo"</formula>
    </cfRule>
    <cfRule type="cellIs" dxfId="465" priority="41" operator="equal">
      <formula>"Atrasado ou crítico"</formula>
    </cfRule>
  </conditionalFormatting>
  <conditionalFormatting sqref="U54">
    <cfRule type="cellIs" dxfId="464" priority="355" operator="equal">
      <formula>"Autorizado"</formula>
    </cfRule>
    <cfRule type="cellIs" dxfId="463" priority="356" operator="equal">
      <formula>"Finalizado"</formula>
    </cfRule>
  </conditionalFormatting>
  <conditionalFormatting sqref="U58:U86">
    <cfRule type="cellIs" dxfId="462" priority="36" operator="equal">
      <formula>"Autorizado"</formula>
    </cfRule>
    <cfRule type="cellIs" dxfId="461" priority="37" operator="equal">
      <formula>"Finalizado"</formula>
    </cfRule>
  </conditionalFormatting>
  <conditionalFormatting sqref="V3">
    <cfRule type="cellIs" dxfId="460" priority="362" operator="equal">
      <formula>"Autorizado"</formula>
    </cfRule>
    <cfRule type="cellIs" dxfId="459" priority="363" operator="equal">
      <formula>"Concluído"</formula>
    </cfRule>
    <cfRule type="cellIs" dxfId="458" priority="364" operator="equal">
      <formula>"Em Atenção"</formula>
    </cfRule>
    <cfRule type="cellIs" dxfId="457" priority="365" operator="equal">
      <formula>"No prazo"</formula>
    </cfRule>
    <cfRule type="cellIs" dxfId="456" priority="366" operator="equal">
      <formula>"Atrasado ou crítico"</formula>
    </cfRule>
  </conditionalFormatting>
  <hyperlinks>
    <hyperlink ref="V30" r:id="rId1" xr:uid="{00000000-0004-0000-0100-000000000000}"/>
    <hyperlink ref="V11" r:id="rId2" xr:uid="{00000000-0004-0000-0100-000001000000}"/>
    <hyperlink ref="K71" r:id="rId3" xr:uid="{89061509-8506-4CD7-8D58-8B3083B242B7}"/>
    <hyperlink ref="V12" r:id="rId4" xr:uid="{20FA6AE7-A655-4425-83E6-6420648C71F0}"/>
    <hyperlink ref="V7" r:id="rId5" xr:uid="{1FE2CD97-BDED-431E-A3FB-74CA470F85A4}"/>
    <hyperlink ref="AA7" r:id="rId6" xr:uid="{8DB7B639-6003-4697-A8EC-842B88FE2A03}"/>
    <hyperlink ref="AA88" r:id="rId7" xr:uid="{112D575D-71F3-4D03-B59C-081FB21E19D5}"/>
    <hyperlink ref="K123" r:id="rId8" xr:uid="{D5BAAE33-50FE-42E6-BFB1-1C43B6354C55}"/>
    <hyperlink ref="K73" r:id="rId9" xr:uid="{396DDF60-4115-4C3F-B547-27E3E0B5F209}"/>
    <hyperlink ref="K5" r:id="rId10" display=" Programa Justiça 4.0, eixo 2: Gestão de dados e informações - aprimoramento de bases de dados e formulação, implantação e monitoramento de políticas judiciárias com base em evidências para fortalecer a promoção de direitos humanos e a transparência de dados. Ademais, o referido Projeto correlaciona-se com a Resolução CNJ Nº 235 de 29/06/2020" xr:uid="{C59FD86F-A198-414B-B292-4F1532680A7A}"/>
  </hyperlinks>
  <pageMargins left="0.511811024" right="0.511811024" top="0.78740157499999996" bottom="0.78740157499999996" header="0.31496062000000002" footer="0.31496062000000002"/>
  <pageSetup paperSize="9" orientation="portrait" horizontalDpi="1200" verticalDpi="1200" r:id="rId11"/>
  <legacyDrawing r:id="rId12"/>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DE8C7-D65F-434E-A7C1-2FC2B9A4E04E}">
  <dimension ref="A1"/>
  <sheetViews>
    <sheetView workbookViewId="0"/>
  </sheetViews>
  <sheetFormatPr defaultRowHeight="15"/>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A6CF-C489-4A12-ADF4-291FE3E4C4FF}">
  <dimension ref="A1:H115"/>
  <sheetViews>
    <sheetView topLeftCell="A114" workbookViewId="0">
      <selection activeCell="B123" sqref="B123"/>
    </sheetView>
  </sheetViews>
  <sheetFormatPr defaultRowHeight="15"/>
  <cols>
    <col min="1" max="1" width="21.5703125" customWidth="1"/>
    <col min="2" max="2" width="38.140625" customWidth="1"/>
    <col min="3" max="4" width="42.5703125" customWidth="1"/>
    <col min="5" max="5" width="21.42578125" customWidth="1"/>
    <col min="6" max="6" width="28.140625" customWidth="1"/>
    <col min="7" max="7" width="17.42578125" bestFit="1" customWidth="1"/>
    <col min="8" max="8" width="52.140625" customWidth="1"/>
  </cols>
  <sheetData>
    <row r="1" spans="1:8" ht="17.25">
      <c r="A1" s="354" t="s">
        <v>1040</v>
      </c>
      <c r="B1" s="355" t="s">
        <v>2</v>
      </c>
      <c r="C1" s="355" t="s">
        <v>1041</v>
      </c>
      <c r="D1" s="355" t="s">
        <v>1042</v>
      </c>
      <c r="E1" s="356" t="s">
        <v>15</v>
      </c>
      <c r="F1" s="357" t="s">
        <v>17</v>
      </c>
      <c r="G1" s="357" t="s">
        <v>57</v>
      </c>
      <c r="H1" s="368" t="s">
        <v>39</v>
      </c>
    </row>
    <row r="2" spans="1:8" ht="120">
      <c r="A2" s="232" t="s">
        <v>219</v>
      </c>
      <c r="B2" s="5" t="str">
        <f>_xlfn.XLOOKUP(Tb_Beneficios[[#This Row],[PROCESSO SEI]],Tb_Portfólio[SEI],Tb_Portfólio[PROJETO],"",0)</f>
        <v xml:space="preserve">Aperfeiçoamento funcional em temáticas prioritárias para o CNJ e para Justiça Federal 
(cursos, capacitações, metodologias e ferramentas avançados) – Ciclo Avançado </v>
      </c>
      <c r="C2" s="5" t="s">
        <v>1043</v>
      </c>
      <c r="D2" s="5" t="s">
        <v>1044</v>
      </c>
      <c r="E2" s="358">
        <v>0</v>
      </c>
      <c r="F2" s="193">
        <v>45789</v>
      </c>
      <c r="G2" s="5" t="str">
        <f>_xlfn.XLOOKUP(Tb_Beneficios[[#This Row],[PROCESSO SEI]],Tb_Mapa[SEI],Tb_Mapa[CONSULTOR RESPONSÁVEL],"Não encontrado no mapa",0)</f>
        <v xml:space="preserve">Raphael </v>
      </c>
      <c r="H2" s="5"/>
    </row>
    <row r="3" spans="1:8" ht="105">
      <c r="A3" s="232" t="s">
        <v>219</v>
      </c>
      <c r="B3" s="5" t="str">
        <f>_xlfn.XLOOKUP(Tb_Beneficios[[#This Row],[PROCESSO SEI]],Tb_Portfólio[SEI],Tb_Portfólio[PROJETO],"",0)</f>
        <v xml:space="preserve">Aperfeiçoamento funcional em temáticas prioritárias para o CNJ e para Justiça Federal 
(cursos, capacitações, metodologias e ferramentas avançados) – Ciclo Avançado </v>
      </c>
      <c r="C3" s="5" t="s">
        <v>1045</v>
      </c>
      <c r="D3" s="5" t="s">
        <v>1046</v>
      </c>
      <c r="E3" s="358">
        <v>0</v>
      </c>
      <c r="F3" s="193">
        <v>45789</v>
      </c>
      <c r="G3" s="5" t="str">
        <f>_xlfn.XLOOKUP(Tb_Beneficios[[#This Row],[PROCESSO SEI]],Tb_Mapa[SEI],Tb_Mapa[CONSULTOR RESPONSÁVEL],"Não encontrado no mapa",0)</f>
        <v xml:space="preserve">Raphael </v>
      </c>
      <c r="H3" s="5"/>
    </row>
    <row r="4" spans="1:8" ht="45">
      <c r="A4" s="365" t="s">
        <v>661</v>
      </c>
      <c r="B4" s="5" t="str">
        <f>_xlfn.XLOOKUP(Tb_Beneficios[[#This Row],[PROCESSO SEI]],Tb_Portfólio[SEI],Tb_Portfólio[PROJETO],"",0)</f>
        <v>BNMP – Banco Nacional de Medidas Penais e Prisões – Melhorias Evolutivas</v>
      </c>
      <c r="C4" s="5" t="s">
        <v>1047</v>
      </c>
      <c r="D4" s="5" t="s">
        <v>1048</v>
      </c>
      <c r="E4" s="358">
        <v>0</v>
      </c>
      <c r="F4" s="193">
        <v>45804</v>
      </c>
      <c r="G4" s="5" t="str">
        <f>_xlfn.XLOOKUP(Tb_Beneficios[[#This Row],[PROCESSO SEI]],Tb_Mapa[SEI],Tb_Mapa[CONSULTOR RESPONSÁVEL],"Não encontrado no mapa",0)</f>
        <v>Tony</v>
      </c>
      <c r="H4" s="5"/>
    </row>
    <row r="5" spans="1:8" ht="90">
      <c r="A5" s="365" t="s">
        <v>661</v>
      </c>
      <c r="B5" s="5" t="str">
        <f>_xlfn.XLOOKUP(Tb_Beneficios[[#This Row],[PROCESSO SEI]],Tb_Portfólio[SEI],Tb_Portfólio[PROJETO],"",0)</f>
        <v>BNMP – Banco Nacional de Medidas Penais e Prisões – Melhorias Evolutivas</v>
      </c>
      <c r="C5" s="5" t="s">
        <v>1049</v>
      </c>
      <c r="D5" s="5" t="s">
        <v>1050</v>
      </c>
      <c r="E5" s="358">
        <v>0</v>
      </c>
      <c r="F5" s="193">
        <v>45804</v>
      </c>
      <c r="G5" s="5" t="str">
        <f>_xlfn.XLOOKUP(Tb_Beneficios[[#This Row],[PROCESSO SEI]],Tb_Mapa[SEI],Tb_Mapa[CONSULTOR RESPONSÁVEL],"Não encontrado no mapa",0)</f>
        <v>Tony</v>
      </c>
      <c r="H5" s="5"/>
    </row>
    <row r="6" spans="1:8" ht="270">
      <c r="A6" s="365" t="s">
        <v>152</v>
      </c>
      <c r="B6" s="79" t="str">
        <f>_xlfn.XLOOKUP(Tb_Beneficios[[#This Row],[PROCESSO SEI]],Tb_Portfólio[SEI],Tb_Portfólio[PROJETO],"",0)</f>
        <v>Painel da Fazenda Nacional.</v>
      </c>
      <c r="C6" s="79" t="s">
        <v>1051</v>
      </c>
      <c r="D6" s="5" t="s">
        <v>1052</v>
      </c>
      <c r="E6" s="363">
        <v>0</v>
      </c>
      <c r="F6" s="364">
        <v>45803</v>
      </c>
      <c r="G6" s="79" t="str">
        <f>_xlfn.XLOOKUP(Tb_Beneficios[[#This Row],[PROCESSO SEI]],Tb_Mapa[SEI],Tb_Mapa[CONSULTOR RESPONSÁVEL],"Não encontrado no mapa",0)</f>
        <v>Tony</v>
      </c>
      <c r="H6" s="5"/>
    </row>
    <row r="7" spans="1:8" ht="30">
      <c r="A7" s="232" t="s">
        <v>129</v>
      </c>
      <c r="B7" s="5" t="str">
        <f>_xlfn.XLOOKUP(Tb_Beneficios[[#This Row],[PROCESSO SEI]],Tb_Portfólio[SEI],Tb_Portfólio[PROJETO],"",0)</f>
        <v>Data Lake - Melhorias Evolutivas e Corretivas</v>
      </c>
      <c r="C7" s="5" t="s">
        <v>1053</v>
      </c>
      <c r="D7" s="5"/>
      <c r="E7" s="358">
        <v>0</v>
      </c>
      <c r="F7" s="193">
        <v>45810</v>
      </c>
      <c r="G7" s="5" t="str">
        <f>_xlfn.XLOOKUP(Tb_Beneficios[[#This Row],[PROCESSO SEI]],Tb_Mapa[SEI],Tb_Mapa[CONSULTOR RESPONSÁVEL],"Não encontrado no mapa",0)</f>
        <v>Tony</v>
      </c>
      <c r="H7" s="5"/>
    </row>
    <row r="8" spans="1:8" ht="60">
      <c r="A8" s="232" t="s">
        <v>129</v>
      </c>
      <c r="B8" s="5" t="str">
        <f>_xlfn.XLOOKUP(Tb_Beneficios[[#This Row],[PROCESSO SEI]],Tb_Portfólio[SEI],Tb_Portfólio[PROJETO],"",0)</f>
        <v>Data Lake - Melhorias Evolutivas e Corretivas</v>
      </c>
      <c r="C8" t="s">
        <v>1054</v>
      </c>
      <c r="D8" s="5" t="s">
        <v>1055</v>
      </c>
      <c r="E8" s="358">
        <v>0</v>
      </c>
      <c r="F8" s="193">
        <v>45810</v>
      </c>
      <c r="G8" s="5" t="str">
        <f>_xlfn.XLOOKUP(Tb_Beneficios[[#This Row],[PROCESSO SEI]],Tb_Mapa[SEI],Tb_Mapa[CONSULTOR RESPONSÁVEL],"Não encontrado no mapa",0)</f>
        <v>Tony</v>
      </c>
      <c r="H8" s="5"/>
    </row>
    <row r="9" spans="1:8" ht="105">
      <c r="A9" s="365" t="s">
        <v>609</v>
      </c>
      <c r="B9" s="5" t="str">
        <f>_xlfn.XLOOKUP(Tb_Beneficios[[#This Row],[PROCESSO SEI]],Tb_Portfólio[SEI],Tb_Portfólio[PROJETO],"",0)</f>
        <v>SPVATJUD</v>
      </c>
      <c r="C9" s="5" t="s">
        <v>1056</v>
      </c>
      <c r="D9" s="5" t="s">
        <v>1057</v>
      </c>
      <c r="E9" s="358">
        <v>0.9</v>
      </c>
      <c r="F9" s="193">
        <v>45625</v>
      </c>
      <c r="G9" s="5" t="str">
        <f>_xlfn.XLOOKUP(Tb_Beneficios[[#This Row],[PROCESSO SEI]],Tb_Mapa[SEI],Tb_Mapa[CONSULTOR RESPONSÁVEL],"Não encontrado no mapa",0)</f>
        <v>Finalizado</v>
      </c>
      <c r="H9" s="5"/>
    </row>
    <row r="10" spans="1:8" ht="120">
      <c r="A10" s="365" t="s">
        <v>609</v>
      </c>
      <c r="B10" s="5" t="str">
        <f>_xlfn.XLOOKUP(Tb_Beneficios[[#This Row],[PROCESSO SEI]],Tb_Portfólio[SEI],Tb_Portfólio[PROJETO],"",0)</f>
        <v>SPVATJUD</v>
      </c>
      <c r="C10" s="5" t="s">
        <v>1058</v>
      </c>
      <c r="D10" s="5" t="s">
        <v>1059</v>
      </c>
      <c r="E10" s="358">
        <v>0</v>
      </c>
      <c r="F10" s="193">
        <v>45625</v>
      </c>
      <c r="G10" s="5" t="str">
        <f>_xlfn.XLOOKUP(Tb_Beneficios[[#This Row],[PROCESSO SEI]],Tb_Mapa[SEI],Tb_Mapa[CONSULTOR RESPONSÁVEL],"Não encontrado no mapa",0)</f>
        <v>Finalizado</v>
      </c>
      <c r="H10" s="5"/>
    </row>
    <row r="11" spans="1:8" ht="180">
      <c r="A11" s="365" t="s">
        <v>615</v>
      </c>
      <c r="B11" s="5" t="str">
        <f>_xlfn.XLOOKUP(Tb_Beneficios[[#This Row],[PROCESSO SEI]],Tb_Portfólio[SEI],Tb_Portfólio[PROJETO],"",0)</f>
        <v>Polícia Judicial Amiga dos Autistas</v>
      </c>
      <c r="C11" s="19" t="s">
        <v>625</v>
      </c>
      <c r="D11" s="5" t="s">
        <v>1060</v>
      </c>
      <c r="E11" s="358">
        <v>1</v>
      </c>
      <c r="F11" s="193">
        <v>45748</v>
      </c>
      <c r="G11" s="5" t="str">
        <f>_xlfn.XLOOKUP(Tb_Beneficios[[#This Row],[PROCESSO SEI]],Tb_Mapa[SEI],Tb_Mapa[CONSULTOR RESPONSÁVEL],"Não encontrado no mapa",0)</f>
        <v>Finalizado</v>
      </c>
      <c r="H11" s="5"/>
    </row>
    <row r="12" spans="1:8" ht="45">
      <c r="A12" s="232" t="s">
        <v>247</v>
      </c>
      <c r="B12" s="5" t="str">
        <f>_xlfn.XLOOKUP(Tb_Beneficios[[#This Row],[PROCESSO SEI]],Tb_Portfólio[SEI],Tb_Portfólio[PROJETO],"",0)</f>
        <v>Portal de Serviços</v>
      </c>
      <c r="C12" t="s">
        <v>1061</v>
      </c>
      <c r="D12" s="5" t="s">
        <v>1062</v>
      </c>
      <c r="E12" s="358">
        <v>0</v>
      </c>
      <c r="F12" s="193">
        <v>45644</v>
      </c>
      <c r="G12" s="5" t="str">
        <f>_xlfn.XLOOKUP(Tb_Beneficios[[#This Row],[PROCESSO SEI]],Tb_Mapa[SEI],Tb_Mapa[CONSULTOR RESPONSÁVEL],"Não encontrado no mapa",0)</f>
        <v>Tony</v>
      </c>
      <c r="H12" s="5"/>
    </row>
    <row r="13" spans="1:8" ht="120">
      <c r="A13" s="232" t="s">
        <v>247</v>
      </c>
      <c r="B13" s="5" t="str">
        <f>_xlfn.XLOOKUP(Tb_Beneficios[[#This Row],[PROCESSO SEI]],Tb_Portfólio[SEI],Tb_Portfólio[PROJETO],"",0)</f>
        <v>Portal de Serviços</v>
      </c>
      <c r="C13" t="s">
        <v>1063</v>
      </c>
      <c r="D13" s="5" t="s">
        <v>1064</v>
      </c>
      <c r="E13" s="358">
        <v>0</v>
      </c>
      <c r="F13" s="193">
        <v>45644</v>
      </c>
      <c r="G13" s="5" t="str">
        <f>_xlfn.XLOOKUP(Tb_Beneficios[[#This Row],[PROCESSO SEI]],Tb_Mapa[SEI],Tb_Mapa[CONSULTOR RESPONSÁVEL],"Não encontrado no mapa",0)</f>
        <v>Tony</v>
      </c>
      <c r="H13" s="5"/>
    </row>
    <row r="14" spans="1:8" ht="195">
      <c r="A14" s="232" t="s">
        <v>247</v>
      </c>
      <c r="B14" s="5" t="str">
        <f>_xlfn.XLOOKUP(Tb_Beneficios[[#This Row],[PROCESSO SEI]],Tb_Portfólio[SEI],Tb_Portfólio[PROJETO],"",0)</f>
        <v>Portal de Serviços</v>
      </c>
      <c r="C14" t="s">
        <v>1065</v>
      </c>
      <c r="D14" s="5" t="s">
        <v>1066</v>
      </c>
      <c r="E14" s="358">
        <v>0</v>
      </c>
      <c r="F14" s="193">
        <v>45644</v>
      </c>
      <c r="G14" s="5" t="str">
        <f>_xlfn.XLOOKUP(Tb_Beneficios[[#This Row],[PROCESSO SEI]],Tb_Mapa[SEI],Tb_Mapa[CONSULTOR RESPONSÁVEL],"Não encontrado no mapa",0)</f>
        <v>Tony</v>
      </c>
      <c r="H14" s="5"/>
    </row>
    <row r="15" spans="1:8" ht="90">
      <c r="A15" s="232" t="s">
        <v>273</v>
      </c>
      <c r="B15" s="5" t="str">
        <f>_xlfn.XLOOKUP(Tb_Beneficios[[#This Row],[PROCESSO SEI]],Tb_Portfólio[SEI],Tb_Portfólio[PROJETO],"",0)</f>
        <v>SNA – Novo Sistema Nacional de Adoção e Acolhimento</v>
      </c>
      <c r="C15" s="5" t="s">
        <v>1067</v>
      </c>
      <c r="D15" s="5" t="s">
        <v>1068</v>
      </c>
      <c r="E15" s="358">
        <v>0</v>
      </c>
      <c r="F15" s="193">
        <v>45441</v>
      </c>
      <c r="G15" s="5" t="str">
        <f>_xlfn.XLOOKUP(Tb_Beneficios[[#This Row],[PROCESSO SEI]],Tb_Mapa[SEI],Tb_Mapa[CONSULTOR RESPONSÁVEL],"Não encontrado no mapa",0)</f>
        <v>Igor</v>
      </c>
      <c r="H15" s="5"/>
    </row>
    <row r="16" spans="1:8" ht="105">
      <c r="A16" s="232" t="s">
        <v>273</v>
      </c>
      <c r="B16" s="5" t="str">
        <f>_xlfn.XLOOKUP(Tb_Beneficios[[#This Row],[PROCESSO SEI]],Tb_Portfólio[SEI],Tb_Portfólio[PROJETO],"",0)</f>
        <v>SNA – Novo Sistema Nacional de Adoção e Acolhimento</v>
      </c>
      <c r="C16" s="5" t="s">
        <v>1069</v>
      </c>
      <c r="D16" s="5" t="s">
        <v>1070</v>
      </c>
      <c r="E16" s="358">
        <v>0</v>
      </c>
      <c r="F16" s="193">
        <v>45441</v>
      </c>
      <c r="G16" s="5" t="str">
        <f>_xlfn.XLOOKUP(Tb_Beneficios[[#This Row],[PROCESSO SEI]],Tb_Mapa[SEI],Tb_Mapa[CONSULTOR RESPONSÁVEL],"Não encontrado no mapa",0)</f>
        <v>Igor</v>
      </c>
      <c r="H16" s="5"/>
    </row>
    <row r="17" spans="1:8" ht="90">
      <c r="A17" s="232" t="s">
        <v>273</v>
      </c>
      <c r="B17" s="5" t="str">
        <f>_xlfn.XLOOKUP(Tb_Beneficios[[#This Row],[PROCESSO SEI]],Tb_Portfólio[SEI],Tb_Portfólio[PROJETO],"",0)</f>
        <v>SNA – Novo Sistema Nacional de Adoção e Acolhimento</v>
      </c>
      <c r="C17" s="5" t="s">
        <v>1071</v>
      </c>
      <c r="D17" s="5" t="s">
        <v>1072</v>
      </c>
      <c r="E17" s="358">
        <v>0</v>
      </c>
      <c r="F17" s="193">
        <v>45441</v>
      </c>
      <c r="G17" s="5" t="str">
        <f>_xlfn.XLOOKUP(Tb_Beneficios[[#This Row],[PROCESSO SEI]],Tb_Mapa[SEI],Tb_Mapa[CONSULTOR RESPONSÁVEL],"Não encontrado no mapa",0)</f>
        <v>Igor</v>
      </c>
      <c r="H17" s="5"/>
    </row>
    <row r="18" spans="1:8" ht="105">
      <c r="A18" s="232" t="s">
        <v>273</v>
      </c>
      <c r="B18" s="5" t="str">
        <f>_xlfn.XLOOKUP(Tb_Beneficios[[#This Row],[PROCESSO SEI]],Tb_Portfólio[SEI],Tb_Portfólio[PROJETO],"",0)</f>
        <v>SNA – Novo Sistema Nacional de Adoção e Acolhimento</v>
      </c>
      <c r="C18" s="5" t="s">
        <v>1073</v>
      </c>
      <c r="D18" s="5" t="s">
        <v>1074</v>
      </c>
      <c r="E18" s="358">
        <v>0</v>
      </c>
      <c r="F18" s="193">
        <v>45441</v>
      </c>
      <c r="G18" s="5" t="str">
        <f>_xlfn.XLOOKUP(Tb_Beneficios[[#This Row],[PROCESSO SEI]],Tb_Mapa[SEI],Tb_Mapa[CONSULTOR RESPONSÁVEL],"Não encontrado no mapa",0)</f>
        <v>Igor</v>
      </c>
      <c r="H18" s="5"/>
    </row>
    <row r="19" spans="1:8" ht="165">
      <c r="A19" s="232" t="s">
        <v>273</v>
      </c>
      <c r="B19" s="5" t="str">
        <f>_xlfn.XLOOKUP(Tb_Beneficios[[#This Row],[PROCESSO SEI]],Tb_Portfólio[SEI],Tb_Portfólio[PROJETO],"",0)</f>
        <v>SNA – Novo Sistema Nacional de Adoção e Acolhimento</v>
      </c>
      <c r="C19" s="5" t="s">
        <v>1075</v>
      </c>
      <c r="D19" s="5" t="s">
        <v>1076</v>
      </c>
      <c r="E19" s="358">
        <v>0</v>
      </c>
      <c r="F19" s="193">
        <v>45441</v>
      </c>
      <c r="G19" s="5" t="str">
        <f>_xlfn.XLOOKUP(Tb_Beneficios[[#This Row],[PROCESSO SEI]],Tb_Mapa[SEI],Tb_Mapa[CONSULTOR RESPONSÁVEL],"Não encontrado no mapa",0)</f>
        <v>Igor</v>
      </c>
      <c r="H19" s="5"/>
    </row>
    <row r="20" spans="1:8">
      <c r="A20" s="365" t="s">
        <v>350</v>
      </c>
      <c r="B20" s="5" t="str">
        <f>_xlfn.XLOOKUP(Tb_Beneficios[[#This Row],[PROCESSO SEI]],Tb_Portfólio[SEI],Tb_Portfólio[PROJETO],"",0)</f>
        <v>Painel de Estatística   - Justiça 4.0</v>
      </c>
      <c r="C20" t="s">
        <v>1077</v>
      </c>
      <c r="D20" s="5"/>
      <c r="E20" s="358">
        <v>0</v>
      </c>
      <c r="F20" s="193">
        <v>45005</v>
      </c>
      <c r="G20" s="5" t="str">
        <f>_xlfn.XLOOKUP(Tb_Beneficios[[#This Row],[PROCESSO SEI]],Tb_Mapa[SEI],Tb_Mapa[CONSULTOR RESPONSÁVEL],"Não encontrado no mapa",0)</f>
        <v>Tony</v>
      </c>
      <c r="H20" s="5"/>
    </row>
    <row r="21" spans="1:8" ht="60">
      <c r="A21" s="365" t="s">
        <v>350</v>
      </c>
      <c r="B21" s="5" t="str">
        <f>_xlfn.XLOOKUP(Tb_Beneficios[[#This Row],[PROCESSO SEI]],Tb_Portfólio[SEI],Tb_Portfólio[PROJETO],"",0)</f>
        <v>Painel de Estatística   - Justiça 4.0</v>
      </c>
      <c r="C21" s="5" t="s">
        <v>1078</v>
      </c>
      <c r="D21" s="5"/>
      <c r="E21" s="358">
        <v>0</v>
      </c>
      <c r="F21" s="193">
        <v>45005</v>
      </c>
      <c r="G21" s="5" t="str">
        <f>_xlfn.XLOOKUP(Tb_Beneficios[[#This Row],[PROCESSO SEI]],Tb_Mapa[SEI],Tb_Mapa[CONSULTOR RESPONSÁVEL],"Não encontrado no mapa",0)</f>
        <v>Tony</v>
      </c>
      <c r="H21" s="5"/>
    </row>
    <row r="22" spans="1:8" ht="45">
      <c r="A22" s="365" t="s">
        <v>350</v>
      </c>
      <c r="B22" s="5" t="str">
        <f>_xlfn.XLOOKUP(Tb_Beneficios[[#This Row],[PROCESSO SEI]],Tb_Portfólio[SEI],Tb_Portfólio[PROJETO],"",0)</f>
        <v>Painel de Estatística   - Justiça 4.0</v>
      </c>
      <c r="C22" s="5" t="s">
        <v>1079</v>
      </c>
      <c r="D22" s="5"/>
      <c r="E22" s="358">
        <v>0</v>
      </c>
      <c r="F22" s="193">
        <v>45005</v>
      </c>
      <c r="G22" s="5" t="str">
        <f>_xlfn.XLOOKUP(Tb_Beneficios[[#This Row],[PROCESSO SEI]],Tb_Mapa[SEI],Tb_Mapa[CONSULTOR RESPONSÁVEL],"Não encontrado no mapa",0)</f>
        <v>Tony</v>
      </c>
      <c r="H22" s="5"/>
    </row>
    <row r="23" spans="1:8" ht="180">
      <c r="A23" s="365" t="s">
        <v>410</v>
      </c>
      <c r="B23" s="79" t="str">
        <f>_xlfn.XLOOKUP(Tb_Beneficios[[#This Row],[PROCESSO SEI]],Tb_Portfólio[SEI],Tb_Portfólio[PROJETO],"",0)</f>
        <v>7ª Edição da Série Justiça Pesquisa - Exercício 2024/2025</v>
      </c>
      <c r="C23" s="79" t="s">
        <v>415</v>
      </c>
      <c r="D23" s="5" t="s">
        <v>1080</v>
      </c>
      <c r="E23" s="363">
        <v>0</v>
      </c>
      <c r="F23" s="364">
        <v>45836</v>
      </c>
      <c r="G23" s="5" t="str">
        <f>_xlfn.XLOOKUP(Tb_Beneficios[[#This Row],[PROCESSO SEI]],Tb_Mapa[SEI],Tb_Mapa[CONSULTOR RESPONSÁVEL],"Não encontrado no mapa",0)</f>
        <v>Igor</v>
      </c>
      <c r="H23" s="5"/>
    </row>
    <row r="24" spans="1:8" ht="120">
      <c r="A24" s="365" t="s">
        <v>416</v>
      </c>
      <c r="B24" s="5" t="str">
        <f>_xlfn.XLOOKUP(Tb_Beneficios[[#This Row],[PROCESSO SEI]],Tb_Portfólio[SEI],Tb_Portfólio[PROJETO],"",0)</f>
        <v>Conecta</v>
      </c>
      <c r="C24" s="79" t="s">
        <v>1081</v>
      </c>
      <c r="D24" s="5" t="s">
        <v>1082</v>
      </c>
      <c r="E24" s="363">
        <v>0</v>
      </c>
      <c r="F24" s="364">
        <v>45471</v>
      </c>
      <c r="G24" s="5" t="str">
        <f>_xlfn.XLOOKUP(Tb_Beneficios[[#This Row],[PROCESSO SEI]],Tb_Mapa[SEI],Tb_Mapa[CONSULTOR RESPONSÁVEL],"Não encontrado no mapa",0)</f>
        <v>Tony</v>
      </c>
      <c r="H24" s="5"/>
    </row>
    <row r="25" spans="1:8" ht="90">
      <c r="A25" s="365" t="s">
        <v>443</v>
      </c>
      <c r="B25" s="5" t="str">
        <f>_xlfn.XLOOKUP(Tb_Beneficios[[#This Row],[PROCESSO SEI]],Tb_Portfólio[SEI],Tb_Portfólio[PROJETO],"",0)</f>
        <v>Implantação do SERP</v>
      </c>
      <c r="C25" s="5" t="s">
        <v>1083</v>
      </c>
      <c r="D25" s="5"/>
      <c r="E25" s="363">
        <v>0</v>
      </c>
      <c r="F25" s="193">
        <v>45105</v>
      </c>
      <c r="G25" s="5" t="str">
        <f>_xlfn.XLOOKUP(Tb_Beneficios[[#This Row],[PROCESSO SEI]],Tb_Mapa[SEI],Tb_Mapa[CONSULTOR RESPONSÁVEL],"Não encontrado no mapa",0)</f>
        <v>Igor</v>
      </c>
      <c r="H25" s="5"/>
    </row>
    <row r="26" spans="1:8" ht="45">
      <c r="A26" s="365" t="s">
        <v>443</v>
      </c>
      <c r="B26" s="5" t="str">
        <f>_xlfn.XLOOKUP(Tb_Beneficios[[#This Row],[PROCESSO SEI]],Tb_Portfólio[SEI],Tb_Portfólio[PROJETO],"",0)</f>
        <v>Implantação do SERP</v>
      </c>
      <c r="C26" s="5" t="s">
        <v>1084</v>
      </c>
      <c r="D26" s="5"/>
      <c r="E26" s="363">
        <v>0</v>
      </c>
      <c r="F26" s="193">
        <v>45105</v>
      </c>
      <c r="G26" s="5" t="str">
        <f>_xlfn.XLOOKUP(Tb_Beneficios[[#This Row],[PROCESSO SEI]],Tb_Mapa[SEI],Tb_Mapa[CONSULTOR RESPONSÁVEL],"Não encontrado no mapa",0)</f>
        <v>Igor</v>
      </c>
      <c r="H26" s="5"/>
    </row>
    <row r="27" spans="1:8" ht="45">
      <c r="A27" s="365" t="s">
        <v>443</v>
      </c>
      <c r="B27" s="5" t="str">
        <f>_xlfn.XLOOKUP(Tb_Beneficios[[#This Row],[PROCESSO SEI]],Tb_Portfólio[SEI],Tb_Portfólio[PROJETO],"",0)</f>
        <v>Implantação do SERP</v>
      </c>
      <c r="C27" s="5" t="s">
        <v>1085</v>
      </c>
      <c r="D27" s="5"/>
      <c r="E27" s="363">
        <v>0</v>
      </c>
      <c r="F27" s="193">
        <v>45105</v>
      </c>
      <c r="G27" s="5" t="str">
        <f>_xlfn.XLOOKUP(Tb_Beneficios[[#This Row],[PROCESSO SEI]],Tb_Mapa[SEI],Tb_Mapa[CONSULTOR RESPONSÁVEL],"Não encontrado no mapa",0)</f>
        <v>Igor</v>
      </c>
      <c r="H27" s="5"/>
    </row>
    <row r="28" spans="1:8" ht="30">
      <c r="A28" s="365" t="s">
        <v>517</v>
      </c>
      <c r="B28" s="5" t="str">
        <f>_xlfn.XLOOKUP(Tb_Beneficios[[#This Row],[PROCESSO SEI]],Tb_Portfólio[SEI],Tb_Portfólio[PROJETO],"",0)</f>
        <v>Domicílio Judicial Eletrônico - Melhorias Evolutivas</v>
      </c>
      <c r="C28" s="5" t="s">
        <v>1086</v>
      </c>
      <c r="D28" s="5"/>
      <c r="E28" s="358">
        <v>0.44</v>
      </c>
      <c r="F28" s="193">
        <v>45749</v>
      </c>
      <c r="G28" s="5" t="str">
        <f>_xlfn.XLOOKUP(Tb_Beneficios[[#This Row],[PROCESSO SEI]],Tb_Mapa[SEI],Tb_Mapa[CONSULTOR RESPONSÁVEL],"Não encontrado no mapa",0)</f>
        <v>Tony</v>
      </c>
      <c r="H28" s="5"/>
    </row>
    <row r="29" spans="1:8" ht="30">
      <c r="A29" s="365" t="s">
        <v>517</v>
      </c>
      <c r="B29" s="5" t="str">
        <f>_xlfn.XLOOKUP(Tb_Beneficios[[#This Row],[PROCESSO SEI]],Tb_Portfólio[SEI],Tb_Portfólio[PROJETO],"",0)</f>
        <v>Domicílio Judicial Eletrônico - Melhorias Evolutivas</v>
      </c>
      <c r="C29" s="5" t="s">
        <v>1087</v>
      </c>
      <c r="D29" s="5"/>
      <c r="E29" s="358">
        <v>0.35</v>
      </c>
      <c r="F29" s="193">
        <v>45749</v>
      </c>
      <c r="G29" s="5" t="str">
        <f>_xlfn.XLOOKUP(Tb_Beneficios[[#This Row],[PROCESSO SEI]],Tb_Mapa[SEI],Tb_Mapa[CONSULTOR RESPONSÁVEL],"Não encontrado no mapa",0)</f>
        <v>Tony</v>
      </c>
      <c r="H29" s="5"/>
    </row>
    <row r="30" spans="1:8" ht="45">
      <c r="A30" s="365" t="s">
        <v>523</v>
      </c>
      <c r="B30" s="5" t="str">
        <f>_xlfn.XLOOKUP(Tb_Beneficios[[#This Row],[PROCESSO SEI]],Tb_Portfólio[SEI],Tb_Portfólio[PROJETO],"",0)</f>
        <v>Portal Jus BR</v>
      </c>
      <c r="C30" s="5" t="s">
        <v>1088</v>
      </c>
      <c r="D30" s="5" t="s">
        <v>1089</v>
      </c>
      <c r="E30" s="358">
        <v>0.46</v>
      </c>
      <c r="F30" s="193">
        <v>45775</v>
      </c>
      <c r="G30" s="5" t="str">
        <f>_xlfn.XLOOKUP(Tb_Beneficios[[#This Row],[PROCESSO SEI]],Tb_Mapa[SEI],Tb_Mapa[CONSULTOR RESPONSÁVEL],"Não encontrado no mapa",0)</f>
        <v>Igor</v>
      </c>
      <c r="H30" s="5"/>
    </row>
    <row r="31" spans="1:8" ht="60">
      <c r="A31" s="365" t="s">
        <v>523</v>
      </c>
      <c r="B31" s="5" t="str">
        <f>_xlfn.XLOOKUP(Tb_Beneficios[[#This Row],[PROCESSO SEI]],Tb_Portfólio[SEI],Tb_Portfólio[PROJETO],"",0)</f>
        <v>Portal Jus BR</v>
      </c>
      <c r="C31" s="5" t="s">
        <v>1090</v>
      </c>
      <c r="D31" s="5" t="s">
        <v>1091</v>
      </c>
      <c r="E31" s="358">
        <v>0.41</v>
      </c>
      <c r="F31" s="193">
        <v>45775</v>
      </c>
      <c r="G31" s="5" t="str">
        <f>_xlfn.XLOOKUP(Tb_Beneficios[[#This Row],[PROCESSO SEI]],Tb_Mapa[SEI],Tb_Mapa[CONSULTOR RESPONSÁVEL],"Não encontrado no mapa",0)</f>
        <v>Igor</v>
      </c>
      <c r="H31" s="5"/>
    </row>
    <row r="32" spans="1:8" ht="165">
      <c r="A32" s="365" t="s">
        <v>533</v>
      </c>
      <c r="B32" s="5" t="str">
        <f>_xlfn.XLOOKUP(Tb_Beneficios[[#This Row],[PROCESSO SEI]],Tb_Portfólio[SEI],Tb_Portfólio[PROJETO],"",0)</f>
        <v>Qualificação de Dados</v>
      </c>
      <c r="C32" s="5" t="s">
        <v>1092</v>
      </c>
      <c r="D32" s="5" t="s">
        <v>1093</v>
      </c>
      <c r="E32" s="358">
        <v>0</v>
      </c>
      <c r="F32" s="193">
        <v>45566</v>
      </c>
      <c r="G32" s="5" t="str">
        <f>_xlfn.XLOOKUP(Tb_Beneficios[[#This Row],[PROCESSO SEI]],Tb_Mapa[SEI],Tb_Mapa[CONSULTOR RESPONSÁVEL],"Não encontrado no mapa",0)</f>
        <v>Tony</v>
      </c>
      <c r="H32" s="5"/>
    </row>
    <row r="33" spans="1:8" ht="157.5">
      <c r="A33" s="365" t="s">
        <v>629</v>
      </c>
      <c r="B33" s="5" t="str">
        <f>_xlfn.XLOOKUP(Tb_Beneficios[[#This Row],[PROCESSO SEI]],Tb_Portfólio[SEI],Tb_Portfólio[PROJETO],"",0)</f>
        <v>2º Edital da 7ª Edição da Série Justiça Pesquisa - Exercício 2024/2025</v>
      </c>
      <c r="C33" s="371" t="s">
        <v>1094</v>
      </c>
      <c r="D33" s="362" t="s">
        <v>1095</v>
      </c>
      <c r="E33" s="358">
        <v>0</v>
      </c>
      <c r="F33" s="193">
        <v>45566</v>
      </c>
      <c r="G33" s="5" t="str">
        <f>_xlfn.XLOOKUP(Tb_Beneficios[[#This Row],[PROCESSO SEI]],Tb_Mapa[SEI],Tb_Mapa[CONSULTOR RESPONSÁVEL],"Não encontrado no mapa",0)</f>
        <v>Juliana</v>
      </c>
      <c r="H33" s="5"/>
    </row>
    <row r="34" spans="1:8" ht="60">
      <c r="A34" s="360" t="s">
        <v>675</v>
      </c>
      <c r="B34" s="5" t="str">
        <f>_xlfn.XLOOKUP(Tb_Beneficios[[#This Row],[PROCESSO SEI]],Tb_Portfólio[SEI],Tb_Portfólio[PROJETO],"",0)</f>
        <v>Pesquisa IA 2024 - Mapeamento dos projetos de Inteligência Artificial em desenvolvimento pelos tribunais brasileiros</v>
      </c>
      <c r="C34" t="s">
        <v>1096</v>
      </c>
      <c r="D34" s="5" t="s">
        <v>1097</v>
      </c>
      <c r="E34" s="358">
        <v>0</v>
      </c>
      <c r="F34" s="193">
        <v>45687</v>
      </c>
      <c r="G34" s="5" t="str">
        <f>_xlfn.XLOOKUP(Tb_Beneficios[[#This Row],[PROCESSO SEI]],Tb_Mapa[SEI],Tb_Mapa[CONSULTOR RESPONSÁVEL],"Não encontrado no mapa",0)</f>
        <v>Igor</v>
      </c>
      <c r="H34" s="5"/>
    </row>
    <row r="35" spans="1:8" ht="75">
      <c r="A35" s="360" t="s">
        <v>675</v>
      </c>
      <c r="B35" s="5" t="str">
        <f>_xlfn.XLOOKUP(Tb_Beneficios[[#This Row],[PROCESSO SEI]],Tb_Portfólio[SEI],Tb_Portfólio[PROJETO],"",0)</f>
        <v>Pesquisa IA 2024 - Mapeamento dos projetos de Inteligência Artificial em desenvolvimento pelos tribunais brasileiros</v>
      </c>
      <c r="C35" t="s">
        <v>1098</v>
      </c>
      <c r="D35" s="5" t="s">
        <v>1099</v>
      </c>
      <c r="E35" s="358">
        <v>0</v>
      </c>
      <c r="F35" s="193">
        <v>45687</v>
      </c>
      <c r="G35" s="5" t="str">
        <f>_xlfn.XLOOKUP(Tb_Beneficios[[#This Row],[PROCESSO SEI]],Tb_Mapa[SEI],Tb_Mapa[CONSULTOR RESPONSÁVEL],"Não encontrado no mapa",0)</f>
        <v>Igor</v>
      </c>
      <c r="H35" s="5"/>
    </row>
    <row r="36" spans="1:8" ht="90">
      <c r="A36" s="360" t="s">
        <v>675</v>
      </c>
      <c r="B36" s="5" t="str">
        <f>_xlfn.XLOOKUP(Tb_Beneficios[[#This Row],[PROCESSO SEI]],Tb_Portfólio[SEI],Tb_Portfólio[PROJETO],"",0)</f>
        <v>Pesquisa IA 2024 - Mapeamento dos projetos de Inteligência Artificial em desenvolvimento pelos tribunais brasileiros</v>
      </c>
      <c r="C36" t="s">
        <v>1100</v>
      </c>
      <c r="D36" s="5" t="s">
        <v>1101</v>
      </c>
      <c r="E36" s="358">
        <v>0</v>
      </c>
      <c r="F36" s="193">
        <v>45687</v>
      </c>
      <c r="G36" s="5" t="str">
        <f>_xlfn.XLOOKUP(Tb_Beneficios[[#This Row],[PROCESSO SEI]],Tb_Mapa[SEI],Tb_Mapa[CONSULTOR RESPONSÁVEL],"Não encontrado no mapa",0)</f>
        <v>Igor</v>
      </c>
      <c r="H36" s="5"/>
    </row>
    <row r="37" spans="1:8" ht="135">
      <c r="A37" s="359" t="s">
        <v>684</v>
      </c>
      <c r="B37" s="5" t="str">
        <f>_xlfn.XLOOKUP(Tb_Beneficios[[#This Row],[PROCESSO SEI]],Tb_Portfólio[SEI],Tb_Portfólio[PROJETO],"",0)</f>
        <v>Painel dos Grandes Litigantes</v>
      </c>
      <c r="C37" s="5" t="s">
        <v>1102</v>
      </c>
      <c r="D37" s="5" t="s">
        <v>1103</v>
      </c>
      <c r="E37" s="358">
        <v>0</v>
      </c>
      <c r="F37" s="193">
        <v>45896</v>
      </c>
      <c r="G37" s="5" t="str">
        <f>_xlfn.XLOOKUP(Tb_Beneficios[[#This Row],[PROCESSO SEI]],Tb_Mapa[SEI],Tb_Mapa[CONSULTOR RESPONSÁVEL],"Não encontrado no mapa",0)</f>
        <v>Juliana</v>
      </c>
      <c r="H37" s="5"/>
    </row>
    <row r="38" spans="1:8" ht="120">
      <c r="A38" s="359" t="s">
        <v>684</v>
      </c>
      <c r="B38" s="5" t="str">
        <f>_xlfn.XLOOKUP(Tb_Beneficios[[#This Row],[PROCESSO SEI]],Tb_Portfólio[SEI],Tb_Portfólio[PROJETO],"",0)</f>
        <v>Painel dos Grandes Litigantes</v>
      </c>
      <c r="C38" s="5" t="s">
        <v>1104</v>
      </c>
      <c r="D38" s="5" t="s">
        <v>1105</v>
      </c>
      <c r="E38" s="358">
        <v>0</v>
      </c>
      <c r="F38" s="193">
        <v>45896</v>
      </c>
      <c r="G38" s="5" t="str">
        <f>_xlfn.XLOOKUP(Tb_Beneficios[[#This Row],[PROCESSO SEI]],Tb_Mapa[SEI],Tb_Mapa[CONSULTOR RESPONSÁVEL],"Não encontrado no mapa",0)</f>
        <v>Juliana</v>
      </c>
      <c r="H38" s="5"/>
    </row>
    <row r="39" spans="1:8" ht="150">
      <c r="A39" s="359" t="s">
        <v>698</v>
      </c>
      <c r="B39" s="5" t="str">
        <f>_xlfn.XLOOKUP(Tb_Beneficios[[#This Row],[PROCESSO SEI]],Tb_Portfólio[SEI],Tb_Portfólio[PROJETO],"",0)</f>
        <v>Escola Virtual do Poder Judiciário</v>
      </c>
      <c r="C39" s="5" t="s">
        <v>1106</v>
      </c>
      <c r="D39" s="5" t="s">
        <v>1107</v>
      </c>
      <c r="E39" s="363">
        <v>0.38</v>
      </c>
      <c r="F39" s="364">
        <v>45728</v>
      </c>
      <c r="G39" s="79" t="str">
        <f>_xlfn.XLOOKUP(Tb_Beneficios[[#This Row],[PROCESSO SEI]],Tb_Mapa[SEI],Tb_Mapa[CONSULTOR RESPONSÁVEL],"Não encontrado no mapa",0)</f>
        <v>Juliana</v>
      </c>
      <c r="H39" s="5"/>
    </row>
    <row r="40" spans="1:8" ht="120">
      <c r="A40" s="359" t="s">
        <v>698</v>
      </c>
      <c r="B40" s="5" t="str">
        <f>_xlfn.XLOOKUP(Tb_Beneficios[[#This Row],[PROCESSO SEI]],Tb_Portfólio[SEI],Tb_Portfólio[PROJETO],"",0)</f>
        <v>Escola Virtual do Poder Judiciário</v>
      </c>
      <c r="C40" s="5" t="s">
        <v>1108</v>
      </c>
      <c r="D40" s="5" t="s">
        <v>1109</v>
      </c>
      <c r="E40" s="363">
        <v>0</v>
      </c>
      <c r="F40" s="364">
        <v>45728</v>
      </c>
      <c r="G40" s="79" t="str">
        <f>_xlfn.XLOOKUP(Tb_Beneficios[[#This Row],[PROCESSO SEI]],Tb_Mapa[SEI],Tb_Mapa[CONSULTOR RESPONSÁVEL],"Não encontrado no mapa",0)</f>
        <v>Juliana</v>
      </c>
      <c r="H40" s="5"/>
    </row>
    <row r="41" spans="1:8" ht="165">
      <c r="A41" s="359" t="s">
        <v>773</v>
      </c>
      <c r="B41" s="5" t="str">
        <f>_xlfn.XLOOKUP(Tb_Beneficios[[#This Row],[PROCESSO SEI]],Tb_Portfólio[SEI],Tb_Portfólio[PROJETO],"",0)</f>
        <v>API de Pessoas</v>
      </c>
      <c r="C41" s="5" t="s">
        <v>1110</v>
      </c>
      <c r="D41" s="5" t="s">
        <v>1111</v>
      </c>
      <c r="E41" s="358">
        <v>0</v>
      </c>
      <c r="F41" s="193">
        <v>45761</v>
      </c>
      <c r="G41" s="5" t="str">
        <f>_xlfn.XLOOKUP(Tb_Beneficios[[#This Row],[PROCESSO SEI]],Tb_Mapa[SEI],Tb_Mapa[CONSULTOR RESPONSÁVEL],"Não encontrado no mapa",0)</f>
        <v>Tony</v>
      </c>
      <c r="H41" s="5"/>
    </row>
    <row r="42" spans="1:8" ht="60">
      <c r="A42" s="359" t="s">
        <v>773</v>
      </c>
      <c r="B42" s="5" t="str">
        <f>_xlfn.XLOOKUP(Tb_Beneficios[[#This Row],[PROCESSO SEI]],Tb_Portfólio[SEI],Tb_Portfólio[PROJETO],"",0)</f>
        <v>API de Pessoas</v>
      </c>
      <c r="C42" t="s">
        <v>1112</v>
      </c>
      <c r="D42" s="5" t="s">
        <v>1113</v>
      </c>
      <c r="E42" s="358">
        <v>0</v>
      </c>
      <c r="F42" s="193">
        <v>45761</v>
      </c>
      <c r="G42" s="5" t="str">
        <f>_xlfn.XLOOKUP(Tb_Beneficios[[#This Row],[PROCESSO SEI]],Tb_Mapa[SEI],Tb_Mapa[CONSULTOR RESPONSÁVEL],"Não encontrado no mapa",0)</f>
        <v>Tony</v>
      </c>
      <c r="H42" s="5"/>
    </row>
    <row r="43" spans="1:8" ht="30">
      <c r="A43" s="366" t="s">
        <v>141</v>
      </c>
      <c r="B43" s="5" t="str">
        <f>_xlfn.XLOOKUP(Tb_Beneficios[[#This Row],[PROCESSO SEI]],Tb_Portfólio[SEI],Tb_Portfólio[PROJETO],"",0)</f>
        <v>6ª edição da Série Justiça e pesquisa</v>
      </c>
      <c r="C43" s="5" t="s">
        <v>1114</v>
      </c>
      <c r="D43" s="5"/>
      <c r="E43" s="358">
        <v>1</v>
      </c>
      <c r="F43" s="193">
        <v>45740</v>
      </c>
      <c r="G43" s="5" t="str">
        <f>_xlfn.XLOOKUP(Tb_Beneficios[[#This Row],[PROCESSO SEI]],Tb_Mapa[SEI],Tb_Mapa[CONSULTOR RESPONSÁVEL],"Não encontrado no mapa",0)</f>
        <v>Igor/Finalizado</v>
      </c>
      <c r="H43" s="5"/>
    </row>
    <row r="44" spans="1:8" ht="60">
      <c r="A44" s="366" t="s">
        <v>266</v>
      </c>
      <c r="B44" s="5" t="str">
        <f>_xlfn.XLOOKUP(Tb_Beneficios[[#This Row],[PROCESSO SEI]],Tb_Portfólio[SEI],Tb_Portfólio[PROJETO],"",0)</f>
        <v>Itinerância Cooperativa na Amazônia Legal – 1ª Edição de 2024 – Humaitá e Lábrea/AM</v>
      </c>
      <c r="C44" s="5" t="s">
        <v>1115</v>
      </c>
      <c r="D44" s="5" t="s">
        <v>1116</v>
      </c>
      <c r="E44" s="358">
        <v>1</v>
      </c>
      <c r="F44" s="193">
        <v>45734</v>
      </c>
      <c r="G44" s="5" t="str">
        <f>_xlfn.XLOOKUP(Tb_Beneficios[[#This Row],[PROCESSO SEI]],Tb_Mapa[SEI],Tb_Mapa[CONSULTOR RESPONSÁVEL],"Não encontrado no mapa",0)</f>
        <v>Igor/Finalizado</v>
      </c>
      <c r="H44" s="5"/>
    </row>
    <row r="45" spans="1:8" ht="45">
      <c r="A45" s="366" t="s">
        <v>266</v>
      </c>
      <c r="B45" s="5" t="str">
        <f>_xlfn.XLOOKUP(Tb_Beneficios[[#This Row],[PROCESSO SEI]],Tb_Portfólio[SEI],Tb_Portfólio[PROJETO],"",0)</f>
        <v>Itinerância Cooperativa na Amazônia Legal – 1ª Edição de 2024 – Humaitá e Lábrea/AM</v>
      </c>
      <c r="C45" s="5" t="s">
        <v>1117</v>
      </c>
      <c r="D45" t="s">
        <v>1118</v>
      </c>
      <c r="E45" s="358">
        <v>1</v>
      </c>
      <c r="F45" s="193">
        <v>45734</v>
      </c>
      <c r="G45" s="5" t="str">
        <f>_xlfn.XLOOKUP(Tb_Beneficios[[#This Row],[PROCESSO SEI]],Tb_Mapa[SEI],Tb_Mapa[CONSULTOR RESPONSÁVEL],"Não encontrado no mapa",0)</f>
        <v>Igor/Finalizado</v>
      </c>
      <c r="H45" s="5"/>
    </row>
    <row r="46" spans="1:8" ht="45">
      <c r="A46" s="360" t="s">
        <v>376</v>
      </c>
      <c r="B46" s="5" t="str">
        <f>_xlfn.XLOOKUP(Tb_Beneficios[[#This Row],[PROCESSO SEI]],Tb_Portfólio[SEI],Tb_Portfólio[PROJETO],"",0)</f>
        <v>Nacionalização SAREF - Sistema de Apresentação Remota por Reconhecimento Facial</v>
      </c>
      <c r="C46" s="5" t="s">
        <v>1119</v>
      </c>
      <c r="D46" s="5"/>
      <c r="E46" s="358">
        <v>0.63</v>
      </c>
      <c r="F46" s="193">
        <v>45572</v>
      </c>
      <c r="G46" s="5" t="str">
        <f>_xlfn.XLOOKUP(Tb_Beneficios[[#This Row],[PROCESSO SEI]],Tb_Mapa[SEI],Tb_Mapa[CONSULTOR RESPONSÁVEL],"Não encontrado no mapa",0)</f>
        <v>Igor/Finalizado</v>
      </c>
      <c r="H46" s="5"/>
    </row>
    <row r="47" spans="1:8" ht="45">
      <c r="A47" s="359" t="s">
        <v>509</v>
      </c>
      <c r="B47" s="5" t="str">
        <f>_xlfn.XLOOKUP(Tb_Beneficios[[#This Row],[PROCESSO SEI]],Tb_Portfólio[SEI],Tb_Portfólio[PROJETO],"",0)</f>
        <v>IA para Gestão de Precedentes Qualificados</v>
      </c>
      <c r="C47" s="5" t="s">
        <v>1120</v>
      </c>
      <c r="D47" s="5"/>
      <c r="E47" s="358">
        <v>1</v>
      </c>
      <c r="F47" s="193">
        <v>45739</v>
      </c>
      <c r="G47" s="5" t="str">
        <f>_xlfn.XLOOKUP(Tb_Beneficios[[#This Row],[PROCESSO SEI]],Tb_Mapa[SEI],Tb_Mapa[CONSULTOR RESPONSÁVEL],"Não encontrado no mapa",0)</f>
        <v>Igor/finalizado</v>
      </c>
      <c r="H47" s="5"/>
    </row>
    <row r="48" spans="1:8" ht="47.25">
      <c r="A48" s="367" t="s">
        <v>58</v>
      </c>
      <c r="B48" s="5" t="str">
        <f>_xlfn.XLOOKUP(Tb_Beneficios[[#This Row],[PROCESSO SEI]],Tb_Portfólio[SEI],Tb_Portfólio[PROJETO],"",0)</f>
        <v>Phase-out: Transição Projetos X Operação</v>
      </c>
      <c r="C48" s="362" t="s">
        <v>1121</v>
      </c>
      <c r="D48" s="362" t="s">
        <v>1122</v>
      </c>
      <c r="E48" s="358">
        <v>0</v>
      </c>
      <c r="F48" s="193">
        <v>45771</v>
      </c>
      <c r="G48" s="5" t="str">
        <f>_xlfn.XLOOKUP(Tb_Beneficios[[#This Row],[PROCESSO SEI]],Tb_Mapa[SEI],Tb_Mapa[CONSULTOR RESPONSÁVEL],"Não encontrado no mapa",0)</f>
        <v>Tony</v>
      </c>
      <c r="H48" s="5"/>
    </row>
    <row r="49" spans="1:8" ht="94.5">
      <c r="A49" s="367" t="s">
        <v>58</v>
      </c>
      <c r="B49" s="5" t="str">
        <f>_xlfn.XLOOKUP(Tb_Beneficios[[#This Row],[PROCESSO SEI]],Tb_Portfólio[SEI],Tb_Portfólio[PROJETO],"",0)</f>
        <v>Phase-out: Transição Projetos X Operação</v>
      </c>
      <c r="C49" s="362" t="s">
        <v>1123</v>
      </c>
      <c r="D49" s="362" t="s">
        <v>1124</v>
      </c>
      <c r="E49" s="358">
        <v>0</v>
      </c>
      <c r="F49" s="193">
        <v>45771</v>
      </c>
      <c r="G49" s="5" t="str">
        <f>_xlfn.XLOOKUP(Tb_Beneficios[[#This Row],[PROCESSO SEI]],Tb_Mapa[SEI],Tb_Mapa[CONSULTOR RESPONSÁVEL],"Não encontrado no mapa",0)</f>
        <v>Tony</v>
      </c>
      <c r="H49" s="5"/>
    </row>
    <row r="50" spans="1:8" ht="105">
      <c r="A50" s="367" t="s">
        <v>83</v>
      </c>
      <c r="B50" s="5" t="str">
        <f>_xlfn.XLOOKUP(Tb_Beneficios[[#This Row],[PROCESSO SEI]],Tb_Portfólio[SEI],Tb_Portfólio[PROJETO],"",0)</f>
        <v>Painel do Programa Desjudicializa</v>
      </c>
      <c r="C50" s="5" t="s">
        <v>93</v>
      </c>
      <c r="D50" s="5" t="s">
        <v>1125</v>
      </c>
      <c r="E50" s="358">
        <v>0</v>
      </c>
      <c r="F50" s="193">
        <v>45631</v>
      </c>
      <c r="G50" s="5" t="str">
        <f>_xlfn.XLOOKUP(Tb_Beneficios[[#This Row],[PROCESSO SEI]],Tb_Mapa[SEI],Tb_Mapa[CONSULTOR RESPONSÁVEL],"Não encontrado no mapa",0)</f>
        <v>Tony</v>
      </c>
      <c r="H50" s="5"/>
    </row>
    <row r="51" spans="1:8" ht="150">
      <c r="A51" s="359" t="s">
        <v>310</v>
      </c>
      <c r="B51" s="5" t="str">
        <f>_xlfn.XLOOKUP(Tb_Beneficios[[#This Row],[PROCESSO SEI]],Tb_Portfólio[SEI],Tb_Portfólio[PROJETO],"",0)</f>
        <v>Apoio a implantação de soluções da PDPJ-Br</v>
      </c>
      <c r="C51" s="79" t="s">
        <v>1126</v>
      </c>
      <c r="D51" s="5" t="s">
        <v>1127</v>
      </c>
      <c r="E51" s="358">
        <v>0.37</v>
      </c>
      <c r="F51" s="193">
        <v>45751</v>
      </c>
      <c r="G51" s="5" t="str">
        <f>_xlfn.XLOOKUP(Tb_Beneficios[[#This Row],[PROCESSO SEI]],Tb_Mapa[SEI],Tb_Mapa[CONSULTOR RESPONSÁVEL],"Não encontrado no mapa",0)</f>
        <v>juloi</v>
      </c>
      <c r="H51" s="5"/>
    </row>
    <row r="52" spans="1:8" ht="30">
      <c r="A52" s="359" t="s">
        <v>396</v>
      </c>
      <c r="B52" s="5" t="str">
        <f>_xlfn.XLOOKUP(Tb_Beneficios[[#This Row],[PROCESSO SEI]],Tb_Portfólio[SEI],Tb_Portfólio[PROJETO],"",0)</f>
        <v>CODEX - Melhorias Evolutivas e Corretivas</v>
      </c>
      <c r="C52" s="79" t="s">
        <v>1128</v>
      </c>
      <c r="D52" s="5"/>
      <c r="E52" s="358">
        <v>0</v>
      </c>
      <c r="F52" s="193">
        <v>45687</v>
      </c>
      <c r="G52" s="5" t="str">
        <f>_xlfn.XLOOKUP(Tb_Beneficios[[#This Row],[PROCESSO SEI]],Tb_Mapa[SEI],Tb_Mapa[CONSULTOR RESPONSÁVEL],"Não encontrado no mapa",0)</f>
        <v>Raphael</v>
      </c>
      <c r="H52" s="5"/>
    </row>
    <row r="53" spans="1:8" ht="285">
      <c r="A53" s="359" t="s">
        <v>458</v>
      </c>
      <c r="B53" s="5" t="str">
        <f>_xlfn.XLOOKUP(Tb_Beneficios[[#This Row],[PROCESSO SEI]],Tb_Portfólio[SEI],Tb_Portfólio[PROJETO],"",0)</f>
        <v>SNGB - Melhorias evolutivas</v>
      </c>
      <c r="C53" s="5" t="s">
        <v>1129</v>
      </c>
      <c r="D53" s="5" t="s">
        <v>1130</v>
      </c>
      <c r="E53" s="358">
        <v>0.88</v>
      </c>
      <c r="F53" s="193" t="s">
        <v>1131</v>
      </c>
      <c r="G53" s="5" t="str">
        <f>_xlfn.XLOOKUP(Tb_Beneficios[[#This Row],[PROCESSO SEI]],Tb_Mapa[SEI],Tb_Mapa[CONSULTOR RESPONSÁVEL],"Não encontrado no mapa",0)</f>
        <v>Raphael</v>
      </c>
      <c r="H53" s="5"/>
    </row>
    <row r="54" spans="1:8" ht="30">
      <c r="A54" s="360" t="s">
        <v>580</v>
      </c>
      <c r="B54" s="5" t="str">
        <f>_xlfn.XLOOKUP(Tb_Beneficios[[#This Row],[PROCESSO SEI]],Tb_Portfólio[SEI],Tb_Portfólio[PROJETO],"",0)</f>
        <v>SireneJud 2.0 - Evoluções</v>
      </c>
      <c r="C54" s="5" t="s">
        <v>469</v>
      </c>
      <c r="D54" s="5"/>
      <c r="E54" s="358">
        <v>0</v>
      </c>
      <c r="F54" s="193">
        <v>45691</v>
      </c>
      <c r="G54" s="5" t="str">
        <f>_xlfn.XLOOKUP(Tb_Beneficios[[#This Row],[PROCESSO SEI]],Tb_Mapa[SEI],Tb_Mapa[CONSULTOR RESPONSÁVEL],"Não encontrado no mapa",0)</f>
        <v>Juliana</v>
      </c>
      <c r="H54" s="5"/>
    </row>
    <row r="55" spans="1:8" ht="75">
      <c r="A55" s="360" t="s">
        <v>638</v>
      </c>
      <c r="B55" s="5" t="str">
        <f>_xlfn.XLOOKUP(Tb_Beneficios[[#This Row],[PROCESSO SEI]],Tb_Portfólio[SEI],Tb_Portfólio[PROJETO],"",0)</f>
        <v>Sisperjud</v>
      </c>
      <c r="C55" s="5" t="s">
        <v>643</v>
      </c>
      <c r="D55" s="5" t="s">
        <v>1132</v>
      </c>
      <c r="E55" s="358">
        <v>0</v>
      </c>
      <c r="F55" s="193">
        <v>45492</v>
      </c>
      <c r="G55" s="5" t="str">
        <f>_xlfn.XLOOKUP(Tb_Beneficios[[#This Row],[PROCESSO SEI]],Tb_Mapa[SEI],Tb_Mapa[CONSULTOR RESPONSÁVEL],"Não encontrado no mapa",0)</f>
        <v>Tony</v>
      </c>
      <c r="H55" s="5"/>
    </row>
    <row r="56" spans="1:8" ht="45">
      <c r="A56" s="360" t="s">
        <v>644</v>
      </c>
      <c r="B56" s="5" t="str">
        <f>_xlfn.XLOOKUP(Tb_Beneficios[[#This Row],[PROCESSO SEI]],Tb_Portfólio[SEI],Tb_Portfólio[PROJETO],"",0)</f>
        <v>BNP/Pangea</v>
      </c>
      <c r="C56" s="5" t="s">
        <v>1133</v>
      </c>
      <c r="D56" s="5" t="s">
        <v>1134</v>
      </c>
      <c r="E56" s="358">
        <v>0.99</v>
      </c>
      <c r="F56" s="193">
        <v>45818</v>
      </c>
      <c r="G56" s="5" t="str">
        <f>_xlfn.XLOOKUP(Tb_Beneficios[[#This Row],[PROCESSO SEI]],Tb_Mapa[SEI],Tb_Mapa[CONSULTOR RESPONSÁVEL],"Não encontrado no mapa",0)</f>
        <v>Juliana</v>
      </c>
      <c r="H56" s="5"/>
    </row>
    <row r="57" spans="1:8" ht="45">
      <c r="A57" s="360" t="s">
        <v>644</v>
      </c>
      <c r="B57" s="5" t="str">
        <f>_xlfn.XLOOKUP(Tb_Beneficios[[#This Row],[PROCESSO SEI]],Tb_Portfólio[SEI],Tb_Portfólio[PROJETO],"",0)</f>
        <v>BNP/Pangea</v>
      </c>
      <c r="C57" s="5" t="s">
        <v>1135</v>
      </c>
      <c r="D57" s="5" t="s">
        <v>1136</v>
      </c>
      <c r="E57" s="358">
        <v>1</v>
      </c>
      <c r="F57" s="193">
        <v>45818</v>
      </c>
      <c r="G57" s="5" t="str">
        <f>_xlfn.XLOOKUP(Tb_Beneficios[[#This Row],[PROCESSO SEI]],Tb_Mapa[SEI],Tb_Mapa[CONSULTOR RESPONSÁVEL],"Não encontrado no mapa",0)</f>
        <v>Juliana</v>
      </c>
      <c r="H57" s="5"/>
    </row>
    <row r="58" spans="1:8" ht="45">
      <c r="A58" s="360" t="s">
        <v>644</v>
      </c>
      <c r="B58" s="5" t="str">
        <f>_xlfn.XLOOKUP(Tb_Beneficios[[#This Row],[PROCESSO SEI]],Tb_Portfólio[SEI],Tb_Portfólio[PROJETO],"",0)</f>
        <v>BNP/Pangea</v>
      </c>
      <c r="C58" s="5" t="s">
        <v>1137</v>
      </c>
      <c r="D58" s="5" t="s">
        <v>1138</v>
      </c>
      <c r="E58" s="358">
        <v>0</v>
      </c>
      <c r="F58" s="193">
        <v>45818</v>
      </c>
      <c r="G58" s="5" t="str">
        <f>_xlfn.XLOOKUP(Tb_Beneficios[[#This Row],[PROCESSO SEI]],Tb_Mapa[SEI],Tb_Mapa[CONSULTOR RESPONSÁVEL],"Não encontrado no mapa",0)</f>
        <v>Juliana</v>
      </c>
      <c r="H58" s="5"/>
    </row>
    <row r="59" spans="1:8" ht="60">
      <c r="A59" s="360" t="s">
        <v>644</v>
      </c>
      <c r="B59" s="5" t="str">
        <f>_xlfn.XLOOKUP(Tb_Beneficios[[#This Row],[PROCESSO SEI]],Tb_Portfólio[SEI],Tb_Portfólio[PROJETO],"",0)</f>
        <v>BNP/Pangea</v>
      </c>
      <c r="C59" s="5" t="s">
        <v>1139</v>
      </c>
      <c r="D59" s="5" t="s">
        <v>1140</v>
      </c>
      <c r="E59" s="358">
        <v>0</v>
      </c>
      <c r="F59" s="193">
        <v>45818</v>
      </c>
      <c r="G59" s="5" t="str">
        <f>_xlfn.XLOOKUP(Tb_Beneficios[[#This Row],[PROCESSO SEI]],Tb_Mapa[SEI],Tb_Mapa[CONSULTOR RESPONSÁVEL],"Não encontrado no mapa",0)</f>
        <v>Juliana</v>
      </c>
      <c r="H59" s="5"/>
    </row>
    <row r="60" spans="1:8" ht="195">
      <c r="A60" s="360" t="s">
        <v>690</v>
      </c>
      <c r="B60" s="5" t="str">
        <f>_xlfn.XLOOKUP(Tb_Beneficios[[#This Row],[PROCESSO SEI]],Tb_Portfólio[SEI],Tb_Portfólio[PROJETO],"",0)</f>
        <v>Painel “Justiça Criminal e Sistema Prisional”</v>
      </c>
      <c r="C60" s="5" t="s">
        <v>1141</v>
      </c>
      <c r="D60" s="5" t="s">
        <v>1142</v>
      </c>
      <c r="E60" s="358">
        <v>0</v>
      </c>
      <c r="F60" s="193">
        <v>45607</v>
      </c>
      <c r="G60" s="5" t="str">
        <f>_xlfn.XLOOKUP(Tb_Beneficios[[#This Row],[PROCESSO SEI]],Tb_Mapa[SEI],Tb_Mapa[CONSULTOR RESPONSÁVEL],"Não encontrado no mapa",0)</f>
        <v>Juliana</v>
      </c>
      <c r="H60" s="5"/>
    </row>
    <row r="61" spans="1:8" ht="105">
      <c r="A61" s="360" t="s">
        <v>722</v>
      </c>
      <c r="B61" s="5" t="str">
        <f>_xlfn.XLOOKUP(Tb_Beneficios[[#This Row],[PROCESSO SEI]],Tb_Portfólio[SEI],Tb_Portfólio[PROJETO],"",0)</f>
        <v>Serviços Estruturantes - Melhorias Evolutivas e Corretivas</v>
      </c>
      <c r="C61" s="5" t="s">
        <v>1143</v>
      </c>
      <c r="D61" s="5" t="s">
        <v>1144</v>
      </c>
      <c r="E61" s="358">
        <v>0</v>
      </c>
      <c r="F61" s="193">
        <v>45686</v>
      </c>
      <c r="G61" s="5" t="str">
        <f>_xlfn.XLOOKUP(Tb_Beneficios[[#This Row],[PROCESSO SEI]],Tb_Mapa[SEI],Tb_Mapa[CONSULTOR RESPONSÁVEL],"Não encontrado no mapa",0)</f>
        <v>Raphael</v>
      </c>
      <c r="H61" s="5"/>
    </row>
    <row r="62" spans="1:8" ht="126">
      <c r="A62" s="366" t="s">
        <v>70</v>
      </c>
      <c r="B62" s="5" t="str">
        <f>_xlfn.XLOOKUP(Tb_Beneficios[[#This Row],[PROCESSO SEI]],Tb_Portfólio[SEI],Tb_Portfólio[PROJETO],"",0)</f>
        <v>Mapa Nacional do Tribunal do Júri</v>
      </c>
      <c r="C62" s="362" t="s">
        <v>1145</v>
      </c>
      <c r="D62" s="362" t="s">
        <v>1146</v>
      </c>
      <c r="E62" s="358">
        <v>1</v>
      </c>
      <c r="F62" s="193">
        <v>45792</v>
      </c>
      <c r="G62" s="5" t="str">
        <f>_xlfn.XLOOKUP(Tb_Beneficios[[#This Row],[PROCESSO SEI]],Tb_Mapa[SEI],Tb_Mapa[CONSULTOR RESPONSÁVEL],"Não encontrado no mapa",0)</f>
        <v>Tony</v>
      </c>
      <c r="H62" s="369" t="s">
        <v>1147</v>
      </c>
    </row>
    <row r="63" spans="1:8" ht="183" customHeight="1">
      <c r="A63" s="366" t="s">
        <v>70</v>
      </c>
      <c r="B63" s="5" t="str">
        <f>_xlfn.XLOOKUP(Tb_Beneficios[[#This Row],[PROCESSO SEI]],Tb_Portfólio[SEI],Tb_Portfólio[PROJETO],"",0)</f>
        <v>Mapa Nacional do Tribunal do Júri</v>
      </c>
      <c r="C63" s="362" t="s">
        <v>1148</v>
      </c>
      <c r="D63" s="362" t="s">
        <v>1149</v>
      </c>
      <c r="E63" s="358">
        <v>0</v>
      </c>
      <c r="F63" s="193">
        <v>45792</v>
      </c>
      <c r="G63" s="5" t="str">
        <f>_xlfn.XLOOKUP(Tb_Beneficios[[#This Row],[PROCESSO SEI]],Tb_Mapa[SEI],Tb_Mapa[CONSULTOR RESPONSÁVEL],"Não encontrado no mapa",0)</f>
        <v>Tony</v>
      </c>
      <c r="H63" s="362" t="s">
        <v>1150</v>
      </c>
    </row>
    <row r="64" spans="1:8" ht="157.5">
      <c r="A64" s="366" t="s">
        <v>70</v>
      </c>
      <c r="B64" s="5" t="str">
        <f>_xlfn.XLOOKUP(Tb_Beneficios[[#This Row],[PROCESSO SEI]],Tb_Portfólio[SEI],Tb_Portfólio[PROJETO],"",0)</f>
        <v>Mapa Nacional do Tribunal do Júri</v>
      </c>
      <c r="C64" s="362" t="s">
        <v>1151</v>
      </c>
      <c r="D64" s="362" t="s">
        <v>1152</v>
      </c>
      <c r="E64" s="358">
        <v>0</v>
      </c>
      <c r="F64" s="193">
        <v>45792</v>
      </c>
      <c r="G64" s="5" t="str">
        <f>_xlfn.XLOOKUP(Tb_Beneficios[[#This Row],[PROCESSO SEI]],Tb_Mapa[SEI],Tb_Mapa[CONSULTOR RESPONSÁVEL],"Não encontrado no mapa",0)</f>
        <v>Tony</v>
      </c>
      <c r="H64" s="362" t="s">
        <v>1153</v>
      </c>
    </row>
    <row r="65" spans="1:8" ht="30">
      <c r="A65" s="366" t="s">
        <v>182</v>
      </c>
      <c r="B65" s="5" t="str">
        <f>_xlfn.XLOOKUP(Tb_Beneficios[[#This Row],[PROCESSO SEI]],Tb_Portfólio[SEI],Tb_Portfólio[PROJETO],"",0)</f>
        <v xml:space="preserve">Mineração de Processos do Pje </v>
      </c>
      <c r="C65" s="5" t="s">
        <v>1154</v>
      </c>
      <c r="D65" s="5"/>
      <c r="E65" s="358"/>
      <c r="F65" s="193"/>
      <c r="G65" s="5" t="str">
        <f>_xlfn.XLOOKUP(Tb_Beneficios[[#This Row],[PROCESSO SEI]],Tb_Mapa[SEI],Tb_Mapa[CONSULTOR RESPONSÁVEL],"Não encontrado no mapa",0)</f>
        <v>Tony</v>
      </c>
      <c r="H65" s="5"/>
    </row>
    <row r="66" spans="1:8" ht="45">
      <c r="A66" s="366" t="s">
        <v>209</v>
      </c>
      <c r="B66" s="5" t="str">
        <f>_xlfn.XLOOKUP(Tb_Beneficios[[#This Row],[PROCESSO SEI]],Tb_Portfólio[SEI],Tb_Portfólio[PROJETO],"",0)</f>
        <v>Capacitação técnica para desenvolvedores nas tecnologias da PDPJ - BR</v>
      </c>
      <c r="C66" s="5" t="s">
        <v>1155</v>
      </c>
      <c r="D66" s="5"/>
      <c r="E66" s="358">
        <v>0.86</v>
      </c>
      <c r="F66" s="193">
        <v>45944</v>
      </c>
      <c r="G66" s="5" t="str">
        <f>_xlfn.XLOOKUP(Tb_Beneficios[[#This Row],[PROCESSO SEI]],Tb_Mapa[SEI],Tb_Mapa[CONSULTOR RESPONSÁVEL],"Não encontrado no mapa",0)</f>
        <v>Tony</v>
      </c>
      <c r="H66" s="5"/>
    </row>
    <row r="67" spans="1:8" ht="45">
      <c r="A67" s="367" t="s">
        <v>209</v>
      </c>
      <c r="B67" s="5" t="str">
        <f>_xlfn.XLOOKUP(Tb_Beneficios[[#This Row],[PROCESSO SEI]],Tb_Portfólio[SEI],Tb_Portfólio[PROJETO],"",0)</f>
        <v>Capacitação técnica para desenvolvedores nas tecnologias da PDPJ - BR</v>
      </c>
      <c r="C67" s="5" t="s">
        <v>1156</v>
      </c>
      <c r="D67" s="5"/>
      <c r="E67" s="358">
        <v>0.5</v>
      </c>
      <c r="F67" s="193">
        <v>45944</v>
      </c>
      <c r="G67" s="5" t="str">
        <f>_xlfn.XLOOKUP(Tb_Beneficios[[#This Row],[PROCESSO SEI]],Tb_Mapa[SEI],Tb_Mapa[CONSULTOR RESPONSÁVEL],"Não encontrado no mapa",0)</f>
        <v>Tony</v>
      </c>
      <c r="H67" s="5"/>
    </row>
    <row r="68" spans="1:8" ht="120">
      <c r="A68" s="367" t="s">
        <v>229</v>
      </c>
      <c r="B68" s="5" t="str">
        <f>_xlfn.XLOOKUP(Tb_Beneficios[[#This Row],[PROCESSO SEI]],Tb_Portfólio[SEI],Tb_Portfólio[PROJETO],"",0)</f>
        <v>Gabinete do Juízo</v>
      </c>
      <c r="C68" s="5" t="s">
        <v>1157</v>
      </c>
      <c r="D68" s="5" t="s">
        <v>1158</v>
      </c>
      <c r="E68" s="358">
        <v>0.74</v>
      </c>
      <c r="F68" s="193">
        <v>45723</v>
      </c>
      <c r="G68" s="5" t="str">
        <f>_xlfn.XLOOKUP(Tb_Beneficios[[#This Row],[PROCESSO SEI]],Tb_Mapa[SEI],Tb_Mapa[CONSULTOR RESPONSÁVEL],"Não encontrado no mapa",0)</f>
        <v>Tony</v>
      </c>
      <c r="H68" s="5"/>
    </row>
    <row r="69" spans="1:8" ht="120">
      <c r="A69" s="367" t="s">
        <v>257</v>
      </c>
      <c r="B69" s="5" t="str">
        <f>_xlfn.XLOOKUP(Tb_Beneficios[[#This Row],[PROCESSO SEI]],Tb_Portfólio[SEI],Tb_Portfólio[PROJETO],"",0)</f>
        <v>SisPreq – Sistema de Precatórios e Requisições de Pequeno Valor</v>
      </c>
      <c r="C69" s="5" t="s">
        <v>1159</v>
      </c>
      <c r="D69" s="5" t="s">
        <v>1160</v>
      </c>
      <c r="E69" s="358">
        <v>0</v>
      </c>
      <c r="F69" s="193">
        <v>45483</v>
      </c>
      <c r="G69" s="5" t="str">
        <f>_xlfn.XLOOKUP(Tb_Beneficios[[#This Row],[PROCESSO SEI]],Tb_Mapa[SEI],Tb_Mapa[CONSULTOR RESPONSÁVEL],"Não encontrado no mapa",0)</f>
        <v>Raphael</v>
      </c>
      <c r="H69" s="5"/>
    </row>
    <row r="70" spans="1:8" ht="90">
      <c r="A70" s="367" t="s">
        <v>257</v>
      </c>
      <c r="B70" s="5" t="str">
        <f>_xlfn.XLOOKUP(Tb_Beneficios[[#This Row],[PROCESSO SEI]],Tb_Portfólio[SEI],Tb_Portfólio[PROJETO],"",0)</f>
        <v>SisPreq – Sistema de Precatórios e Requisições de Pequeno Valor</v>
      </c>
      <c r="C70" s="5" t="s">
        <v>1161</v>
      </c>
      <c r="D70" s="5" t="s">
        <v>1162</v>
      </c>
      <c r="E70" s="358">
        <v>0</v>
      </c>
      <c r="F70" s="193">
        <v>45483</v>
      </c>
      <c r="G70" s="5" t="str">
        <f>_xlfn.XLOOKUP(Tb_Beneficios[[#This Row],[PROCESSO SEI]],Tb_Mapa[SEI],Tb_Mapa[CONSULTOR RESPONSÁVEL],"Não encontrado no mapa",0)</f>
        <v>Raphael</v>
      </c>
      <c r="H70" s="5"/>
    </row>
    <row r="71" spans="1:8" ht="60">
      <c r="A71" s="367" t="s">
        <v>257</v>
      </c>
      <c r="B71" s="5" t="str">
        <f>_xlfn.XLOOKUP(Tb_Beneficios[[#This Row],[PROCESSO SEI]],Tb_Portfólio[SEI],Tb_Portfólio[PROJETO],"",0)</f>
        <v>SisPreq – Sistema de Precatórios e Requisições de Pequeno Valor</v>
      </c>
      <c r="C71" s="5" t="s">
        <v>1163</v>
      </c>
      <c r="D71" s="5" t="s">
        <v>1164</v>
      </c>
      <c r="E71" s="358">
        <v>0</v>
      </c>
      <c r="F71" s="193">
        <v>45483</v>
      </c>
      <c r="G71" s="5" t="str">
        <f>_xlfn.XLOOKUP(Tb_Beneficios[[#This Row],[PROCESSO SEI]],Tb_Mapa[SEI],Tb_Mapa[CONSULTOR RESPONSÁVEL],"Não encontrado no mapa",0)</f>
        <v>Raphael</v>
      </c>
      <c r="H71" s="5"/>
    </row>
    <row r="72" spans="1:8" ht="45">
      <c r="A72" s="359" t="s">
        <v>358</v>
      </c>
      <c r="B72" s="5" t="str">
        <f>_xlfn.XLOOKUP(Tb_Beneficios[[#This Row],[PROCESSO SEI]],Tb_Portfólio[SEI],Tb_Portfólio[PROJETO],"",0)</f>
        <v>Prevjud - Automação de Processos Previdenciários - Justiça 4.0</v>
      </c>
      <c r="C72" s="5" t="s">
        <v>1165</v>
      </c>
      <c r="D72" s="5" t="s">
        <v>1166</v>
      </c>
      <c r="E72" s="358">
        <v>1</v>
      </c>
      <c r="F72" s="193">
        <v>45751</v>
      </c>
      <c r="G72" s="5" t="str">
        <f>_xlfn.XLOOKUP(Tb_Beneficios[[#This Row],[PROCESSO SEI]],Tb_Mapa[SEI],Tb_Mapa[CONSULTOR RESPONSÁVEL],"Não encontrado no mapa",0)</f>
        <v>Tony</v>
      </c>
      <c r="H72" s="5"/>
    </row>
    <row r="73" spans="1:8" ht="45">
      <c r="A73" s="359" t="s">
        <v>358</v>
      </c>
      <c r="B73" s="5" t="str">
        <f>_xlfn.XLOOKUP(Tb_Beneficios[[#This Row],[PROCESSO SEI]],Tb_Portfólio[SEI],Tb_Portfólio[PROJETO],"",0)</f>
        <v>Prevjud - Automação de Processos Previdenciários - Justiça 4.0</v>
      </c>
      <c r="C73" s="5" t="s">
        <v>1167</v>
      </c>
      <c r="D73" s="5"/>
      <c r="E73" s="358">
        <v>1</v>
      </c>
      <c r="F73" s="193">
        <v>45751</v>
      </c>
      <c r="G73" s="5" t="str">
        <f>_xlfn.XLOOKUP(Tb_Beneficios[[#This Row],[PROCESSO SEI]],Tb_Mapa[SEI],Tb_Mapa[CONSULTOR RESPONSÁVEL],"Não encontrado no mapa",0)</f>
        <v>Tony</v>
      </c>
      <c r="H73" s="5"/>
    </row>
    <row r="74" spans="1:8" ht="60">
      <c r="A74" s="359" t="s">
        <v>358</v>
      </c>
      <c r="B74" s="5" t="str">
        <f>_xlfn.XLOOKUP(Tb_Beneficios[[#This Row],[PROCESSO SEI]],Tb_Portfólio[SEI],Tb_Portfólio[PROJETO],"",0)</f>
        <v>Prevjud - Automação de Processos Previdenciários - Justiça 4.0</v>
      </c>
      <c r="C74" s="5" t="s">
        <v>1168</v>
      </c>
      <c r="D74" s="5"/>
      <c r="E74" s="358">
        <v>1</v>
      </c>
      <c r="F74" s="193">
        <v>45751</v>
      </c>
      <c r="G74" s="5" t="str">
        <f>_xlfn.XLOOKUP(Tb_Beneficios[[#This Row],[PROCESSO SEI]],Tb_Mapa[SEI],Tb_Mapa[CONSULTOR RESPONSÁVEL],"Não encontrado no mapa",0)</f>
        <v>Tony</v>
      </c>
      <c r="H74" s="5"/>
    </row>
    <row r="75" spans="1:8" ht="30">
      <c r="A75" s="359" t="s">
        <v>358</v>
      </c>
      <c r="B75" s="5" t="str">
        <f>_xlfn.XLOOKUP(Tb_Beneficios[[#This Row],[PROCESSO SEI]],Tb_Portfólio[SEI],Tb_Portfólio[PROJETO],"",0)</f>
        <v>Prevjud - Automação de Processos Previdenciários - Justiça 4.0</v>
      </c>
      <c r="C75" s="5" t="s">
        <v>1169</v>
      </c>
      <c r="D75" s="5"/>
      <c r="E75" s="358">
        <v>1</v>
      </c>
      <c r="F75" s="193">
        <v>45751</v>
      </c>
      <c r="G75" s="5" t="str">
        <f>_xlfn.XLOOKUP(Tb_Beneficios[[#This Row],[PROCESSO SEI]],Tb_Mapa[SEI],Tb_Mapa[CONSULTOR RESPONSÁVEL],"Não encontrado no mapa",0)</f>
        <v>Tony</v>
      </c>
      <c r="H75" s="5"/>
    </row>
    <row r="76" spans="1:8" ht="110.25">
      <c r="A76" s="359" t="s">
        <v>384</v>
      </c>
      <c r="B76" s="5" t="str">
        <f>_xlfn.XLOOKUP(Tb_Beneficios[[#This Row],[PROCESSO SEI]],Tb_Portfólio[SEI],Tb_Portfólio[PROJETO],"",0)</f>
        <v>Integra - Serviço de Monitoramento de Atos do CNJ</v>
      </c>
      <c r="C76" s="5" t="s">
        <v>1170</v>
      </c>
      <c r="D76" s="362" t="s">
        <v>1171</v>
      </c>
      <c r="E76" s="358">
        <v>1</v>
      </c>
      <c r="F76" s="193">
        <v>45814</v>
      </c>
      <c r="G76" s="5" t="str">
        <f>_xlfn.XLOOKUP(Tb_Beneficios[[#This Row],[PROCESSO SEI]],Tb_Mapa[SEI],Tb_Mapa[CONSULTOR RESPONSÁVEL],"Não encontrado no mapa",0)</f>
        <v>Tony</v>
      </c>
      <c r="H76" s="5"/>
    </row>
    <row r="77" spans="1:8" ht="31.5">
      <c r="A77" s="359" t="s">
        <v>384</v>
      </c>
      <c r="B77" s="5" t="str">
        <f>_xlfn.XLOOKUP(Tb_Beneficios[[#This Row],[PROCESSO SEI]],Tb_Portfólio[SEI],Tb_Portfólio[PROJETO],"",0)</f>
        <v>Integra - Serviço de Monitoramento de Atos do CNJ</v>
      </c>
      <c r="C77" s="5" t="s">
        <v>1172</v>
      </c>
      <c r="D77" s="362" t="s">
        <v>1173</v>
      </c>
      <c r="E77" s="358">
        <v>0</v>
      </c>
      <c r="F77" s="193">
        <v>45814</v>
      </c>
      <c r="G77" s="5" t="str">
        <f>_xlfn.XLOOKUP(Tb_Beneficios[[#This Row],[PROCESSO SEI]],Tb_Mapa[SEI],Tb_Mapa[CONSULTOR RESPONSÁVEL],"Não encontrado no mapa",0)</f>
        <v>Tony</v>
      </c>
      <c r="H77" s="5"/>
    </row>
    <row r="78" spans="1:8" ht="189">
      <c r="A78" s="359" t="s">
        <v>384</v>
      </c>
      <c r="B78" s="5" t="str">
        <f>_xlfn.XLOOKUP(Tb_Beneficios[[#This Row],[PROCESSO SEI]],Tb_Portfólio[SEI],Tb_Portfólio[PROJETO],"",0)</f>
        <v>Integra - Serviço de Monitoramento de Atos do CNJ</v>
      </c>
      <c r="C78" s="5" t="s">
        <v>1174</v>
      </c>
      <c r="D78" s="362" t="s">
        <v>1175</v>
      </c>
      <c r="E78" s="358">
        <v>0.18</v>
      </c>
      <c r="F78" s="193">
        <v>45814</v>
      </c>
      <c r="G78" s="5" t="str">
        <f>_xlfn.XLOOKUP(Tb_Beneficios[[#This Row],[PROCESSO SEI]],Tb_Mapa[SEI],Tb_Mapa[CONSULTOR RESPONSÁVEL],"Não encontrado no mapa",0)</f>
        <v>Tony</v>
      </c>
      <c r="H78" s="5"/>
    </row>
    <row r="79" spans="1:8" ht="45.75">
      <c r="A79" s="360" t="s">
        <v>404</v>
      </c>
      <c r="B79" s="79" t="str">
        <f>_xlfn.XLOOKUP(Tb_Beneficios[[#This Row],[PROCESSO SEI]],Tb_Portfólio[SEI],Tb_Portfólio[PROJETO],"",0)</f>
        <v>Consulta Nacional de Pessoas (FAC Nacional)</v>
      </c>
      <c r="C79" s="79" t="s">
        <v>1176</v>
      </c>
      <c r="D79" s="361" t="s">
        <v>1177</v>
      </c>
      <c r="E79" s="358">
        <v>0.67</v>
      </c>
      <c r="F79" s="193">
        <v>45812</v>
      </c>
      <c r="G79" s="5" t="str">
        <f>_xlfn.XLOOKUP(Tb_Beneficios[[#This Row],[PROCESSO SEI]],Tb_Mapa[SEI],Tb_Mapa[CONSULTOR RESPONSÁVEL],"Não encontrado no mapa",0)</f>
        <v>Tony</v>
      </c>
      <c r="H79" s="5"/>
    </row>
    <row r="80" spans="1:8" ht="120">
      <c r="A80" s="359" t="s">
        <v>431</v>
      </c>
      <c r="B80" s="5" t="str">
        <f>_xlfn.XLOOKUP(Tb_Beneficios[[#This Row],[PROCESSO SEI]],Tb_Portfólio[SEI],Tb_Portfólio[PROJETO],"",0)</f>
        <v>Sniper BC</v>
      </c>
      <c r="C80" s="79" t="s">
        <v>1178</v>
      </c>
      <c r="D80" s="5" t="s">
        <v>1179</v>
      </c>
      <c r="E80" s="363">
        <v>0.15</v>
      </c>
      <c r="F80" s="364">
        <v>45762</v>
      </c>
      <c r="G80" s="5" t="str">
        <f>_xlfn.XLOOKUP(Tb_Beneficios[[#This Row],[PROCESSO SEI]],Tb_Mapa[SEI],Tb_Mapa[CONSULTOR RESPONSÁVEL],"Não encontrado no mapa",0)</f>
        <v>Tony</v>
      </c>
      <c r="H80" s="5"/>
    </row>
    <row r="81" spans="1:8" ht="135">
      <c r="A81" s="360" t="s">
        <v>431</v>
      </c>
      <c r="B81" s="5" t="str">
        <f>_xlfn.XLOOKUP(Tb_Beneficios[[#This Row],[PROCESSO SEI]],Tb_Portfólio[SEI],Tb_Portfólio[PROJETO],"",0)</f>
        <v>Sniper BC</v>
      </c>
      <c r="C81" s="79" t="s">
        <v>1180</v>
      </c>
      <c r="D81" s="5" t="s">
        <v>1181</v>
      </c>
      <c r="E81" s="363">
        <v>0</v>
      </c>
      <c r="F81" s="364">
        <v>45762</v>
      </c>
      <c r="G81" s="5" t="str">
        <f>_xlfn.XLOOKUP(Tb_Beneficios[[#This Row],[PROCESSO SEI]],Tb_Mapa[SEI],Tb_Mapa[CONSULTOR RESPONSÁVEL],"Não encontrado no mapa",0)</f>
        <v>Tony</v>
      </c>
      <c r="H81" s="5"/>
    </row>
    <row r="82" spans="1:8" ht="45">
      <c r="A82" s="359" t="s">
        <v>487</v>
      </c>
      <c r="B82" s="5" t="str">
        <f>_xlfn.XLOOKUP(Tb_Beneficios[[#This Row],[PROCESSO SEI]],Tb_Portfólio[SEI],Tb_Portfólio[PROJETO],"",0)</f>
        <v>Demandas Complexas</v>
      </c>
      <c r="C82" s="5" t="s">
        <v>1182</v>
      </c>
      <c r="D82" s="5"/>
      <c r="E82" s="358">
        <v>6.6699999999999995E-2</v>
      </c>
      <c r="F82" s="193">
        <v>45209</v>
      </c>
      <c r="G82" s="5" t="str">
        <f>_xlfn.XLOOKUP(Tb_Beneficios[[#This Row],[PROCESSO SEI]],Tb_Mapa[SEI],Tb_Mapa[CONSULTOR RESPONSÁVEL],"Não encontrado no mapa",0)</f>
        <v>Tony</v>
      </c>
      <c r="H82" s="5"/>
    </row>
    <row r="83" spans="1:8" ht="105">
      <c r="A83" s="359" t="s">
        <v>487</v>
      </c>
      <c r="B83" s="5" t="str">
        <f>_xlfn.XLOOKUP(Tb_Beneficios[[#This Row],[PROCESSO SEI]],Tb_Portfólio[SEI],Tb_Portfólio[PROJETO],"",0)</f>
        <v>Demandas Complexas</v>
      </c>
      <c r="C83" s="5" t="s">
        <v>1183</v>
      </c>
      <c r="D83" s="5"/>
      <c r="E83" s="358">
        <v>0</v>
      </c>
      <c r="F83" s="193">
        <v>45209</v>
      </c>
      <c r="G83" s="5" t="str">
        <f>_xlfn.XLOOKUP(Tb_Beneficios[[#This Row],[PROCESSO SEI]],Tb_Mapa[SEI],Tb_Mapa[CONSULTOR RESPONSÁVEL],"Não encontrado no mapa",0)</f>
        <v>Tony</v>
      </c>
      <c r="H83" s="5"/>
    </row>
    <row r="84" spans="1:8" ht="150">
      <c r="A84" s="359" t="s">
        <v>487</v>
      </c>
      <c r="B84" s="5" t="str">
        <f>_xlfn.XLOOKUP(Tb_Beneficios[[#This Row],[PROCESSO SEI]],Tb_Portfólio[SEI],Tb_Portfólio[PROJETO],"",0)</f>
        <v>Demandas Complexas</v>
      </c>
      <c r="C84" s="5" t="s">
        <v>1184</v>
      </c>
      <c r="D84" s="5"/>
      <c r="E84" s="358">
        <v>0</v>
      </c>
      <c r="F84" s="193">
        <v>45209</v>
      </c>
      <c r="G84" s="5" t="str">
        <f>_xlfn.XLOOKUP(Tb_Beneficios[[#This Row],[PROCESSO SEI]],Tb_Mapa[SEI],Tb_Mapa[CONSULTOR RESPONSÁVEL],"Não encontrado no mapa",0)</f>
        <v>Tony</v>
      </c>
      <c r="H84" s="5"/>
    </row>
    <row r="85" spans="1:8" ht="47.25">
      <c r="A85" s="359" t="s">
        <v>539</v>
      </c>
      <c r="B85" s="5" t="str">
        <f>_xlfn.XLOOKUP(Tb_Beneficios[[#This Row],[PROCESSO SEI]],Tb_Portfólio[SEI],Tb_Portfólio[PROJETO],"",0)</f>
        <v>Desenvolvimento do módulo de Sessão de Julgamento (PDPJ-Br)</v>
      </c>
      <c r="C85" s="5" t="s">
        <v>1185</v>
      </c>
      <c r="D85" s="362" t="s">
        <v>1186</v>
      </c>
      <c r="E85" s="358">
        <v>0</v>
      </c>
      <c r="F85" s="193">
        <v>45817</v>
      </c>
      <c r="G85" s="5" t="str">
        <f>_xlfn.XLOOKUP(Tb_Beneficios[[#This Row],[PROCESSO SEI]],Tb_Mapa[SEI],Tb_Mapa[CONSULTOR RESPONSÁVEL],"Não encontrado no mapa",0)</f>
        <v>Tony</v>
      </c>
      <c r="H85" s="5"/>
    </row>
    <row r="86" spans="1:8" ht="78.75">
      <c r="A86" s="359" t="s">
        <v>539</v>
      </c>
      <c r="B86" s="5" t="str">
        <f>_xlfn.XLOOKUP(Tb_Beneficios[[#This Row],[PROCESSO SEI]],Tb_Portfólio[SEI],Tb_Portfólio[PROJETO],"",0)</f>
        <v>Desenvolvimento do módulo de Sessão de Julgamento (PDPJ-Br)</v>
      </c>
      <c r="C86" s="5" t="s">
        <v>1187</v>
      </c>
      <c r="D86" s="362" t="s">
        <v>1188</v>
      </c>
      <c r="E86" s="358">
        <v>0</v>
      </c>
      <c r="F86" s="193">
        <v>45817</v>
      </c>
      <c r="G86" s="5" t="str">
        <f>_xlfn.XLOOKUP(Tb_Beneficios[[#This Row],[PROCESSO SEI]],Tb_Mapa[SEI],Tb_Mapa[CONSULTOR RESPONSÁVEL],"Não encontrado no mapa",0)</f>
        <v>Tony</v>
      </c>
      <c r="H86" s="5"/>
    </row>
    <row r="87" spans="1:8" ht="45">
      <c r="A87" s="360" t="s">
        <v>549</v>
      </c>
      <c r="B87" s="5" t="str">
        <f>_xlfn.XLOOKUP(Tb_Beneficios[[#This Row],[PROCESSO SEI]],Tb_Portfólio[SEI],Tb_Portfólio[PROJETO],"",0)</f>
        <v>Fluxo Nacional Automatizado das Execuções Fiscais (EFIN)</v>
      </c>
      <c r="C87" s="5" t="s">
        <v>1189</v>
      </c>
      <c r="D87" s="5"/>
      <c r="E87" s="358">
        <v>0</v>
      </c>
      <c r="F87" s="193">
        <v>45505</v>
      </c>
      <c r="G87" s="5" t="str">
        <f>_xlfn.XLOOKUP(Tb_Beneficios[[#This Row],[PROCESSO SEI]],Tb_Mapa[SEI],Tb_Mapa[CONSULTOR RESPONSÁVEL],"Não encontrado no mapa",0)</f>
        <v>Tony</v>
      </c>
      <c r="H87" s="5"/>
    </row>
    <row r="88" spans="1:8" ht="30">
      <c r="A88" s="359" t="s">
        <v>549</v>
      </c>
      <c r="B88" s="5" t="str">
        <f>_xlfn.XLOOKUP(Tb_Beneficios[[#This Row],[PROCESSO SEI]],Tb_Portfólio[SEI],Tb_Portfólio[PROJETO],"",0)</f>
        <v>Fluxo Nacional Automatizado das Execuções Fiscais (EFIN)</v>
      </c>
      <c r="C88" s="5" t="s">
        <v>1190</v>
      </c>
      <c r="D88" s="5"/>
      <c r="E88" s="358">
        <v>0</v>
      </c>
      <c r="F88" s="193">
        <v>45505</v>
      </c>
      <c r="G88" s="5" t="str">
        <f>_xlfn.XLOOKUP(Tb_Beneficios[[#This Row],[PROCESSO SEI]],Tb_Mapa[SEI],Tb_Mapa[CONSULTOR RESPONSÁVEL],"Não encontrado no mapa",0)</f>
        <v>Tony</v>
      </c>
      <c r="H88" s="5"/>
    </row>
    <row r="89" spans="1:8" ht="45">
      <c r="A89" s="359" t="s">
        <v>549</v>
      </c>
      <c r="B89" s="5" t="str">
        <f>_xlfn.XLOOKUP(Tb_Beneficios[[#This Row],[PROCESSO SEI]],Tb_Portfólio[SEI],Tb_Portfólio[PROJETO],"",0)</f>
        <v>Fluxo Nacional Automatizado das Execuções Fiscais (EFIN)</v>
      </c>
      <c r="C89" s="5" t="s">
        <v>1191</v>
      </c>
      <c r="D89" s="5"/>
      <c r="E89" s="358">
        <v>0</v>
      </c>
      <c r="F89" s="193">
        <v>45505</v>
      </c>
      <c r="G89" s="5" t="str">
        <f>_xlfn.XLOOKUP(Tb_Beneficios[[#This Row],[PROCESSO SEI]],Tb_Mapa[SEI],Tb_Mapa[CONSULTOR RESPONSÁVEL],"Não encontrado no mapa",0)</f>
        <v>Tony</v>
      </c>
      <c r="H89" s="5"/>
    </row>
    <row r="90" spans="1:8" ht="120">
      <c r="A90" s="359" t="s">
        <v>549</v>
      </c>
      <c r="B90" s="5" t="str">
        <f>_xlfn.XLOOKUP(Tb_Beneficios[[#This Row],[PROCESSO SEI]],Tb_Portfólio[SEI],Tb_Portfólio[PROJETO],"",0)</f>
        <v>Fluxo Nacional Automatizado das Execuções Fiscais (EFIN)</v>
      </c>
      <c r="C90" s="5" t="s">
        <v>1192</v>
      </c>
      <c r="D90" s="5"/>
      <c r="E90" s="358">
        <v>0</v>
      </c>
      <c r="F90" s="193">
        <v>45505</v>
      </c>
      <c r="G90" s="5" t="str">
        <f>_xlfn.XLOOKUP(Tb_Beneficios[[#This Row],[PROCESSO SEI]],Tb_Mapa[SEI],Tb_Mapa[CONSULTOR RESPONSÁVEL],"Não encontrado no mapa",0)</f>
        <v>Tony</v>
      </c>
      <c r="H90" s="5"/>
    </row>
    <row r="91" spans="1:8" ht="105">
      <c r="A91" s="359" t="s">
        <v>559</v>
      </c>
      <c r="B91" s="5" t="str">
        <f>_xlfn.XLOOKUP(Tb_Beneficios[[#This Row],[PROCESSO SEI]],Tb_Portfólio[SEI],Tb_Portfólio[PROJETO],"",0)</f>
        <v>Fonajus itinerante</v>
      </c>
      <c r="C91" s="5" t="s">
        <v>569</v>
      </c>
      <c r="D91" s="5" t="s">
        <v>1193</v>
      </c>
      <c r="E91" s="358">
        <v>0.26</v>
      </c>
      <c r="F91" s="193">
        <v>45800</v>
      </c>
      <c r="G91" s="5" t="str">
        <f>_xlfn.XLOOKUP(Tb_Beneficios[[#This Row],[PROCESSO SEI]],Tb_Mapa[SEI],Tb_Mapa[CONSULTOR RESPONSÁVEL],"Não encontrado no mapa",0)</f>
        <v>Juliana</v>
      </c>
      <c r="H91" s="5"/>
    </row>
    <row r="92" spans="1:8" ht="180">
      <c r="A92" s="359" t="s">
        <v>589</v>
      </c>
      <c r="B92" s="5" t="str">
        <f>_xlfn.XLOOKUP(Tb_Beneficios[[#This Row],[PROCESSO SEI]],Tb_Portfólio[SEI],Tb_Portfólio[PROJETO],"",0)</f>
        <v>Pacto Nacional do Judiciário pelos Direitos Humanos - 2ª Fase</v>
      </c>
      <c r="C92" s="5" t="s">
        <v>1194</v>
      </c>
      <c r="D92" s="5"/>
      <c r="E92" s="358">
        <v>0.49</v>
      </c>
      <c r="F92" s="193">
        <v>45751</v>
      </c>
      <c r="G92" s="5" t="str">
        <f>_xlfn.XLOOKUP(Tb_Beneficios[[#This Row],[PROCESSO SEI]],Tb_Mapa[SEI],Tb_Mapa[CONSULTOR RESPONSÁVEL],"Não encontrado no mapa",0)</f>
        <v>Tony</v>
      </c>
      <c r="H92" s="5"/>
    </row>
    <row r="93" spans="1:8" ht="60">
      <c r="A93" s="359" t="s">
        <v>714</v>
      </c>
      <c r="B93" s="5" t="str">
        <f>_xlfn.XLOOKUP(Tb_Beneficios[[#This Row],[PROCESSO SEI]],Tb_Portfólio[SEI],Tb_Portfólio[PROJETO],"",0)</f>
        <v>Programa Novos Caminhos</v>
      </c>
      <c r="C93" s="5" t="s">
        <v>1195</v>
      </c>
      <c r="D93" s="5" t="s">
        <v>1196</v>
      </c>
      <c r="E93" s="358">
        <v>0.22</v>
      </c>
      <c r="F93" s="193">
        <v>45810</v>
      </c>
      <c r="G93" s="5" t="str">
        <f>_xlfn.XLOOKUP(Tb_Beneficios[[#This Row],[PROCESSO SEI]],Tb_Mapa[SEI],Tb_Mapa[CONSULTOR RESPONSÁVEL],"Não encontrado no mapa",0)</f>
        <v>Juliana</v>
      </c>
      <c r="H93" s="5"/>
    </row>
    <row r="94" spans="1:8" ht="60">
      <c r="A94" s="359" t="s">
        <v>714</v>
      </c>
      <c r="B94" s="5" t="str">
        <f>_xlfn.XLOOKUP(Tb_Beneficios[[#This Row],[PROCESSO SEI]],Tb_Portfólio[SEI],Tb_Portfólio[PROJETO],"",0)</f>
        <v>Programa Novos Caminhos</v>
      </c>
      <c r="C94" s="5" t="s">
        <v>1197</v>
      </c>
      <c r="D94" s="5" t="s">
        <v>1198</v>
      </c>
      <c r="E94" s="358">
        <v>0.75</v>
      </c>
      <c r="F94" s="193">
        <v>45810</v>
      </c>
      <c r="G94" s="5" t="str">
        <f>_xlfn.XLOOKUP(Tb_Beneficios[[#This Row],[PROCESSO SEI]],Tb_Mapa[SEI],Tb_Mapa[CONSULTOR RESPONSÁVEL],"Não encontrado no mapa",0)</f>
        <v>Juliana</v>
      </c>
      <c r="H94" s="5"/>
    </row>
    <row r="95" spans="1:8" ht="90">
      <c r="A95" s="359" t="s">
        <v>728</v>
      </c>
      <c r="B95" s="5" t="str">
        <f>_xlfn.XLOOKUP(Tb_Beneficios[[#This Row],[PROCESSO SEI]],Tb_Portfólio[SEI],Tb_Portfólio[PROJETO],"",0)</f>
        <v>Programa de Acessibilidade e Inclusão do Conselho Nacional de Justiça (CNJ)</v>
      </c>
      <c r="C95" s="5" t="s">
        <v>1199</v>
      </c>
      <c r="D95" s="5" t="s">
        <v>1200</v>
      </c>
      <c r="E95" s="358">
        <v>0.17</v>
      </c>
      <c r="F95" s="193">
        <v>45742</v>
      </c>
      <c r="G95" s="5" t="str">
        <f>_xlfn.XLOOKUP(Tb_Beneficios[[#This Row],[PROCESSO SEI]],Tb_Mapa[SEI],Tb_Mapa[CONSULTOR RESPONSÁVEL],"Não encontrado no mapa",0)</f>
        <v>Juliana</v>
      </c>
      <c r="H95" s="5"/>
    </row>
    <row r="96" spans="1:8" ht="75">
      <c r="A96" s="359" t="s">
        <v>728</v>
      </c>
      <c r="B96" s="5" t="str">
        <f>_xlfn.XLOOKUP(Tb_Beneficios[[#This Row],[PROCESSO SEI]],Tb_Portfólio[SEI],Tb_Portfólio[PROJETO],"",0)</f>
        <v>Programa de Acessibilidade e Inclusão do Conselho Nacional de Justiça (CNJ)</v>
      </c>
      <c r="C96" s="5" t="s">
        <v>1201</v>
      </c>
      <c r="D96" s="5" t="s">
        <v>1202</v>
      </c>
      <c r="E96" s="358">
        <v>0.02</v>
      </c>
      <c r="F96" s="193">
        <v>45742</v>
      </c>
      <c r="G96" s="5" t="str">
        <f>_xlfn.XLOOKUP(Tb_Beneficios[[#This Row],[PROCESSO SEI]],Tb_Mapa[SEI],Tb_Mapa[CONSULTOR RESPONSÁVEL],"Não encontrado no mapa",0)</f>
        <v>Juliana</v>
      </c>
      <c r="H96" s="5"/>
    </row>
    <row r="97" spans="1:8" ht="75">
      <c r="A97" s="359" t="s">
        <v>728</v>
      </c>
      <c r="B97" s="5" t="str">
        <f>_xlfn.XLOOKUP(Tb_Beneficios[[#This Row],[PROCESSO SEI]],Tb_Portfólio[SEI],Tb_Portfólio[PROJETO],"",0)</f>
        <v>Programa de Acessibilidade e Inclusão do Conselho Nacional de Justiça (CNJ)</v>
      </c>
      <c r="C97" s="5" t="s">
        <v>1203</v>
      </c>
      <c r="D97" s="5" t="s">
        <v>1204</v>
      </c>
      <c r="E97" s="358">
        <v>0.17</v>
      </c>
      <c r="F97" s="193">
        <v>45742</v>
      </c>
      <c r="G97" s="5" t="str">
        <f>_xlfn.XLOOKUP(Tb_Beneficios[[#This Row],[PROCESSO SEI]],Tb_Mapa[SEI],Tb_Mapa[CONSULTOR RESPONSÁVEL],"Não encontrado no mapa",0)</f>
        <v>Juliana</v>
      </c>
      <c r="H97" s="5"/>
    </row>
    <row r="98" spans="1:8" ht="90">
      <c r="A98" s="359" t="s">
        <v>728</v>
      </c>
      <c r="B98" s="5" t="str">
        <f>_xlfn.XLOOKUP(Tb_Beneficios[[#This Row],[PROCESSO SEI]],Tb_Portfólio[SEI],Tb_Portfólio[PROJETO],"",0)</f>
        <v>Programa de Acessibilidade e Inclusão do Conselho Nacional de Justiça (CNJ)</v>
      </c>
      <c r="C98" s="5" t="s">
        <v>1205</v>
      </c>
      <c r="D98" s="5" t="s">
        <v>1206</v>
      </c>
      <c r="E98" s="358">
        <v>0</v>
      </c>
      <c r="F98" s="193">
        <v>45742</v>
      </c>
      <c r="G98" s="5" t="str">
        <f>_xlfn.XLOOKUP(Tb_Beneficios[[#This Row],[PROCESSO SEI]],Tb_Mapa[SEI],Tb_Mapa[CONSULTOR RESPONSÁVEL],"Não encontrado no mapa",0)</f>
        <v>Juliana</v>
      </c>
      <c r="H98" s="5"/>
    </row>
    <row r="99" spans="1:8" ht="90">
      <c r="A99" s="359" t="s">
        <v>728</v>
      </c>
      <c r="B99" s="5" t="str">
        <f>_xlfn.XLOOKUP(Tb_Beneficios[[#This Row],[PROCESSO SEI]],Tb_Portfólio[SEI],Tb_Portfólio[PROJETO],"",0)</f>
        <v>Programa de Acessibilidade e Inclusão do Conselho Nacional de Justiça (CNJ)</v>
      </c>
      <c r="C99" s="5" t="s">
        <v>1207</v>
      </c>
      <c r="D99" s="5" t="s">
        <v>1208</v>
      </c>
      <c r="E99" s="358">
        <v>0</v>
      </c>
      <c r="F99" s="193">
        <v>45742</v>
      </c>
      <c r="G99" s="5" t="str">
        <f>_xlfn.XLOOKUP(Tb_Beneficios[[#This Row],[PROCESSO SEI]],Tb_Mapa[SEI],Tb_Mapa[CONSULTOR RESPONSÁVEL],"Não encontrado no mapa",0)</f>
        <v>Juliana</v>
      </c>
      <c r="H99" s="5"/>
    </row>
    <row r="100" spans="1:8">
      <c r="A100" s="360" t="s">
        <v>834</v>
      </c>
      <c r="B100" s="5" t="str">
        <f>_xlfn.XLOOKUP(Tb_Beneficios[[#This Row],[PROCESSO SEI]],Tb_Portfólio[SEI],Tb_Portfólio[PROJETO],"",0)</f>
        <v>Inspeção Judicial</v>
      </c>
      <c r="C100" s="5" t="s">
        <v>1209</v>
      </c>
      <c r="D100" s="5"/>
      <c r="E100" s="358"/>
      <c r="F100" s="193"/>
      <c r="G100" s="5" t="str">
        <f>_xlfn.XLOOKUP(Tb_Beneficios[[#This Row],[PROCESSO SEI]],Tb_Mapa[SEI],Tb_Mapa[CONSULTOR RESPONSÁVEL],"Não encontrado no mapa",0)</f>
        <v>Tony</v>
      </c>
      <c r="H100" s="5"/>
    </row>
    <row r="101" spans="1:8">
      <c r="A101" s="360" t="s">
        <v>844</v>
      </c>
      <c r="B101" s="5" t="str">
        <f>_xlfn.XLOOKUP(Tb_Beneficios[[#This Row],[PROCESSO SEI]],Tb_Portfólio[SEI],Tb_Portfólio[PROJETO],"",0)</f>
        <v>Enfrentamento da Tortura</v>
      </c>
      <c r="C101" s="5" t="s">
        <v>1209</v>
      </c>
      <c r="D101" s="5"/>
      <c r="E101" s="358"/>
      <c r="F101" s="193"/>
      <c r="G101" s="5" t="str">
        <f>_xlfn.XLOOKUP(Tb_Beneficios[[#This Row],[PROCESSO SEI]],Tb_Mapa[SEI],Tb_Mapa[CONSULTOR RESPONSÁVEL],"Não encontrado no mapa",0)</f>
        <v>Tony</v>
      </c>
      <c r="H101" s="5"/>
    </row>
    <row r="102" spans="1:8" ht="30">
      <c r="A102" s="360" t="s">
        <v>865</v>
      </c>
      <c r="B102" s="5" t="str">
        <f>_xlfn.XLOOKUP(Tb_Beneficios[[#This Row],[PROCESSO SEI]],Tb_Portfólio[SEI],Tb_Portfólio[PROJETO],"",0)</f>
        <v>Articulação Internacional e Proteção dos Direitos Humanos</v>
      </c>
      <c r="C102" s="5" t="s">
        <v>1209</v>
      </c>
      <c r="D102" s="5"/>
      <c r="E102" s="358"/>
      <c r="F102" s="193"/>
      <c r="G102" s="5" t="str">
        <f>_xlfn.XLOOKUP(Tb_Beneficios[[#This Row],[PROCESSO SEI]],Tb_Mapa[SEI],Tb_Mapa[CONSULTOR RESPONSÁVEL],"Não encontrado no mapa",0)</f>
        <v>Tony</v>
      </c>
      <c r="H102" s="5"/>
    </row>
    <row r="103" spans="1:8" ht="30">
      <c r="A103" s="360" t="s">
        <v>878</v>
      </c>
      <c r="B103" s="5" t="str">
        <f>_xlfn.XLOOKUP(Tb_Beneficios[[#This Row],[PROCESSO SEI]],Tb_Portfólio[SEI],Tb_Portfólio[PROJETO],"",0)</f>
        <v>Adequação à Lei Geral de Proteção de Dados Pessoais</v>
      </c>
      <c r="C103" s="5" t="s">
        <v>1209</v>
      </c>
      <c r="D103" s="5"/>
      <c r="E103" s="358"/>
      <c r="F103" s="193"/>
      <c r="G103" s="5" t="str">
        <f>_xlfn.XLOOKUP(Tb_Beneficios[[#This Row],[PROCESSO SEI]],Tb_Mapa[SEI],Tb_Mapa[CONSULTOR RESPONSÁVEL],"Não encontrado no mapa",0)</f>
        <v>Tony</v>
      </c>
      <c r="H103" s="5"/>
    </row>
    <row r="104" spans="1:8" ht="30">
      <c r="A104" s="359" t="s">
        <v>888</v>
      </c>
      <c r="B104" s="5" t="str">
        <f>_xlfn.XLOOKUP(Tb_Beneficios[[#This Row],[PROCESSO SEI]],Tb_Portfólio[SEI],Tb_Portfólio[PROJETO],"",0)</f>
        <v>Central de Regulação de Vagas (sistema penal)</v>
      </c>
      <c r="C104" s="5" t="s">
        <v>1209</v>
      </c>
      <c r="D104" s="5"/>
      <c r="E104" s="358"/>
      <c r="F104" s="193"/>
      <c r="G104" s="5" t="str">
        <f>_xlfn.XLOOKUP(Tb_Beneficios[[#This Row],[PROCESSO SEI]],Tb_Mapa[SEI],Tb_Mapa[CONSULTOR RESPONSÁVEL],"Não encontrado no mapa",0)</f>
        <v>Tony</v>
      </c>
      <c r="H104" s="5"/>
    </row>
    <row r="105" spans="1:8" ht="30">
      <c r="A105" s="359" t="s">
        <v>893</v>
      </c>
      <c r="B105" s="5" t="str">
        <f>_xlfn.XLOOKUP(Tb_Beneficios[[#This Row],[PROCESSO SEI]],Tb_Portfólio[SEI],Tb_Portfólio[PROJETO],"",0)</f>
        <v>Ação Nacional de Trabalho e Renda (sistema penal)</v>
      </c>
      <c r="C105" s="5" t="s">
        <v>1209</v>
      </c>
      <c r="D105" s="5"/>
      <c r="E105" s="358"/>
      <c r="F105" s="193"/>
      <c r="G105" s="5" t="str">
        <f>_xlfn.XLOOKUP(Tb_Beneficios[[#This Row],[PROCESSO SEI]],Tb_Mapa[SEI],Tb_Mapa[CONSULTOR RESPONSÁVEL],"Não encontrado no mapa",0)</f>
        <v>Tony</v>
      </c>
      <c r="H105" s="5"/>
    </row>
    <row r="106" spans="1:8" ht="30">
      <c r="A106" s="360" t="s">
        <v>901</v>
      </c>
      <c r="B106" s="5" t="str">
        <f>_xlfn.XLOOKUP(Tb_Beneficios[[#This Row],[PROCESSO SEI]],Tb_Portfólio[SEI],Tb_Portfólio[PROJETO],"",0)</f>
        <v>Plano Nacional de Fomento ao Esporte e Lazer (sistema penal)</v>
      </c>
      <c r="C106" s="5" t="s">
        <v>1209</v>
      </c>
      <c r="D106" s="5"/>
      <c r="E106" s="358"/>
      <c r="F106" s="193"/>
      <c r="G106" s="5" t="str">
        <f>_xlfn.XLOOKUP(Tb_Beneficios[[#This Row],[PROCESSO SEI]],Tb_Mapa[SEI],Tb_Mapa[CONSULTOR RESPONSÁVEL],"Não encontrado no mapa",0)</f>
        <v>Tony</v>
      </c>
      <c r="H106" s="5"/>
    </row>
    <row r="107" spans="1:8" ht="75.75">
      <c r="A107" s="366" t="s">
        <v>112</v>
      </c>
      <c r="B107" s="5" t="str">
        <f>_xlfn.XLOOKUP(Tb_Beneficios[[#This Row],[PROCESSO SEI]],Tb_Portfólio[SEI],Tb_Portfólio[PROJETO],"",0)</f>
        <v>Programa Nacional de Promoção da Equidade Racial no Poder Judiciário - 2024</v>
      </c>
      <c r="C107" s="5" t="s">
        <v>1210</v>
      </c>
      <c r="D107" s="5" t="s">
        <v>1211</v>
      </c>
      <c r="E107" s="358">
        <v>0.5</v>
      </c>
      <c r="F107" s="193">
        <v>45799</v>
      </c>
      <c r="G107" s="5" t="str">
        <f>_xlfn.XLOOKUP(Tb_Beneficios[[#This Row],[PROCESSO SEI]],Tb_Mapa[SEI],Tb_Mapa[CONSULTOR RESPONSÁVEL],"Não encontrado no mapa",0)</f>
        <v>Tony / Cris</v>
      </c>
      <c r="H107" s="5"/>
    </row>
    <row r="108" spans="1:8" ht="90">
      <c r="A108" s="367" t="s">
        <v>112</v>
      </c>
      <c r="B108" s="5" t="str">
        <f>_xlfn.XLOOKUP(Tb_Beneficios[[#This Row],[PROCESSO SEI]],Tb_Portfólio[SEI],Tb_Portfólio[PROJETO],"",0)</f>
        <v>Programa Nacional de Promoção da Equidade Racial no Poder Judiciário - 2024</v>
      </c>
      <c r="C108" s="5" t="s">
        <v>1212</v>
      </c>
      <c r="D108" s="5" t="s">
        <v>1213</v>
      </c>
      <c r="E108" s="358">
        <v>0.84</v>
      </c>
      <c r="F108" s="193">
        <v>45799</v>
      </c>
      <c r="G108" s="5" t="str">
        <f>_xlfn.XLOOKUP(Tb_Beneficios[[#This Row],[PROCESSO SEI]],Tb_Mapa[SEI],Tb_Mapa[CONSULTOR RESPONSÁVEL],"Não encontrado no mapa",0)</f>
        <v>Tony / Cris</v>
      </c>
      <c r="H108" s="5"/>
    </row>
    <row r="109" spans="1:8" ht="94.5">
      <c r="A109" s="367" t="s">
        <v>112</v>
      </c>
      <c r="B109" s="5" t="str">
        <f>_xlfn.XLOOKUP(Tb_Beneficios[[#This Row],[PROCESSO SEI]],Tb_Portfólio[SEI],Tb_Portfólio[PROJETO],"",0)</f>
        <v>Programa Nacional de Promoção da Equidade Racial no Poder Judiciário - 2024</v>
      </c>
      <c r="C109" s="5" t="s">
        <v>1214</v>
      </c>
      <c r="D109" s="5" t="s">
        <v>1215</v>
      </c>
      <c r="E109" s="358">
        <v>0.7</v>
      </c>
      <c r="F109" s="193">
        <v>45799</v>
      </c>
      <c r="G109" s="5" t="str">
        <f>_xlfn.XLOOKUP(Tb_Beneficios[[#This Row],[PROCESSO SEI]],Tb_Mapa[SEI],Tb_Mapa[CONSULTOR RESPONSÁVEL],"Não encontrado no mapa",0)</f>
        <v>Tony / Cris</v>
      </c>
      <c r="H109" s="5"/>
    </row>
    <row r="110" spans="1:8" ht="63">
      <c r="A110" s="149" t="s">
        <v>112</v>
      </c>
      <c r="B110" s="5" t="str">
        <f>_xlfn.XLOOKUP(Tb_Beneficios[[#This Row],[PROCESSO SEI]],Tb_Portfólio[SEI],Tb_Portfólio[PROJETO],"",0)</f>
        <v>Programa Nacional de Promoção da Equidade Racial no Poder Judiciário - 2024</v>
      </c>
      <c r="C110" s="5" t="s">
        <v>1216</v>
      </c>
      <c r="D110" s="5" t="s">
        <v>1217</v>
      </c>
      <c r="E110" s="358">
        <v>0.55000000000000004</v>
      </c>
      <c r="F110" s="193">
        <v>45799</v>
      </c>
      <c r="G110" s="5" t="str">
        <f>_xlfn.XLOOKUP(Tb_Beneficios[[#This Row],[PROCESSO SEI]],Tb_Mapa[SEI],Tb_Mapa[CONSULTOR RESPONSÁVEL],"Não encontrado no mapa",0)</f>
        <v>Tony / Cris</v>
      </c>
      <c r="H110" s="5"/>
    </row>
    <row r="111" spans="1:8" ht="285">
      <c r="A111" s="193" t="s">
        <v>747</v>
      </c>
      <c r="B111" s="5" t="str">
        <f>_xlfn.XLOOKUP(Tb_Beneficios[[#This Row],[PROCESSO SEI]],Tb_Portfólio[SEI],Tb_Portfólio[PROJETO],"",0)</f>
        <v>Mapa Nacional do Crime Organizado</v>
      </c>
      <c r="C111" s="5" t="s">
        <v>1218</v>
      </c>
      <c r="D111" s="5" t="s">
        <v>1219</v>
      </c>
      <c r="E111" s="358"/>
      <c r="F111" s="193"/>
      <c r="G111" s="5" t="str">
        <f>_xlfn.XLOOKUP(Tb_Beneficios[[#This Row],[PROCESSO SEI]],Tb_Mapa[SEI],Tb_Mapa[CONSULTOR RESPONSÁVEL],"Não encontrado no mapa",0)</f>
        <v>Tony</v>
      </c>
      <c r="H111" s="5"/>
    </row>
    <row r="112" spans="1:8" ht="96.75" customHeight="1">
      <c r="A112" s="193" t="s">
        <v>925</v>
      </c>
      <c r="B112" s="5" t="str">
        <f>_xlfn.XLOOKUP(Tb_Beneficios[[#This Row],[PROCESSO SEI]],Tb_Portfólio[SEI],Tb_Portfólio[PROJETO],"",0)</f>
        <v>21 dias de ativismo pelo fim da violência contra mulher - edição 2025</v>
      </c>
      <c r="C112" s="5" t="s">
        <v>1220</v>
      </c>
      <c r="D112" s="5" t="s">
        <v>1221</v>
      </c>
      <c r="E112" s="358"/>
      <c r="F112" s="193"/>
      <c r="G112" s="5" t="str">
        <f>_xlfn.XLOOKUP(Tb_Beneficios[[#This Row],[PROCESSO SEI]],Tb_Mapa[SEI],Tb_Mapa[CONSULTOR RESPONSÁVEL],"Não encontrado no mapa",0)</f>
        <v>Finalizado/Juliana</v>
      </c>
      <c r="H112" s="5"/>
    </row>
    <row r="113" spans="1:8" ht="105">
      <c r="A113" s="193" t="s">
        <v>925</v>
      </c>
      <c r="B113" s="5" t="str">
        <f>_xlfn.XLOOKUP(Tb_Beneficios[[#This Row],[PROCESSO SEI]],Tb_Portfólio[SEI],Tb_Portfólio[PROJETO],"",0)</f>
        <v>21 dias de ativismo pelo fim da violência contra mulher - edição 2025</v>
      </c>
      <c r="C113" s="5" t="s">
        <v>1222</v>
      </c>
      <c r="D113" s="5" t="s">
        <v>1223</v>
      </c>
      <c r="E113" s="358"/>
      <c r="F113" s="193"/>
      <c r="G113" s="5" t="str">
        <f>_xlfn.XLOOKUP(Tb_Beneficios[[#This Row],[PROCESSO SEI]],Tb_Mapa[SEI],Tb_Mapa[CONSULTOR RESPONSÁVEL],"Não encontrado no mapa",0)</f>
        <v>Finalizado/Juliana</v>
      </c>
      <c r="H113" s="5"/>
    </row>
    <row r="114" spans="1:8" ht="120">
      <c r="A114" s="193" t="s">
        <v>925</v>
      </c>
      <c r="B114" s="5" t="str">
        <f>_xlfn.XLOOKUP(Tb_Beneficios[[#This Row],[PROCESSO SEI]],Tb_Portfólio[SEI],Tb_Portfólio[PROJETO],"",0)</f>
        <v>21 dias de ativismo pelo fim da violência contra mulher - edição 2025</v>
      </c>
      <c r="C114" s="5" t="s">
        <v>1224</v>
      </c>
      <c r="D114" s="5" t="s">
        <v>1225</v>
      </c>
      <c r="E114" s="358"/>
      <c r="F114" s="193"/>
      <c r="G114" s="5" t="str">
        <f>_xlfn.XLOOKUP(Tb_Beneficios[[#This Row],[PROCESSO SEI]],Tb_Mapa[SEI],Tb_Mapa[CONSULTOR RESPONSÁVEL],"Não encontrado no mapa",0)</f>
        <v>Finalizado/Juliana</v>
      </c>
      <c r="H114" s="5"/>
    </row>
    <row r="115" spans="1:8" ht="300">
      <c r="A115" s="471" t="s">
        <v>766</v>
      </c>
      <c r="B115" s="5" t="str">
        <f>_xlfn.XLOOKUP(Tb_Beneficios[[#This Row],[PROCESSO SEI]],Tb_Portfólio[SEI],Tb_Portfólio[PROJETO],"",0)</f>
        <v>Painel Crime Organizado</v>
      </c>
      <c r="C115" s="5" t="s">
        <v>1226</v>
      </c>
      <c r="D115" s="5" t="s">
        <v>1227</v>
      </c>
      <c r="E115" s="358"/>
      <c r="F115" s="193"/>
      <c r="G115" s="5" t="str">
        <f>_xlfn.XLOOKUP(Tb_Beneficios[[#This Row],[PROCESSO SEI]],Tb_Mapa[SEI],Tb_Mapa[CONSULTOR RESPONSÁVEL],"Não encontrado no mapa",0)</f>
        <v>Tony</v>
      </c>
      <c r="H115" s="5"/>
    </row>
  </sheetData>
  <phoneticPr fontId="14" type="noConversion"/>
  <hyperlinks>
    <hyperlink ref="H62" r:id="rId1" display="Com a entrega pela equipe do DPJ da ferramenta &quot;Mapa do Júri&quot;, a qual possibilita a identificação do total de processos de competência do Tribunal do Júri, por localidade, bem como a quantidade de processos que se encontram em cada fase processual e a apresentação dos dados para os tribunais, as duas primeiras fases do projeto foram concluídas com sucesso e o primeiro benefício foi totalmente alcançado. " xr:uid="{451246C9-2572-405C-B2E9-3BEE4B3B53AE}"/>
  </hyperlinks>
  <pageMargins left="0.511811024" right="0.511811024" top="0.78740157499999996" bottom="0.78740157499999996" header="0.31496062000000002" footer="0.31496062000000002"/>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U1265"/>
  <sheetViews>
    <sheetView workbookViewId="0">
      <selection activeCell="Q1266" sqref="Q1266"/>
    </sheetView>
  </sheetViews>
  <sheetFormatPr defaultColWidth="9.140625" defaultRowHeight="15.75"/>
  <cols>
    <col min="1" max="1" width="20" style="51" customWidth="1"/>
    <col min="2" max="2" width="73.140625" style="52" customWidth="1"/>
    <col min="3" max="3" width="25.42578125" style="42" customWidth="1"/>
    <col min="4" max="4" width="18.5703125" style="53" customWidth="1"/>
    <col min="5" max="5" width="19.5703125" style="53" customWidth="1"/>
    <col min="6" max="6" width="29.42578125" style="64" customWidth="1"/>
    <col min="7" max="7" width="41.85546875" style="124" customWidth="1"/>
    <col min="8" max="8" width="24.5703125" style="51" hidden="1" customWidth="1"/>
    <col min="9" max="9" width="27.140625" style="54" customWidth="1"/>
    <col min="10" max="10" width="49.42578125" style="62" bestFit="1" customWidth="1"/>
    <col min="11" max="11" width="26.140625" style="122" customWidth="1"/>
    <col min="12" max="12" width="13.85546875" style="42" bestFit="1" customWidth="1"/>
    <col min="13" max="13" width="17.42578125" style="42" customWidth="1"/>
    <col min="14" max="14" width="11.42578125" style="42" customWidth="1"/>
    <col min="15" max="15" width="16" style="42" bestFit="1" customWidth="1"/>
    <col min="16" max="16" width="15.42578125" style="42" customWidth="1"/>
    <col min="17" max="17" width="17.140625" style="42" customWidth="1"/>
    <col min="18" max="18" width="17.140625" style="51" customWidth="1"/>
    <col min="19" max="19" width="17.140625" style="42" customWidth="1"/>
    <col min="20" max="20" width="10.5703125" style="42" bestFit="1" customWidth="1"/>
    <col min="21" max="21" width="12.140625" style="42" bestFit="1" customWidth="1"/>
    <col min="22" max="16384" width="9.140625" style="42"/>
  </cols>
  <sheetData>
    <row r="1" spans="1:20" s="51" customFormat="1" ht="17.25">
      <c r="A1" s="25" t="s">
        <v>1040</v>
      </c>
      <c r="B1" s="63" t="s">
        <v>2</v>
      </c>
      <c r="C1" s="25" t="s">
        <v>1228</v>
      </c>
      <c r="D1" s="33" t="s">
        <v>14</v>
      </c>
      <c r="E1" s="33" t="s">
        <v>15</v>
      </c>
      <c r="F1" s="178" t="s">
        <v>17</v>
      </c>
      <c r="G1" s="123" t="s">
        <v>1229</v>
      </c>
      <c r="H1" s="25" t="s">
        <v>1230</v>
      </c>
      <c r="I1" s="37" t="s">
        <v>1231</v>
      </c>
      <c r="J1" s="25" t="s">
        <v>1232</v>
      </c>
      <c r="K1" s="25" t="s">
        <v>1233</v>
      </c>
      <c r="L1" s="25" t="s">
        <v>21</v>
      </c>
      <c r="M1" s="25" t="s">
        <v>1234</v>
      </c>
      <c r="N1" s="25" t="s">
        <v>1235</v>
      </c>
      <c r="O1" s="203" t="s">
        <v>1236</v>
      </c>
      <c r="P1" s="204" t="s">
        <v>1237</v>
      </c>
      <c r="Q1" s="203" t="s">
        <v>1238</v>
      </c>
      <c r="R1" s="64">
        <f ca="1">TODAY()</f>
        <v>46176</v>
      </c>
      <c r="T1" s="64">
        <v>45657</v>
      </c>
    </row>
    <row r="2" spans="1:20" ht="45" hidden="1">
      <c r="A2" s="44"/>
      <c r="B2" s="40" t="s">
        <v>1239</v>
      </c>
      <c r="C2" s="26" t="s">
        <v>1239</v>
      </c>
      <c r="D2" s="34">
        <v>1</v>
      </c>
      <c r="E2" s="34">
        <v>0.87</v>
      </c>
      <c r="F2" s="27">
        <v>44545</v>
      </c>
      <c r="G2" s="125">
        <v>44896</v>
      </c>
      <c r="H2" s="28" t="str">
        <f t="shared" ref="H2:H65" si="0">A2&amp;G2</f>
        <v>44896</v>
      </c>
      <c r="I2" s="38" t="str">
        <f>IFERROR(INDEX(Projetos!$M$2:$M$129,MATCH(Atualizações!A2,Projetos!$A$2:$A$129,0))," ")</f>
        <v xml:space="preserve"> </v>
      </c>
      <c r="J2" s="31"/>
      <c r="K2" s="344">
        <f>IFERROR(Tb_Atualizações[[#This Row],[% EXECUTADO]]/Tb_Atualizações[[#This Row],[% PREVISTO]],"0%")</f>
        <v>0.87</v>
      </c>
      <c r="L2" s="31" t="str" cm="1">
        <f t="array" aca="1" ref="L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 s="29"/>
      <c r="N2" s="30"/>
      <c r="O2" s="42">
        <f t="shared" ref="O2:O65" si="1">YEAR(F2)</f>
        <v>2021</v>
      </c>
      <c r="P2" s="42" t="str">
        <f t="shared" ref="P2:P65" si="2">O2&amp;A2</f>
        <v>2021</v>
      </c>
      <c r="Q2" s="42">
        <v>1</v>
      </c>
      <c r="R2" s="121">
        <v>1</v>
      </c>
    </row>
    <row r="3" spans="1:20" ht="30" hidden="1">
      <c r="A3" s="44" t="s">
        <v>1240</v>
      </c>
      <c r="B3" s="40" t="s">
        <v>1241</v>
      </c>
      <c r="C3" s="26" t="s">
        <v>1241</v>
      </c>
      <c r="D3" s="34">
        <v>0.53</v>
      </c>
      <c r="E3" s="34">
        <v>0.49</v>
      </c>
      <c r="F3" s="27">
        <v>44593</v>
      </c>
      <c r="G3" s="125">
        <v>44562</v>
      </c>
      <c r="H3" s="28" t="str">
        <f t="shared" si="0"/>
        <v>00513/202044562</v>
      </c>
      <c r="I3" s="38" t="str">
        <f>IFERROR(INDEX(Projetos!$M$2:$M$129,MATCH(Atualizações!A3,Projetos!$A$2:$A$129,0))," ")</f>
        <v xml:space="preserve"> </v>
      </c>
      <c r="J3" s="60"/>
      <c r="K3" s="344">
        <f>IFERROR(Tb_Atualizações[[#This Row],[% EXECUTADO]]/Tb_Atualizações[[#This Row],[% PREVISTO]],"0%")</f>
        <v>0.92452830188679236</v>
      </c>
      <c r="L3" s="31" t="str" cm="1">
        <f t="array" aca="1" ref="L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 s="27"/>
      <c r="N3" s="30"/>
      <c r="O3" s="42">
        <f t="shared" si="1"/>
        <v>2022</v>
      </c>
      <c r="P3" s="42" t="str">
        <f t="shared" si="2"/>
        <v>202200513/2020</v>
      </c>
      <c r="Q3" s="42">
        <v>1</v>
      </c>
    </row>
    <row r="4" spans="1:20" ht="45" hidden="1">
      <c r="A4" s="44" t="s">
        <v>1242</v>
      </c>
      <c r="B4" s="312" t="str">
        <f>IFERROR(INDEX(Projetos!$B$3:$B$129,MATCH(A4,Projetos!$A$3:$A$129,0))," ")</f>
        <v xml:space="preserve"> </v>
      </c>
      <c r="C4" s="26" t="s">
        <v>1243</v>
      </c>
      <c r="D4" s="34">
        <v>0</v>
      </c>
      <c r="E4" s="34">
        <v>0</v>
      </c>
      <c r="F4" s="27">
        <v>44607</v>
      </c>
      <c r="G4" s="125">
        <v>44927</v>
      </c>
      <c r="H4" s="28" t="str">
        <f t="shared" si="0"/>
        <v>00312/202344927</v>
      </c>
      <c r="I4" s="38" t="str">
        <f>IFERROR(INDEX(Projetos!$M$2:$M$129,MATCH(Atualizações!A4,Projetos!$A$2:$A$129,0))," ")</f>
        <v xml:space="preserve"> </v>
      </c>
      <c r="J4" s="31"/>
      <c r="K4" s="344" t="str">
        <f>IFERROR(Tb_Atualizações[[#This Row],[% EXECUTADO]]/Tb_Atualizações[[#This Row],[% PREVISTO]],"0%")</f>
        <v>0%</v>
      </c>
      <c r="L4" s="31" t="str" cm="1">
        <f t="array" aca="1" ref="L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 s="30"/>
      <c r="N4" s="30"/>
      <c r="O4" s="42">
        <f t="shared" si="1"/>
        <v>2022</v>
      </c>
      <c r="P4" s="42" t="str">
        <f t="shared" si="2"/>
        <v>202200312/2023</v>
      </c>
      <c r="Q4" s="42">
        <v>1</v>
      </c>
    </row>
    <row r="5" spans="1:20" ht="30" hidden="1">
      <c r="A5" s="44" t="s">
        <v>1240</v>
      </c>
      <c r="B5" s="40" t="s">
        <v>1241</v>
      </c>
      <c r="C5" s="26" t="s">
        <v>1241</v>
      </c>
      <c r="D5" s="34">
        <v>0.96</v>
      </c>
      <c r="E5" s="34">
        <v>0.5</v>
      </c>
      <c r="F5" s="27">
        <v>44630</v>
      </c>
      <c r="G5" s="125">
        <v>44593</v>
      </c>
      <c r="H5" s="28" t="str">
        <f t="shared" si="0"/>
        <v>00513/202044593</v>
      </c>
      <c r="I5" s="38" t="str">
        <f>IFERROR(INDEX(Projetos!$M$2:$M$129,MATCH(Atualizações!A5,Projetos!$A$2:$A$129,0))," ")</f>
        <v xml:space="preserve"> </v>
      </c>
      <c r="J5" s="60"/>
      <c r="K5" s="344">
        <f>IFERROR(Tb_Atualizações[[#This Row],[% EXECUTADO]]/Tb_Atualizações[[#This Row],[% PREVISTO]],"0%")</f>
        <v>0.52083333333333337</v>
      </c>
      <c r="L5" s="31" t="str" cm="1">
        <f t="array" aca="1" ref="L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 s="27"/>
      <c r="N5" s="30"/>
      <c r="O5" s="42">
        <f t="shared" si="1"/>
        <v>2022</v>
      </c>
      <c r="P5" s="42" t="str">
        <f t="shared" si="2"/>
        <v>202200513/2020</v>
      </c>
      <c r="Q5" s="42">
        <v>1</v>
      </c>
    </row>
    <row r="6" spans="1:20" ht="120" hidden="1">
      <c r="A6" s="44"/>
      <c r="B6" s="40" t="s">
        <v>1244</v>
      </c>
      <c r="C6" s="26" t="s">
        <v>1244</v>
      </c>
      <c r="D6" s="34">
        <v>0.32</v>
      </c>
      <c r="E6" s="34">
        <v>0.25</v>
      </c>
      <c r="F6" s="27">
        <v>44658</v>
      </c>
      <c r="G6" s="125">
        <v>44562</v>
      </c>
      <c r="H6" s="28" t="str">
        <f t="shared" si="0"/>
        <v>44562</v>
      </c>
      <c r="I6" s="38" t="str">
        <f>IFERROR(INDEX(Projetos!$M$2:$M$129,MATCH(Atualizações!A6,Projetos!$A$2:$A$129,0))," ")</f>
        <v xml:space="preserve"> </v>
      </c>
      <c r="J6" s="31" t="s">
        <v>1245</v>
      </c>
      <c r="K6" s="344">
        <f>IFERROR(Tb_Atualizações[[#This Row],[% EXECUTADO]]/Tb_Atualizações[[#This Row],[% PREVISTO]],"0%")</f>
        <v>0.78125</v>
      </c>
      <c r="L6" s="31" t="str" cm="1">
        <f t="array" aca="1" ref="L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 s="30"/>
      <c r="N6" s="30"/>
      <c r="O6" s="42">
        <f t="shared" si="1"/>
        <v>2022</v>
      </c>
      <c r="P6" s="42" t="str">
        <f t="shared" si="2"/>
        <v>2022</v>
      </c>
      <c r="Q6" s="42">
        <v>1</v>
      </c>
    </row>
    <row r="7" spans="1:20" ht="30" hidden="1">
      <c r="A7" s="44" t="s">
        <v>1240</v>
      </c>
      <c r="B7" s="40" t="s">
        <v>1241</v>
      </c>
      <c r="C7" s="26" t="s">
        <v>1241</v>
      </c>
      <c r="D7" s="34">
        <v>0.96</v>
      </c>
      <c r="E7" s="34">
        <v>0.51</v>
      </c>
      <c r="F7" s="27">
        <v>44661</v>
      </c>
      <c r="G7" s="125">
        <v>44621</v>
      </c>
      <c r="H7" s="28" t="str">
        <f t="shared" si="0"/>
        <v>00513/202044621</v>
      </c>
      <c r="I7" s="38" t="str">
        <f>IFERROR(INDEX(Projetos!$M$2:$M$129,MATCH(Atualizações!A7,Projetos!$A$2:$A$129,0))," ")</f>
        <v xml:space="preserve"> </v>
      </c>
      <c r="J7" s="60"/>
      <c r="K7" s="344">
        <f>IFERROR(Tb_Atualizações[[#This Row],[% EXECUTADO]]/Tb_Atualizações[[#This Row],[% PREVISTO]],"0%")</f>
        <v>0.53125</v>
      </c>
      <c r="L7" s="31" t="str" cm="1">
        <f t="array" aca="1" ref="L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 s="27"/>
      <c r="N7" s="30"/>
      <c r="O7" s="42">
        <f t="shared" si="1"/>
        <v>2022</v>
      </c>
      <c r="P7" s="42" t="str">
        <f t="shared" si="2"/>
        <v>202200513/2020</v>
      </c>
      <c r="Q7" s="42">
        <v>1</v>
      </c>
    </row>
    <row r="8" spans="1:20" ht="30" hidden="1">
      <c r="A8" s="44" t="s">
        <v>1240</v>
      </c>
      <c r="B8" s="40" t="s">
        <v>1241</v>
      </c>
      <c r="C8" s="26" t="s">
        <v>1241</v>
      </c>
      <c r="D8" s="34">
        <v>0.67</v>
      </c>
      <c r="E8" s="34">
        <v>0.53</v>
      </c>
      <c r="F8" s="27">
        <v>44691</v>
      </c>
      <c r="G8" s="125">
        <v>44652</v>
      </c>
      <c r="H8" s="28" t="str">
        <f t="shared" si="0"/>
        <v>00513/202044652</v>
      </c>
      <c r="I8" s="38" t="str">
        <f>IFERROR(INDEX(Projetos!$M$2:$M$129,MATCH(Atualizações!A8,Projetos!$A$2:$A$129,0))," ")</f>
        <v xml:space="preserve"> </v>
      </c>
      <c r="J8" s="60" t="s">
        <v>1246</v>
      </c>
      <c r="K8" s="344">
        <f>IFERROR(Tb_Atualizações[[#This Row],[% EXECUTADO]]/Tb_Atualizações[[#This Row],[% PREVISTO]],"0%")</f>
        <v>0.79104477611940294</v>
      </c>
      <c r="L8" s="31" t="str" cm="1">
        <f t="array" aca="1" ref="L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 s="27"/>
      <c r="N8" s="30"/>
      <c r="O8" s="42">
        <f t="shared" si="1"/>
        <v>2022</v>
      </c>
      <c r="P8" s="42" t="str">
        <f t="shared" si="2"/>
        <v>202200513/2020</v>
      </c>
      <c r="Q8" s="42">
        <v>1</v>
      </c>
    </row>
    <row r="9" spans="1:20" ht="30" hidden="1">
      <c r="A9" s="44" t="s">
        <v>1240</v>
      </c>
      <c r="B9" s="40" t="s">
        <v>1241</v>
      </c>
      <c r="C9" s="26" t="s">
        <v>1241</v>
      </c>
      <c r="D9" s="34">
        <v>0.68</v>
      </c>
      <c r="E9" s="34">
        <v>0.64</v>
      </c>
      <c r="F9" s="27">
        <v>44711</v>
      </c>
      <c r="G9" s="125">
        <v>44682</v>
      </c>
      <c r="H9" s="28" t="str">
        <f t="shared" si="0"/>
        <v>00513/202044682</v>
      </c>
      <c r="I9" s="38" t="str">
        <f>IFERROR(INDEX(Projetos!$M$2:$M$129,MATCH(Atualizações!A9,Projetos!$A$2:$A$129,0))," ")</f>
        <v xml:space="preserve"> </v>
      </c>
      <c r="J9" s="60"/>
      <c r="K9" s="344">
        <f>IFERROR(Tb_Atualizações[[#This Row],[% EXECUTADO]]/Tb_Atualizações[[#This Row],[% PREVISTO]],"0%")</f>
        <v>0.94117647058823528</v>
      </c>
      <c r="L9" s="31" t="str" cm="1">
        <f t="array" aca="1" ref="L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 s="27"/>
      <c r="N9" s="30"/>
      <c r="O9" s="42">
        <f t="shared" si="1"/>
        <v>2022</v>
      </c>
      <c r="P9" s="42" t="str">
        <f t="shared" si="2"/>
        <v>202200513/2020</v>
      </c>
      <c r="Q9" s="42">
        <v>1</v>
      </c>
    </row>
    <row r="10" spans="1:20" ht="30" hidden="1">
      <c r="A10" s="44" t="s">
        <v>1240</v>
      </c>
      <c r="B10" s="40" t="s">
        <v>1241</v>
      </c>
      <c r="C10" s="26" t="s">
        <v>1241</v>
      </c>
      <c r="D10" s="34">
        <v>0.8</v>
      </c>
      <c r="E10" s="34">
        <v>0.64</v>
      </c>
      <c r="F10" s="27">
        <v>44749</v>
      </c>
      <c r="G10" s="125">
        <v>44713</v>
      </c>
      <c r="H10" s="28" t="str">
        <f t="shared" si="0"/>
        <v>00513/202044713</v>
      </c>
      <c r="I10" s="38" t="str">
        <f>IFERROR(INDEX(Projetos!$M$2:$M$129,MATCH(Atualizações!A10,Projetos!$A$2:$A$129,0))," ")</f>
        <v xml:space="preserve"> </v>
      </c>
      <c r="J10" s="60"/>
      <c r="K10" s="344">
        <f>IFERROR(Tb_Atualizações[[#This Row],[% EXECUTADO]]/Tb_Atualizações[[#This Row],[% PREVISTO]],"0%")</f>
        <v>0.79999999999999993</v>
      </c>
      <c r="L10" s="31" t="str" cm="1">
        <f t="array" aca="1" ref="L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 s="30"/>
      <c r="N10" s="30"/>
      <c r="O10" s="42">
        <f t="shared" si="1"/>
        <v>2022</v>
      </c>
      <c r="P10" s="42" t="str">
        <f t="shared" si="2"/>
        <v>202200513/2020</v>
      </c>
      <c r="Q10" s="42">
        <v>1</v>
      </c>
    </row>
    <row r="11" spans="1:20" ht="30" hidden="1">
      <c r="A11" s="44" t="s">
        <v>1240</v>
      </c>
      <c r="B11" s="40" t="s">
        <v>1241</v>
      </c>
      <c r="C11" s="26" t="s">
        <v>1241</v>
      </c>
      <c r="D11" s="34">
        <v>0.87</v>
      </c>
      <c r="E11" s="34">
        <v>0.76</v>
      </c>
      <c r="F11" s="27">
        <v>44804</v>
      </c>
      <c r="G11" s="125">
        <v>44774</v>
      </c>
      <c r="H11" s="28" t="str">
        <f t="shared" si="0"/>
        <v>00513/202044774</v>
      </c>
      <c r="I11" s="38" t="str">
        <f>IFERROR(INDEX(Projetos!$M$2:$M$129,MATCH(Atualizações!A11,Projetos!$A$2:$A$129,0))," ")</f>
        <v xml:space="preserve"> </v>
      </c>
      <c r="J11" s="60"/>
      <c r="K11" s="344">
        <f>IFERROR(Tb_Atualizações[[#This Row],[% EXECUTADO]]/Tb_Atualizações[[#This Row],[% PREVISTO]],"0%")</f>
        <v>0.87356321839080464</v>
      </c>
      <c r="L11" s="31" t="str" cm="1">
        <f t="array" aca="1" ref="L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 s="30"/>
      <c r="N11" s="30"/>
      <c r="O11" s="42">
        <f t="shared" si="1"/>
        <v>2022</v>
      </c>
      <c r="P11" s="42" t="str">
        <f t="shared" si="2"/>
        <v>202200513/2020</v>
      </c>
      <c r="Q11" s="42">
        <v>1</v>
      </c>
    </row>
    <row r="12" spans="1:20" ht="60" hidden="1">
      <c r="A12" s="44"/>
      <c r="B12" s="41" t="s">
        <v>1247</v>
      </c>
      <c r="C12" s="32" t="s">
        <v>1247</v>
      </c>
      <c r="D12" s="34">
        <v>0</v>
      </c>
      <c r="E12" s="34">
        <v>0</v>
      </c>
      <c r="F12" s="27">
        <v>44813</v>
      </c>
      <c r="G12" s="125">
        <v>44927</v>
      </c>
      <c r="H12" s="28" t="str">
        <f t="shared" si="0"/>
        <v>44927</v>
      </c>
      <c r="I12" s="38" t="str">
        <f>IFERROR(INDEX(Projetos!$M$2:$M$129,MATCH(Atualizações!A12,Projetos!$A$2:$A$129,0))," ")</f>
        <v xml:space="preserve"> </v>
      </c>
      <c r="J12" s="31"/>
      <c r="K12" s="344" t="str">
        <f>IFERROR(Tb_Atualizações[[#This Row],[% EXECUTADO]]/Tb_Atualizações[[#This Row],[% PREVISTO]],"0%")</f>
        <v>0%</v>
      </c>
      <c r="L12" s="31" t="str" cm="1">
        <f t="array" aca="1" ref="L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2" s="30"/>
      <c r="N12" s="30"/>
      <c r="O12" s="42">
        <f t="shared" si="1"/>
        <v>2022</v>
      </c>
      <c r="P12" s="42" t="str">
        <f t="shared" si="2"/>
        <v>2022</v>
      </c>
      <c r="Q12" s="42">
        <v>1</v>
      </c>
    </row>
    <row r="13" spans="1:20" ht="30" hidden="1">
      <c r="A13" s="44" t="s">
        <v>1240</v>
      </c>
      <c r="B13" s="40" t="s">
        <v>1241</v>
      </c>
      <c r="C13" s="26" t="s">
        <v>1241</v>
      </c>
      <c r="D13" s="34">
        <v>0.92</v>
      </c>
      <c r="E13" s="34">
        <v>0.85</v>
      </c>
      <c r="F13" s="27">
        <v>44838</v>
      </c>
      <c r="G13" s="125">
        <v>44805</v>
      </c>
      <c r="H13" s="28" t="str">
        <f t="shared" si="0"/>
        <v>00513/202044805</v>
      </c>
      <c r="I13" s="38" t="str">
        <f>IFERROR(INDEX(Projetos!$M$2:$M$129,MATCH(Atualizações!A13,Projetos!$A$2:$A$129,0))," ")</f>
        <v xml:space="preserve"> </v>
      </c>
      <c r="J13" s="60"/>
      <c r="K13" s="344">
        <f>IFERROR(Tb_Atualizações[[#This Row],[% EXECUTADO]]/Tb_Atualizações[[#This Row],[% PREVISTO]],"0%")</f>
        <v>0.92391304347826075</v>
      </c>
      <c r="L13" s="31" t="str" cm="1">
        <f t="array" aca="1" ref="L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3" s="30"/>
      <c r="N13" s="30"/>
      <c r="O13" s="42">
        <f t="shared" si="1"/>
        <v>2022</v>
      </c>
      <c r="P13" s="42" t="str">
        <f t="shared" si="2"/>
        <v>202200513/2020</v>
      </c>
      <c r="Q13" s="42">
        <v>1</v>
      </c>
    </row>
    <row r="14" spans="1:20" ht="30" hidden="1">
      <c r="A14" s="44"/>
      <c r="B14" s="40" t="s">
        <v>1248</v>
      </c>
      <c r="C14" s="26" t="s">
        <v>1248</v>
      </c>
      <c r="D14" s="34">
        <v>0.91</v>
      </c>
      <c r="E14" s="34">
        <v>0.91</v>
      </c>
      <c r="F14" s="27">
        <v>44868</v>
      </c>
      <c r="G14" s="125">
        <v>44896</v>
      </c>
      <c r="H14" s="28" t="str">
        <f t="shared" si="0"/>
        <v>44896</v>
      </c>
      <c r="I14" s="38" t="str">
        <f>IFERROR(INDEX(Projetos!$M$2:$M$129,MATCH(Atualizações!A14,Projetos!$A$2:$A$129,0))," ")</f>
        <v xml:space="preserve"> </v>
      </c>
      <c r="J14" s="31"/>
      <c r="K14" s="344">
        <f>IFERROR(Tb_Atualizações[[#This Row],[% EXECUTADO]]/Tb_Atualizações[[#This Row],[% PREVISTO]],"0%")</f>
        <v>1</v>
      </c>
      <c r="L14" s="31" t="str" cm="1">
        <f t="array" aca="1" ref="L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 s="29"/>
      <c r="N14" s="30"/>
      <c r="O14" s="42">
        <f t="shared" si="1"/>
        <v>2022</v>
      </c>
      <c r="P14" s="42" t="str">
        <f t="shared" si="2"/>
        <v>2022</v>
      </c>
      <c r="Q14" s="42">
        <v>1</v>
      </c>
    </row>
    <row r="15" spans="1:20" ht="30" hidden="1">
      <c r="A15" s="44" t="s">
        <v>1240</v>
      </c>
      <c r="B15" s="40" t="s">
        <v>1241</v>
      </c>
      <c r="C15" s="26" t="s">
        <v>1241</v>
      </c>
      <c r="D15" s="34">
        <v>1</v>
      </c>
      <c r="E15" s="34">
        <v>0.88</v>
      </c>
      <c r="F15" s="27">
        <v>44869</v>
      </c>
      <c r="G15" s="125">
        <v>44835</v>
      </c>
      <c r="H15" s="28" t="str">
        <f t="shared" si="0"/>
        <v>00513/202044835</v>
      </c>
      <c r="I15" s="38" t="str">
        <f>IFERROR(INDEX(Projetos!$M$2:$M$129,MATCH(Atualizações!A15,Projetos!$A$2:$A$129,0))," ")</f>
        <v xml:space="preserve"> </v>
      </c>
      <c r="J15" s="60"/>
      <c r="K15" s="344">
        <f>IFERROR(Tb_Atualizações[[#This Row],[% EXECUTADO]]/Tb_Atualizações[[#This Row],[% PREVISTO]],"0%")</f>
        <v>0.88</v>
      </c>
      <c r="L15" s="31" t="str" cm="1">
        <f t="array" aca="1" ref="L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5" s="30"/>
      <c r="N15" s="30"/>
      <c r="O15" s="42">
        <f t="shared" si="1"/>
        <v>2022</v>
      </c>
      <c r="P15" s="42" t="str">
        <f t="shared" si="2"/>
        <v>202200513/2020</v>
      </c>
      <c r="Q15" s="42">
        <v>1</v>
      </c>
    </row>
    <row r="16" spans="1:20" ht="45" hidden="1">
      <c r="A16" s="44" t="s">
        <v>1249</v>
      </c>
      <c r="B16" s="312" t="str">
        <f>IFERROR(INDEX(Projetos!$B$3:$B$129,MATCH(A16,Projetos!$A$3:$A$129,0))," ")</f>
        <v xml:space="preserve"> </v>
      </c>
      <c r="C16" s="26" t="s">
        <v>1250</v>
      </c>
      <c r="D16" s="34">
        <v>0.45700000000000002</v>
      </c>
      <c r="E16" s="34">
        <v>0.45</v>
      </c>
      <c r="F16" s="27">
        <v>44926</v>
      </c>
      <c r="G16" s="125">
        <v>44896</v>
      </c>
      <c r="H16" s="28" t="str">
        <f t="shared" si="0"/>
        <v>12115/202244896</v>
      </c>
      <c r="I16" s="38" t="str">
        <f>IFERROR(INDEX(Projetos!$M$2:$M$129,MATCH(Atualizações!A16,Projetos!$A$2:$A$129,0))," ")</f>
        <v xml:space="preserve"> </v>
      </c>
      <c r="J16" s="31"/>
      <c r="K16" s="344">
        <f>IFERROR(Tb_Atualizações[[#This Row],[% EXECUTADO]]/Tb_Atualizações[[#This Row],[% PREVISTO]],"0%")</f>
        <v>0.98468271334792123</v>
      </c>
      <c r="L16" s="31" t="str" cm="1">
        <f t="array" aca="1" ref="L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 s="30"/>
      <c r="N16" s="30"/>
      <c r="O16" s="42">
        <f t="shared" si="1"/>
        <v>2022</v>
      </c>
      <c r="P16" s="42" t="str">
        <f t="shared" si="2"/>
        <v>202212115/2022</v>
      </c>
      <c r="Q16" s="42">
        <v>1</v>
      </c>
    </row>
    <row r="17" spans="1:17" ht="30" hidden="1">
      <c r="A17" s="44" t="s">
        <v>1240</v>
      </c>
      <c r="B17" s="40" t="s">
        <v>1241</v>
      </c>
      <c r="C17" s="26" t="s">
        <v>1241</v>
      </c>
      <c r="D17" s="34">
        <v>1</v>
      </c>
      <c r="E17" s="34">
        <v>0.9</v>
      </c>
      <c r="F17" s="27">
        <v>44926</v>
      </c>
      <c r="G17" s="125">
        <v>44896</v>
      </c>
      <c r="H17" s="28" t="str">
        <f t="shared" si="0"/>
        <v>00513/202044896</v>
      </c>
      <c r="I17" s="38" t="str">
        <f>IFERROR(INDEX(Projetos!$M$2:$M$129,MATCH(Atualizações!A17,Projetos!$A$2:$A$129,0))," ")</f>
        <v xml:space="preserve"> </v>
      </c>
      <c r="J17" s="60"/>
      <c r="K17" s="344">
        <f>IFERROR(Tb_Atualizações[[#This Row],[% EXECUTADO]]/Tb_Atualizações[[#This Row],[% PREVISTO]],"0%")</f>
        <v>0.9</v>
      </c>
      <c r="L17" s="31" t="str" cm="1">
        <f t="array" aca="1" ref="L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7" s="30"/>
      <c r="N17" s="30"/>
      <c r="O17" s="42">
        <f t="shared" si="1"/>
        <v>2022</v>
      </c>
      <c r="P17" s="42" t="str">
        <f t="shared" si="2"/>
        <v>202200513/2020</v>
      </c>
      <c r="Q17" s="42">
        <v>1</v>
      </c>
    </row>
    <row r="18" spans="1:17" ht="105" hidden="1">
      <c r="A18" s="44" t="s">
        <v>369</v>
      </c>
      <c r="B18" s="312" t="str">
        <f>IFERROR(INDEX(Projetos!$B$3:$B$129,MATCH(A18,Projetos!$A$3:$A$129,0))," ")</f>
        <v>Aperfeiçoamento funcional em temáticas prioritárias para o CNJ e para Justiça Federal (cursos, capacitações, metodologias e ferramentas)</v>
      </c>
      <c r="C18" s="26" t="s">
        <v>370</v>
      </c>
      <c r="D18" s="34">
        <v>0.69699999999999995</v>
      </c>
      <c r="E18" s="34">
        <v>0.70399999999999996</v>
      </c>
      <c r="F18" s="27">
        <v>44926</v>
      </c>
      <c r="G18" s="125">
        <v>44896</v>
      </c>
      <c r="H18" s="28" t="str">
        <f t="shared" si="0"/>
        <v>03559/202144896</v>
      </c>
      <c r="I18" s="38">
        <f>IFERROR(INDEX(Projetos!$M$2:$M$129,MATCH(Atualizações!A18,Projetos!$A$2:$A$129,0))," ")</f>
        <v>45351</v>
      </c>
      <c r="J18" s="31"/>
      <c r="K18" s="344">
        <f>IFERROR(Tb_Atualizações[[#This Row],[% EXECUTADO]]/Tb_Atualizações[[#This Row],[% PREVISTO]],"0%")</f>
        <v>1.0100430416068866</v>
      </c>
      <c r="L18" s="31" t="str" cm="1">
        <f t="array" aca="1" ref="L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 s="30"/>
      <c r="N18" s="30"/>
      <c r="O18" s="42">
        <f t="shared" si="1"/>
        <v>2022</v>
      </c>
      <c r="P18" s="42" t="str">
        <f t="shared" si="2"/>
        <v>202203559/2021</v>
      </c>
      <c r="Q18" s="42">
        <v>1</v>
      </c>
    </row>
    <row r="19" spans="1:17" ht="75" hidden="1">
      <c r="A19" s="44"/>
      <c r="B19" s="40" t="s">
        <v>1251</v>
      </c>
      <c r="C19" s="26" t="s">
        <v>1251</v>
      </c>
      <c r="D19" s="34">
        <v>0.98</v>
      </c>
      <c r="E19" s="34">
        <v>0.98</v>
      </c>
      <c r="F19" s="27">
        <v>44926</v>
      </c>
      <c r="G19" s="125">
        <v>44896</v>
      </c>
      <c r="H19" s="28" t="str">
        <f t="shared" si="0"/>
        <v>44896</v>
      </c>
      <c r="I19" s="38" t="str">
        <f>IFERROR(INDEX(Projetos!$M$2:$M$129,MATCH(Atualizações!A19,Projetos!$A$2:$A$129,0))," ")</f>
        <v xml:space="preserve"> </v>
      </c>
      <c r="J19" s="31"/>
      <c r="K19" s="344">
        <f>IFERROR(Tb_Atualizações[[#This Row],[% EXECUTADO]]/Tb_Atualizações[[#This Row],[% PREVISTO]],"0%")</f>
        <v>1</v>
      </c>
      <c r="L19" s="31" t="str" cm="1">
        <f t="array" aca="1" ref="L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 s="30"/>
      <c r="N19" s="30"/>
      <c r="O19" s="42">
        <f t="shared" si="1"/>
        <v>2022</v>
      </c>
      <c r="P19" s="42" t="str">
        <f t="shared" si="2"/>
        <v>2022</v>
      </c>
      <c r="Q19" s="42">
        <v>1</v>
      </c>
    </row>
    <row r="20" spans="1:17" ht="15" hidden="1">
      <c r="A20" s="44" t="s">
        <v>487</v>
      </c>
      <c r="B20" s="312" t="str">
        <f>IFERROR(INDEX(Projetos!$B$3:$B$129,MATCH(A20,Projetos!$A$3:$A$129,0))," ")</f>
        <v>Demandas Complexas</v>
      </c>
      <c r="C20" s="26" t="s">
        <v>488</v>
      </c>
      <c r="D20" s="34">
        <v>3.85E-2</v>
      </c>
      <c r="E20" s="34">
        <v>3.85E-2</v>
      </c>
      <c r="F20" s="27">
        <v>44926</v>
      </c>
      <c r="G20" s="125">
        <v>44896</v>
      </c>
      <c r="H20" s="28" t="str">
        <f t="shared" si="0"/>
        <v>08610/202244896</v>
      </c>
      <c r="I20" s="38">
        <f>IFERROR(INDEX(Projetos!$M$2:$M$129,MATCH(Atualizações!A20,Projetos!$A$2:$A$129,0))," ")</f>
        <v>45913</v>
      </c>
      <c r="J20" s="31"/>
      <c r="K20" s="344">
        <f>IFERROR(Tb_Atualizações[[#This Row],[% EXECUTADO]]/Tb_Atualizações[[#This Row],[% PREVISTO]],"0%")</f>
        <v>1</v>
      </c>
      <c r="L20" s="31" t="str" cm="1">
        <f t="array" aca="1" ref="L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0" s="30"/>
      <c r="N20" s="30"/>
      <c r="O20" s="42">
        <f t="shared" si="1"/>
        <v>2022</v>
      </c>
      <c r="P20" s="42" t="str">
        <f t="shared" si="2"/>
        <v>202208610/2022</v>
      </c>
      <c r="Q20" s="42">
        <v>1</v>
      </c>
    </row>
    <row r="21" spans="1:17" ht="60" hidden="1">
      <c r="A21" s="44"/>
      <c r="B21" s="41" t="s">
        <v>1247</v>
      </c>
      <c r="C21" s="32" t="s">
        <v>1247</v>
      </c>
      <c r="D21" s="34">
        <v>0</v>
      </c>
      <c r="E21" s="34">
        <v>0</v>
      </c>
      <c r="F21" s="27">
        <v>44926</v>
      </c>
      <c r="G21" s="125">
        <v>44896</v>
      </c>
      <c r="H21" s="28" t="str">
        <f t="shared" si="0"/>
        <v>44896</v>
      </c>
      <c r="I21" s="38" t="str">
        <f>IFERROR(INDEX(Projetos!$M$2:$M$129,MATCH(Atualizações!A21,Projetos!$A$2:$A$129,0))," ")</f>
        <v xml:space="preserve"> </v>
      </c>
      <c r="J21" s="31"/>
      <c r="K21" s="344" t="str">
        <f>IFERROR(Tb_Atualizações[[#This Row],[% EXECUTADO]]/Tb_Atualizações[[#This Row],[% PREVISTO]],"0%")</f>
        <v>0%</v>
      </c>
      <c r="L21" s="31" t="str" cm="1">
        <f t="array" aca="1" ref="L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21" s="30"/>
      <c r="N21" s="30"/>
      <c r="O21" s="42">
        <f t="shared" si="1"/>
        <v>2022</v>
      </c>
      <c r="P21" s="42" t="str">
        <f t="shared" si="2"/>
        <v>2022</v>
      </c>
      <c r="Q21" s="42">
        <v>1</v>
      </c>
    </row>
    <row r="22" spans="1:17" ht="30" hidden="1">
      <c r="A22" s="44" t="s">
        <v>97</v>
      </c>
      <c r="B22" s="312" t="str">
        <f>IFERROR(INDEX(Projetos!$B$3:$B$129,MATCH(A22,Projetos!$A$3:$A$129,0))," ")</f>
        <v>Execução Fiscal - Automação e Governança</v>
      </c>
      <c r="C22" s="26" t="s">
        <v>98</v>
      </c>
      <c r="D22" s="34">
        <v>0.94</v>
      </c>
      <c r="E22" s="34">
        <v>0.94</v>
      </c>
      <c r="F22" s="27">
        <v>44926</v>
      </c>
      <c r="G22" s="125">
        <v>44896</v>
      </c>
      <c r="H22" s="28" t="str">
        <f t="shared" si="0"/>
        <v>00535/201944896</v>
      </c>
      <c r="I22" s="38">
        <f>IFERROR(INDEX(Projetos!$M$2:$M$129,MATCH(Atualizações!A22,Projetos!$A$2:$A$129,0))," ")</f>
        <v>45930</v>
      </c>
      <c r="J22" s="31"/>
      <c r="K22" s="344">
        <f>IFERROR(Tb_Atualizações[[#This Row],[% EXECUTADO]]/Tb_Atualizações[[#This Row],[% PREVISTO]],"0%")</f>
        <v>1</v>
      </c>
      <c r="L22" s="31" t="str" cm="1">
        <f t="array" aca="1" ref="L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 s="30"/>
      <c r="N22" s="30"/>
      <c r="O22" s="42">
        <f t="shared" si="1"/>
        <v>2022</v>
      </c>
      <c r="P22" s="42" t="str">
        <f t="shared" si="2"/>
        <v>202200535/2019</v>
      </c>
      <c r="Q22" s="42">
        <v>1</v>
      </c>
    </row>
    <row r="23" spans="1:17" ht="45" hidden="1">
      <c r="A23" s="44"/>
      <c r="B23" s="40" t="s">
        <v>1252</v>
      </c>
      <c r="C23" s="26" t="s">
        <v>1252</v>
      </c>
      <c r="D23" s="34">
        <v>0.8</v>
      </c>
      <c r="E23" s="34">
        <v>0.79</v>
      </c>
      <c r="F23" s="27">
        <v>44926</v>
      </c>
      <c r="G23" s="125">
        <v>44896</v>
      </c>
      <c r="H23" s="28" t="str">
        <f t="shared" si="0"/>
        <v>44896</v>
      </c>
      <c r="I23" s="38" t="str">
        <f>IFERROR(INDEX(Projetos!$M$2:$M$129,MATCH(Atualizações!A23,Projetos!$A$2:$A$129,0))," ")</f>
        <v xml:space="preserve"> </v>
      </c>
      <c r="J23" s="31"/>
      <c r="K23" s="344">
        <f>IFERROR(Tb_Atualizações[[#This Row],[% EXECUTADO]]/Tb_Atualizações[[#This Row],[% PREVISTO]],"0%")</f>
        <v>0.98750000000000004</v>
      </c>
      <c r="L23" s="31" t="str" cm="1">
        <f t="array" aca="1" ref="L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3" s="30"/>
      <c r="N23" s="30"/>
      <c r="O23" s="42">
        <f t="shared" si="1"/>
        <v>2022</v>
      </c>
      <c r="P23" s="42" t="str">
        <f t="shared" si="2"/>
        <v>2022</v>
      </c>
      <c r="Q23" s="42">
        <v>1</v>
      </c>
    </row>
    <row r="24" spans="1:17" hidden="1">
      <c r="A24" s="44"/>
      <c r="B24" s="40" t="s">
        <v>1253</v>
      </c>
      <c r="C24" s="26" t="s">
        <v>1253</v>
      </c>
      <c r="D24" s="34">
        <v>0.98899999999999999</v>
      </c>
      <c r="E24" s="34">
        <v>0.97899999999999998</v>
      </c>
      <c r="F24" s="27">
        <v>44926</v>
      </c>
      <c r="G24" s="125">
        <v>44896</v>
      </c>
      <c r="H24" s="28" t="str">
        <f t="shared" si="0"/>
        <v>44896</v>
      </c>
      <c r="I24" s="38" t="str">
        <f>IFERROR(INDEX(Projetos!$M$2:$M$129,MATCH(Atualizações!A24,Projetos!$A$2:$A$129,0))," ")</f>
        <v xml:space="preserve"> </v>
      </c>
      <c r="J24" s="31"/>
      <c r="K24" s="344">
        <f>IFERROR(Tb_Atualizações[[#This Row],[% EXECUTADO]]/Tb_Atualizações[[#This Row],[% PREVISTO]],"0%")</f>
        <v>0.98988877654196161</v>
      </c>
      <c r="L24" s="31" t="str" cm="1">
        <f t="array" aca="1" ref="L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4" s="30"/>
      <c r="N24" s="30"/>
      <c r="O24" s="42">
        <f t="shared" si="1"/>
        <v>2022</v>
      </c>
      <c r="P24" s="42" t="str">
        <f t="shared" si="2"/>
        <v>2022</v>
      </c>
      <c r="Q24" s="42">
        <v>1</v>
      </c>
    </row>
    <row r="25" spans="1:17" ht="45" hidden="1">
      <c r="A25" s="44" t="s">
        <v>182</v>
      </c>
      <c r="B25" s="312" t="str">
        <f>IFERROR(INDEX(Projetos!$B$3:$B$129,MATCH(A25,Projetos!$A$3:$A$129,0))," ")</f>
        <v xml:space="preserve">Mineração de Processos do Pje </v>
      </c>
      <c r="C25" s="26" t="s">
        <v>1254</v>
      </c>
      <c r="D25" s="34">
        <v>0.98</v>
      </c>
      <c r="E25" s="34">
        <v>0.96</v>
      </c>
      <c r="F25" s="27">
        <v>44926</v>
      </c>
      <c r="G25" s="125">
        <v>44896</v>
      </c>
      <c r="H25" s="28" t="str">
        <f t="shared" si="0"/>
        <v>01764/202044896</v>
      </c>
      <c r="I25" s="38">
        <f>IFERROR(INDEX(Projetos!$M$2:$M$129,MATCH(Atualizações!A25,Projetos!$A$2:$A$129,0))," ")</f>
        <v>46630</v>
      </c>
      <c r="J25" s="31"/>
      <c r="K25" s="344">
        <f>IFERROR(Tb_Atualizações[[#This Row],[% EXECUTADO]]/Tb_Atualizações[[#This Row],[% PREVISTO]],"0%")</f>
        <v>0.97959183673469385</v>
      </c>
      <c r="L25" s="31" t="str" cm="1">
        <f t="array" aca="1" ref="L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 s="30"/>
      <c r="N25" s="30"/>
      <c r="O25" s="42">
        <f t="shared" si="1"/>
        <v>2022</v>
      </c>
      <c r="P25" s="42" t="str">
        <f t="shared" si="2"/>
        <v>202201764/2020</v>
      </c>
      <c r="Q25" s="42">
        <v>1</v>
      </c>
    </row>
    <row r="26" spans="1:17" ht="30.75" hidden="1">
      <c r="A26" s="44" t="s">
        <v>350</v>
      </c>
      <c r="B26" s="312" t="str">
        <f>IFERROR(INDEX(Projetos!$B$3:$B$129,MATCH(A26,Projetos!$A$3:$A$129,0))," ")</f>
        <v>Painel de Estatística   - Justiça 4.0</v>
      </c>
      <c r="C26" s="26" t="s">
        <v>1255</v>
      </c>
      <c r="D26" s="34">
        <v>0.94</v>
      </c>
      <c r="E26" s="34">
        <v>0.87</v>
      </c>
      <c r="F26" s="27">
        <v>44926</v>
      </c>
      <c r="G26" s="125">
        <v>44896</v>
      </c>
      <c r="H26" s="28" t="str">
        <f t="shared" si="0"/>
        <v>03545/202144896</v>
      </c>
      <c r="I26" s="38">
        <f>IFERROR(INDEX(Projetos!$M$2:$M$129,MATCH(Atualizações!A26,Projetos!$A$2:$A$129,0))," ")</f>
        <v>46387</v>
      </c>
      <c r="J26" s="31"/>
      <c r="K26" s="344">
        <f>IFERROR(Tb_Atualizações[[#This Row],[% EXECUTADO]]/Tb_Atualizações[[#This Row],[% PREVISTO]],"0%")</f>
        <v>0.92553191489361708</v>
      </c>
      <c r="L26" s="31" t="str" cm="1">
        <f t="array" aca="1" ref="L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6" s="30"/>
      <c r="N26" s="30"/>
      <c r="O26" s="42">
        <f t="shared" si="1"/>
        <v>2022</v>
      </c>
      <c r="P26" s="42" t="str">
        <f t="shared" si="2"/>
        <v>202203545/2021</v>
      </c>
      <c r="Q26" s="42">
        <v>1</v>
      </c>
    </row>
    <row r="27" spans="1:17" ht="45" hidden="1">
      <c r="A27" s="44"/>
      <c r="B27" s="40" t="s">
        <v>1256</v>
      </c>
      <c r="C27" s="26" t="s">
        <v>1256</v>
      </c>
      <c r="D27" s="34">
        <v>0.69</v>
      </c>
      <c r="E27" s="34">
        <v>0.69</v>
      </c>
      <c r="F27" s="27">
        <v>44926</v>
      </c>
      <c r="G27" s="125">
        <v>44896</v>
      </c>
      <c r="H27" s="28" t="str">
        <f t="shared" si="0"/>
        <v>44896</v>
      </c>
      <c r="I27" s="38" t="str">
        <f>IFERROR(INDEX(Projetos!$M$2:$M$129,MATCH(Atualizações!A27,Projetos!$A$2:$A$129,0))," ")</f>
        <v xml:space="preserve"> </v>
      </c>
      <c r="J27" s="31"/>
      <c r="K27" s="344">
        <f>IFERROR(Tb_Atualizações[[#This Row],[% EXECUTADO]]/Tb_Atualizações[[#This Row],[% PREVISTO]],"0%")</f>
        <v>1</v>
      </c>
      <c r="L27" s="31" t="str" cm="1">
        <f t="array" aca="1" ref="L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 s="30"/>
      <c r="N27" s="30"/>
      <c r="O27" s="42">
        <f t="shared" si="1"/>
        <v>2022</v>
      </c>
      <c r="P27" s="42" t="str">
        <f t="shared" si="2"/>
        <v>2022</v>
      </c>
      <c r="Q27" s="42">
        <v>1</v>
      </c>
    </row>
    <row r="28" spans="1:17" ht="45" hidden="1">
      <c r="A28" s="44" t="s">
        <v>502</v>
      </c>
      <c r="B28" s="312" t="str">
        <f>IFERROR(INDEX(Projetos!$B$3:$B$129,MATCH(A28,Projetos!$A$3:$A$129,0))," ")</f>
        <v>Plano Nacional de Inovação no Poder Judiciário</v>
      </c>
      <c r="C28" s="26" t="s">
        <v>503</v>
      </c>
      <c r="D28" s="34">
        <v>0.41899999999999998</v>
      </c>
      <c r="E28" s="34">
        <v>0.43099999999999999</v>
      </c>
      <c r="F28" s="27">
        <v>44926</v>
      </c>
      <c r="G28" s="125">
        <v>44896</v>
      </c>
      <c r="H28" s="28" t="str">
        <f t="shared" si="0"/>
        <v>09081/202244896</v>
      </c>
      <c r="I28" s="38">
        <f>IFERROR(INDEX(Projetos!$M$2:$M$129,MATCH(Atualizações!A28,Projetos!$A$2:$A$129,0))," ")</f>
        <v>45321</v>
      </c>
      <c r="J28" s="31"/>
      <c r="K28" s="344">
        <f>IFERROR(Tb_Atualizações[[#This Row],[% EXECUTADO]]/Tb_Atualizações[[#This Row],[% PREVISTO]],"0%")</f>
        <v>1.0286396181384247</v>
      </c>
      <c r="L28" s="31" t="str" cm="1">
        <f t="array" aca="1" ref="L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8" s="30"/>
      <c r="N28" s="30"/>
      <c r="O28" s="42">
        <f t="shared" si="1"/>
        <v>2022</v>
      </c>
      <c r="P28" s="42" t="str">
        <f t="shared" si="2"/>
        <v>202209081/2022</v>
      </c>
      <c r="Q28" s="42">
        <v>1</v>
      </c>
    </row>
    <row r="29" spans="1:17" ht="60" hidden="1">
      <c r="A29" s="44" t="s">
        <v>341</v>
      </c>
      <c r="B29" s="312" t="str">
        <f>IFERROR(INDEX(Projetos!$B$3:$B$129,MATCH(A29,Projetos!$A$3:$A$129,0))," ")</f>
        <v>PMO Jud -Redesenho dos processos do Escritório de Projetos do CNJ</v>
      </c>
      <c r="C29" s="26" t="s">
        <v>1257</v>
      </c>
      <c r="D29" s="34">
        <v>0.94</v>
      </c>
      <c r="E29" s="34">
        <v>0.93600000000000005</v>
      </c>
      <c r="F29" s="27">
        <v>44926</v>
      </c>
      <c r="G29" s="125">
        <v>44896</v>
      </c>
      <c r="H29" s="28" t="str">
        <f t="shared" si="0"/>
        <v>03096/202144896</v>
      </c>
      <c r="I29" s="38">
        <f>IFERROR(INDEX(Projetos!$M$2:$M$129,MATCH(Atualizações!A29,Projetos!$A$2:$A$129,0))," ")</f>
        <v>45291</v>
      </c>
      <c r="J29" s="31"/>
      <c r="K29" s="344">
        <f>IFERROR(Tb_Atualizações[[#This Row],[% EXECUTADO]]/Tb_Atualizações[[#This Row],[% PREVISTO]],"0%")</f>
        <v>0.99574468085106393</v>
      </c>
      <c r="L29" s="31" t="str" cm="1">
        <f t="array" aca="1" ref="L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 s="29"/>
      <c r="N29" s="30"/>
      <c r="O29" s="42">
        <f t="shared" si="1"/>
        <v>2022</v>
      </c>
      <c r="P29" s="42" t="str">
        <f t="shared" si="2"/>
        <v>202203096/2021</v>
      </c>
      <c r="Q29" s="42">
        <v>1</v>
      </c>
    </row>
    <row r="30" spans="1:17" ht="45" hidden="1">
      <c r="A30" s="44" t="s">
        <v>358</v>
      </c>
      <c r="B30" s="312" t="str">
        <f>IFERROR(INDEX(Projetos!$B$3:$B$129,MATCH(A30,Projetos!$A$3:$A$129,0))," ")</f>
        <v>Prevjud - Automação de Processos Previdenciários - Justiça 4.0</v>
      </c>
      <c r="C30" s="26" t="s">
        <v>359</v>
      </c>
      <c r="D30" s="34">
        <v>0.93899999999999995</v>
      </c>
      <c r="E30" s="34">
        <v>0.86399999999999999</v>
      </c>
      <c r="F30" s="27">
        <v>44926</v>
      </c>
      <c r="G30" s="125">
        <v>44896</v>
      </c>
      <c r="H30" s="28" t="str">
        <f t="shared" si="0"/>
        <v>03558/202144896</v>
      </c>
      <c r="I30" s="38" t="str">
        <f>IFERROR(INDEX(Projetos!$M$2:$M$129,MATCH(Atualizações!A30,Projetos!$A$2:$A$129,0))," ")</f>
        <v>31/03/2026</v>
      </c>
      <c r="J30" s="31"/>
      <c r="K30" s="344">
        <f>IFERROR(Tb_Atualizações[[#This Row],[% EXECUTADO]]/Tb_Atualizações[[#This Row],[% PREVISTO]],"0%")</f>
        <v>0.92012779552715662</v>
      </c>
      <c r="L30" s="31" t="str" cm="1">
        <f t="array" aca="1" ref="L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0" s="29"/>
      <c r="N30" s="30"/>
      <c r="O30" s="42">
        <f t="shared" si="1"/>
        <v>2022</v>
      </c>
      <c r="P30" s="42" t="str">
        <f t="shared" si="2"/>
        <v>202203558/2021</v>
      </c>
      <c r="Q30" s="42">
        <v>1</v>
      </c>
    </row>
    <row r="31" spans="1:17" ht="60" hidden="1">
      <c r="A31" s="44" t="s">
        <v>436</v>
      </c>
      <c r="B31" s="312" t="str">
        <f>IFERROR(INDEX(Projetos!$B$3:$B$129,MATCH(A31,Projetos!$A$3:$A$129,0))," ")</f>
        <v>Sensibilização e Formação em Integridade e Compliance no Poder Judiciário</v>
      </c>
      <c r="C31" s="26" t="s">
        <v>437</v>
      </c>
      <c r="D31" s="34">
        <v>0.313</v>
      </c>
      <c r="E31" s="34">
        <v>0.33300000000000002</v>
      </c>
      <c r="F31" s="27">
        <v>44926</v>
      </c>
      <c r="G31" s="125">
        <v>44896</v>
      </c>
      <c r="H31" s="28" t="str">
        <f t="shared" si="0"/>
        <v>07855/202244896</v>
      </c>
      <c r="I31" s="38">
        <f>IFERROR(INDEX(Projetos!$M$2:$M$129,MATCH(Atualizações!A31,Projetos!$A$2:$A$129,0))," ")</f>
        <v>45412</v>
      </c>
      <c r="J31" s="31"/>
      <c r="K31" s="344">
        <f>IFERROR(Tb_Atualizações[[#This Row],[% EXECUTADO]]/Tb_Atualizações[[#This Row],[% PREVISTO]],"0%")</f>
        <v>1.0638977635782749</v>
      </c>
      <c r="L31" s="31" t="str" cm="1">
        <f t="array" aca="1" ref="L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1" s="29"/>
      <c r="N31" s="30"/>
      <c r="O31" s="42">
        <f t="shared" si="1"/>
        <v>2022</v>
      </c>
      <c r="P31" s="42" t="str">
        <f t="shared" si="2"/>
        <v>202207855/2022</v>
      </c>
      <c r="Q31" s="42">
        <v>1</v>
      </c>
    </row>
    <row r="32" spans="1:17" ht="30" hidden="1">
      <c r="A32" s="44"/>
      <c r="B32" s="40" t="s">
        <v>1258</v>
      </c>
      <c r="C32" s="26" t="s">
        <v>1258</v>
      </c>
      <c r="D32" s="34">
        <v>0.94399999999999995</v>
      </c>
      <c r="E32" s="34">
        <v>0.92</v>
      </c>
      <c r="F32" s="27">
        <v>44926</v>
      </c>
      <c r="G32" s="125">
        <v>44896</v>
      </c>
      <c r="H32" s="28" t="str">
        <f t="shared" si="0"/>
        <v>44896</v>
      </c>
      <c r="I32" s="38" t="str">
        <f>IFERROR(INDEX(Projetos!$M$2:$M$129,MATCH(Atualizações!A32,Projetos!$A$2:$A$129,0))," ")</f>
        <v xml:space="preserve"> </v>
      </c>
      <c r="J32" s="31"/>
      <c r="K32" s="344">
        <f>IFERROR(Tb_Atualizações[[#This Row],[% EXECUTADO]]/Tb_Atualizações[[#This Row],[% PREVISTO]],"0%")</f>
        <v>0.97457627118644075</v>
      </c>
      <c r="L32" s="31" t="str" cm="1">
        <f t="array" aca="1" ref="L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2" s="29"/>
      <c r="N32" s="30"/>
      <c r="O32" s="42">
        <f t="shared" si="1"/>
        <v>2022</v>
      </c>
      <c r="P32" s="42" t="str">
        <f t="shared" si="2"/>
        <v>2022</v>
      </c>
      <c r="Q32" s="42">
        <v>1</v>
      </c>
    </row>
    <row r="33" spans="1:17" ht="30" hidden="1">
      <c r="A33" s="44"/>
      <c r="B33" s="40" t="s">
        <v>1259</v>
      </c>
      <c r="C33" s="26" t="s">
        <v>1259</v>
      </c>
      <c r="D33" s="34">
        <v>0.82599999999999996</v>
      </c>
      <c r="E33" s="34">
        <v>0.69199999999999995</v>
      </c>
      <c r="F33" s="27">
        <v>44926</v>
      </c>
      <c r="G33" s="125">
        <v>44896</v>
      </c>
      <c r="H33" s="28" t="str">
        <f t="shared" si="0"/>
        <v>44896</v>
      </c>
      <c r="I33" s="38" t="str">
        <f>IFERROR(INDEX(Projetos!$M$2:$M$129,MATCH(Atualizações!A33,Projetos!$A$2:$A$129,0))," ")</f>
        <v xml:space="preserve"> </v>
      </c>
      <c r="J33" s="31"/>
      <c r="K33" s="344">
        <f>IFERROR(Tb_Atualizações[[#This Row],[% EXECUTADO]]/Tb_Atualizações[[#This Row],[% PREVISTO]],"0%")</f>
        <v>0.83777239709443097</v>
      </c>
      <c r="L33" s="31" t="str" cm="1">
        <f t="array" aca="1" ref="L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3" s="29"/>
      <c r="N33" s="30"/>
      <c r="O33" s="42">
        <f t="shared" si="1"/>
        <v>2022</v>
      </c>
      <c r="P33" s="42" t="str">
        <f t="shared" si="2"/>
        <v>2022</v>
      </c>
      <c r="Q33" s="42">
        <v>1</v>
      </c>
    </row>
    <row r="34" spans="1:17" hidden="1">
      <c r="A34" s="44"/>
      <c r="B34" s="40" t="s">
        <v>1260</v>
      </c>
      <c r="C34" s="26" t="s">
        <v>1260</v>
      </c>
      <c r="D34" s="34">
        <v>0.84499999999999997</v>
      </c>
      <c r="E34" s="34">
        <v>0.80700000000000005</v>
      </c>
      <c r="F34" s="27">
        <v>44926</v>
      </c>
      <c r="G34" s="125">
        <v>44896</v>
      </c>
      <c r="H34" s="28" t="str">
        <f t="shared" si="0"/>
        <v>44896</v>
      </c>
      <c r="I34" s="38" t="str">
        <f>IFERROR(INDEX(Projetos!$M$2:$M$129,MATCH(Atualizações!A34,Projetos!$A$2:$A$129,0))," ")</f>
        <v xml:space="preserve"> </v>
      </c>
      <c r="J34" s="31"/>
      <c r="K34" s="344">
        <f>IFERROR(Tb_Atualizações[[#This Row],[% EXECUTADO]]/Tb_Atualizações[[#This Row],[% PREVISTO]],"0%")</f>
        <v>0.95502958579881669</v>
      </c>
      <c r="L34" s="31" t="str" cm="1">
        <f t="array" aca="1" ref="L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 s="29"/>
      <c r="N34" s="30"/>
      <c r="O34" s="42">
        <f t="shared" si="1"/>
        <v>2022</v>
      </c>
      <c r="P34" s="42" t="str">
        <f t="shared" si="2"/>
        <v>2022</v>
      </c>
      <c r="Q34" s="42">
        <v>1</v>
      </c>
    </row>
    <row r="35" spans="1:17" ht="15" hidden="1">
      <c r="A35" s="44" t="s">
        <v>464</v>
      </c>
      <c r="B35" s="312" t="str">
        <f>IFERROR(INDEX(Projetos!$B$3:$B$129,MATCH(A35,Projetos!$A$3:$A$129,0))," ")</f>
        <v>Sirenejud 2.0</v>
      </c>
      <c r="C35" s="26" t="s">
        <v>465</v>
      </c>
      <c r="D35" s="34">
        <v>0.36</v>
      </c>
      <c r="E35" s="34">
        <v>0.35</v>
      </c>
      <c r="F35" s="27">
        <v>44926</v>
      </c>
      <c r="G35" s="125">
        <v>44896</v>
      </c>
      <c r="H35" s="28" t="str">
        <f t="shared" si="0"/>
        <v>08536/202244896</v>
      </c>
      <c r="I35" s="38">
        <f>IFERROR(INDEX(Projetos!$M$2:$M$129,MATCH(Atualizações!A35,Projetos!$A$2:$A$129,0))," ")</f>
        <v>45433</v>
      </c>
      <c r="J35" s="31"/>
      <c r="K35" s="344">
        <f>IFERROR(Tb_Atualizações[[#This Row],[% EXECUTADO]]/Tb_Atualizações[[#This Row],[% PREVISTO]],"0%")</f>
        <v>0.97222222222222221</v>
      </c>
      <c r="L35" s="31" t="str" cm="1">
        <f t="array" aca="1" ref="L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5" s="29"/>
      <c r="N35" s="30"/>
      <c r="O35" s="42">
        <f t="shared" si="1"/>
        <v>2022</v>
      </c>
      <c r="P35" s="42" t="str">
        <f t="shared" si="2"/>
        <v>202208536/2022</v>
      </c>
      <c r="Q35" s="42">
        <v>1</v>
      </c>
    </row>
    <row r="36" spans="1:17" ht="15" hidden="1">
      <c r="A36" s="44" t="s">
        <v>322</v>
      </c>
      <c r="B36" s="312" t="str">
        <f>IFERROR(INDEX(Projetos!$B$3:$B$129,MATCH(A36,Projetos!$A$3:$A$129,0))," ")</f>
        <v>SNGB - Sistema Nacional de Gestão de Bens</v>
      </c>
      <c r="C36" s="45" t="s">
        <v>1261</v>
      </c>
      <c r="D36" s="34">
        <v>0.96</v>
      </c>
      <c r="E36" s="34">
        <v>0.96199999999999997</v>
      </c>
      <c r="F36" s="27">
        <v>44926</v>
      </c>
      <c r="G36" s="125">
        <v>44896</v>
      </c>
      <c r="H36" s="28" t="str">
        <f t="shared" si="0"/>
        <v>02938/202144896</v>
      </c>
      <c r="I36" s="38">
        <f>IFERROR(INDEX(Projetos!$M$2:$M$129,MATCH(Atualizações!A36,Projetos!$A$2:$A$129,0))," ")</f>
        <v>45519</v>
      </c>
      <c r="J36" s="31"/>
      <c r="K36" s="344">
        <f>IFERROR(Tb_Atualizações[[#This Row],[% EXECUTADO]]/Tb_Atualizações[[#This Row],[% PREVISTO]],"0%")</f>
        <v>1.0020833333333334</v>
      </c>
      <c r="L36" s="31" t="str" cm="1">
        <f t="array" aca="1" ref="L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6" s="29"/>
      <c r="N36" s="30"/>
      <c r="O36" s="42">
        <f t="shared" si="1"/>
        <v>2022</v>
      </c>
      <c r="P36" s="42" t="str">
        <f t="shared" si="2"/>
        <v>202202938/2021</v>
      </c>
      <c r="Q36" s="42">
        <v>1</v>
      </c>
    </row>
    <row r="37" spans="1:17" ht="15" hidden="1">
      <c r="A37" s="44" t="s">
        <v>331</v>
      </c>
      <c r="B37" s="312" t="str">
        <f>IFERROR(INDEX(Projetos!$B$3:$B$129,MATCH(A37,Projetos!$A$3:$A$129,0))," ")</f>
        <v>SNIPER - Justiça 4.0</v>
      </c>
      <c r="C37" s="26" t="s">
        <v>332</v>
      </c>
      <c r="D37" s="34">
        <v>0.97</v>
      </c>
      <c r="E37" s="34">
        <v>0.94499999999999995</v>
      </c>
      <c r="F37" s="27">
        <v>44926</v>
      </c>
      <c r="G37" s="125">
        <v>44896</v>
      </c>
      <c r="H37" s="28" t="str">
        <f t="shared" si="0"/>
        <v>02941/202144896</v>
      </c>
      <c r="I37" s="38">
        <f>IFERROR(INDEX(Projetos!$M$2:$M$129,MATCH(Atualizações!A37,Projetos!$A$2:$A$129,0))," ")</f>
        <v>45442</v>
      </c>
      <c r="J37" s="31"/>
      <c r="K37" s="344">
        <f>IFERROR(Tb_Atualizações[[#This Row],[% EXECUTADO]]/Tb_Atualizações[[#This Row],[% PREVISTO]],"0%")</f>
        <v>0.97422680412371132</v>
      </c>
      <c r="L37" s="31" t="str" cm="1">
        <f t="array" aca="1" ref="L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7" s="29"/>
      <c r="N37" s="30"/>
      <c r="O37" s="42">
        <f t="shared" si="1"/>
        <v>2022</v>
      </c>
      <c r="P37" s="42" t="str">
        <f t="shared" si="2"/>
        <v>202202941/2021</v>
      </c>
      <c r="Q37" s="42">
        <v>1</v>
      </c>
    </row>
    <row r="38" spans="1:17" ht="60" hidden="1">
      <c r="A38" s="44"/>
      <c r="B38" s="41" t="s">
        <v>1247</v>
      </c>
      <c r="C38" s="32" t="s">
        <v>1247</v>
      </c>
      <c r="D38" s="34">
        <v>0</v>
      </c>
      <c r="E38" s="34">
        <v>0</v>
      </c>
      <c r="F38" s="27">
        <v>44926</v>
      </c>
      <c r="G38" s="125">
        <v>44986</v>
      </c>
      <c r="H38" s="28" t="str">
        <f t="shared" si="0"/>
        <v>44986</v>
      </c>
      <c r="I38" s="38" t="str">
        <f>IFERROR(INDEX(Projetos!$M$2:$M$129,MATCH(Atualizações!A38,Projetos!$A$2:$A$129,0))," ")</f>
        <v xml:space="preserve"> </v>
      </c>
      <c r="J38" s="31"/>
      <c r="K38" s="344" t="str">
        <f>IFERROR(Tb_Atualizações[[#This Row],[% EXECUTADO]]/Tb_Atualizações[[#This Row],[% PREVISTO]],"0%")</f>
        <v>0%</v>
      </c>
      <c r="L38" s="31" t="str" cm="1">
        <f t="array" aca="1" ref="L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8" s="30"/>
      <c r="N38" s="30"/>
      <c r="O38" s="42">
        <f t="shared" si="1"/>
        <v>2022</v>
      </c>
      <c r="P38" s="42" t="str">
        <f t="shared" si="2"/>
        <v>2022</v>
      </c>
      <c r="Q38" s="42">
        <v>1</v>
      </c>
    </row>
    <row r="39" spans="1:17" ht="30" hidden="1">
      <c r="A39" s="44" t="s">
        <v>451</v>
      </c>
      <c r="B39" s="312" t="str">
        <f>IFERROR(INDEX(Projetos!$B$3:$B$129,MATCH(A39,Projetos!$A$3:$A$129,0))," ")</f>
        <v>Conciliação e Mediação na prática</v>
      </c>
      <c r="C39" s="26" t="s">
        <v>452</v>
      </c>
      <c r="D39" s="34">
        <v>0</v>
      </c>
      <c r="E39" s="34">
        <v>0</v>
      </c>
      <c r="F39" s="27">
        <v>44935</v>
      </c>
      <c r="G39" s="125">
        <v>44896</v>
      </c>
      <c r="H39" s="28" t="str">
        <f t="shared" si="0"/>
        <v>08287/202244896</v>
      </c>
      <c r="I39" s="38">
        <f>IFERROR(INDEX(Projetos!$M$2:$M$129,MATCH(Atualizações!A39,Projetos!$A$2:$A$129,0))," ")</f>
        <v>45199</v>
      </c>
      <c r="J39" s="31"/>
      <c r="K39" s="344" t="str">
        <f>IFERROR(Tb_Atualizações[[#This Row],[% EXECUTADO]]/Tb_Atualizações[[#This Row],[% PREVISTO]],"0%")</f>
        <v>0%</v>
      </c>
      <c r="L39" s="31" t="str" cm="1">
        <f t="array" aca="1" ref="L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9" s="30"/>
      <c r="N39" s="30"/>
      <c r="O39" s="42">
        <f t="shared" si="1"/>
        <v>2023</v>
      </c>
      <c r="P39" s="42" t="str">
        <f t="shared" si="2"/>
        <v>202308287/2022</v>
      </c>
      <c r="Q39" s="42">
        <v>1</v>
      </c>
    </row>
    <row r="40" spans="1:17" ht="105" hidden="1">
      <c r="A40" s="44" t="s">
        <v>425</v>
      </c>
      <c r="B40" s="312" t="str">
        <f>IFERROR(INDEX(Projetos!$B$3:$B$129,MATCH(A40,Projetos!$A$3:$A$129,0))," ")</f>
        <v>Diagnóstico sobre a otimização dos processos de trabalho no Poder Judiciário em face da implementação das Políticas Tecnológicas do Programa Justiça 4.0.</v>
      </c>
      <c r="C40" s="26" t="s">
        <v>426</v>
      </c>
      <c r="D40" s="34">
        <v>0</v>
      </c>
      <c r="E40" s="34">
        <v>0</v>
      </c>
      <c r="F40" s="27">
        <v>44935</v>
      </c>
      <c r="G40" s="125">
        <v>44896</v>
      </c>
      <c r="H40" s="28" t="str">
        <f t="shared" si="0"/>
        <v>06767/202244896</v>
      </c>
      <c r="I40" s="38">
        <f>IFERROR(INDEX(Projetos!$M$2:$M$129,MATCH(Atualizações!A40,Projetos!$A$2:$A$129,0))," ")</f>
        <v>45605</v>
      </c>
      <c r="J40" s="31"/>
      <c r="K40" s="344" t="str">
        <f>IFERROR(Tb_Atualizações[[#This Row],[% EXECUTADO]]/Tb_Atualizações[[#This Row],[% PREVISTO]],"0%")</f>
        <v>0%</v>
      </c>
      <c r="L40" s="31" t="str" cm="1">
        <f t="array" aca="1" ref="L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0" s="30"/>
      <c r="N40" s="30"/>
      <c r="O40" s="42">
        <f t="shared" si="1"/>
        <v>2023</v>
      </c>
      <c r="P40" s="42" t="str">
        <f t="shared" si="2"/>
        <v>202306767/2022</v>
      </c>
      <c r="Q40" s="42">
        <v>1</v>
      </c>
    </row>
    <row r="41" spans="1:17" ht="15" hidden="1">
      <c r="A41" s="44" t="s">
        <v>443</v>
      </c>
      <c r="B41" s="312" t="str">
        <f>IFERROR(INDEX(Projetos!$B$3:$B$129,MATCH(A41,Projetos!$A$3:$A$129,0))," ")</f>
        <v>Implantação do SERP</v>
      </c>
      <c r="C41" s="26" t="s">
        <v>444</v>
      </c>
      <c r="D41" s="34">
        <v>0</v>
      </c>
      <c r="E41" s="34">
        <v>0</v>
      </c>
      <c r="F41" s="27">
        <v>44935</v>
      </c>
      <c r="G41" s="125">
        <v>44896</v>
      </c>
      <c r="H41" s="28" t="str">
        <f t="shared" si="0"/>
        <v>08286/202244896</v>
      </c>
      <c r="I41" s="38">
        <f>IFERROR(INDEX(Projetos!$M$2:$M$129,MATCH(Atualizações!A41,Projetos!$A$2:$A$129,0))," ")</f>
        <v>45688</v>
      </c>
      <c r="J41" s="31"/>
      <c r="K41" s="344" t="str">
        <f>IFERROR(Tb_Atualizações[[#This Row],[% EXECUTADO]]/Tb_Atualizações[[#This Row],[% PREVISTO]],"0%")</f>
        <v>0%</v>
      </c>
      <c r="L41" s="31" t="str" cm="1">
        <f t="array" aca="1" ref="L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1" s="30"/>
      <c r="N41" s="30"/>
      <c r="O41" s="42">
        <f t="shared" si="1"/>
        <v>2023</v>
      </c>
      <c r="P41" s="42" t="str">
        <f t="shared" si="2"/>
        <v>202308286/2022</v>
      </c>
      <c r="Q41" s="42">
        <v>1</v>
      </c>
    </row>
    <row r="42" spans="1:17" ht="30" hidden="1">
      <c r="A42" s="44" t="s">
        <v>1262</v>
      </c>
      <c r="B42" s="40" t="s">
        <v>1263</v>
      </c>
      <c r="C42" s="26" t="s">
        <v>1263</v>
      </c>
      <c r="D42" s="34">
        <v>0</v>
      </c>
      <c r="E42" s="34">
        <v>0</v>
      </c>
      <c r="F42" s="27">
        <v>44935</v>
      </c>
      <c r="G42" s="125">
        <v>44896</v>
      </c>
      <c r="H42" s="28" t="str">
        <f t="shared" si="0"/>
        <v>08285/202244896</v>
      </c>
      <c r="I42" s="38" t="str">
        <f>IFERROR(INDEX(Projetos!$M$2:$M$129,MATCH(Atualizações!A42,Projetos!$A$2:$A$129,0))," ")</f>
        <v xml:space="preserve"> </v>
      </c>
      <c r="J42" s="31"/>
      <c r="K42" s="344" t="str">
        <f>IFERROR(Tb_Atualizações[[#This Row],[% EXECUTADO]]/Tb_Atualizações[[#This Row],[% PREVISTO]],"0%")</f>
        <v>0%</v>
      </c>
      <c r="L42" s="31" t="str" cm="1">
        <f t="array" aca="1" ref="L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2" s="29"/>
      <c r="N42" s="30"/>
      <c r="O42" s="42">
        <f t="shared" si="1"/>
        <v>2023</v>
      </c>
      <c r="P42" s="42" t="str">
        <f t="shared" si="2"/>
        <v>202308285/2022</v>
      </c>
      <c r="Q42" s="42">
        <v>1</v>
      </c>
    </row>
    <row r="43" spans="1:17" ht="45" hidden="1">
      <c r="A43" s="44"/>
      <c r="B43" s="40" t="s">
        <v>1264</v>
      </c>
      <c r="C43" s="26" t="s">
        <v>1264</v>
      </c>
      <c r="D43" s="34">
        <v>0.97</v>
      </c>
      <c r="E43" s="34">
        <v>0.97</v>
      </c>
      <c r="F43" s="27">
        <v>44939</v>
      </c>
      <c r="G43" s="125">
        <v>44896</v>
      </c>
      <c r="H43" s="28" t="str">
        <f t="shared" si="0"/>
        <v>44896</v>
      </c>
      <c r="I43" s="38" t="str">
        <f>IFERROR(INDEX(Projetos!$M$2:$M$129,MATCH(Atualizações!A43,Projetos!$A$2:$A$129,0))," ")</f>
        <v xml:space="preserve"> </v>
      </c>
      <c r="J43" s="31" t="s">
        <v>1265</v>
      </c>
      <c r="K43" s="344">
        <f>IFERROR(Tb_Atualizações[[#This Row],[% EXECUTADO]]/Tb_Atualizações[[#This Row],[% PREVISTO]],"0%")</f>
        <v>1</v>
      </c>
      <c r="L43" s="31" t="str" cm="1">
        <f t="array" aca="1" ref="L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 s="30"/>
      <c r="N43" s="30"/>
      <c r="O43" s="42">
        <f t="shared" si="1"/>
        <v>2023</v>
      </c>
      <c r="P43" s="42" t="str">
        <f t="shared" si="2"/>
        <v>2023</v>
      </c>
      <c r="Q43" s="42">
        <v>1</v>
      </c>
    </row>
    <row r="44" spans="1:17" ht="30" hidden="1">
      <c r="A44" s="44" t="s">
        <v>97</v>
      </c>
      <c r="B44" s="312" t="str">
        <f>IFERROR(INDEX(Projetos!$B$3:$B$129,MATCH(A44,Projetos!$A$3:$A$129,0))," ")</f>
        <v>Execução Fiscal - Automação e Governança</v>
      </c>
      <c r="C44" s="26" t="s">
        <v>98</v>
      </c>
      <c r="D44" s="34">
        <v>0.94</v>
      </c>
      <c r="E44" s="34">
        <v>0.94</v>
      </c>
      <c r="F44" s="27">
        <v>44945</v>
      </c>
      <c r="G44" s="125">
        <v>44927</v>
      </c>
      <c r="H44" s="28" t="str">
        <f t="shared" si="0"/>
        <v>00535/201944927</v>
      </c>
      <c r="I44" s="38">
        <f>IFERROR(INDEX(Projetos!$M$2:$M$129,MATCH(Atualizações!A44,Projetos!$A$2:$A$129,0))," ")</f>
        <v>45930</v>
      </c>
      <c r="J44" s="31"/>
      <c r="K44" s="344">
        <f>IFERROR(Tb_Atualizações[[#This Row],[% EXECUTADO]]/Tb_Atualizações[[#This Row],[% PREVISTO]],"0%")</f>
        <v>1</v>
      </c>
      <c r="L44" s="31" t="str" cm="1">
        <f t="array" aca="1" ref="L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4" s="30"/>
      <c r="N44" s="30"/>
      <c r="O44" s="42">
        <f t="shared" si="1"/>
        <v>2023</v>
      </c>
      <c r="P44" s="42" t="str">
        <f t="shared" si="2"/>
        <v>202300535/2019</v>
      </c>
      <c r="Q44" s="42">
        <v>1</v>
      </c>
    </row>
    <row r="45" spans="1:17" ht="30" hidden="1">
      <c r="A45" s="44"/>
      <c r="B45" s="40"/>
      <c r="C45" s="26" t="s">
        <v>1266</v>
      </c>
      <c r="D45" s="34">
        <v>1</v>
      </c>
      <c r="E45" s="34">
        <v>1</v>
      </c>
      <c r="F45" s="27">
        <v>44952</v>
      </c>
      <c r="G45" s="125">
        <v>44927</v>
      </c>
      <c r="H45" s="28" t="str">
        <f t="shared" si="0"/>
        <v>44927</v>
      </c>
      <c r="I45" s="38" t="str">
        <f>IFERROR(INDEX(Projetos!$M$2:$M$129,MATCH(Atualizações!A45,Projetos!$A$2:$A$129,0))," ")</f>
        <v xml:space="preserve"> </v>
      </c>
      <c r="J45" s="31"/>
      <c r="K45" s="344">
        <f>IFERROR(Tb_Atualizações[[#This Row],[% EXECUTADO]]/Tb_Atualizações[[#This Row],[% PREVISTO]],"0%")</f>
        <v>1</v>
      </c>
      <c r="L45" s="31" t="str" cm="1">
        <f t="array" aca="1" ref="L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5" s="29"/>
      <c r="N45" s="30"/>
      <c r="O45" s="42">
        <f t="shared" si="1"/>
        <v>2023</v>
      </c>
      <c r="P45" s="42" t="str">
        <f t="shared" si="2"/>
        <v>2023</v>
      </c>
      <c r="Q45" s="42">
        <v>1</v>
      </c>
    </row>
    <row r="46" spans="1:17" ht="60" hidden="1">
      <c r="A46" s="44" t="s">
        <v>570</v>
      </c>
      <c r="B46" s="312" t="str">
        <f>IFERROR(INDEX(Projetos!$B$3:$B$129,MATCH(A46,Projetos!$A$3:$A$129,0))," ")</f>
        <v>Repositório Anticorrupção e Tecnologia do Poder Judiciário</v>
      </c>
      <c r="C46" s="26" t="s">
        <v>1267</v>
      </c>
      <c r="D46" s="34">
        <v>0</v>
      </c>
      <c r="E46" s="34">
        <v>0</v>
      </c>
      <c r="F46" s="27">
        <v>44953</v>
      </c>
      <c r="G46" s="125">
        <v>44896</v>
      </c>
      <c r="H46" s="28" t="str">
        <f t="shared" si="0"/>
        <v>10157/202244896</v>
      </c>
      <c r="I46" s="38">
        <f>IFERROR(INDEX(Projetos!$M$2:$M$129,MATCH(Atualizações!A46,Projetos!$A$2:$A$129,0))," ")</f>
        <v>45565</v>
      </c>
      <c r="J46" s="31"/>
      <c r="K46" s="344" t="str">
        <f>IFERROR(Tb_Atualizações[[#This Row],[% EXECUTADO]]/Tb_Atualizações[[#This Row],[% PREVISTO]],"0%")</f>
        <v>0%</v>
      </c>
      <c r="L46" s="31" t="str" cm="1">
        <f t="array" aca="1" ref="L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6" s="30"/>
      <c r="N46" s="30"/>
      <c r="O46" s="42">
        <f t="shared" si="1"/>
        <v>2023</v>
      </c>
      <c r="P46" s="42" t="str">
        <f t="shared" si="2"/>
        <v>202310157/2022</v>
      </c>
      <c r="Q46" s="42">
        <v>1</v>
      </c>
    </row>
    <row r="47" spans="1:17" ht="105" hidden="1">
      <c r="A47" s="44" t="s">
        <v>369</v>
      </c>
      <c r="B47" s="312" t="str">
        <f>IFERROR(INDEX(Projetos!$B$3:$B$129,MATCH(A47,Projetos!$A$3:$A$129,0))," ")</f>
        <v>Aperfeiçoamento funcional em temáticas prioritárias para o CNJ e para Justiça Federal (cursos, capacitações, metodologias e ferramentas)</v>
      </c>
      <c r="C47" s="26" t="s">
        <v>370</v>
      </c>
      <c r="D47" s="34">
        <v>0.73799999999999999</v>
      </c>
      <c r="E47" s="34">
        <v>0.749</v>
      </c>
      <c r="F47" s="27">
        <v>44956</v>
      </c>
      <c r="G47" s="125">
        <v>44927</v>
      </c>
      <c r="H47" s="28" t="str">
        <f t="shared" si="0"/>
        <v>03559/202144927</v>
      </c>
      <c r="I47" s="38">
        <f>IFERROR(INDEX(Projetos!$M$2:$M$129,MATCH(Atualizações!A47,Projetos!$A$2:$A$129,0))," ")</f>
        <v>45351</v>
      </c>
      <c r="J47" s="31"/>
      <c r="K47" s="344">
        <f>IFERROR(Tb_Atualizações[[#This Row],[% EXECUTADO]]/Tb_Atualizações[[#This Row],[% PREVISTO]],"0%")</f>
        <v>1.0149051490514904</v>
      </c>
      <c r="L47" s="31" t="str" cm="1">
        <f t="array" aca="1" ref="L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7" s="30"/>
      <c r="N47" s="30"/>
      <c r="O47" s="42">
        <f t="shared" si="1"/>
        <v>2023</v>
      </c>
      <c r="P47" s="42" t="str">
        <f t="shared" si="2"/>
        <v>202303559/2021</v>
      </c>
      <c r="Q47" s="42">
        <v>1</v>
      </c>
    </row>
    <row r="48" spans="1:17" ht="45" hidden="1">
      <c r="A48" s="44" t="s">
        <v>502</v>
      </c>
      <c r="B48" s="312" t="str">
        <f>IFERROR(INDEX(Projetos!$B$3:$B$129,MATCH(A48,Projetos!$A$3:$A$129,0))," ")</f>
        <v>Plano Nacional de Inovação no Poder Judiciário</v>
      </c>
      <c r="C48" s="26" t="s">
        <v>503</v>
      </c>
      <c r="D48" s="34">
        <v>0.61299999999999999</v>
      </c>
      <c r="E48" s="34">
        <v>0.54600000000000004</v>
      </c>
      <c r="F48" s="27">
        <v>44956</v>
      </c>
      <c r="G48" s="125">
        <v>44927</v>
      </c>
      <c r="H48" s="28" t="str">
        <f t="shared" si="0"/>
        <v>09081/202244927</v>
      </c>
      <c r="I48" s="38">
        <f>IFERROR(INDEX(Projetos!$M$2:$M$129,MATCH(Atualizações!A48,Projetos!$A$2:$A$129,0))," ")</f>
        <v>45321</v>
      </c>
      <c r="J48" s="31"/>
      <c r="K48" s="344">
        <f>IFERROR(Tb_Atualizações[[#This Row],[% EXECUTADO]]/Tb_Atualizações[[#This Row],[% PREVISTO]],"0%")</f>
        <v>0.89070146818923335</v>
      </c>
      <c r="L48" s="31" t="str" cm="1">
        <f t="array" aca="1" ref="L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8" s="30"/>
      <c r="N48" s="30"/>
      <c r="O48" s="42">
        <f t="shared" si="1"/>
        <v>2023</v>
      </c>
      <c r="P48" s="42" t="str">
        <f t="shared" si="2"/>
        <v>202309081/2022</v>
      </c>
      <c r="Q48" s="42">
        <v>1</v>
      </c>
    </row>
    <row r="49" spans="1:17" ht="60" hidden="1">
      <c r="A49" s="44" t="s">
        <v>341</v>
      </c>
      <c r="B49" s="312" t="str">
        <f>IFERROR(INDEX(Projetos!$B$3:$B$129,MATCH(A49,Projetos!$A$3:$A$129,0))," ")</f>
        <v>PMO Jud -Redesenho dos processos do Escritório de Projetos do CNJ</v>
      </c>
      <c r="C49" s="26" t="s">
        <v>1257</v>
      </c>
      <c r="D49" s="34">
        <v>0.94</v>
      </c>
      <c r="E49" s="34">
        <v>0.93899999999999995</v>
      </c>
      <c r="F49" s="27">
        <v>44958</v>
      </c>
      <c r="G49" s="125">
        <v>44927</v>
      </c>
      <c r="H49" s="28" t="str">
        <f t="shared" si="0"/>
        <v>03096/202144927</v>
      </c>
      <c r="I49" s="38">
        <f>IFERROR(INDEX(Projetos!$M$2:$M$129,MATCH(Atualizações!A49,Projetos!$A$2:$A$129,0))," ")</f>
        <v>45291</v>
      </c>
      <c r="J49" s="31"/>
      <c r="K49" s="344">
        <f>IFERROR(Tb_Atualizações[[#This Row],[% EXECUTADO]]/Tb_Atualizações[[#This Row],[% PREVISTO]],"0%")</f>
        <v>0.99893617021276593</v>
      </c>
      <c r="L49" s="31" t="str" cm="1">
        <f t="array" aca="1" ref="L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9" s="29"/>
      <c r="N49" s="30"/>
      <c r="O49" s="42">
        <f t="shared" si="1"/>
        <v>2023</v>
      </c>
      <c r="P49" s="42" t="str">
        <f t="shared" si="2"/>
        <v>202303096/2021</v>
      </c>
      <c r="Q49" s="42">
        <v>1</v>
      </c>
    </row>
    <row r="50" spans="1:17" ht="45" hidden="1">
      <c r="A50" s="44" t="s">
        <v>1249</v>
      </c>
      <c r="B50" s="312" t="str">
        <f>IFERROR(INDEX(Projetos!$B$3:$B$129,MATCH(A50,Projetos!$A$3:$A$129,0))," ")</f>
        <v xml:space="preserve"> </v>
      </c>
      <c r="C50" s="26" t="s">
        <v>1250</v>
      </c>
      <c r="D50" s="34">
        <v>0.51900000000000002</v>
      </c>
      <c r="E50" s="34">
        <v>0.501</v>
      </c>
      <c r="F50" s="27">
        <v>44959</v>
      </c>
      <c r="G50" s="125">
        <v>44927</v>
      </c>
      <c r="H50" s="28" t="str">
        <f t="shared" si="0"/>
        <v>12115/202244927</v>
      </c>
      <c r="I50" s="38" t="str">
        <f>IFERROR(INDEX(Projetos!$M$2:$M$129,MATCH(Atualizações!A50,Projetos!$A$2:$A$129,0))," ")</f>
        <v xml:space="preserve"> </v>
      </c>
      <c r="J50" s="31"/>
      <c r="K50" s="344">
        <f>IFERROR(Tb_Atualizações[[#This Row],[% EXECUTADO]]/Tb_Atualizações[[#This Row],[% PREVISTO]],"0%")</f>
        <v>0.96531791907514453</v>
      </c>
      <c r="L50" s="31" t="str" cm="1">
        <f t="array" aca="1" ref="L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0" s="30"/>
      <c r="N50" s="30"/>
      <c r="O50" s="42">
        <f t="shared" si="1"/>
        <v>2023</v>
      </c>
      <c r="P50" s="42" t="str">
        <f t="shared" si="2"/>
        <v>202312115/2022</v>
      </c>
      <c r="Q50" s="42">
        <v>1</v>
      </c>
    </row>
    <row r="51" spans="1:17" ht="60" hidden="1">
      <c r="A51" s="44" t="s">
        <v>436</v>
      </c>
      <c r="B51" s="312" t="str">
        <f>IFERROR(INDEX(Projetos!$B$3:$B$129,MATCH(A51,Projetos!$A$3:$A$129,0))," ")</f>
        <v>Sensibilização e Formação em Integridade e Compliance no Poder Judiciário</v>
      </c>
      <c r="C51" s="26" t="s">
        <v>437</v>
      </c>
      <c r="D51" s="34">
        <v>0.33</v>
      </c>
      <c r="E51" s="34">
        <v>0.35499999999999998</v>
      </c>
      <c r="F51" s="27">
        <v>44959</v>
      </c>
      <c r="G51" s="125">
        <v>44927</v>
      </c>
      <c r="H51" s="28" t="str">
        <f t="shared" si="0"/>
        <v>07855/202244927</v>
      </c>
      <c r="I51" s="38">
        <f>IFERROR(INDEX(Projetos!$M$2:$M$129,MATCH(Atualizações!A51,Projetos!$A$2:$A$129,0))," ")</f>
        <v>45412</v>
      </c>
      <c r="J51" s="31"/>
      <c r="K51" s="344">
        <f>IFERROR(Tb_Atualizações[[#This Row],[% EXECUTADO]]/Tb_Atualizações[[#This Row],[% PREVISTO]],"0%")</f>
        <v>1.0757575757575757</v>
      </c>
      <c r="L51" s="31" t="str" cm="1">
        <f t="array" aca="1" ref="L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1" s="29"/>
      <c r="N51" s="30"/>
      <c r="O51" s="42">
        <f t="shared" si="1"/>
        <v>2023</v>
      </c>
      <c r="P51" s="42" t="str">
        <f t="shared" si="2"/>
        <v>202307855/2022</v>
      </c>
      <c r="Q51" s="42">
        <v>1</v>
      </c>
    </row>
    <row r="52" spans="1:17" hidden="1">
      <c r="A52" s="44"/>
      <c r="B52" s="40" t="s">
        <v>1260</v>
      </c>
      <c r="C52" s="26" t="s">
        <v>1260</v>
      </c>
      <c r="D52" s="34">
        <v>0.93300000000000005</v>
      </c>
      <c r="E52" s="34">
        <v>0.81599999999999995</v>
      </c>
      <c r="F52" s="27">
        <v>44963</v>
      </c>
      <c r="G52" s="125">
        <v>44927</v>
      </c>
      <c r="H52" s="28" t="str">
        <f t="shared" si="0"/>
        <v>44927</v>
      </c>
      <c r="I52" s="38" t="str">
        <f>IFERROR(INDEX(Projetos!$M$2:$M$129,MATCH(Atualizações!A52,Projetos!$A$2:$A$129,0))," ")</f>
        <v xml:space="preserve"> </v>
      </c>
      <c r="J52" s="31"/>
      <c r="K52" s="344">
        <f>IFERROR(Tb_Atualizações[[#This Row],[% EXECUTADO]]/Tb_Atualizações[[#This Row],[% PREVISTO]],"0%")</f>
        <v>0.87459807073954976</v>
      </c>
      <c r="L52" s="31" t="str" cm="1">
        <f t="array" aca="1" ref="L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2" s="29"/>
      <c r="N52" s="30"/>
      <c r="O52" s="42">
        <f t="shared" si="1"/>
        <v>2023</v>
      </c>
      <c r="P52" s="42" t="str">
        <f t="shared" si="2"/>
        <v>2023</v>
      </c>
      <c r="Q52" s="42">
        <v>1</v>
      </c>
    </row>
    <row r="53" spans="1:17" ht="15" hidden="1">
      <c r="A53" s="44" t="s">
        <v>331</v>
      </c>
      <c r="B53" s="312" t="str">
        <f>IFERROR(INDEX(Projetos!$B$3:$B$129,MATCH(A53,Projetos!$A$3:$A$129,0))," ")</f>
        <v>SNIPER - Justiça 4.0</v>
      </c>
      <c r="C53" s="26" t="s">
        <v>332</v>
      </c>
      <c r="D53" s="34">
        <v>0.995</v>
      </c>
      <c r="E53" s="34">
        <v>0.95399999999999996</v>
      </c>
      <c r="F53" s="27">
        <v>44963</v>
      </c>
      <c r="G53" s="125">
        <v>44927</v>
      </c>
      <c r="H53" s="28" t="str">
        <f t="shared" si="0"/>
        <v>02941/202144927</v>
      </c>
      <c r="I53" s="38">
        <f>IFERROR(INDEX(Projetos!$M$2:$M$129,MATCH(Atualizações!A53,Projetos!$A$2:$A$129,0))," ")</f>
        <v>45442</v>
      </c>
      <c r="J53" s="31"/>
      <c r="K53" s="344">
        <f>IFERROR(Tb_Atualizações[[#This Row],[% EXECUTADO]]/Tb_Atualizações[[#This Row],[% PREVISTO]],"0%")</f>
        <v>0.95879396984924614</v>
      </c>
      <c r="L53" s="31" t="str" cm="1">
        <f t="array" aca="1" ref="L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 s="29"/>
      <c r="N53" s="30"/>
      <c r="O53" s="42">
        <f t="shared" si="1"/>
        <v>2023</v>
      </c>
      <c r="P53" s="42" t="str">
        <f t="shared" si="2"/>
        <v>202302941/2021</v>
      </c>
      <c r="Q53" s="42">
        <v>1</v>
      </c>
    </row>
    <row r="54" spans="1:17" ht="45" hidden="1">
      <c r="A54" s="44"/>
      <c r="B54" s="40" t="s">
        <v>1268</v>
      </c>
      <c r="C54" s="26" t="s">
        <v>1268</v>
      </c>
      <c r="D54" s="34">
        <v>0.93200000000000005</v>
      </c>
      <c r="E54" s="34">
        <v>0.60099999999999998</v>
      </c>
      <c r="F54" s="27">
        <v>44967</v>
      </c>
      <c r="G54" s="125">
        <v>44958</v>
      </c>
      <c r="H54" s="28" t="str">
        <f t="shared" si="0"/>
        <v>44958</v>
      </c>
      <c r="I54" s="38" t="str">
        <f>IFERROR(INDEX(Projetos!$M$2:$M$129,MATCH(Atualizações!A54,Projetos!$A$2:$A$129,0))," ")</f>
        <v xml:space="preserve"> </v>
      </c>
      <c r="J54" s="31"/>
      <c r="K54" s="344">
        <f>IFERROR(Tb_Atualizações[[#This Row],[% EXECUTADO]]/Tb_Atualizações[[#This Row],[% PREVISTO]],"0%")</f>
        <v>0.64484978540772531</v>
      </c>
      <c r="L54" s="31" t="str" cm="1">
        <f t="array" aca="1" ref="L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4" s="30"/>
      <c r="N54" s="30"/>
      <c r="O54" s="42">
        <f t="shared" si="1"/>
        <v>2023</v>
      </c>
      <c r="P54" s="42" t="str">
        <f t="shared" si="2"/>
        <v>2023</v>
      </c>
      <c r="Q54" s="42">
        <v>1</v>
      </c>
    </row>
    <row r="55" spans="1:17" ht="45" hidden="1">
      <c r="A55" s="44" t="s">
        <v>358</v>
      </c>
      <c r="B55" s="312" t="str">
        <f>IFERROR(INDEX(Projetos!$B$3:$B$129,MATCH(A55,Projetos!$A$3:$A$129,0))," ")</f>
        <v>Prevjud - Automação de Processos Previdenciários - Justiça 4.0</v>
      </c>
      <c r="C55" s="26" t="s">
        <v>359</v>
      </c>
      <c r="D55" s="34">
        <v>0.98099999999999998</v>
      </c>
      <c r="E55" s="34">
        <v>0.871</v>
      </c>
      <c r="F55" s="27">
        <v>44970</v>
      </c>
      <c r="G55" s="125">
        <v>44927</v>
      </c>
      <c r="H55" s="28" t="str">
        <f t="shared" si="0"/>
        <v>03558/202144927</v>
      </c>
      <c r="I55" s="38" t="str">
        <f>IFERROR(INDEX(Projetos!$M$2:$M$129,MATCH(Atualizações!A55,Projetos!$A$2:$A$129,0))," ")</f>
        <v>31/03/2026</v>
      </c>
      <c r="J55" s="31"/>
      <c r="K55" s="344">
        <f>IFERROR(Tb_Atualizações[[#This Row],[% EXECUTADO]]/Tb_Atualizações[[#This Row],[% PREVISTO]],"0%")</f>
        <v>0.88786952089704385</v>
      </c>
      <c r="L55" s="31" t="str" cm="1">
        <f t="array" aca="1" ref="L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5" s="29"/>
      <c r="N55" s="30"/>
      <c r="O55" s="42">
        <f t="shared" si="1"/>
        <v>2023</v>
      </c>
      <c r="P55" s="42" t="str">
        <f t="shared" si="2"/>
        <v>202303558/2021</v>
      </c>
      <c r="Q55" s="42">
        <v>1</v>
      </c>
    </row>
    <row r="56" spans="1:17" ht="45" hidden="1">
      <c r="A56" s="44"/>
      <c r="B56" s="40" t="s">
        <v>1264</v>
      </c>
      <c r="C56" s="26" t="s">
        <v>1264</v>
      </c>
      <c r="D56" s="34">
        <v>0.97</v>
      </c>
      <c r="E56" s="34">
        <v>0.95</v>
      </c>
      <c r="F56" s="27">
        <v>44981</v>
      </c>
      <c r="G56" s="125">
        <v>44958</v>
      </c>
      <c r="H56" s="28" t="str">
        <f t="shared" si="0"/>
        <v>44958</v>
      </c>
      <c r="I56" s="38" t="str">
        <f>IFERROR(INDEX(Projetos!$M$2:$M$129,MATCH(Atualizações!A56,Projetos!$A$2:$A$129,0))," ")</f>
        <v xml:space="preserve"> </v>
      </c>
      <c r="J56" s="31" t="s">
        <v>1265</v>
      </c>
      <c r="K56" s="344">
        <f>IFERROR(Tb_Atualizações[[#This Row],[% EXECUTADO]]/Tb_Atualizações[[#This Row],[% PREVISTO]],"0%")</f>
        <v>0.97938144329896903</v>
      </c>
      <c r="L56" s="31" t="str" cm="1">
        <f t="array" aca="1" ref="L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6" s="30"/>
      <c r="N56" s="30"/>
      <c r="O56" s="42">
        <f t="shared" si="1"/>
        <v>2023</v>
      </c>
      <c r="P56" s="42" t="str">
        <f t="shared" si="2"/>
        <v>2023</v>
      </c>
      <c r="Q56" s="42">
        <v>1</v>
      </c>
    </row>
    <row r="57" spans="1:17" ht="30" hidden="1">
      <c r="A57" s="44" t="s">
        <v>1240</v>
      </c>
      <c r="B57" s="40" t="s">
        <v>1241</v>
      </c>
      <c r="C57" s="26" t="s">
        <v>1241</v>
      </c>
      <c r="D57" s="34">
        <v>1</v>
      </c>
      <c r="E57" s="34">
        <v>1</v>
      </c>
      <c r="F57" s="27">
        <v>44984</v>
      </c>
      <c r="G57" s="125">
        <v>44958</v>
      </c>
      <c r="H57" s="28" t="str">
        <f t="shared" si="0"/>
        <v>00513/202044958</v>
      </c>
      <c r="I57" s="38" t="str">
        <f>IFERROR(INDEX(Projetos!$M$2:$M$129,MATCH(Atualizações!A57,Projetos!$A$2:$A$129,0))," ")</f>
        <v xml:space="preserve"> </v>
      </c>
      <c r="J57" s="60"/>
      <c r="K57" s="344">
        <f>IFERROR(Tb_Atualizações[[#This Row],[% EXECUTADO]]/Tb_Atualizações[[#This Row],[% PREVISTO]],"0%")</f>
        <v>1</v>
      </c>
      <c r="L57" s="31" t="str" cm="1">
        <f t="array" aca="1" ref="L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7" s="30"/>
      <c r="N57" s="30"/>
      <c r="O57" s="42">
        <f t="shared" si="1"/>
        <v>2023</v>
      </c>
      <c r="P57" s="42" t="str">
        <f t="shared" si="2"/>
        <v>202300513/2020</v>
      </c>
      <c r="Q57" s="42">
        <v>1</v>
      </c>
    </row>
    <row r="58" spans="1:17" ht="75" hidden="1">
      <c r="A58" s="44"/>
      <c r="B58" s="40" t="s">
        <v>1251</v>
      </c>
      <c r="C58" s="26" t="s">
        <v>1251</v>
      </c>
      <c r="D58" s="34">
        <v>1</v>
      </c>
      <c r="E58" s="34">
        <v>1</v>
      </c>
      <c r="F58" s="27">
        <v>44984</v>
      </c>
      <c r="G58" s="125">
        <v>44958</v>
      </c>
      <c r="H58" s="28" t="str">
        <f t="shared" si="0"/>
        <v>44958</v>
      </c>
      <c r="I58" s="38" t="str">
        <f>IFERROR(INDEX(Projetos!$M$2:$M$129,MATCH(Atualizações!A58,Projetos!$A$2:$A$129,0))," ")</f>
        <v xml:space="preserve"> </v>
      </c>
      <c r="J58" s="31"/>
      <c r="K58" s="344">
        <f>IFERROR(Tb_Atualizações[[#This Row],[% EXECUTADO]]/Tb_Atualizações[[#This Row],[% PREVISTO]],"0%")</f>
        <v>1</v>
      </c>
      <c r="L58" s="31" t="str" cm="1">
        <f t="array" aca="1" ref="L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8" s="30"/>
      <c r="N58" s="30"/>
      <c r="O58" s="42">
        <f t="shared" si="1"/>
        <v>2023</v>
      </c>
      <c r="P58" s="42" t="str">
        <f t="shared" si="2"/>
        <v>2023</v>
      </c>
      <c r="Q58" s="42">
        <v>1</v>
      </c>
    </row>
    <row r="59" spans="1:17" ht="45" hidden="1">
      <c r="A59" s="44"/>
      <c r="B59" s="40" t="s">
        <v>1252</v>
      </c>
      <c r="C59" s="26" t="s">
        <v>1252</v>
      </c>
      <c r="D59" s="34">
        <v>0.99</v>
      </c>
      <c r="E59" s="34">
        <v>0.9</v>
      </c>
      <c r="F59" s="27">
        <v>44984</v>
      </c>
      <c r="G59" s="125">
        <v>44958</v>
      </c>
      <c r="H59" s="28" t="str">
        <f t="shared" si="0"/>
        <v>44958</v>
      </c>
      <c r="I59" s="38" t="str">
        <f>IFERROR(INDEX(Projetos!$M$2:$M$129,MATCH(Atualizações!A59,Projetos!$A$2:$A$129,0))," ")</f>
        <v xml:space="preserve"> </v>
      </c>
      <c r="J59" s="31"/>
      <c r="K59" s="344">
        <f>IFERROR(Tb_Atualizações[[#This Row],[% EXECUTADO]]/Tb_Atualizações[[#This Row],[% PREVISTO]],"0%")</f>
        <v>0.90909090909090917</v>
      </c>
      <c r="L59" s="31" t="str" cm="1">
        <f t="array" aca="1" ref="L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9" s="30"/>
      <c r="N59" s="30"/>
      <c r="O59" s="42">
        <f t="shared" si="1"/>
        <v>2023</v>
      </c>
      <c r="P59" s="42" t="str">
        <f t="shared" si="2"/>
        <v>2023</v>
      </c>
      <c r="Q59" s="42">
        <v>1</v>
      </c>
    </row>
    <row r="60" spans="1:17" ht="105" hidden="1">
      <c r="A60" s="44" t="s">
        <v>369</v>
      </c>
      <c r="B60" s="312" t="str">
        <f>IFERROR(INDEX(Projetos!$B$3:$B$129,MATCH(A60,Projetos!$A$3:$A$129,0))," ")</f>
        <v>Aperfeiçoamento funcional em temáticas prioritárias para o CNJ e para Justiça Federal (cursos, capacitações, metodologias e ferramentas)</v>
      </c>
      <c r="C60" s="26" t="s">
        <v>370</v>
      </c>
      <c r="D60" s="34">
        <v>0.77400000000000002</v>
      </c>
      <c r="E60" s="34">
        <v>0.76600000000000001</v>
      </c>
      <c r="F60" s="27">
        <v>44985</v>
      </c>
      <c r="G60" s="125">
        <v>44958</v>
      </c>
      <c r="H60" s="28" t="str">
        <f t="shared" si="0"/>
        <v>03559/202144958</v>
      </c>
      <c r="I60" s="38">
        <f>IFERROR(INDEX(Projetos!$M$2:$M$129,MATCH(Atualizações!A60,Projetos!$A$2:$A$129,0))," ")</f>
        <v>45351</v>
      </c>
      <c r="J60" s="31"/>
      <c r="K60" s="344">
        <f>IFERROR(Tb_Atualizações[[#This Row],[% EXECUTADO]]/Tb_Atualizações[[#This Row],[% PREVISTO]],"0%")</f>
        <v>0.98966408268733852</v>
      </c>
      <c r="L60" s="31" t="str" cm="1">
        <f t="array" aca="1" ref="L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 s="30"/>
      <c r="N60" s="30"/>
      <c r="O60" s="42">
        <f t="shared" si="1"/>
        <v>2023</v>
      </c>
      <c r="P60" s="42" t="str">
        <f t="shared" si="2"/>
        <v>202303559/2021</v>
      </c>
      <c r="Q60" s="42">
        <v>1</v>
      </c>
    </row>
    <row r="61" spans="1:17" ht="45" hidden="1">
      <c r="A61" s="44"/>
      <c r="B61" s="40" t="s">
        <v>1256</v>
      </c>
      <c r="C61" s="26" t="s">
        <v>1256</v>
      </c>
      <c r="D61" s="34">
        <v>0.72</v>
      </c>
      <c r="E61" s="34">
        <v>0.69</v>
      </c>
      <c r="F61" s="27">
        <v>44986</v>
      </c>
      <c r="G61" s="125">
        <v>44958</v>
      </c>
      <c r="H61" s="28" t="str">
        <f t="shared" si="0"/>
        <v>44958</v>
      </c>
      <c r="I61" s="38" t="str">
        <f>IFERROR(INDEX(Projetos!$M$2:$M$129,MATCH(Atualizações!A61,Projetos!$A$2:$A$129,0))," ")</f>
        <v xml:space="preserve"> </v>
      </c>
      <c r="J61" s="31" t="s">
        <v>1269</v>
      </c>
      <c r="K61" s="344">
        <f>IFERROR(Tb_Atualizações[[#This Row],[% EXECUTADO]]/Tb_Atualizações[[#This Row],[% PREVISTO]],"0%")</f>
        <v>0.95833333333333326</v>
      </c>
      <c r="L61" s="31" t="str" cm="1">
        <f t="array" aca="1" ref="L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 s="30"/>
      <c r="N61" s="30"/>
      <c r="O61" s="42">
        <f t="shared" si="1"/>
        <v>2023</v>
      </c>
      <c r="P61" s="42" t="str">
        <f t="shared" si="2"/>
        <v>2023</v>
      </c>
      <c r="Q61" s="42">
        <v>1</v>
      </c>
    </row>
    <row r="62" spans="1:17" ht="30.75" hidden="1">
      <c r="A62" s="44" t="s">
        <v>350</v>
      </c>
      <c r="B62" s="312" t="str">
        <f>IFERROR(INDEX(Projetos!$B$3:$B$129,MATCH(A62,Projetos!$A$3:$A$129,0))," ")</f>
        <v>Painel de Estatística   - Justiça 4.0</v>
      </c>
      <c r="C62" s="26" t="s">
        <v>1255</v>
      </c>
      <c r="D62" s="34">
        <v>1</v>
      </c>
      <c r="E62" s="34">
        <v>0.89100000000000001</v>
      </c>
      <c r="F62" s="27">
        <v>44987</v>
      </c>
      <c r="G62" s="125">
        <v>44958</v>
      </c>
      <c r="H62" s="28" t="str">
        <f t="shared" si="0"/>
        <v>03545/202144958</v>
      </c>
      <c r="I62" s="38">
        <f>IFERROR(INDEX(Projetos!$M$2:$M$129,MATCH(Atualizações!A62,Projetos!$A$2:$A$129,0))," ")</f>
        <v>46387</v>
      </c>
      <c r="J62" s="31"/>
      <c r="K62" s="344">
        <f>IFERROR(Tb_Atualizações[[#This Row],[% EXECUTADO]]/Tb_Atualizações[[#This Row],[% PREVISTO]],"0%")</f>
        <v>0.89100000000000001</v>
      </c>
      <c r="L62" s="31" t="str" cm="1">
        <f t="array" aca="1" ref="L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2" s="30"/>
      <c r="N62" s="30"/>
      <c r="O62" s="42">
        <f t="shared" si="1"/>
        <v>2023</v>
      </c>
      <c r="P62" s="42" t="str">
        <f t="shared" si="2"/>
        <v>202303545/2021</v>
      </c>
      <c r="Q62" s="42">
        <v>1</v>
      </c>
    </row>
    <row r="63" spans="1:17" ht="45" hidden="1">
      <c r="A63" s="44" t="s">
        <v>1249</v>
      </c>
      <c r="B63" s="312" t="str">
        <f>IFERROR(INDEX(Projetos!$B$3:$B$129,MATCH(A63,Projetos!$A$3:$A$129,0))," ")</f>
        <v xml:space="preserve"> </v>
      </c>
      <c r="C63" s="26" t="s">
        <v>1250</v>
      </c>
      <c r="D63" s="34">
        <v>0.61799999999999999</v>
      </c>
      <c r="E63" s="34">
        <v>0.60699999999999998</v>
      </c>
      <c r="F63" s="27">
        <v>44988</v>
      </c>
      <c r="G63" s="125">
        <v>44958</v>
      </c>
      <c r="H63" s="28" t="str">
        <f t="shared" si="0"/>
        <v>12115/202244958</v>
      </c>
      <c r="I63" s="38" t="str">
        <f>IFERROR(INDEX(Projetos!$M$2:$M$129,MATCH(Atualizações!A63,Projetos!$A$2:$A$129,0))," ")</f>
        <v xml:space="preserve"> </v>
      </c>
      <c r="J63" s="31"/>
      <c r="K63" s="344">
        <f>IFERROR(Tb_Atualizações[[#This Row],[% EXECUTADO]]/Tb_Atualizações[[#This Row],[% PREVISTO]],"0%")</f>
        <v>0.98220064724919087</v>
      </c>
      <c r="L63" s="31" t="str" cm="1">
        <f t="array" aca="1" ref="L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 s="30"/>
      <c r="N63" s="30"/>
      <c r="O63" s="42">
        <f t="shared" si="1"/>
        <v>2023</v>
      </c>
      <c r="P63" s="42" t="str">
        <f t="shared" si="2"/>
        <v>202312115/2022</v>
      </c>
      <c r="Q63" s="42">
        <v>1</v>
      </c>
    </row>
    <row r="64" spans="1:17" ht="105" hidden="1">
      <c r="A64" s="44" t="s">
        <v>425</v>
      </c>
      <c r="B64" s="312" t="str">
        <f>IFERROR(INDEX(Projetos!$B$3:$B$129,MATCH(A64,Projetos!$A$3:$A$129,0))," ")</f>
        <v>Diagnóstico sobre a otimização dos processos de trabalho no Poder Judiciário em face da implementação das Políticas Tecnológicas do Programa Justiça 4.0.</v>
      </c>
      <c r="C64" s="26" t="s">
        <v>426</v>
      </c>
      <c r="D64" s="34">
        <v>0.39400000000000002</v>
      </c>
      <c r="E64" s="34">
        <v>0.35499999999999998</v>
      </c>
      <c r="F64" s="27">
        <v>44988</v>
      </c>
      <c r="G64" s="125">
        <v>44958</v>
      </c>
      <c r="H64" s="28" t="str">
        <f t="shared" si="0"/>
        <v>06767/202244958</v>
      </c>
      <c r="I64" s="38">
        <f>IFERROR(INDEX(Projetos!$M$2:$M$129,MATCH(Atualizações!A64,Projetos!$A$2:$A$129,0))," ")</f>
        <v>45605</v>
      </c>
      <c r="J64" s="31"/>
      <c r="K64" s="344">
        <f>IFERROR(Tb_Atualizações[[#This Row],[% EXECUTADO]]/Tb_Atualizações[[#This Row],[% PREVISTO]],"0%")</f>
        <v>0.90101522842639581</v>
      </c>
      <c r="L64" s="31" t="str" cm="1">
        <f t="array" aca="1" ref="L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4" s="30"/>
      <c r="N64" s="30"/>
      <c r="O64" s="42">
        <f t="shared" si="1"/>
        <v>2023</v>
      </c>
      <c r="P64" s="42" t="str">
        <f t="shared" si="2"/>
        <v>202306767/2022</v>
      </c>
      <c r="Q64" s="42">
        <v>1</v>
      </c>
    </row>
    <row r="65" spans="1:17" ht="45" hidden="1">
      <c r="A65" s="44" t="s">
        <v>502</v>
      </c>
      <c r="B65" s="312" t="str">
        <f>IFERROR(INDEX(Projetos!$B$3:$B$129,MATCH(A65,Projetos!$A$3:$A$129,0))," ")</f>
        <v>Plano Nacional de Inovação no Poder Judiciário</v>
      </c>
      <c r="C65" s="26" t="s">
        <v>503</v>
      </c>
      <c r="D65" s="34">
        <v>0.69899999999999995</v>
      </c>
      <c r="E65" s="34">
        <v>0.60499999999999998</v>
      </c>
      <c r="F65" s="27">
        <v>44991</v>
      </c>
      <c r="G65" s="125">
        <v>44958</v>
      </c>
      <c r="H65" s="28" t="str">
        <f t="shared" si="0"/>
        <v>09081/202244958</v>
      </c>
      <c r="I65" s="38">
        <f>IFERROR(INDEX(Projetos!$M$2:$M$129,MATCH(Atualizações!A65,Projetos!$A$2:$A$129,0))," ")</f>
        <v>45321</v>
      </c>
      <c r="J65" s="31"/>
      <c r="K65" s="344">
        <f>IFERROR(Tb_Atualizações[[#This Row],[% EXECUTADO]]/Tb_Atualizações[[#This Row],[% PREVISTO]],"0%")</f>
        <v>0.86552217453505009</v>
      </c>
      <c r="L65" s="31" t="str" cm="1">
        <f t="array" aca="1" ref="L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5" s="30"/>
      <c r="N65" s="30"/>
      <c r="O65" s="42">
        <f t="shared" si="1"/>
        <v>2023</v>
      </c>
      <c r="P65" s="42" t="str">
        <f t="shared" si="2"/>
        <v>202309081/2022</v>
      </c>
      <c r="Q65" s="42">
        <v>1</v>
      </c>
    </row>
    <row r="66" spans="1:17" ht="60" hidden="1">
      <c r="A66" s="44" t="s">
        <v>341</v>
      </c>
      <c r="B66" s="312" t="str">
        <f>IFERROR(INDEX(Projetos!$B$3:$B$129,MATCH(A66,Projetos!$A$3:$A$129,0))," ")</f>
        <v>PMO Jud -Redesenho dos processos do Escritório de Projetos do CNJ</v>
      </c>
      <c r="C66" s="26" t="s">
        <v>1257</v>
      </c>
      <c r="D66" s="34">
        <v>0.94</v>
      </c>
      <c r="E66" s="34">
        <v>0.94</v>
      </c>
      <c r="F66" s="27">
        <v>44991</v>
      </c>
      <c r="G66" s="125">
        <v>44958</v>
      </c>
      <c r="H66" s="28" t="str">
        <f t="shared" ref="H66:H129" si="3">A66&amp;G66</f>
        <v>03096/202144958</v>
      </c>
      <c r="I66" s="38">
        <f>IFERROR(INDEX(Projetos!$M$2:$M$129,MATCH(Atualizações!A66,Projetos!$A$2:$A$129,0))," ")</f>
        <v>45291</v>
      </c>
      <c r="J66" s="31"/>
      <c r="K66" s="344">
        <f>IFERROR(Tb_Atualizações[[#This Row],[% EXECUTADO]]/Tb_Atualizações[[#This Row],[% PREVISTO]],"0%")</f>
        <v>1</v>
      </c>
      <c r="L66" s="31" t="str" cm="1">
        <f t="array" aca="1" ref="L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6" s="29"/>
      <c r="N66" s="30"/>
      <c r="O66" s="42">
        <f t="shared" ref="O66:O129" si="4">YEAR(F66)</f>
        <v>2023</v>
      </c>
      <c r="P66" s="42" t="str">
        <f t="shared" ref="P66:P129" si="5">O66&amp;A66</f>
        <v>202303096/2021</v>
      </c>
      <c r="Q66" s="42">
        <v>1</v>
      </c>
    </row>
    <row r="67" spans="1:17" ht="60" hidden="1">
      <c r="A67" s="44" t="s">
        <v>436</v>
      </c>
      <c r="B67" s="312" t="str">
        <f>IFERROR(INDEX(Projetos!$B$3:$B$129,MATCH(A67,Projetos!$A$3:$A$129,0))," ")</f>
        <v>Sensibilização e Formação em Integridade e Compliance no Poder Judiciário</v>
      </c>
      <c r="C67" s="26" t="s">
        <v>437</v>
      </c>
      <c r="D67" s="34">
        <v>0.35099999999999998</v>
      </c>
      <c r="E67" s="34">
        <v>0.39600000000000002</v>
      </c>
      <c r="F67" s="27">
        <v>44991</v>
      </c>
      <c r="G67" s="125">
        <v>44958</v>
      </c>
      <c r="H67" s="28" t="str">
        <f t="shared" si="3"/>
        <v>07855/202244958</v>
      </c>
      <c r="I67" s="38">
        <f>IFERROR(INDEX(Projetos!$M$2:$M$129,MATCH(Atualizações!A67,Projetos!$A$2:$A$129,0))," ")</f>
        <v>45412</v>
      </c>
      <c r="J67" s="31"/>
      <c r="K67" s="344">
        <f>IFERROR(Tb_Atualizações[[#This Row],[% EXECUTADO]]/Tb_Atualizações[[#This Row],[% PREVISTO]],"0%")</f>
        <v>1.1282051282051284</v>
      </c>
      <c r="L67" s="31" t="str" cm="1">
        <f t="array" aca="1" ref="L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7" s="29"/>
      <c r="N67" s="30"/>
      <c r="O67" s="42">
        <f t="shared" si="4"/>
        <v>2023</v>
      </c>
      <c r="P67" s="42" t="str">
        <f t="shared" si="5"/>
        <v>202307855/2022</v>
      </c>
      <c r="Q67" s="42">
        <v>1</v>
      </c>
    </row>
    <row r="68" spans="1:17" ht="15" hidden="1">
      <c r="A68" s="44" t="s">
        <v>487</v>
      </c>
      <c r="B68" s="312" t="str">
        <f>IFERROR(INDEX(Projetos!$B$3:$B$129,MATCH(A68,Projetos!$A$3:$A$129,0))," ")</f>
        <v>Demandas Complexas</v>
      </c>
      <c r="C68" s="26" t="s">
        <v>488</v>
      </c>
      <c r="D68" s="34">
        <v>4.3999999999999997E-2</v>
      </c>
      <c r="E68" s="34">
        <v>3.85E-2</v>
      </c>
      <c r="F68" s="27">
        <v>44995</v>
      </c>
      <c r="G68" s="125">
        <v>44958</v>
      </c>
      <c r="H68" s="28" t="str">
        <f t="shared" si="3"/>
        <v>08610/202244958</v>
      </c>
      <c r="I68" s="38">
        <f>IFERROR(INDEX(Projetos!$M$2:$M$129,MATCH(Atualizações!A68,Projetos!$A$2:$A$129,0))," ")</f>
        <v>45913</v>
      </c>
      <c r="J68" s="31"/>
      <c r="K68" s="344">
        <f>IFERROR(Tb_Atualizações[[#This Row],[% EXECUTADO]]/Tb_Atualizações[[#This Row],[% PREVISTO]],"0%")</f>
        <v>0.875</v>
      </c>
      <c r="L68" s="31" t="str" cm="1">
        <f t="array" aca="1" ref="L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8" s="30"/>
      <c r="N68" s="30"/>
      <c r="O68" s="42">
        <f t="shared" si="4"/>
        <v>2023</v>
      </c>
      <c r="P68" s="42" t="str">
        <f t="shared" si="5"/>
        <v>202308610/2022</v>
      </c>
      <c r="Q68" s="42">
        <v>1</v>
      </c>
    </row>
    <row r="69" spans="1:17" ht="45" hidden="1">
      <c r="A69" s="44"/>
      <c r="B69" s="40" t="s">
        <v>1239</v>
      </c>
      <c r="C69" s="26" t="s">
        <v>1239</v>
      </c>
      <c r="D69" s="34">
        <v>0.83</v>
      </c>
      <c r="E69" s="34">
        <v>0.83</v>
      </c>
      <c r="F69" s="27">
        <v>44995</v>
      </c>
      <c r="G69" s="125">
        <v>44958</v>
      </c>
      <c r="H69" s="28" t="str">
        <f t="shared" si="3"/>
        <v>44958</v>
      </c>
      <c r="I69" s="38" t="str">
        <f>IFERROR(INDEX(Projetos!$M$2:$M$129,MATCH(Atualizações!A69,Projetos!$A$2:$A$129,0))," ")</f>
        <v xml:space="preserve"> </v>
      </c>
      <c r="J69" s="31" t="s">
        <v>1270</v>
      </c>
      <c r="K69" s="344">
        <f>IFERROR(Tb_Atualizações[[#This Row],[% EXECUTADO]]/Tb_Atualizações[[#This Row],[% PREVISTO]],"0%")</f>
        <v>1</v>
      </c>
      <c r="L69" s="31" t="str" cm="1">
        <f t="array" aca="1" ref="L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9" s="29"/>
      <c r="N69" s="30"/>
      <c r="O69" s="42">
        <f t="shared" si="4"/>
        <v>2023</v>
      </c>
      <c r="P69" s="42" t="str">
        <f t="shared" si="5"/>
        <v>2023</v>
      </c>
      <c r="Q69" s="42">
        <v>1</v>
      </c>
    </row>
    <row r="70" spans="1:17" ht="15" hidden="1">
      <c r="A70" s="44" t="s">
        <v>322</v>
      </c>
      <c r="B70" s="312" t="str">
        <f>IFERROR(INDEX(Projetos!$B$3:$B$129,MATCH(A70,Projetos!$A$3:$A$129,0))," ")</f>
        <v>SNGB - Sistema Nacional de Gestão de Bens</v>
      </c>
      <c r="C70" s="45" t="s">
        <v>1261</v>
      </c>
      <c r="D70" s="34">
        <v>0.999</v>
      </c>
      <c r="E70" s="34">
        <v>0.96499999999999997</v>
      </c>
      <c r="F70" s="27">
        <v>44995</v>
      </c>
      <c r="G70" s="125">
        <v>44958</v>
      </c>
      <c r="H70" s="28" t="str">
        <f t="shared" si="3"/>
        <v>02938/202144958</v>
      </c>
      <c r="I70" s="38">
        <f>IFERROR(INDEX(Projetos!$M$2:$M$129,MATCH(Atualizações!A70,Projetos!$A$2:$A$129,0))," ")</f>
        <v>45519</v>
      </c>
      <c r="J70" s="31"/>
      <c r="K70" s="344">
        <f>IFERROR(Tb_Atualizações[[#This Row],[% EXECUTADO]]/Tb_Atualizações[[#This Row],[% PREVISTO]],"0%")</f>
        <v>0.96596596596596596</v>
      </c>
      <c r="L70" s="31" t="str" cm="1">
        <f t="array" aca="1" ref="L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 s="29"/>
      <c r="N70" s="30"/>
      <c r="O70" s="42">
        <f t="shared" si="4"/>
        <v>2023</v>
      </c>
      <c r="P70" s="42" t="str">
        <f t="shared" si="5"/>
        <v>202302938/2021</v>
      </c>
      <c r="Q70" s="42">
        <v>1</v>
      </c>
    </row>
    <row r="71" spans="1:17" ht="15" hidden="1">
      <c r="A71" s="44" t="s">
        <v>331</v>
      </c>
      <c r="B71" s="312" t="str">
        <f>IFERROR(INDEX(Projetos!$B$3:$B$129,MATCH(A71,Projetos!$A$3:$A$129,0))," ")</f>
        <v>SNIPER - Justiça 4.0</v>
      </c>
      <c r="C71" s="26" t="s">
        <v>332</v>
      </c>
      <c r="D71" s="34">
        <v>1</v>
      </c>
      <c r="E71" s="34">
        <v>0.96199999999999997</v>
      </c>
      <c r="F71" s="27">
        <v>44995</v>
      </c>
      <c r="G71" s="125">
        <v>44958</v>
      </c>
      <c r="H71" s="28" t="str">
        <f t="shared" si="3"/>
        <v>02941/202144958</v>
      </c>
      <c r="I71" s="38">
        <f>IFERROR(INDEX(Projetos!$M$2:$M$129,MATCH(Atualizações!A71,Projetos!$A$2:$A$129,0))," ")</f>
        <v>45442</v>
      </c>
      <c r="J71" s="31"/>
      <c r="K71" s="344">
        <f>IFERROR(Tb_Atualizações[[#This Row],[% EXECUTADO]]/Tb_Atualizações[[#This Row],[% PREVISTO]],"0%")</f>
        <v>0.96199999999999997</v>
      </c>
      <c r="L71" s="31" t="str" cm="1">
        <f t="array" aca="1" ref="L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1" s="29"/>
      <c r="N71" s="30"/>
      <c r="O71" s="42">
        <f t="shared" si="4"/>
        <v>2023</v>
      </c>
      <c r="P71" s="42" t="str">
        <f t="shared" si="5"/>
        <v>202302941/2021</v>
      </c>
      <c r="Q71" s="42">
        <v>1</v>
      </c>
    </row>
    <row r="72" spans="1:17" ht="45" hidden="1">
      <c r="A72" s="44" t="s">
        <v>358</v>
      </c>
      <c r="B72" s="312" t="str">
        <f>IFERROR(INDEX(Projetos!$B$3:$B$129,MATCH(A72,Projetos!$A$3:$A$129,0))," ")</f>
        <v>Prevjud - Automação de Processos Previdenciários - Justiça 4.0</v>
      </c>
      <c r="C72" s="26" t="s">
        <v>359</v>
      </c>
      <c r="D72" s="34">
        <v>0.99199999999999999</v>
      </c>
      <c r="E72" s="34">
        <v>0.88</v>
      </c>
      <c r="F72" s="27">
        <v>44995</v>
      </c>
      <c r="G72" s="125">
        <v>44986</v>
      </c>
      <c r="H72" s="28" t="str">
        <f t="shared" si="3"/>
        <v>03558/202144986</v>
      </c>
      <c r="I72" s="38" t="str">
        <f>IFERROR(INDEX(Projetos!$M$2:$M$129,MATCH(Atualizações!A72,Projetos!$A$2:$A$129,0))," ")</f>
        <v>31/03/2026</v>
      </c>
      <c r="J72" s="31"/>
      <c r="K72" s="344">
        <f>IFERROR(Tb_Atualizações[[#This Row],[% EXECUTADO]]/Tb_Atualizações[[#This Row],[% PREVISTO]],"0%")</f>
        <v>0.88709677419354838</v>
      </c>
      <c r="L72" s="31" t="str" cm="1">
        <f t="array" aca="1" ref="L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2" s="29"/>
      <c r="N72" s="30"/>
      <c r="O72" s="42">
        <f t="shared" si="4"/>
        <v>2023</v>
      </c>
      <c r="P72" s="42" t="str">
        <f t="shared" si="5"/>
        <v>202303558/2021</v>
      </c>
      <c r="Q72" s="42">
        <v>1</v>
      </c>
    </row>
    <row r="73" spans="1:17" hidden="1">
      <c r="A73" s="44"/>
      <c r="B73" s="40" t="s">
        <v>1260</v>
      </c>
      <c r="C73" s="26" t="s">
        <v>1260</v>
      </c>
      <c r="D73" s="34">
        <v>0.93300000000000005</v>
      </c>
      <c r="E73" s="34">
        <v>0.89500000000000002</v>
      </c>
      <c r="F73" s="27">
        <v>44999</v>
      </c>
      <c r="G73" s="125">
        <v>44958</v>
      </c>
      <c r="H73" s="28" t="str">
        <f t="shared" si="3"/>
        <v>44958</v>
      </c>
      <c r="I73" s="38" t="str">
        <f>IFERROR(INDEX(Projetos!$M$2:$M$129,MATCH(Atualizações!A73,Projetos!$A$2:$A$129,0))," ")</f>
        <v xml:space="preserve"> </v>
      </c>
      <c r="J73" s="31"/>
      <c r="K73" s="344">
        <f>IFERROR(Tb_Atualizações[[#This Row],[% EXECUTADO]]/Tb_Atualizações[[#This Row],[% PREVISTO]],"0%")</f>
        <v>0.95927116827438363</v>
      </c>
      <c r="L73" s="31" t="str" cm="1">
        <f t="array" aca="1" ref="L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 s="29"/>
      <c r="N73" s="30"/>
      <c r="O73" s="42">
        <f t="shared" si="4"/>
        <v>2023</v>
      </c>
      <c r="P73" s="42" t="str">
        <f t="shared" si="5"/>
        <v>2023</v>
      </c>
      <c r="Q73" s="42">
        <v>1</v>
      </c>
    </row>
    <row r="74" spans="1:17" hidden="1">
      <c r="A74" s="44"/>
      <c r="B74" s="40" t="s">
        <v>1253</v>
      </c>
      <c r="C74" s="26" t="s">
        <v>1253</v>
      </c>
      <c r="D74" s="34">
        <v>0.998</v>
      </c>
      <c r="E74" s="34">
        <v>0.97899999999999998</v>
      </c>
      <c r="F74" s="27">
        <v>45000</v>
      </c>
      <c r="G74" s="125">
        <v>44958</v>
      </c>
      <c r="H74" s="28" t="str">
        <f t="shared" si="3"/>
        <v>44958</v>
      </c>
      <c r="I74" s="38" t="str">
        <f>IFERROR(INDEX(Projetos!$M$2:$M$129,MATCH(Atualizações!A74,Projetos!$A$2:$A$129,0))," ")</f>
        <v xml:space="preserve"> </v>
      </c>
      <c r="J74" s="31"/>
      <c r="K74" s="344">
        <f>IFERROR(Tb_Atualizações[[#This Row],[% EXECUTADO]]/Tb_Atualizações[[#This Row],[% PREVISTO]],"0%")</f>
        <v>0.98096192384769543</v>
      </c>
      <c r="L74" s="31" t="str" cm="1">
        <f t="array" aca="1" ref="L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 s="30"/>
      <c r="N74" s="30"/>
      <c r="O74" s="42">
        <f t="shared" si="4"/>
        <v>2023</v>
      </c>
      <c r="P74" s="42" t="str">
        <f t="shared" si="5"/>
        <v>2023</v>
      </c>
      <c r="Q74" s="42">
        <v>1</v>
      </c>
    </row>
    <row r="75" spans="1:17" ht="30" hidden="1">
      <c r="A75" s="44"/>
      <c r="B75" s="40" t="s">
        <v>1258</v>
      </c>
      <c r="C75" s="26" t="s">
        <v>1258</v>
      </c>
      <c r="D75" s="34">
        <v>1</v>
      </c>
      <c r="E75" s="34">
        <v>1</v>
      </c>
      <c r="F75" s="27">
        <v>45000</v>
      </c>
      <c r="G75" s="125">
        <v>44958</v>
      </c>
      <c r="H75" s="28" t="str">
        <f t="shared" si="3"/>
        <v>44958</v>
      </c>
      <c r="I75" s="38" t="str">
        <f>IFERROR(INDEX(Projetos!$M$2:$M$129,MATCH(Atualizações!A75,Projetos!$A$2:$A$129,0))," ")</f>
        <v xml:space="preserve"> </v>
      </c>
      <c r="J75" s="31" t="s">
        <v>1271</v>
      </c>
      <c r="K75" s="344">
        <f>IFERROR(Tb_Atualizações[[#This Row],[% EXECUTADO]]/Tb_Atualizações[[#This Row],[% PREVISTO]],"0%")</f>
        <v>1</v>
      </c>
      <c r="L75" s="31" t="str" cm="1">
        <f t="array" aca="1" ref="L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75" s="29"/>
      <c r="N75" s="30"/>
      <c r="O75" s="42">
        <f t="shared" si="4"/>
        <v>2023</v>
      </c>
      <c r="P75" s="42" t="str">
        <f t="shared" si="5"/>
        <v>2023</v>
      </c>
      <c r="Q75" s="42">
        <v>1</v>
      </c>
    </row>
    <row r="76" spans="1:17" ht="30" hidden="1">
      <c r="A76" s="44"/>
      <c r="B76" s="40" t="s">
        <v>1259</v>
      </c>
      <c r="C76" s="26" t="s">
        <v>1259</v>
      </c>
      <c r="D76" s="34">
        <v>0.84399999999999997</v>
      </c>
      <c r="E76" s="34">
        <v>0.76400000000000001</v>
      </c>
      <c r="F76" s="27">
        <v>45000</v>
      </c>
      <c r="G76" s="125">
        <v>44958</v>
      </c>
      <c r="H76" s="28" t="str">
        <f t="shared" si="3"/>
        <v>44958</v>
      </c>
      <c r="I76" s="38" t="str">
        <f>IFERROR(INDEX(Projetos!$M$2:$M$129,MATCH(Atualizações!A76,Projetos!$A$2:$A$129,0))," ")</f>
        <v xml:space="preserve"> </v>
      </c>
      <c r="J76" s="31"/>
      <c r="K76" s="344">
        <f>IFERROR(Tb_Atualizações[[#This Row],[% EXECUTADO]]/Tb_Atualizações[[#This Row],[% PREVISTO]],"0%")</f>
        <v>0.90521327014218012</v>
      </c>
      <c r="L76" s="31" t="str" cm="1">
        <f t="array" aca="1" ref="L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6" s="29"/>
      <c r="N76" s="30"/>
      <c r="O76" s="42">
        <f t="shared" si="4"/>
        <v>2023</v>
      </c>
      <c r="P76" s="42" t="str">
        <f t="shared" si="5"/>
        <v>2023</v>
      </c>
      <c r="Q76" s="42">
        <v>1</v>
      </c>
    </row>
    <row r="77" spans="1:17" ht="45" hidden="1">
      <c r="A77" s="44"/>
      <c r="B77" s="40" t="s">
        <v>1264</v>
      </c>
      <c r="C77" s="26" t="s">
        <v>1264</v>
      </c>
      <c r="D77" s="34">
        <v>0.98</v>
      </c>
      <c r="E77" s="34">
        <v>0.98</v>
      </c>
      <c r="F77" s="27">
        <v>45009</v>
      </c>
      <c r="G77" s="125">
        <v>44986</v>
      </c>
      <c r="H77" s="28" t="str">
        <f t="shared" si="3"/>
        <v>44986</v>
      </c>
      <c r="I77" s="38" t="str">
        <f>IFERROR(INDEX(Projetos!$M$2:$M$129,MATCH(Atualizações!A77,Projetos!$A$2:$A$129,0))," ")</f>
        <v xml:space="preserve"> </v>
      </c>
      <c r="J77" s="31"/>
      <c r="K77" s="344">
        <f>IFERROR(Tb_Atualizações[[#This Row],[% EXECUTADO]]/Tb_Atualizações[[#This Row],[% PREVISTO]],"0%")</f>
        <v>1</v>
      </c>
      <c r="L77" s="31" t="str" cm="1">
        <f t="array" aca="1" ref="L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7" s="30"/>
      <c r="N77" s="30"/>
      <c r="O77" s="42">
        <f t="shared" si="4"/>
        <v>2023</v>
      </c>
      <c r="P77" s="42" t="str">
        <f t="shared" si="5"/>
        <v>2023</v>
      </c>
      <c r="Q77" s="42">
        <v>1</v>
      </c>
    </row>
    <row r="78" spans="1:17" ht="15" hidden="1">
      <c r="A78" s="44" t="s">
        <v>322</v>
      </c>
      <c r="B78" s="312" t="str">
        <f>IFERROR(INDEX(Projetos!$B$3:$B$129,MATCH(A78,Projetos!$A$3:$A$129,0))," ")</f>
        <v>SNGB - Sistema Nacional de Gestão de Bens</v>
      </c>
      <c r="C78" s="45" t="s">
        <v>1261</v>
      </c>
      <c r="D78" s="34">
        <v>1</v>
      </c>
      <c r="E78" s="34">
        <v>0.98</v>
      </c>
      <c r="F78" s="27">
        <v>45009</v>
      </c>
      <c r="G78" s="125">
        <v>44986</v>
      </c>
      <c r="H78" s="28" t="str">
        <f t="shared" si="3"/>
        <v>02938/202144986</v>
      </c>
      <c r="I78" s="38">
        <f>IFERROR(INDEX(Projetos!$M$2:$M$129,MATCH(Atualizações!A78,Projetos!$A$2:$A$129,0))," ")</f>
        <v>45519</v>
      </c>
      <c r="J78" s="31"/>
      <c r="K78" s="344">
        <f>IFERROR(Tb_Atualizações[[#This Row],[% EXECUTADO]]/Tb_Atualizações[[#This Row],[% PREVISTO]],"0%")</f>
        <v>0.98</v>
      </c>
      <c r="L78" s="31" t="str" cm="1">
        <f t="array" aca="1" ref="L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 s="29"/>
      <c r="N78" s="30"/>
      <c r="O78" s="42">
        <f t="shared" si="4"/>
        <v>2023</v>
      </c>
      <c r="P78" s="42" t="str">
        <f t="shared" si="5"/>
        <v>202302938/2021</v>
      </c>
      <c r="Q78" s="42">
        <v>1</v>
      </c>
    </row>
    <row r="79" spans="1:17" ht="30" hidden="1">
      <c r="A79" s="44" t="s">
        <v>97</v>
      </c>
      <c r="B79" s="312" t="str">
        <f>IFERROR(INDEX(Projetos!$B$3:$B$129,MATCH(A79,Projetos!$A$3:$A$129,0))," ")</f>
        <v>Execução Fiscal - Automação e Governança</v>
      </c>
      <c r="C79" s="26" t="s">
        <v>98</v>
      </c>
      <c r="D79" s="34">
        <v>0.94</v>
      </c>
      <c r="E79" s="34">
        <v>0.94</v>
      </c>
      <c r="F79" s="27">
        <v>45015</v>
      </c>
      <c r="G79" s="125">
        <v>44986</v>
      </c>
      <c r="H79" s="28" t="str">
        <f t="shared" si="3"/>
        <v>00535/201944986</v>
      </c>
      <c r="I79" s="38">
        <f>IFERROR(INDEX(Projetos!$M$2:$M$129,MATCH(Atualizações!A79,Projetos!$A$2:$A$129,0))," ")</f>
        <v>45930</v>
      </c>
      <c r="J79" s="31"/>
      <c r="K79" s="344">
        <f>IFERROR(Tb_Atualizações[[#This Row],[% EXECUTADO]]/Tb_Atualizações[[#This Row],[% PREVISTO]],"0%")</f>
        <v>1</v>
      </c>
      <c r="L79" s="31" t="str" cm="1">
        <f t="array" aca="1" ref="L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9" s="30"/>
      <c r="N79" s="30"/>
      <c r="O79" s="42">
        <f t="shared" si="4"/>
        <v>2023</v>
      </c>
      <c r="P79" s="42" t="str">
        <f t="shared" si="5"/>
        <v>202300535/2019</v>
      </c>
      <c r="Q79" s="42">
        <v>1</v>
      </c>
    </row>
    <row r="80" spans="1:17" ht="45" hidden="1">
      <c r="A80" s="44"/>
      <c r="B80" s="40" t="s">
        <v>1268</v>
      </c>
      <c r="C80" s="26" t="s">
        <v>1268</v>
      </c>
      <c r="D80" s="34">
        <v>0.96199999999999997</v>
      </c>
      <c r="E80" s="34">
        <v>0.60499999999999998</v>
      </c>
      <c r="F80" s="27">
        <v>45016</v>
      </c>
      <c r="G80" s="125">
        <v>44986</v>
      </c>
      <c r="H80" s="28" t="str">
        <f t="shared" si="3"/>
        <v>44986</v>
      </c>
      <c r="I80" s="38" t="str">
        <f>IFERROR(INDEX(Projetos!$M$2:$M$129,MATCH(Atualizações!A80,Projetos!$A$2:$A$129,0))," ")</f>
        <v xml:space="preserve"> </v>
      </c>
      <c r="J80" s="31"/>
      <c r="K80" s="344">
        <f>IFERROR(Tb_Atualizações[[#This Row],[% EXECUTADO]]/Tb_Atualizações[[#This Row],[% PREVISTO]],"0%")</f>
        <v>0.62889812889812891</v>
      </c>
      <c r="L80" s="31" t="str" cm="1">
        <f t="array" aca="1" ref="L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0" s="30"/>
      <c r="N80" s="30"/>
      <c r="O80" s="42">
        <f t="shared" si="4"/>
        <v>2023</v>
      </c>
      <c r="P80" s="42" t="str">
        <f t="shared" si="5"/>
        <v>2023</v>
      </c>
      <c r="Q80" s="42">
        <v>1</v>
      </c>
    </row>
    <row r="81" spans="1:17" ht="105" hidden="1">
      <c r="A81" s="44" t="s">
        <v>425</v>
      </c>
      <c r="B81" s="312" t="str">
        <f>IFERROR(INDEX(Projetos!$B$3:$B$129,MATCH(A81,Projetos!$A$3:$A$129,0))," ")</f>
        <v>Diagnóstico sobre a otimização dos processos de trabalho no Poder Judiciário em face da implementação das Políticas Tecnológicas do Programa Justiça 4.0.</v>
      </c>
      <c r="C81" s="26" t="s">
        <v>426</v>
      </c>
      <c r="D81" s="34">
        <v>0.50700000000000001</v>
      </c>
      <c r="E81" s="34">
        <v>0.42099999999999999</v>
      </c>
      <c r="F81" s="27">
        <v>45016</v>
      </c>
      <c r="G81" s="125">
        <v>44986</v>
      </c>
      <c r="H81" s="28" t="str">
        <f t="shared" si="3"/>
        <v>06767/202244986</v>
      </c>
      <c r="I81" s="38">
        <f>IFERROR(INDEX(Projetos!$M$2:$M$129,MATCH(Atualizações!A81,Projetos!$A$2:$A$129,0))," ")</f>
        <v>45605</v>
      </c>
      <c r="J81" s="31"/>
      <c r="K81" s="344">
        <f>IFERROR(Tb_Atualizações[[#This Row],[% EXECUTADO]]/Tb_Atualizações[[#This Row],[% PREVISTO]],"0%")</f>
        <v>0.83037475345167644</v>
      </c>
      <c r="L81" s="31" t="str" cm="1">
        <f t="array" aca="1" ref="L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1" s="30"/>
      <c r="N81" s="30"/>
      <c r="O81" s="42">
        <f t="shared" si="4"/>
        <v>2023</v>
      </c>
      <c r="P81" s="42" t="str">
        <f t="shared" si="5"/>
        <v>202306767/2022</v>
      </c>
      <c r="Q81" s="42">
        <v>1</v>
      </c>
    </row>
    <row r="82" spans="1:17" ht="30" hidden="1">
      <c r="A82" s="44"/>
      <c r="B82" s="40" t="s">
        <v>1259</v>
      </c>
      <c r="C82" s="26" t="s">
        <v>1259</v>
      </c>
      <c r="D82" s="34">
        <v>0.97699999999999998</v>
      </c>
      <c r="E82" s="34">
        <v>0.84499999999999997</v>
      </c>
      <c r="F82" s="27">
        <v>45016</v>
      </c>
      <c r="G82" s="125">
        <v>44986</v>
      </c>
      <c r="H82" s="28" t="str">
        <f t="shared" si="3"/>
        <v>44986</v>
      </c>
      <c r="I82" s="38" t="str">
        <f>IFERROR(INDEX(Projetos!$M$2:$M$129,MATCH(Atualizações!A82,Projetos!$A$2:$A$129,0))," ")</f>
        <v xml:space="preserve"> </v>
      </c>
      <c r="J82" s="31"/>
      <c r="K82" s="344">
        <f>IFERROR(Tb_Atualizações[[#This Row],[% EXECUTADO]]/Tb_Atualizações[[#This Row],[% PREVISTO]],"0%")</f>
        <v>0.86489252814738993</v>
      </c>
      <c r="L82" s="31" t="str" cm="1">
        <f t="array" aca="1" ref="L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2" s="29"/>
      <c r="N82" s="30"/>
      <c r="O82" s="42">
        <f t="shared" si="4"/>
        <v>2023</v>
      </c>
      <c r="P82" s="42" t="str">
        <f t="shared" si="5"/>
        <v>2023</v>
      </c>
      <c r="Q82" s="42">
        <v>1</v>
      </c>
    </row>
    <row r="83" spans="1:17" ht="45" hidden="1">
      <c r="A83" s="44" t="s">
        <v>298</v>
      </c>
      <c r="B83" s="312" t="str">
        <f>IFERROR(INDEX(Projetos!$B$3:$B$129,MATCH(A83,Projetos!$A$3:$A$129,0))," ")</f>
        <v>Propagar - Inclusão, Acessibilidade, Justiça e Cidadania</v>
      </c>
      <c r="C83" s="26" t="s">
        <v>299</v>
      </c>
      <c r="D83" s="34">
        <v>0</v>
      </c>
      <c r="E83" s="34">
        <v>0</v>
      </c>
      <c r="F83" s="27">
        <v>45017</v>
      </c>
      <c r="G83" s="125">
        <v>45017</v>
      </c>
      <c r="H83" s="28" t="str">
        <f t="shared" si="3"/>
        <v>02660/202345017</v>
      </c>
      <c r="I83" s="38">
        <f>IFERROR(INDEX(Projetos!$M$2:$M$129,MATCH(Atualizações!A83,Projetos!$A$2:$A$129,0))," ")</f>
        <v>45485</v>
      </c>
      <c r="J83" s="31"/>
      <c r="K83" s="344" t="str">
        <f>IFERROR(Tb_Atualizações[[#This Row],[% EXECUTADO]]/Tb_Atualizações[[#This Row],[% PREVISTO]],"0%")</f>
        <v>0%</v>
      </c>
      <c r="L83" s="31" t="str" cm="1">
        <f t="array" aca="1" ref="L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83" s="29"/>
      <c r="N83" s="30"/>
      <c r="O83" s="42">
        <f t="shared" si="4"/>
        <v>2023</v>
      </c>
      <c r="P83" s="42" t="str">
        <f t="shared" si="5"/>
        <v>202302660/2023</v>
      </c>
      <c r="Q83" s="42">
        <v>1</v>
      </c>
    </row>
    <row r="84" spans="1:17" ht="45" hidden="1">
      <c r="A84" s="44" t="s">
        <v>502</v>
      </c>
      <c r="B84" s="312" t="str">
        <f>IFERROR(INDEX(Projetos!$B$3:$B$129,MATCH(A84,Projetos!$A$3:$A$129,0))," ")</f>
        <v>Plano Nacional de Inovação no Poder Judiciário</v>
      </c>
      <c r="C84" s="26" t="s">
        <v>503</v>
      </c>
      <c r="D84" s="34">
        <v>0.74099999999999999</v>
      </c>
      <c r="E84" s="34">
        <v>0.65200000000000002</v>
      </c>
      <c r="F84" s="27">
        <v>45019</v>
      </c>
      <c r="G84" s="125">
        <v>44986</v>
      </c>
      <c r="H84" s="28" t="str">
        <f t="shared" si="3"/>
        <v>09081/202244986</v>
      </c>
      <c r="I84" s="38">
        <f>IFERROR(INDEX(Projetos!$M$2:$M$129,MATCH(Atualizações!A84,Projetos!$A$2:$A$129,0))," ")</f>
        <v>45321</v>
      </c>
      <c r="J84" s="31"/>
      <c r="K84" s="344">
        <f>IFERROR(Tb_Atualizações[[#This Row],[% EXECUTADO]]/Tb_Atualizações[[#This Row],[% PREVISTO]],"0%")</f>
        <v>0.87989203778677472</v>
      </c>
      <c r="L84" s="31" t="str" cm="1">
        <f t="array" aca="1" ref="L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4" s="30"/>
      <c r="N84" s="30"/>
      <c r="O84" s="42">
        <f t="shared" si="4"/>
        <v>2023</v>
      </c>
      <c r="P84" s="42" t="str">
        <f t="shared" si="5"/>
        <v>202309081/2022</v>
      </c>
      <c r="Q84" s="42">
        <v>1</v>
      </c>
    </row>
    <row r="85" spans="1:17" ht="60" hidden="1">
      <c r="A85" s="44" t="s">
        <v>341</v>
      </c>
      <c r="B85" s="312" t="str">
        <f>IFERROR(INDEX(Projetos!$B$3:$B$129,MATCH(A85,Projetos!$A$3:$A$129,0))," ")</f>
        <v>PMO Jud -Redesenho dos processos do Escritório de Projetos do CNJ</v>
      </c>
      <c r="C85" s="26" t="s">
        <v>1257</v>
      </c>
      <c r="D85" s="34">
        <v>0.94</v>
      </c>
      <c r="E85" s="34">
        <v>0.94599999999999995</v>
      </c>
      <c r="F85" s="27">
        <v>45019</v>
      </c>
      <c r="G85" s="125">
        <v>44986</v>
      </c>
      <c r="H85" s="28" t="str">
        <f t="shared" si="3"/>
        <v>03096/202144986</v>
      </c>
      <c r="I85" s="38">
        <f>IFERROR(INDEX(Projetos!$M$2:$M$129,MATCH(Atualizações!A85,Projetos!$A$2:$A$129,0))," ")</f>
        <v>45291</v>
      </c>
      <c r="J85" s="31"/>
      <c r="K85" s="344">
        <f>IFERROR(Tb_Atualizações[[#This Row],[% EXECUTADO]]/Tb_Atualizações[[#This Row],[% PREVISTO]],"0%")</f>
        <v>1.0063829787234042</v>
      </c>
      <c r="L85" s="31" t="str" cm="1">
        <f t="array" aca="1" ref="L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5" s="27"/>
      <c r="N85" s="30"/>
      <c r="O85" s="42">
        <f t="shared" si="4"/>
        <v>2023</v>
      </c>
      <c r="P85" s="42" t="str">
        <f t="shared" si="5"/>
        <v>202303096/2021</v>
      </c>
      <c r="Q85" s="42">
        <v>1</v>
      </c>
    </row>
    <row r="86" spans="1:17" ht="60" hidden="1">
      <c r="A86" s="44" t="s">
        <v>436</v>
      </c>
      <c r="B86" s="312" t="str">
        <f>IFERROR(INDEX(Projetos!$B$3:$B$129,MATCH(A86,Projetos!$A$3:$A$129,0))," ")</f>
        <v>Sensibilização e Formação em Integridade e Compliance no Poder Judiciário</v>
      </c>
      <c r="C86" s="26" t="s">
        <v>437</v>
      </c>
      <c r="D86" s="34">
        <v>0.38400000000000001</v>
      </c>
      <c r="E86" s="34">
        <v>0.46800000000000003</v>
      </c>
      <c r="F86" s="27">
        <v>45019</v>
      </c>
      <c r="G86" s="125">
        <v>44986</v>
      </c>
      <c r="H86" s="28" t="str">
        <f t="shared" si="3"/>
        <v>07855/202244986</v>
      </c>
      <c r="I86" s="38">
        <f>IFERROR(INDEX(Projetos!$M$2:$M$129,MATCH(Atualizações!A86,Projetos!$A$2:$A$129,0))," ")</f>
        <v>45412</v>
      </c>
      <c r="J86" s="31"/>
      <c r="K86" s="344">
        <f>IFERROR(Tb_Atualizações[[#This Row],[% EXECUTADO]]/Tb_Atualizações[[#This Row],[% PREVISTO]],"0%")</f>
        <v>1.21875</v>
      </c>
      <c r="L86" s="31" t="str" cm="1">
        <f t="array" aca="1" ref="L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 s="29"/>
      <c r="N86" s="30"/>
      <c r="O86" s="42">
        <f t="shared" si="4"/>
        <v>2023</v>
      </c>
      <c r="P86" s="42" t="str">
        <f t="shared" si="5"/>
        <v>202307855/2022</v>
      </c>
      <c r="Q86" s="42">
        <v>1</v>
      </c>
    </row>
    <row r="87" spans="1:17" ht="15" hidden="1">
      <c r="A87" s="44" t="s">
        <v>331</v>
      </c>
      <c r="B87" s="312" t="str">
        <f>IFERROR(INDEX(Projetos!$B$3:$B$129,MATCH(A87,Projetos!$A$3:$A$129,0))," ")</f>
        <v>SNIPER - Justiça 4.0</v>
      </c>
      <c r="C87" s="26" t="s">
        <v>332</v>
      </c>
      <c r="D87" s="34">
        <v>1</v>
      </c>
      <c r="E87" s="34">
        <v>0.96199999999999997</v>
      </c>
      <c r="F87" s="27">
        <v>45019</v>
      </c>
      <c r="G87" s="125">
        <v>44986</v>
      </c>
      <c r="H87" s="28" t="str">
        <f t="shared" si="3"/>
        <v>02941/202144986</v>
      </c>
      <c r="I87" s="38">
        <f>IFERROR(INDEX(Projetos!$M$2:$M$129,MATCH(Atualizações!A87,Projetos!$A$2:$A$129,0))," ")</f>
        <v>45442</v>
      </c>
      <c r="J87" s="31"/>
      <c r="K87" s="344">
        <f>IFERROR(Tb_Atualizações[[#This Row],[% EXECUTADO]]/Tb_Atualizações[[#This Row],[% PREVISTO]],"0%")</f>
        <v>0.96199999999999997</v>
      </c>
      <c r="L87" s="31" t="str" cm="1">
        <f t="array" aca="1" ref="L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 s="29"/>
      <c r="N87" s="30"/>
      <c r="O87" s="42">
        <f t="shared" si="4"/>
        <v>2023</v>
      </c>
      <c r="P87" s="42" t="str">
        <f t="shared" si="5"/>
        <v>202302941/2021</v>
      </c>
      <c r="Q87" s="42">
        <v>1</v>
      </c>
    </row>
    <row r="88" spans="1:17" ht="105" hidden="1">
      <c r="A88" s="44" t="s">
        <v>369</v>
      </c>
      <c r="B88" s="312" t="str">
        <f>IFERROR(INDEX(Projetos!$B$3:$B$129,MATCH(A88,Projetos!$A$3:$A$129,0))," ")</f>
        <v>Aperfeiçoamento funcional em temáticas prioritárias para o CNJ e para Justiça Federal (cursos, capacitações, metodologias e ferramentas)</v>
      </c>
      <c r="C88" s="26" t="s">
        <v>370</v>
      </c>
      <c r="D88" s="34">
        <v>0.82799999999999996</v>
      </c>
      <c r="E88" s="34">
        <v>0.82799999999999996</v>
      </c>
      <c r="F88" s="27">
        <v>45020</v>
      </c>
      <c r="G88" s="125">
        <v>44986</v>
      </c>
      <c r="H88" s="28" t="str">
        <f t="shared" si="3"/>
        <v>03559/202144986</v>
      </c>
      <c r="I88" s="38">
        <f>IFERROR(INDEX(Projetos!$M$2:$M$129,MATCH(Atualizações!A88,Projetos!$A$2:$A$129,0))," ")</f>
        <v>45351</v>
      </c>
      <c r="J88" s="31"/>
      <c r="K88" s="344">
        <f>IFERROR(Tb_Atualizações[[#This Row],[% EXECUTADO]]/Tb_Atualizações[[#This Row],[% PREVISTO]],"0%")</f>
        <v>1</v>
      </c>
      <c r="L88" s="31" t="str" cm="1">
        <f t="array" aca="1" ref="L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8" s="30"/>
      <c r="N88" s="30"/>
      <c r="O88" s="42">
        <f t="shared" si="4"/>
        <v>2023</v>
      </c>
      <c r="P88" s="42" t="str">
        <f t="shared" si="5"/>
        <v>202303559/2021</v>
      </c>
      <c r="Q88" s="42">
        <v>1</v>
      </c>
    </row>
    <row r="89" spans="1:17" ht="45" hidden="1">
      <c r="A89" s="44"/>
      <c r="B89" s="40" t="s">
        <v>1256</v>
      </c>
      <c r="C89" s="26" t="s">
        <v>1256</v>
      </c>
      <c r="D89" s="34">
        <v>1</v>
      </c>
      <c r="E89" s="34">
        <v>1</v>
      </c>
      <c r="F89" s="27">
        <v>45029</v>
      </c>
      <c r="G89" s="125">
        <v>44986</v>
      </c>
      <c r="H89" s="28" t="str">
        <f t="shared" si="3"/>
        <v>44986</v>
      </c>
      <c r="I89" s="38" t="str">
        <f>IFERROR(INDEX(Projetos!$M$2:$M$129,MATCH(Atualizações!A89,Projetos!$A$2:$A$129,0))," ")</f>
        <v xml:space="preserve"> </v>
      </c>
      <c r="J89" s="31"/>
      <c r="K89" s="344">
        <f>IFERROR(Tb_Atualizações[[#This Row],[% EXECUTADO]]/Tb_Atualizações[[#This Row],[% PREVISTO]],"0%")</f>
        <v>1</v>
      </c>
      <c r="L89" s="31" t="str" cm="1">
        <f t="array" aca="1" ref="L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89" s="30"/>
      <c r="N89" s="30"/>
      <c r="O89" s="42">
        <f t="shared" si="4"/>
        <v>2023</v>
      </c>
      <c r="P89" s="42" t="str">
        <f t="shared" si="5"/>
        <v>2023</v>
      </c>
      <c r="Q89" s="42">
        <v>1</v>
      </c>
    </row>
    <row r="90" spans="1:17" ht="30" hidden="1">
      <c r="A90" s="44" t="s">
        <v>451</v>
      </c>
      <c r="B90" s="312" t="str">
        <f>IFERROR(INDEX(Projetos!$B$3:$B$129,MATCH(A90,Projetos!$A$3:$A$129,0))," ")</f>
        <v>Conciliação e Mediação na prática</v>
      </c>
      <c r="C90" s="26" t="s">
        <v>452</v>
      </c>
      <c r="D90" s="34">
        <v>5.5500000000000001E-2</v>
      </c>
      <c r="E90" s="34">
        <v>1.0999999999999999E-2</v>
      </c>
      <c r="F90" s="27">
        <v>45040</v>
      </c>
      <c r="G90" s="125">
        <v>45017</v>
      </c>
      <c r="H90" s="28" t="str">
        <f t="shared" si="3"/>
        <v>08287/202245017</v>
      </c>
      <c r="I90" s="38">
        <f>IFERROR(INDEX(Projetos!$M$2:$M$129,MATCH(Atualizações!A90,Projetos!$A$2:$A$129,0))," ")</f>
        <v>45199</v>
      </c>
      <c r="J90" s="31"/>
      <c r="K90" s="344">
        <f>IFERROR(Tb_Atualizações[[#This Row],[% EXECUTADO]]/Tb_Atualizações[[#This Row],[% PREVISTO]],"0%")</f>
        <v>0.19819819819819817</v>
      </c>
      <c r="L90" s="31" t="str" cm="1">
        <f t="array" aca="1" ref="L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0" s="30"/>
      <c r="N90" s="30"/>
      <c r="O90" s="42">
        <f t="shared" si="4"/>
        <v>2023</v>
      </c>
      <c r="P90" s="42" t="str">
        <f t="shared" si="5"/>
        <v>202308287/2022</v>
      </c>
      <c r="Q90" s="42">
        <v>1</v>
      </c>
    </row>
    <row r="91" spans="1:17" ht="15" hidden="1">
      <c r="A91" s="44" t="s">
        <v>443</v>
      </c>
      <c r="B91" s="312" t="str">
        <f>IFERROR(INDEX(Projetos!$B$3:$B$129,MATCH(A91,Projetos!$A$3:$A$129,0))," ")</f>
        <v>Implantação do SERP</v>
      </c>
      <c r="C91" s="26" t="s">
        <v>444</v>
      </c>
      <c r="D91" s="34">
        <v>0.33</v>
      </c>
      <c r="E91" s="34">
        <v>0.33</v>
      </c>
      <c r="F91" s="27">
        <v>45040</v>
      </c>
      <c r="G91" s="125">
        <v>45017</v>
      </c>
      <c r="H91" s="28" t="str">
        <f t="shared" si="3"/>
        <v>08286/202245017</v>
      </c>
      <c r="I91" s="38">
        <f>IFERROR(INDEX(Projetos!$M$2:$M$129,MATCH(Atualizações!A91,Projetos!$A$2:$A$129,0))," ")</f>
        <v>45688</v>
      </c>
      <c r="J91" s="31"/>
      <c r="K91" s="344">
        <f>IFERROR(Tb_Atualizações[[#This Row],[% EXECUTADO]]/Tb_Atualizações[[#This Row],[% PREVISTO]],"0%")</f>
        <v>1</v>
      </c>
      <c r="L91" s="31" t="str" cm="1">
        <f t="array" aca="1" ref="L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 s="30"/>
      <c r="N91" s="30"/>
      <c r="O91" s="42">
        <f t="shared" si="4"/>
        <v>2023</v>
      </c>
      <c r="P91" s="42" t="str">
        <f t="shared" si="5"/>
        <v>202308286/2022</v>
      </c>
      <c r="Q91" s="42">
        <v>1</v>
      </c>
    </row>
    <row r="92" spans="1:17" ht="45" hidden="1">
      <c r="A92" s="44"/>
      <c r="B92" s="40" t="s">
        <v>1268</v>
      </c>
      <c r="C92" s="26" t="s">
        <v>1268</v>
      </c>
      <c r="D92" s="34">
        <v>0.95599999999999996</v>
      </c>
      <c r="E92" s="34">
        <v>0.61699999999999999</v>
      </c>
      <c r="F92" s="27">
        <v>45042</v>
      </c>
      <c r="G92" s="125">
        <v>45017</v>
      </c>
      <c r="H92" s="28" t="str">
        <f t="shared" si="3"/>
        <v>45017</v>
      </c>
      <c r="I92" s="38" t="str">
        <f>IFERROR(INDEX(Projetos!$M$2:$M$129,MATCH(Atualizações!A92,Projetos!$A$2:$A$129,0))," ")</f>
        <v xml:space="preserve"> </v>
      </c>
      <c r="J92" s="31"/>
      <c r="K92" s="344">
        <f>IFERROR(Tb_Atualizações[[#This Row],[% EXECUTADO]]/Tb_Atualizações[[#This Row],[% PREVISTO]],"0%")</f>
        <v>0.64539748953974896</v>
      </c>
      <c r="L92" s="31" t="str" cm="1">
        <f t="array" aca="1" ref="L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2" s="30"/>
      <c r="N92" s="30"/>
      <c r="O92" s="42">
        <f t="shared" si="4"/>
        <v>2023</v>
      </c>
      <c r="P92" s="42" t="str">
        <f t="shared" si="5"/>
        <v>2023</v>
      </c>
      <c r="Q92" s="42">
        <v>1</v>
      </c>
    </row>
    <row r="93" spans="1:17" ht="45" hidden="1">
      <c r="A93" s="44"/>
      <c r="B93" s="40" t="s">
        <v>1252</v>
      </c>
      <c r="C93" s="26" t="s">
        <v>1252</v>
      </c>
      <c r="D93" s="34">
        <v>1</v>
      </c>
      <c r="E93" s="34">
        <v>1</v>
      </c>
      <c r="F93" s="27">
        <v>45046</v>
      </c>
      <c r="G93" s="125">
        <v>44986</v>
      </c>
      <c r="H93" s="28" t="str">
        <f t="shared" si="3"/>
        <v>44986</v>
      </c>
      <c r="I93" s="38" t="str">
        <f>IFERROR(INDEX(Projetos!$M$2:$M$129,MATCH(Atualizações!A93,Projetos!$A$2:$A$129,0))," ")</f>
        <v xml:space="preserve"> </v>
      </c>
      <c r="J93" s="31"/>
      <c r="K93" s="344">
        <f>IFERROR(Tb_Atualizações[[#This Row],[% EXECUTADO]]/Tb_Atualizações[[#This Row],[% PREVISTO]],"0%")</f>
        <v>1</v>
      </c>
      <c r="L93" s="31" t="str" cm="1">
        <f t="array" aca="1" ref="L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93" s="30"/>
      <c r="N93" s="30"/>
      <c r="O93" s="42">
        <f t="shared" si="4"/>
        <v>2023</v>
      </c>
      <c r="P93" s="42" t="str">
        <f t="shared" si="5"/>
        <v>2023</v>
      </c>
      <c r="Q93" s="42">
        <v>1</v>
      </c>
    </row>
    <row r="94" spans="1:17" ht="30" hidden="1">
      <c r="A94" s="44" t="s">
        <v>141</v>
      </c>
      <c r="B94" s="312" t="str">
        <f>IFERROR(INDEX(Projetos!$B$3:$B$129,MATCH(A94,Projetos!$A$3:$A$129,0))," ")</f>
        <v>6ª edição da Série Justiça e pesquisa</v>
      </c>
      <c r="C94" s="26" t="s">
        <v>142</v>
      </c>
      <c r="D94" s="34">
        <v>0.187</v>
      </c>
      <c r="E94" s="34">
        <v>0.187</v>
      </c>
      <c r="F94" s="27">
        <v>45047</v>
      </c>
      <c r="G94" s="125">
        <v>45017</v>
      </c>
      <c r="H94" s="28" t="str">
        <f t="shared" si="3"/>
        <v>01179/202345017</v>
      </c>
      <c r="I94" s="38">
        <f>IFERROR(INDEX(Projetos!$M$2:$M$129,MATCH(Atualizações!A94,Projetos!$A$2:$A$129,0))," ")</f>
        <v>45597</v>
      </c>
      <c r="J94" s="31"/>
      <c r="K94" s="344">
        <f>IFERROR(Tb_Atualizações[[#This Row],[% EXECUTADO]]/Tb_Atualizações[[#This Row],[% PREVISTO]],"0%")</f>
        <v>1</v>
      </c>
      <c r="L94" s="31" t="str" cm="1">
        <f t="array" aca="1" ref="L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 s="30"/>
      <c r="N94" s="30"/>
      <c r="O94" s="42">
        <f t="shared" si="4"/>
        <v>2023</v>
      </c>
      <c r="P94" s="42" t="str">
        <f t="shared" si="5"/>
        <v>202301179/2023</v>
      </c>
      <c r="Q94" s="42">
        <v>1</v>
      </c>
    </row>
    <row r="95" spans="1:17" ht="45" hidden="1">
      <c r="A95" s="44"/>
      <c r="B95" s="40" t="s">
        <v>1268</v>
      </c>
      <c r="C95" s="26" t="s">
        <v>1268</v>
      </c>
      <c r="D95" s="34">
        <v>0.98899999999999999</v>
      </c>
      <c r="E95" s="34">
        <v>0.61899999999999999</v>
      </c>
      <c r="F95" s="125">
        <v>45047</v>
      </c>
      <c r="G95" s="125">
        <v>45047</v>
      </c>
      <c r="H95" s="28" t="str">
        <f t="shared" si="3"/>
        <v>45047</v>
      </c>
      <c r="I95" s="38" t="str">
        <f>IFERROR(INDEX(Projetos!$M$2:$M$129,MATCH(Atualizações!A95,Projetos!$A$2:$A$129,0))," ")</f>
        <v xml:space="preserve"> </v>
      </c>
      <c r="J95" s="31"/>
      <c r="K95" s="344">
        <f>IFERROR(Tb_Atualizações[[#This Row],[% EXECUTADO]]/Tb_Atualizações[[#This Row],[% PREVISTO]],"0%")</f>
        <v>0.62588473205257833</v>
      </c>
      <c r="L95" s="31" t="str" cm="1">
        <f t="array" aca="1" ref="L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5" s="30"/>
      <c r="N95" s="30"/>
      <c r="O95" s="42">
        <f t="shared" si="4"/>
        <v>2023</v>
      </c>
      <c r="P95" s="42" t="str">
        <f t="shared" si="5"/>
        <v>2023</v>
      </c>
      <c r="Q95" s="42">
        <v>1</v>
      </c>
    </row>
    <row r="96" spans="1:17" ht="45" hidden="1">
      <c r="A96" s="44" t="s">
        <v>209</v>
      </c>
      <c r="B96" s="312" t="str">
        <f>IFERROR(INDEX(Projetos!$B$3:$B$129,MATCH(A96,Projetos!$A$3:$A$129,0))," ")</f>
        <v>Capacitação técnica para desenvolvedores nas tecnologias da PDPJ - BR</v>
      </c>
      <c r="C96" s="26" t="s">
        <v>1272</v>
      </c>
      <c r="D96" s="34">
        <v>0</v>
      </c>
      <c r="E96" s="34">
        <v>0</v>
      </c>
      <c r="F96" s="27">
        <v>45047</v>
      </c>
      <c r="G96" s="125">
        <v>45047</v>
      </c>
      <c r="H96" s="28" t="str">
        <f t="shared" si="3"/>
        <v>01945/202245047</v>
      </c>
      <c r="I96" s="38">
        <f>IFERROR(INDEX(Projetos!$M$2:$M$129,MATCH(Atualizações!A96,Projetos!$A$2:$A$129,0))," ")</f>
        <v>45866</v>
      </c>
      <c r="J96" s="31"/>
      <c r="K96" s="344" t="str">
        <f>IFERROR(Tb_Atualizações[[#This Row],[% EXECUTADO]]/Tb_Atualizações[[#This Row],[% PREVISTO]],"0%")</f>
        <v>0%</v>
      </c>
      <c r="L96" s="31" t="str" cm="1">
        <f t="array" aca="1" ref="L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96" s="30"/>
      <c r="N96" s="30"/>
      <c r="O96" s="42">
        <f t="shared" si="4"/>
        <v>2023</v>
      </c>
      <c r="P96" s="42" t="str">
        <f t="shared" si="5"/>
        <v>202301945/2022</v>
      </c>
      <c r="Q96" s="42">
        <v>1</v>
      </c>
    </row>
    <row r="97" spans="1:21" ht="30.75" hidden="1">
      <c r="A97" s="44" t="s">
        <v>350</v>
      </c>
      <c r="B97" s="312" t="str">
        <f>IFERROR(INDEX(Projetos!$B$3:$B$129,MATCH(A97,Projetos!$A$3:$A$129,0))," ")</f>
        <v>Painel de Estatística   - Justiça 4.0</v>
      </c>
      <c r="C97" s="26" t="s">
        <v>1255</v>
      </c>
      <c r="D97" s="34">
        <v>1</v>
      </c>
      <c r="E97" s="34">
        <v>0.89100000000000001</v>
      </c>
      <c r="F97" s="27">
        <v>45048</v>
      </c>
      <c r="G97" s="125">
        <v>45017</v>
      </c>
      <c r="H97" s="28" t="str">
        <f t="shared" si="3"/>
        <v>03545/202145017</v>
      </c>
      <c r="I97" s="38">
        <f>IFERROR(INDEX(Projetos!$M$2:$M$129,MATCH(Atualizações!A97,Projetos!$A$2:$A$129,0))," ")</f>
        <v>46387</v>
      </c>
      <c r="J97" s="31"/>
      <c r="K97" s="344">
        <f>IFERROR(Tb_Atualizações[[#This Row],[% EXECUTADO]]/Tb_Atualizações[[#This Row],[% PREVISTO]],"0%")</f>
        <v>0.89100000000000001</v>
      </c>
      <c r="L97" s="31" t="str" cm="1">
        <f t="array" aca="1" ref="L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7" s="30"/>
      <c r="N97" s="30"/>
      <c r="O97" s="42">
        <f t="shared" si="4"/>
        <v>2023</v>
      </c>
      <c r="P97" s="42" t="str">
        <f t="shared" si="5"/>
        <v>202303545/2021</v>
      </c>
      <c r="Q97" s="42">
        <v>1</v>
      </c>
    </row>
    <row r="98" spans="1:21" ht="45" hidden="1">
      <c r="A98" s="44" t="s">
        <v>502</v>
      </c>
      <c r="B98" s="312" t="str">
        <f>IFERROR(INDEX(Projetos!$B$3:$B$129,MATCH(A98,Projetos!$A$3:$A$129,0))," ")</f>
        <v>Plano Nacional de Inovação no Poder Judiciário</v>
      </c>
      <c r="C98" s="26" t="s">
        <v>503</v>
      </c>
      <c r="D98" s="34">
        <v>0.79100000000000004</v>
      </c>
      <c r="E98" s="34">
        <v>0.74</v>
      </c>
      <c r="F98" s="27">
        <v>45048</v>
      </c>
      <c r="G98" s="125">
        <v>45017</v>
      </c>
      <c r="H98" s="28" t="str">
        <f t="shared" si="3"/>
        <v>09081/202245017</v>
      </c>
      <c r="I98" s="38">
        <f>IFERROR(INDEX(Projetos!$M$2:$M$129,MATCH(Atualizações!A98,Projetos!$A$2:$A$129,0))," ")</f>
        <v>45321</v>
      </c>
      <c r="J98" s="31"/>
      <c r="K98" s="344">
        <f>IFERROR(Tb_Atualizações[[#This Row],[% EXECUTADO]]/Tb_Atualizações[[#This Row],[% PREVISTO]],"0%")</f>
        <v>0.93552465233881155</v>
      </c>
      <c r="L98" s="31" t="str" cm="1">
        <f t="array" aca="1" ref="L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8" s="30"/>
      <c r="N98" s="30"/>
      <c r="O98" s="42">
        <f t="shared" si="4"/>
        <v>2023</v>
      </c>
      <c r="P98" s="42" t="str">
        <f t="shared" si="5"/>
        <v>202309081/2022</v>
      </c>
      <c r="Q98" s="42">
        <v>1</v>
      </c>
    </row>
    <row r="99" spans="1:21" ht="60" hidden="1">
      <c r="A99" s="44" t="s">
        <v>341</v>
      </c>
      <c r="B99" s="312" t="str">
        <f>IFERROR(INDEX(Projetos!$B$3:$B$129,MATCH(A99,Projetos!$A$3:$A$129,0))," ")</f>
        <v>PMO Jud -Redesenho dos processos do Escritório de Projetos do CNJ</v>
      </c>
      <c r="C99" s="26" t="s">
        <v>1257</v>
      </c>
      <c r="D99" s="34">
        <v>0.97099999999999997</v>
      </c>
      <c r="E99" s="34">
        <v>0.95099999999999996</v>
      </c>
      <c r="F99" s="27">
        <v>45048</v>
      </c>
      <c r="G99" s="125">
        <v>45017</v>
      </c>
      <c r="H99" s="28" t="str">
        <f t="shared" si="3"/>
        <v>03096/202145017</v>
      </c>
      <c r="I99" s="38">
        <f>IFERROR(INDEX(Projetos!$M$2:$M$129,MATCH(Atualizações!A99,Projetos!$A$2:$A$129,0))," ")</f>
        <v>45291</v>
      </c>
      <c r="J99" s="31"/>
      <c r="K99" s="344">
        <f>IFERROR(Tb_Atualizações[[#This Row],[% EXECUTADO]]/Tb_Atualizações[[#This Row],[% PREVISTO]],"0%")</f>
        <v>0.97940267765190525</v>
      </c>
      <c r="L99" s="31" t="str" cm="1">
        <f t="array" aca="1" ref="L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9" s="29"/>
      <c r="N99" s="30"/>
      <c r="O99" s="42">
        <f t="shared" si="4"/>
        <v>2023</v>
      </c>
      <c r="P99" s="42" t="str">
        <f t="shared" si="5"/>
        <v>202303096/2021</v>
      </c>
      <c r="Q99" s="42">
        <v>1</v>
      </c>
    </row>
    <row r="100" spans="1:21" ht="45" hidden="1">
      <c r="A100" s="44" t="s">
        <v>358</v>
      </c>
      <c r="B100" s="312" t="str">
        <f>IFERROR(INDEX(Projetos!$B$3:$B$129,MATCH(A100,Projetos!$A$3:$A$129,0))," ")</f>
        <v>Prevjud - Automação de Processos Previdenciários - Justiça 4.0</v>
      </c>
      <c r="C100" s="26" t="s">
        <v>359</v>
      </c>
      <c r="D100" s="34">
        <v>0.998</v>
      </c>
      <c r="E100" s="34">
        <v>0.89600000000000002</v>
      </c>
      <c r="F100" s="27">
        <v>45048</v>
      </c>
      <c r="G100" s="125">
        <v>45017</v>
      </c>
      <c r="H100" s="28" t="str">
        <f t="shared" si="3"/>
        <v>03558/202145017</v>
      </c>
      <c r="I100" s="38" t="str">
        <f>IFERROR(INDEX(Projetos!$M$2:$M$129,MATCH(Atualizações!A100,Projetos!$A$2:$A$129,0))," ")</f>
        <v>31/03/2026</v>
      </c>
      <c r="J100" s="31"/>
      <c r="K100" s="344">
        <f>IFERROR(Tb_Atualizações[[#This Row],[% EXECUTADO]]/Tb_Atualizações[[#This Row],[% PREVISTO]],"0%")</f>
        <v>0.89779559118236474</v>
      </c>
      <c r="L100" s="31" t="str" cm="1">
        <f t="array" aca="1" ref="L1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0" s="29"/>
      <c r="N100" s="30"/>
      <c r="O100" s="42">
        <f t="shared" si="4"/>
        <v>2023</v>
      </c>
      <c r="P100" s="42" t="str">
        <f t="shared" si="5"/>
        <v>202303558/2021</v>
      </c>
      <c r="Q100" s="42">
        <v>1</v>
      </c>
      <c r="U100" s="43"/>
    </row>
    <row r="101" spans="1:21" ht="60" hidden="1">
      <c r="A101" s="44" t="s">
        <v>436</v>
      </c>
      <c r="B101" s="312" t="str">
        <f>IFERROR(INDEX(Projetos!$B$3:$B$129,MATCH(A101,Projetos!$A$3:$A$129,0))," ")</f>
        <v>Sensibilização e Formação em Integridade e Compliance no Poder Judiciário</v>
      </c>
      <c r="C101" s="26" t="s">
        <v>437</v>
      </c>
      <c r="D101" s="34">
        <v>0.40699999999999997</v>
      </c>
      <c r="E101" s="34">
        <v>0.57499999999999996</v>
      </c>
      <c r="F101" s="27">
        <v>45048</v>
      </c>
      <c r="G101" s="125">
        <v>45017</v>
      </c>
      <c r="H101" s="28" t="str">
        <f t="shared" si="3"/>
        <v>07855/202245017</v>
      </c>
      <c r="I101" s="38">
        <f>IFERROR(INDEX(Projetos!$M$2:$M$129,MATCH(Atualizações!A101,Projetos!$A$2:$A$129,0))," ")</f>
        <v>45412</v>
      </c>
      <c r="J101" s="31"/>
      <c r="K101" s="344">
        <f>IFERROR(Tb_Atualizações[[#This Row],[% EXECUTADO]]/Tb_Atualizações[[#This Row],[% PREVISTO]],"0%")</f>
        <v>1.4127764127764129</v>
      </c>
      <c r="L101" s="31" t="str" cm="1">
        <f t="array" aca="1" ref="L1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1" s="29"/>
      <c r="N101" s="30"/>
      <c r="O101" s="42">
        <f t="shared" si="4"/>
        <v>2023</v>
      </c>
      <c r="P101" s="42" t="str">
        <f t="shared" si="5"/>
        <v>202307855/2022</v>
      </c>
      <c r="Q101" s="42">
        <v>1</v>
      </c>
      <c r="U101" s="43"/>
    </row>
    <row r="102" spans="1:21" ht="15" hidden="1">
      <c r="A102" s="44" t="s">
        <v>322</v>
      </c>
      <c r="B102" s="312" t="str">
        <f>IFERROR(INDEX(Projetos!$B$3:$B$129,MATCH(A102,Projetos!$A$3:$A$129,0))," ")</f>
        <v>SNGB - Sistema Nacional de Gestão de Bens</v>
      </c>
      <c r="C102" s="45" t="s">
        <v>1261</v>
      </c>
      <c r="D102" s="34">
        <v>1</v>
      </c>
      <c r="E102" s="34">
        <v>0.98</v>
      </c>
      <c r="F102" s="27">
        <v>45048</v>
      </c>
      <c r="G102" s="125">
        <v>45017</v>
      </c>
      <c r="H102" s="28" t="str">
        <f t="shared" si="3"/>
        <v>02938/202145017</v>
      </c>
      <c r="I102" s="38">
        <f>IFERROR(INDEX(Projetos!$M$2:$M$129,MATCH(Atualizações!A102,Projetos!$A$2:$A$129,0))," ")</f>
        <v>45519</v>
      </c>
      <c r="J102" s="31"/>
      <c r="K102" s="344">
        <f>IFERROR(Tb_Atualizações[[#This Row],[% EXECUTADO]]/Tb_Atualizações[[#This Row],[% PREVISTO]],"0%")</f>
        <v>0.98</v>
      </c>
      <c r="L102" s="31" t="str" cm="1">
        <f t="array" aca="1" ref="L1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2" s="29"/>
      <c r="N102" s="30"/>
      <c r="O102" s="42">
        <f t="shared" si="4"/>
        <v>2023</v>
      </c>
      <c r="P102" s="42" t="str">
        <f t="shared" si="5"/>
        <v>202302938/2021</v>
      </c>
      <c r="Q102" s="42">
        <v>1</v>
      </c>
    </row>
    <row r="103" spans="1:21" ht="15" hidden="1">
      <c r="A103" s="44" t="s">
        <v>331</v>
      </c>
      <c r="B103" s="312" t="str">
        <f>IFERROR(INDEX(Projetos!$B$3:$B$129,MATCH(A103,Projetos!$A$3:$A$129,0))," ")</f>
        <v>SNIPER - Justiça 4.0</v>
      </c>
      <c r="C103" s="26" t="s">
        <v>332</v>
      </c>
      <c r="D103" s="34">
        <v>1</v>
      </c>
      <c r="E103" s="34">
        <v>0.96599999999999997</v>
      </c>
      <c r="F103" s="27">
        <v>45048</v>
      </c>
      <c r="G103" s="125">
        <v>45017</v>
      </c>
      <c r="H103" s="28" t="str">
        <f t="shared" si="3"/>
        <v>02941/202145017</v>
      </c>
      <c r="I103" s="38">
        <f>IFERROR(INDEX(Projetos!$M$2:$M$129,MATCH(Atualizações!A103,Projetos!$A$2:$A$129,0))," ")</f>
        <v>45442</v>
      </c>
      <c r="J103" s="31"/>
      <c r="K103" s="344">
        <f>IFERROR(Tb_Atualizações[[#This Row],[% EXECUTADO]]/Tb_Atualizações[[#This Row],[% PREVISTO]],"0%")</f>
        <v>0.96599999999999997</v>
      </c>
      <c r="L103" s="31" t="str" cm="1">
        <f t="array" aca="1" ref="L1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3" s="29"/>
      <c r="N103" s="30"/>
      <c r="O103" s="42">
        <f t="shared" si="4"/>
        <v>2023</v>
      </c>
      <c r="P103" s="42" t="str">
        <f t="shared" si="5"/>
        <v>202302941/2021</v>
      </c>
      <c r="Q103" s="42">
        <v>1</v>
      </c>
    </row>
    <row r="104" spans="1:21" ht="45" hidden="1">
      <c r="A104" s="44" t="s">
        <v>1249</v>
      </c>
      <c r="B104" s="312" t="str">
        <f>IFERROR(INDEX(Projetos!$B$3:$B$129,MATCH(A104,Projetos!$A$3:$A$129,0))," ")</f>
        <v xml:space="preserve"> </v>
      </c>
      <c r="C104" s="26" t="s">
        <v>1250</v>
      </c>
      <c r="D104" s="34">
        <v>0.82899999999999996</v>
      </c>
      <c r="E104" s="34">
        <v>0.79200000000000004</v>
      </c>
      <c r="F104" s="27">
        <v>45049</v>
      </c>
      <c r="G104" s="125">
        <v>44986</v>
      </c>
      <c r="H104" s="28" t="str">
        <f t="shared" si="3"/>
        <v>12115/202244986</v>
      </c>
      <c r="I104" s="38" t="str">
        <f>IFERROR(INDEX(Projetos!$M$2:$M$129,MATCH(Atualizações!A104,Projetos!$A$2:$A$129,0))," ")</f>
        <v xml:space="preserve"> </v>
      </c>
      <c r="J104" s="31"/>
      <c r="K104" s="344">
        <f>IFERROR(Tb_Atualizações[[#This Row],[% EXECUTADO]]/Tb_Atualizações[[#This Row],[% PREVISTO]],"0%")</f>
        <v>0.95536791314837166</v>
      </c>
      <c r="L104" s="31" t="str" cm="1">
        <f t="array" aca="1" ref="L1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4" s="30"/>
      <c r="N104" s="30"/>
      <c r="O104" s="42">
        <f t="shared" si="4"/>
        <v>2023</v>
      </c>
      <c r="P104" s="42" t="str">
        <f t="shared" si="5"/>
        <v>202312115/2022</v>
      </c>
      <c r="Q104" s="42">
        <v>1</v>
      </c>
    </row>
    <row r="105" spans="1:21" hidden="1">
      <c r="A105" s="44"/>
      <c r="B105" s="40" t="s">
        <v>1253</v>
      </c>
      <c r="C105" s="26" t="s">
        <v>1253</v>
      </c>
      <c r="D105" s="34">
        <v>1</v>
      </c>
      <c r="E105" s="34">
        <v>0.98099999999999998</v>
      </c>
      <c r="F105" s="27">
        <v>45050</v>
      </c>
      <c r="G105" s="125">
        <v>44986</v>
      </c>
      <c r="H105" s="28" t="str">
        <f t="shared" si="3"/>
        <v>44986</v>
      </c>
      <c r="I105" s="38" t="str">
        <f>IFERROR(INDEX(Projetos!$M$2:$M$129,MATCH(Atualizações!A105,Projetos!$A$2:$A$129,0))," ")</f>
        <v xml:space="preserve"> </v>
      </c>
      <c r="J105" s="31"/>
      <c r="K105" s="344">
        <f>IFERROR(Tb_Atualizações[[#This Row],[% EXECUTADO]]/Tb_Atualizações[[#This Row],[% PREVISTO]],"0%")</f>
        <v>0.98099999999999998</v>
      </c>
      <c r="L105" s="31" t="str" cm="1">
        <f t="array" aca="1" ref="L1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5" s="30"/>
      <c r="N105" s="30"/>
      <c r="O105" s="42">
        <f t="shared" si="4"/>
        <v>2023</v>
      </c>
      <c r="P105" s="42" t="str">
        <f t="shared" si="5"/>
        <v>2023</v>
      </c>
      <c r="Q105" s="42">
        <v>1</v>
      </c>
    </row>
    <row r="106" spans="1:21" hidden="1">
      <c r="A106" s="44"/>
      <c r="B106" s="40" t="s">
        <v>1260</v>
      </c>
      <c r="C106" s="26" t="s">
        <v>1260</v>
      </c>
      <c r="D106" s="34">
        <v>1</v>
      </c>
      <c r="E106" s="34">
        <v>0.94899999999999995</v>
      </c>
      <c r="F106" s="27">
        <v>45050</v>
      </c>
      <c r="G106" s="125">
        <v>44986</v>
      </c>
      <c r="H106" s="28" t="str">
        <f t="shared" si="3"/>
        <v>44986</v>
      </c>
      <c r="I106" s="38" t="str">
        <f>IFERROR(INDEX(Projetos!$M$2:$M$129,MATCH(Atualizações!A106,Projetos!$A$2:$A$129,0))," ")</f>
        <v xml:space="preserve"> </v>
      </c>
      <c r="J106" s="31"/>
      <c r="K106" s="344">
        <f>IFERROR(Tb_Atualizações[[#This Row],[% EXECUTADO]]/Tb_Atualizações[[#This Row],[% PREVISTO]],"0%")</f>
        <v>0.94899999999999995</v>
      </c>
      <c r="L106" s="31" t="str" cm="1">
        <f t="array" aca="1" ref="L1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6" s="29"/>
      <c r="N106" s="30"/>
      <c r="O106" s="42">
        <f t="shared" si="4"/>
        <v>2023</v>
      </c>
      <c r="P106" s="42" t="str">
        <f t="shared" si="5"/>
        <v>2023</v>
      </c>
      <c r="Q106" s="42">
        <v>1</v>
      </c>
    </row>
    <row r="107" spans="1:21" ht="105" hidden="1">
      <c r="A107" s="44" t="s">
        <v>369</v>
      </c>
      <c r="B107" s="312" t="str">
        <f>IFERROR(INDEX(Projetos!$B$3:$B$129,MATCH(A107,Projetos!$A$3:$A$129,0))," ")</f>
        <v>Aperfeiçoamento funcional em temáticas prioritárias para o CNJ e para Justiça Federal (cursos, capacitações, metodologias e ferramentas)</v>
      </c>
      <c r="C107" s="26" t="s">
        <v>370</v>
      </c>
      <c r="D107" s="34">
        <v>0.89600000000000002</v>
      </c>
      <c r="E107" s="34">
        <v>0.876</v>
      </c>
      <c r="F107" s="27">
        <v>45050</v>
      </c>
      <c r="G107" s="125">
        <v>45017</v>
      </c>
      <c r="H107" s="28" t="str">
        <f t="shared" si="3"/>
        <v>03559/202145017</v>
      </c>
      <c r="I107" s="38">
        <f>IFERROR(INDEX(Projetos!$M$2:$M$129,MATCH(Atualizações!A107,Projetos!$A$2:$A$129,0))," ")</f>
        <v>45351</v>
      </c>
      <c r="J107" s="31"/>
      <c r="K107" s="344">
        <f>IFERROR(Tb_Atualizações[[#This Row],[% EXECUTADO]]/Tb_Atualizações[[#This Row],[% PREVISTO]],"0%")</f>
        <v>0.9776785714285714</v>
      </c>
      <c r="L107" s="31" t="str" cm="1">
        <f t="array" aca="1" ref="L1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 s="30"/>
      <c r="N107" s="30"/>
      <c r="O107" s="42">
        <f t="shared" si="4"/>
        <v>2023</v>
      </c>
      <c r="P107" s="42" t="str">
        <f t="shared" si="5"/>
        <v>202303559/2021</v>
      </c>
      <c r="Q107" s="42">
        <v>1</v>
      </c>
    </row>
    <row r="108" spans="1:21" ht="15" hidden="1">
      <c r="A108" s="44" t="s">
        <v>487</v>
      </c>
      <c r="B108" s="312" t="str">
        <f>IFERROR(INDEX(Projetos!$B$3:$B$129,MATCH(A108,Projetos!$A$3:$A$129,0))," ")</f>
        <v>Demandas Complexas</v>
      </c>
      <c r="C108" s="26" t="s">
        <v>488</v>
      </c>
      <c r="D108" s="34">
        <v>5.8799999999999998E-2</v>
      </c>
      <c r="E108" s="34">
        <v>5.8799999999999998E-2</v>
      </c>
      <c r="F108" s="27">
        <v>45050</v>
      </c>
      <c r="G108" s="125">
        <v>45017</v>
      </c>
      <c r="H108" s="28" t="str">
        <f t="shared" si="3"/>
        <v>08610/202245017</v>
      </c>
      <c r="I108" s="38">
        <f>IFERROR(INDEX(Projetos!$M$2:$M$129,MATCH(Atualizações!A108,Projetos!$A$2:$A$129,0))," ")</f>
        <v>45913</v>
      </c>
      <c r="J108" s="31"/>
      <c r="K108" s="344">
        <f>IFERROR(Tb_Atualizações[[#This Row],[% EXECUTADO]]/Tb_Atualizações[[#This Row],[% PREVISTO]],"0%")</f>
        <v>1</v>
      </c>
      <c r="L108" s="31" t="str" cm="1">
        <f t="array" aca="1" ref="L1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8" s="30"/>
      <c r="N108" s="30"/>
      <c r="O108" s="42">
        <f t="shared" si="4"/>
        <v>2023</v>
      </c>
      <c r="P108" s="42" t="str">
        <f t="shared" si="5"/>
        <v>202308610/2022</v>
      </c>
      <c r="Q108" s="42">
        <v>1</v>
      </c>
    </row>
    <row r="109" spans="1:21" ht="30" hidden="1">
      <c r="A109" s="44"/>
      <c r="B109" s="40" t="s">
        <v>1259</v>
      </c>
      <c r="C109" s="26" t="s">
        <v>1259</v>
      </c>
      <c r="D109" s="34">
        <v>0.97899999999999998</v>
      </c>
      <c r="E109" s="34">
        <v>0.96499999999999997</v>
      </c>
      <c r="F109" s="27">
        <v>45050</v>
      </c>
      <c r="G109" s="125">
        <v>45017</v>
      </c>
      <c r="H109" s="28" t="str">
        <f t="shared" si="3"/>
        <v>45017</v>
      </c>
      <c r="I109" s="38" t="str">
        <f>IFERROR(INDEX(Projetos!$M$2:$M$129,MATCH(Atualizações!A109,Projetos!$A$2:$A$129,0))," ")</f>
        <v xml:space="preserve"> </v>
      </c>
      <c r="J109" s="31"/>
      <c r="K109" s="344">
        <f>IFERROR(Tb_Atualizações[[#This Row],[% EXECUTADO]]/Tb_Atualizações[[#This Row],[% PREVISTO]],"0%")</f>
        <v>0.98569969356486209</v>
      </c>
      <c r="L109" s="31" t="str" cm="1">
        <f t="array" aca="1" ref="L1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 s="29"/>
      <c r="N109" s="30"/>
      <c r="O109" s="42">
        <f t="shared" si="4"/>
        <v>2023</v>
      </c>
      <c r="P109" s="42" t="str">
        <f t="shared" si="5"/>
        <v>2023</v>
      </c>
      <c r="Q109" s="42">
        <v>1</v>
      </c>
    </row>
    <row r="110" spans="1:21" ht="30" hidden="1">
      <c r="A110" s="44" t="s">
        <v>97</v>
      </c>
      <c r="B110" s="312" t="str">
        <f>IFERROR(INDEX(Projetos!$B$3:$B$129,MATCH(A110,Projetos!$A$3:$A$129,0))," ")</f>
        <v>Execução Fiscal - Automação e Governança</v>
      </c>
      <c r="C110" s="26" t="s">
        <v>98</v>
      </c>
      <c r="D110" s="34">
        <v>0.95</v>
      </c>
      <c r="E110" s="34">
        <v>0.95</v>
      </c>
      <c r="F110" s="27">
        <v>45055</v>
      </c>
      <c r="G110" s="125">
        <v>45017</v>
      </c>
      <c r="H110" s="28" t="str">
        <f t="shared" si="3"/>
        <v>00535/201945017</v>
      </c>
      <c r="I110" s="38">
        <f>IFERROR(INDEX(Projetos!$M$2:$M$129,MATCH(Atualizações!A110,Projetos!$A$2:$A$129,0))," ")</f>
        <v>45930</v>
      </c>
      <c r="J110" s="31"/>
      <c r="K110" s="344">
        <f>IFERROR(Tb_Atualizações[[#This Row],[% EXECUTADO]]/Tb_Atualizações[[#This Row],[% PREVISTO]],"0%")</f>
        <v>1</v>
      </c>
      <c r="L110" s="31" t="str" cm="1">
        <f t="array" aca="1" ref="L1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 s="30"/>
      <c r="N110" s="30"/>
      <c r="O110" s="42">
        <f t="shared" si="4"/>
        <v>2023</v>
      </c>
      <c r="P110" s="42" t="str">
        <f t="shared" si="5"/>
        <v>202300535/2019</v>
      </c>
      <c r="Q110" s="42">
        <v>1</v>
      </c>
    </row>
    <row r="111" spans="1:21" hidden="1">
      <c r="A111" s="44"/>
      <c r="B111" s="40" t="s">
        <v>1260</v>
      </c>
      <c r="C111" s="26" t="s">
        <v>1260</v>
      </c>
      <c r="D111" s="34">
        <v>1</v>
      </c>
      <c r="E111" s="34">
        <v>1</v>
      </c>
      <c r="F111" s="27">
        <v>45063</v>
      </c>
      <c r="G111" s="125">
        <v>45078</v>
      </c>
      <c r="H111" s="28" t="str">
        <f t="shared" si="3"/>
        <v>45078</v>
      </c>
      <c r="I111" s="38" t="str">
        <f>IFERROR(INDEX(Projetos!$M$2:$M$129,MATCH(Atualizações!A111,Projetos!$A$2:$A$129,0))," ")</f>
        <v xml:space="preserve"> </v>
      </c>
      <c r="J111" s="31"/>
      <c r="K111" s="344">
        <f>IFERROR(Tb_Atualizações[[#This Row],[% EXECUTADO]]/Tb_Atualizações[[#This Row],[% PREVISTO]],"0%")</f>
        <v>1</v>
      </c>
      <c r="L111" s="31" t="str" cm="1">
        <f t="array" aca="1" ref="L1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11" s="29"/>
      <c r="N111" s="30"/>
      <c r="O111" s="42">
        <f t="shared" si="4"/>
        <v>2023</v>
      </c>
      <c r="P111" s="42" t="str">
        <f t="shared" si="5"/>
        <v>2023</v>
      </c>
      <c r="Q111" s="42">
        <v>1</v>
      </c>
    </row>
    <row r="112" spans="1:21" ht="30" hidden="1">
      <c r="A112" s="44"/>
      <c r="B112" s="40" t="s">
        <v>1248</v>
      </c>
      <c r="C112" s="26" t="s">
        <v>1248</v>
      </c>
      <c r="D112" s="34">
        <v>1</v>
      </c>
      <c r="E112" s="34">
        <v>1</v>
      </c>
      <c r="F112" s="27">
        <v>45076</v>
      </c>
      <c r="G112" s="125">
        <v>45047</v>
      </c>
      <c r="H112" s="28" t="str">
        <f t="shared" si="3"/>
        <v>45047</v>
      </c>
      <c r="I112" s="38" t="str">
        <f>IFERROR(INDEX(Projetos!$M$2:$M$129,MATCH(Atualizações!A112,Projetos!$A$2:$A$129,0))," ")</f>
        <v xml:space="preserve"> </v>
      </c>
      <c r="J112" s="31"/>
      <c r="K112" s="344">
        <f>IFERROR(Tb_Atualizações[[#This Row],[% EXECUTADO]]/Tb_Atualizações[[#This Row],[% PREVISTO]],"0%")</f>
        <v>1</v>
      </c>
      <c r="L112" s="31" t="str" cm="1">
        <f t="array" aca="1" ref="L1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12" s="29"/>
      <c r="N112" s="30"/>
      <c r="O112" s="42">
        <f t="shared" si="4"/>
        <v>2023</v>
      </c>
      <c r="P112" s="42" t="str">
        <f t="shared" si="5"/>
        <v>2023</v>
      </c>
      <c r="Q112" s="42">
        <v>1</v>
      </c>
    </row>
    <row r="113" spans="1:17" ht="105" hidden="1">
      <c r="A113" s="44" t="s">
        <v>425</v>
      </c>
      <c r="B113" s="312" t="str">
        <f>IFERROR(INDEX(Projetos!$B$3:$B$129,MATCH(A113,Projetos!$A$3:$A$129,0))," ")</f>
        <v>Diagnóstico sobre a otimização dos processos de trabalho no Poder Judiciário em face da implementação das Políticas Tecnológicas do Programa Justiça 4.0.</v>
      </c>
      <c r="C113" s="26" t="s">
        <v>426</v>
      </c>
      <c r="D113" s="34">
        <v>0.64500000000000002</v>
      </c>
      <c r="E113" s="34">
        <v>0.505</v>
      </c>
      <c r="F113" s="27">
        <v>45077</v>
      </c>
      <c r="G113" s="125">
        <v>45047</v>
      </c>
      <c r="H113" s="28" t="str">
        <f t="shared" si="3"/>
        <v>06767/202245047</v>
      </c>
      <c r="I113" s="38">
        <f>IFERROR(INDEX(Projetos!$M$2:$M$129,MATCH(Atualizações!A113,Projetos!$A$2:$A$129,0))," ")</f>
        <v>45605</v>
      </c>
      <c r="J113" s="31"/>
      <c r="K113" s="344">
        <f>IFERROR(Tb_Atualizações[[#This Row],[% EXECUTADO]]/Tb_Atualizações[[#This Row],[% PREVISTO]],"0%")</f>
        <v>0.78294573643410847</v>
      </c>
      <c r="L113" s="31" t="str" cm="1">
        <f t="array" aca="1" ref="L1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3" s="30"/>
      <c r="N113" s="30"/>
      <c r="O113" s="42">
        <f t="shared" si="4"/>
        <v>2023</v>
      </c>
      <c r="P113" s="42" t="str">
        <f t="shared" si="5"/>
        <v>202306767/2022</v>
      </c>
      <c r="Q113" s="42">
        <v>1</v>
      </c>
    </row>
    <row r="114" spans="1:17" ht="60" hidden="1">
      <c r="A114" s="44" t="s">
        <v>570</v>
      </c>
      <c r="B114" s="312" t="str">
        <f>IFERROR(INDEX(Projetos!$B$3:$B$129,MATCH(A114,Projetos!$A$3:$A$129,0))," ")</f>
        <v>Repositório Anticorrupção e Tecnologia do Poder Judiciário</v>
      </c>
      <c r="C114" s="26" t="s">
        <v>1267</v>
      </c>
      <c r="D114" s="34">
        <v>0.7</v>
      </c>
      <c r="E114" s="34">
        <v>0.7</v>
      </c>
      <c r="F114" s="27">
        <v>45077</v>
      </c>
      <c r="G114" s="125">
        <v>45047</v>
      </c>
      <c r="H114" s="28" t="str">
        <f t="shared" si="3"/>
        <v>10157/202245047</v>
      </c>
      <c r="I114" s="38">
        <f>IFERROR(INDEX(Projetos!$M$2:$M$129,MATCH(Atualizações!A114,Projetos!$A$2:$A$129,0))," ")</f>
        <v>45565</v>
      </c>
      <c r="J114" s="31"/>
      <c r="K114" s="344">
        <f>IFERROR(Tb_Atualizações[[#This Row],[% EXECUTADO]]/Tb_Atualizações[[#This Row],[% PREVISTO]],"0%")</f>
        <v>1</v>
      </c>
      <c r="L114" s="31" t="str" cm="1">
        <f t="array" aca="1" ref="L1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 s="30"/>
      <c r="N114" s="30"/>
      <c r="O114" s="42">
        <f t="shared" si="4"/>
        <v>2023</v>
      </c>
      <c r="P114" s="42" t="str">
        <f t="shared" si="5"/>
        <v>202310157/2022</v>
      </c>
      <c r="Q114" s="42">
        <v>1</v>
      </c>
    </row>
    <row r="115" spans="1:17" ht="45" hidden="1">
      <c r="A115" s="44" t="s">
        <v>358</v>
      </c>
      <c r="B115" s="312" t="str">
        <f>IFERROR(INDEX(Projetos!$B$3:$B$129,MATCH(A115,Projetos!$A$3:$A$129,0))," ")</f>
        <v>Prevjud - Automação de Processos Previdenciários - Justiça 4.0</v>
      </c>
      <c r="C115" s="26" t="s">
        <v>359</v>
      </c>
      <c r="D115" s="34">
        <v>0.997</v>
      </c>
      <c r="E115" s="34">
        <v>0.92700000000000005</v>
      </c>
      <c r="F115" s="27">
        <v>45078</v>
      </c>
      <c r="G115" s="125">
        <v>45047</v>
      </c>
      <c r="H115" s="28" t="str">
        <f t="shared" si="3"/>
        <v>03558/202145047</v>
      </c>
      <c r="I115" s="38" t="str">
        <f>IFERROR(INDEX(Projetos!$M$2:$M$129,MATCH(Atualizações!A115,Projetos!$A$2:$A$129,0))," ")</f>
        <v>31/03/2026</v>
      </c>
      <c r="J115" s="31"/>
      <c r="K115" s="344">
        <f>IFERROR(Tb_Atualizações[[#This Row],[% EXECUTADO]]/Tb_Atualizações[[#This Row],[% PREVISTO]],"0%")</f>
        <v>0.92978936810431301</v>
      </c>
      <c r="L115" s="31" t="str" cm="1">
        <f t="array" aca="1" ref="L1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5" s="29"/>
      <c r="N115" s="30"/>
      <c r="O115" s="42">
        <f t="shared" si="4"/>
        <v>2023</v>
      </c>
      <c r="P115" s="42" t="str">
        <f t="shared" si="5"/>
        <v>202303558/2021</v>
      </c>
      <c r="Q115" s="42">
        <v>1</v>
      </c>
    </row>
    <row r="116" spans="1:17" ht="15" hidden="1">
      <c r="A116" s="44" t="s">
        <v>331</v>
      </c>
      <c r="B116" s="312" t="str">
        <f>IFERROR(INDEX(Projetos!$B$3:$B$129,MATCH(A116,Projetos!$A$3:$A$129,0))," ")</f>
        <v>SNIPER - Justiça 4.0</v>
      </c>
      <c r="C116" s="26" t="s">
        <v>332</v>
      </c>
      <c r="D116" s="34">
        <v>0.996</v>
      </c>
      <c r="E116" s="34">
        <v>0.96599999999999997</v>
      </c>
      <c r="F116" s="27">
        <v>45079</v>
      </c>
      <c r="G116" s="125">
        <v>45047</v>
      </c>
      <c r="H116" s="28" t="str">
        <f t="shared" si="3"/>
        <v>02941/202145047</v>
      </c>
      <c r="I116" s="38">
        <f>IFERROR(INDEX(Projetos!$M$2:$M$129,MATCH(Atualizações!A116,Projetos!$A$2:$A$129,0))," ")</f>
        <v>45442</v>
      </c>
      <c r="J116" s="31"/>
      <c r="K116" s="344">
        <f>IFERROR(Tb_Atualizações[[#This Row],[% EXECUTADO]]/Tb_Atualizações[[#This Row],[% PREVISTO]],"0%")</f>
        <v>0.96987951807228912</v>
      </c>
      <c r="L116" s="31" t="str" cm="1">
        <f t="array" aca="1" ref="L1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 s="29"/>
      <c r="N116" s="30"/>
      <c r="O116" s="42">
        <f t="shared" si="4"/>
        <v>2023</v>
      </c>
      <c r="P116" s="42" t="str">
        <f t="shared" si="5"/>
        <v>202302941/2021</v>
      </c>
      <c r="Q116" s="42">
        <v>1</v>
      </c>
    </row>
    <row r="117" spans="1:17" ht="45" hidden="1">
      <c r="A117" s="44" t="s">
        <v>502</v>
      </c>
      <c r="B117" s="312" t="str">
        <f>IFERROR(INDEX(Projetos!$B$3:$B$129,MATCH(A117,Projetos!$A$3:$A$129,0))," ")</f>
        <v>Plano Nacional de Inovação no Poder Judiciário</v>
      </c>
      <c r="C117" s="26" t="s">
        <v>503</v>
      </c>
      <c r="D117" s="34">
        <v>0.84199999999999997</v>
      </c>
      <c r="E117" s="34">
        <v>0.81699999999999995</v>
      </c>
      <c r="F117" s="27">
        <v>45080</v>
      </c>
      <c r="G117" s="125">
        <v>45047</v>
      </c>
      <c r="H117" s="28" t="str">
        <f t="shared" si="3"/>
        <v>09081/202245047</v>
      </c>
      <c r="I117" s="38">
        <f>IFERROR(INDEX(Projetos!$M$2:$M$129,MATCH(Atualizações!A117,Projetos!$A$2:$A$129,0))," ")</f>
        <v>45321</v>
      </c>
      <c r="J117" s="31"/>
      <c r="K117" s="344">
        <f>IFERROR(Tb_Atualizações[[#This Row],[% EXECUTADO]]/Tb_Atualizações[[#This Row],[% PREVISTO]],"0%")</f>
        <v>0.97030878859857483</v>
      </c>
      <c r="L117" s="31" t="str" cm="1">
        <f t="array" aca="1" ref="L1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 s="29"/>
      <c r="N117" s="30"/>
      <c r="O117" s="42">
        <f t="shared" si="4"/>
        <v>2023</v>
      </c>
      <c r="P117" s="42" t="str">
        <f t="shared" si="5"/>
        <v>202309081/2022</v>
      </c>
      <c r="Q117" s="42">
        <v>1</v>
      </c>
    </row>
    <row r="118" spans="1:17" ht="30" hidden="1">
      <c r="A118" s="44"/>
      <c r="B118" s="40" t="s">
        <v>1273</v>
      </c>
      <c r="C118" s="26" t="s">
        <v>1273</v>
      </c>
      <c r="D118" s="34">
        <v>0</v>
      </c>
      <c r="E118" s="34">
        <v>0</v>
      </c>
      <c r="F118" s="27">
        <v>45080</v>
      </c>
      <c r="G118" s="125">
        <v>45078</v>
      </c>
      <c r="H118" s="28" t="str">
        <f t="shared" si="3"/>
        <v>45078</v>
      </c>
      <c r="I118" s="38" t="str">
        <f>IFERROR(INDEX(Projetos!$M$2:$M$129,MATCH(Atualizações!A118,Projetos!$A$2:$A$129,0))," ")</f>
        <v xml:space="preserve"> </v>
      </c>
      <c r="J118" s="31"/>
      <c r="K118" s="344" t="str">
        <f>IFERROR(Tb_Atualizações[[#This Row],[% EXECUTADO]]/Tb_Atualizações[[#This Row],[% PREVISTO]],"0%")</f>
        <v>0%</v>
      </c>
      <c r="L118" s="31" t="str" cm="1">
        <f t="array" aca="1" ref="L1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8" s="30"/>
      <c r="N118" s="30"/>
      <c r="O118" s="42">
        <f t="shared" si="4"/>
        <v>2023</v>
      </c>
      <c r="P118" s="42" t="str">
        <f t="shared" si="5"/>
        <v>2023</v>
      </c>
      <c r="Q118" s="42">
        <v>1</v>
      </c>
    </row>
    <row r="119" spans="1:17" ht="105" hidden="1">
      <c r="A119" s="44" t="s">
        <v>369</v>
      </c>
      <c r="B119" s="312" t="str">
        <f>IFERROR(INDEX(Projetos!$B$3:$B$129,MATCH(A119,Projetos!$A$3:$A$129,0))," ")</f>
        <v>Aperfeiçoamento funcional em temáticas prioritárias para o CNJ e para Justiça Federal (cursos, capacitações, metodologias e ferramentas)</v>
      </c>
      <c r="C119" s="26" t="s">
        <v>370</v>
      </c>
      <c r="D119" s="34">
        <v>0.95099999999999996</v>
      </c>
      <c r="E119" s="34">
        <v>0.92800000000000005</v>
      </c>
      <c r="F119" s="27">
        <v>45082</v>
      </c>
      <c r="G119" s="125">
        <v>45047</v>
      </c>
      <c r="H119" s="28" t="str">
        <f t="shared" si="3"/>
        <v>03559/202145047</v>
      </c>
      <c r="I119" s="38">
        <f>IFERROR(INDEX(Projetos!$M$2:$M$129,MATCH(Atualizações!A119,Projetos!$A$2:$A$129,0))," ")</f>
        <v>45351</v>
      </c>
      <c r="J119" s="31"/>
      <c r="K119" s="344">
        <f>IFERROR(Tb_Atualizações[[#This Row],[% EXECUTADO]]/Tb_Atualizações[[#This Row],[% PREVISTO]],"0%")</f>
        <v>0.97581493165089384</v>
      </c>
      <c r="L119" s="31" t="str" cm="1">
        <f t="array" aca="1" ref="L1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9" s="30"/>
      <c r="N119" s="30"/>
      <c r="O119" s="42">
        <f t="shared" si="4"/>
        <v>2023</v>
      </c>
      <c r="P119" s="42" t="str">
        <f t="shared" si="5"/>
        <v>202303559/2021</v>
      </c>
      <c r="Q119" s="42">
        <v>1</v>
      </c>
    </row>
    <row r="120" spans="1:17" ht="60" hidden="1">
      <c r="A120" s="44" t="s">
        <v>341</v>
      </c>
      <c r="B120" s="312" t="str">
        <f>IFERROR(INDEX(Projetos!$B$3:$B$129,MATCH(A120,Projetos!$A$3:$A$129,0))," ")</f>
        <v>PMO Jud -Redesenho dos processos do Escritório de Projetos do CNJ</v>
      </c>
      <c r="C120" s="26" t="s">
        <v>1257</v>
      </c>
      <c r="D120" s="34">
        <v>1</v>
      </c>
      <c r="E120" s="34">
        <v>0.95899999999999996</v>
      </c>
      <c r="F120" s="27">
        <v>45083</v>
      </c>
      <c r="G120" s="125">
        <v>45047</v>
      </c>
      <c r="H120" s="28" t="str">
        <f t="shared" si="3"/>
        <v>03096/202145047</v>
      </c>
      <c r="I120" s="38">
        <f>IFERROR(INDEX(Projetos!$M$2:$M$129,MATCH(Atualizações!A120,Projetos!$A$2:$A$129,0))," ")</f>
        <v>45291</v>
      </c>
      <c r="J120" s="31"/>
      <c r="K120" s="344">
        <f>IFERROR(Tb_Atualizações[[#This Row],[% EXECUTADO]]/Tb_Atualizações[[#This Row],[% PREVISTO]],"0%")</f>
        <v>0.95899999999999996</v>
      </c>
      <c r="L120" s="31" t="str" cm="1">
        <f t="array" aca="1" ref="L1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0" s="29"/>
      <c r="N120" s="30"/>
      <c r="O120" s="42">
        <f t="shared" si="4"/>
        <v>2023</v>
      </c>
      <c r="P120" s="42" t="str">
        <f t="shared" si="5"/>
        <v>202303096/2021</v>
      </c>
      <c r="Q120" s="42">
        <v>1</v>
      </c>
    </row>
    <row r="121" spans="1:17" ht="45" hidden="1">
      <c r="A121" s="44" t="s">
        <v>298</v>
      </c>
      <c r="B121" s="312" t="str">
        <f>IFERROR(INDEX(Projetos!$B$3:$B$129,MATCH(A121,Projetos!$A$3:$A$129,0))," ")</f>
        <v>Propagar - Inclusão, Acessibilidade, Justiça e Cidadania</v>
      </c>
      <c r="C121" s="26" t="s">
        <v>299</v>
      </c>
      <c r="D121" s="34">
        <v>0.11</v>
      </c>
      <c r="E121" s="34">
        <v>0.11</v>
      </c>
      <c r="F121" s="27">
        <v>45084</v>
      </c>
      <c r="G121" s="125">
        <v>45047</v>
      </c>
      <c r="H121" s="28" t="str">
        <f t="shared" si="3"/>
        <v>02660/202345047</v>
      </c>
      <c r="I121" s="38">
        <f>IFERROR(INDEX(Projetos!$M$2:$M$129,MATCH(Atualizações!A121,Projetos!$A$2:$A$129,0))," ")</f>
        <v>45485</v>
      </c>
      <c r="J121" s="31"/>
      <c r="K121" s="344">
        <f>IFERROR(Tb_Atualizações[[#This Row],[% EXECUTADO]]/Tb_Atualizações[[#This Row],[% PREVISTO]],"0%")</f>
        <v>1</v>
      </c>
      <c r="L121" s="31" t="str" cm="1">
        <f t="array" aca="1" ref="L1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1" s="29"/>
      <c r="N121" s="30"/>
      <c r="O121" s="42">
        <f t="shared" si="4"/>
        <v>2023</v>
      </c>
      <c r="P121" s="42" t="str">
        <f t="shared" si="5"/>
        <v>202302660/2023</v>
      </c>
      <c r="Q121" s="42">
        <v>1</v>
      </c>
    </row>
    <row r="122" spans="1:17" ht="30" hidden="1">
      <c r="A122" s="44" t="s">
        <v>141</v>
      </c>
      <c r="B122" s="312" t="str">
        <f>IFERROR(INDEX(Projetos!$B$3:$B$129,MATCH(A122,Projetos!$A$3:$A$129,0))," ")</f>
        <v>6ª edição da Série Justiça e pesquisa</v>
      </c>
      <c r="C122" s="26" t="s">
        <v>142</v>
      </c>
      <c r="D122" s="34">
        <v>0.2</v>
      </c>
      <c r="E122" s="34">
        <v>0.2</v>
      </c>
      <c r="F122" s="27">
        <v>45103</v>
      </c>
      <c r="G122" s="125">
        <v>45078</v>
      </c>
      <c r="H122" s="28" t="str">
        <f t="shared" si="3"/>
        <v>01179/202345078</v>
      </c>
      <c r="I122" s="38">
        <f>IFERROR(INDEX(Projetos!$M$2:$M$129,MATCH(Atualizações!A122,Projetos!$A$2:$A$129,0))," ")</f>
        <v>45597</v>
      </c>
      <c r="J122" s="31"/>
      <c r="K122" s="344">
        <f>IFERROR(Tb_Atualizações[[#This Row],[% EXECUTADO]]/Tb_Atualizações[[#This Row],[% PREVISTO]],"0%")</f>
        <v>1</v>
      </c>
      <c r="L122" s="31" t="str" cm="1">
        <f t="array" aca="1" ref="L1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 s="30"/>
      <c r="N122" s="30"/>
      <c r="O122" s="42">
        <f t="shared" si="4"/>
        <v>2023</v>
      </c>
      <c r="P122" s="42" t="str">
        <f t="shared" si="5"/>
        <v>202301179/2023</v>
      </c>
      <c r="Q122" s="42">
        <v>1</v>
      </c>
    </row>
    <row r="123" spans="1:17" ht="45" hidden="1">
      <c r="A123" s="44"/>
      <c r="B123" s="40" t="s">
        <v>1264</v>
      </c>
      <c r="C123" s="26" t="s">
        <v>1264</v>
      </c>
      <c r="D123" s="34">
        <v>1</v>
      </c>
      <c r="E123" s="34">
        <v>1</v>
      </c>
      <c r="F123" s="27">
        <v>45107</v>
      </c>
      <c r="G123" s="125">
        <v>45078</v>
      </c>
      <c r="H123" s="28" t="str">
        <f t="shared" si="3"/>
        <v>45078</v>
      </c>
      <c r="I123" s="38" t="str">
        <f>IFERROR(INDEX(Projetos!$M$2:$M$129,MATCH(Atualizações!A123,Projetos!$A$2:$A$129,0))," ")</f>
        <v xml:space="preserve"> </v>
      </c>
      <c r="J123" s="31"/>
      <c r="K123" s="344">
        <f>IFERROR(Tb_Atualizações[[#This Row],[% EXECUTADO]]/Tb_Atualizações[[#This Row],[% PREVISTO]],"0%")</f>
        <v>1</v>
      </c>
      <c r="L123" s="31" t="str" cm="1">
        <f t="array" aca="1" ref="L1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23" s="30"/>
      <c r="N123" s="30"/>
      <c r="O123" s="42">
        <f t="shared" si="4"/>
        <v>2023</v>
      </c>
      <c r="P123" s="42" t="str">
        <f t="shared" si="5"/>
        <v>2023</v>
      </c>
      <c r="Q123" s="42">
        <v>1</v>
      </c>
    </row>
    <row r="124" spans="1:17" ht="45" hidden="1">
      <c r="A124" s="44" t="s">
        <v>209</v>
      </c>
      <c r="B124" s="312" t="str">
        <f>IFERROR(INDEX(Projetos!$B$3:$B$129,MATCH(A124,Projetos!$A$3:$A$129,0))," ")</f>
        <v>Capacitação técnica para desenvolvedores nas tecnologias da PDPJ - BR</v>
      </c>
      <c r="C124" s="26" t="s">
        <v>1272</v>
      </c>
      <c r="D124" s="34">
        <v>0.13400000000000001</v>
      </c>
      <c r="E124" s="34">
        <v>0.115</v>
      </c>
      <c r="F124" s="27">
        <v>45108</v>
      </c>
      <c r="G124" s="125">
        <v>45108</v>
      </c>
      <c r="H124" s="28" t="str">
        <f t="shared" si="3"/>
        <v>01945/202245108</v>
      </c>
      <c r="I124" s="38">
        <f>IFERROR(INDEX(Projetos!$M$2:$M$129,MATCH(Atualizações!A124,Projetos!$A$2:$A$129,0))," ")</f>
        <v>45866</v>
      </c>
      <c r="J124" s="31"/>
      <c r="K124" s="344">
        <f>IFERROR(Tb_Atualizações[[#This Row],[% EXECUTADO]]/Tb_Atualizações[[#This Row],[% PREVISTO]],"0%")</f>
        <v>0.85820895522388063</v>
      </c>
      <c r="L124" s="31" t="str" cm="1">
        <f t="array" aca="1" ref="L1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4" s="30"/>
      <c r="N124" s="30"/>
      <c r="O124" s="42">
        <f t="shared" si="4"/>
        <v>2023</v>
      </c>
      <c r="P124" s="42" t="str">
        <f t="shared" si="5"/>
        <v>202301945/2022</v>
      </c>
      <c r="Q124" s="42">
        <v>1</v>
      </c>
    </row>
    <row r="125" spans="1:17" ht="15" hidden="1">
      <c r="A125" s="44" t="s">
        <v>229</v>
      </c>
      <c r="B125" s="312" t="str">
        <f>IFERROR(INDEX(Projetos!$B$3:$B$129,MATCH(A125,Projetos!$A$3:$A$129,0))," ")</f>
        <v>Gabinete do Juízo</v>
      </c>
      <c r="C125" s="26" t="s">
        <v>1274</v>
      </c>
      <c r="D125" s="34">
        <v>0.61199999999999999</v>
      </c>
      <c r="E125" s="34">
        <v>0.57999999999999996</v>
      </c>
      <c r="F125" s="27">
        <v>45110</v>
      </c>
      <c r="G125" s="125">
        <v>45108</v>
      </c>
      <c r="H125" s="28" t="str">
        <f t="shared" si="3"/>
        <v>02080/202345108</v>
      </c>
      <c r="I125" s="38">
        <f>IFERROR(INDEX(Projetos!$M$2:$M$129,MATCH(Atualizações!A125,Projetos!$A$2:$A$129,0))," ")</f>
        <v>46379</v>
      </c>
      <c r="J125" s="31"/>
      <c r="K125" s="344">
        <f>IFERROR(Tb_Atualizações[[#This Row],[% EXECUTADO]]/Tb_Atualizações[[#This Row],[% PREVISTO]],"0%")</f>
        <v>0.94771241830065356</v>
      </c>
      <c r="L125" s="31" t="str" cm="1">
        <f t="array" aca="1" ref="L1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 s="30"/>
      <c r="N125" s="30"/>
      <c r="O125" s="42">
        <f t="shared" si="4"/>
        <v>2023</v>
      </c>
      <c r="P125" s="42" t="str">
        <f t="shared" si="5"/>
        <v>202302080/2023</v>
      </c>
      <c r="Q125" s="42">
        <v>1</v>
      </c>
    </row>
    <row r="126" spans="1:17" ht="45" hidden="1">
      <c r="A126" s="44" t="s">
        <v>1249</v>
      </c>
      <c r="B126" s="312" t="str">
        <f>IFERROR(INDEX(Projetos!$B$3:$B$129,MATCH(A126,Projetos!$A$3:$A$129,0))," ")</f>
        <v xml:space="preserve"> </v>
      </c>
      <c r="C126" s="26" t="s">
        <v>1250</v>
      </c>
      <c r="D126" s="34">
        <v>1</v>
      </c>
      <c r="E126" s="34">
        <v>0.99099999999999999</v>
      </c>
      <c r="F126" s="27">
        <v>45111</v>
      </c>
      <c r="G126" s="125">
        <v>45017</v>
      </c>
      <c r="H126" s="28" t="str">
        <f t="shared" si="3"/>
        <v>12115/202245017</v>
      </c>
      <c r="I126" s="38" t="str">
        <f>IFERROR(INDEX(Projetos!$M$2:$M$129,MATCH(Atualizações!A126,Projetos!$A$2:$A$129,0))," ")</f>
        <v xml:space="preserve"> </v>
      </c>
      <c r="J126" s="31"/>
      <c r="K126" s="344">
        <f>IFERROR(Tb_Atualizações[[#This Row],[% EXECUTADO]]/Tb_Atualizações[[#This Row],[% PREVISTO]],"0%")</f>
        <v>0.99099999999999999</v>
      </c>
      <c r="L126" s="31" t="str" cm="1">
        <f t="array" aca="1" ref="L1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6" s="30"/>
      <c r="N126" s="30"/>
      <c r="O126" s="42">
        <f t="shared" si="4"/>
        <v>2023</v>
      </c>
      <c r="P126" s="42" t="str">
        <f t="shared" si="5"/>
        <v>202312115/2022</v>
      </c>
      <c r="Q126" s="42">
        <v>1</v>
      </c>
    </row>
    <row r="127" spans="1:17" ht="15" hidden="1">
      <c r="A127" s="44" t="s">
        <v>443</v>
      </c>
      <c r="B127" s="312" t="str">
        <f>IFERROR(INDEX(Projetos!$B$3:$B$129,MATCH(A127,Projetos!$A$3:$A$129,0))," ")</f>
        <v>Implantação do SERP</v>
      </c>
      <c r="C127" s="26" t="s">
        <v>444</v>
      </c>
      <c r="D127" s="34">
        <v>0.41699999999999998</v>
      </c>
      <c r="E127" s="34">
        <v>0.41699999999999998</v>
      </c>
      <c r="F127" s="27">
        <v>45111</v>
      </c>
      <c r="G127" s="125">
        <v>45047</v>
      </c>
      <c r="H127" s="28" t="str">
        <f t="shared" si="3"/>
        <v>08286/202245047</v>
      </c>
      <c r="I127" s="38">
        <f>IFERROR(INDEX(Projetos!$M$2:$M$129,MATCH(Atualizações!A127,Projetos!$A$2:$A$129,0))," ")</f>
        <v>45688</v>
      </c>
      <c r="J127" s="31"/>
      <c r="K127" s="344">
        <f>IFERROR(Tb_Atualizações[[#This Row],[% EXECUTADO]]/Tb_Atualizações[[#This Row],[% PREVISTO]],"0%")</f>
        <v>1</v>
      </c>
      <c r="L127" s="31" t="str" cm="1">
        <f t="array" aca="1" ref="L1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7" s="30"/>
      <c r="N127" s="30"/>
      <c r="O127" s="42">
        <f t="shared" si="4"/>
        <v>2023</v>
      </c>
      <c r="P127" s="42" t="str">
        <f t="shared" si="5"/>
        <v>202308286/2022</v>
      </c>
      <c r="Q127" s="42">
        <v>1</v>
      </c>
    </row>
    <row r="128" spans="1:17" ht="60" hidden="1">
      <c r="A128" s="44" t="s">
        <v>436</v>
      </c>
      <c r="B128" s="312" t="str">
        <f>IFERROR(INDEX(Projetos!$B$3:$B$129,MATCH(A128,Projetos!$A$3:$A$129,0))," ")</f>
        <v>Sensibilização e Formação em Integridade e Compliance no Poder Judiciário</v>
      </c>
      <c r="C128" s="26" t="s">
        <v>437</v>
      </c>
      <c r="D128" s="34">
        <v>0.42899999999999999</v>
      </c>
      <c r="E128" s="34">
        <v>0.68799999999999994</v>
      </c>
      <c r="F128" s="27">
        <v>45111</v>
      </c>
      <c r="G128" s="125">
        <v>45047</v>
      </c>
      <c r="H128" s="28" t="str">
        <f t="shared" si="3"/>
        <v>07855/202245047</v>
      </c>
      <c r="I128" s="38">
        <f>IFERROR(INDEX(Projetos!$M$2:$M$129,MATCH(Atualizações!A128,Projetos!$A$2:$A$129,0))," ")</f>
        <v>45412</v>
      </c>
      <c r="J128" s="31"/>
      <c r="K128" s="344">
        <f>IFERROR(Tb_Atualizações[[#This Row],[% EXECUTADO]]/Tb_Atualizações[[#This Row],[% PREVISTO]],"0%")</f>
        <v>1.6037296037296036</v>
      </c>
      <c r="L128" s="31" t="str" cm="1">
        <f t="array" aca="1" ref="L1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8" s="29"/>
      <c r="N128" s="30"/>
      <c r="O128" s="42">
        <f t="shared" si="4"/>
        <v>2023</v>
      </c>
      <c r="P128" s="42" t="str">
        <f t="shared" si="5"/>
        <v>202307855/2022</v>
      </c>
      <c r="Q128" s="42">
        <v>1</v>
      </c>
    </row>
    <row r="129" spans="1:17" ht="30" hidden="1">
      <c r="A129" s="44"/>
      <c r="B129" s="40" t="s">
        <v>1259</v>
      </c>
      <c r="C129" s="26" t="s">
        <v>1259</v>
      </c>
      <c r="D129" s="34">
        <v>0.98299999999999998</v>
      </c>
      <c r="E129" s="34">
        <v>0.97899999999999998</v>
      </c>
      <c r="F129" s="27">
        <v>45111</v>
      </c>
      <c r="G129" s="125">
        <v>45047</v>
      </c>
      <c r="H129" s="28" t="str">
        <f t="shared" si="3"/>
        <v>45047</v>
      </c>
      <c r="I129" s="38" t="str">
        <f>IFERROR(INDEX(Projetos!$M$2:$M$129,MATCH(Atualizações!A129,Projetos!$A$2:$A$129,0))," ")</f>
        <v xml:space="preserve"> </v>
      </c>
      <c r="J129" s="31"/>
      <c r="K129" s="344">
        <f>IFERROR(Tb_Atualizações[[#This Row],[% EXECUTADO]]/Tb_Atualizações[[#This Row],[% PREVISTO]],"0%")</f>
        <v>0.99593082400813837</v>
      </c>
      <c r="L129" s="31" t="str" cm="1">
        <f t="array" aca="1" ref="L1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9" s="29"/>
      <c r="N129" s="30"/>
      <c r="O129" s="42">
        <f t="shared" si="4"/>
        <v>2023</v>
      </c>
      <c r="P129" s="42" t="str">
        <f t="shared" si="5"/>
        <v>2023</v>
      </c>
      <c r="Q129" s="42">
        <v>1</v>
      </c>
    </row>
    <row r="130" spans="1:17" ht="105" hidden="1">
      <c r="A130" s="44" t="s">
        <v>369</v>
      </c>
      <c r="B130" s="312" t="str">
        <f>IFERROR(INDEX(Projetos!$B$3:$B$129,MATCH(A130,Projetos!$A$3:$A$129,0))," ")</f>
        <v>Aperfeiçoamento funcional em temáticas prioritárias para o CNJ e para Justiça Federal (cursos, capacitações, metodologias e ferramentas)</v>
      </c>
      <c r="C130" s="26" t="s">
        <v>370</v>
      </c>
      <c r="D130" s="34">
        <v>0.997</v>
      </c>
      <c r="E130" s="34">
        <v>0.98799999999999999</v>
      </c>
      <c r="F130" s="27">
        <v>45111</v>
      </c>
      <c r="G130" s="125">
        <v>45078</v>
      </c>
      <c r="H130" s="28" t="str">
        <f t="shared" ref="H130:H193" si="6">A130&amp;G130</f>
        <v>03559/202145078</v>
      </c>
      <c r="I130" s="38">
        <f>IFERROR(INDEX(Projetos!$M$2:$M$129,MATCH(Atualizações!A130,Projetos!$A$2:$A$129,0))," ")</f>
        <v>45351</v>
      </c>
      <c r="J130" s="31"/>
      <c r="K130" s="344">
        <f>IFERROR(Tb_Atualizações[[#This Row],[% EXECUTADO]]/Tb_Atualizações[[#This Row],[% PREVISTO]],"0%")</f>
        <v>0.99097291875626881</v>
      </c>
      <c r="L130" s="31" t="str" cm="1">
        <f t="array" aca="1" ref="L1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30" s="30"/>
      <c r="N130" s="30"/>
      <c r="O130" s="42">
        <f t="shared" ref="O130:O193" si="7">YEAR(F130)</f>
        <v>2023</v>
      </c>
      <c r="P130" s="42" t="str">
        <f t="shared" ref="P130:P193" si="8">O130&amp;A130</f>
        <v>202303559/2021</v>
      </c>
      <c r="Q130" s="42">
        <v>1</v>
      </c>
    </row>
    <row r="131" spans="1:17" ht="45" hidden="1">
      <c r="A131" s="44"/>
      <c r="B131" s="40" t="s">
        <v>1268</v>
      </c>
      <c r="C131" s="26" t="s">
        <v>1268</v>
      </c>
      <c r="D131" s="34">
        <v>0.99</v>
      </c>
      <c r="E131" s="34">
        <v>0.63</v>
      </c>
      <c r="F131" s="27">
        <v>45111</v>
      </c>
      <c r="G131" s="125">
        <v>45078</v>
      </c>
      <c r="H131" s="28" t="str">
        <f t="shared" si="6"/>
        <v>45078</v>
      </c>
      <c r="I131" s="38" t="str">
        <f>IFERROR(INDEX(Projetos!$M$2:$M$129,MATCH(Atualizações!A131,Projetos!$A$2:$A$129,0))," ")</f>
        <v xml:space="preserve"> </v>
      </c>
      <c r="J131" s="31"/>
      <c r="K131" s="344">
        <f>IFERROR(Tb_Atualizações[[#This Row],[% EXECUTADO]]/Tb_Atualizações[[#This Row],[% PREVISTO]],"0%")</f>
        <v>0.63636363636363635</v>
      </c>
      <c r="L131" s="31" t="str" cm="1">
        <f t="array" aca="1" ref="L1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31" s="30"/>
      <c r="N131" s="30"/>
      <c r="O131" s="42">
        <f t="shared" si="7"/>
        <v>2023</v>
      </c>
      <c r="P131" s="42" t="str">
        <f t="shared" si="8"/>
        <v>2023</v>
      </c>
      <c r="Q131" s="42">
        <v>1</v>
      </c>
    </row>
    <row r="132" spans="1:17" ht="45" hidden="1">
      <c r="A132" s="44" t="s">
        <v>209</v>
      </c>
      <c r="B132" s="312" t="str">
        <f>IFERROR(INDEX(Projetos!$B$3:$B$129,MATCH(A132,Projetos!$A$3:$A$129,0))," ")</f>
        <v>Capacitação técnica para desenvolvedores nas tecnologias da PDPJ - BR</v>
      </c>
      <c r="C132" s="26" t="s">
        <v>1272</v>
      </c>
      <c r="D132" s="34">
        <v>0.1</v>
      </c>
      <c r="E132" s="34">
        <v>0.1</v>
      </c>
      <c r="F132" s="27">
        <v>45111</v>
      </c>
      <c r="G132" s="125">
        <v>45078</v>
      </c>
      <c r="H132" s="28" t="str">
        <f t="shared" si="6"/>
        <v>01945/202245078</v>
      </c>
      <c r="I132" s="38">
        <f>IFERROR(INDEX(Projetos!$M$2:$M$129,MATCH(Atualizações!A132,Projetos!$A$2:$A$129,0))," ")</f>
        <v>45866</v>
      </c>
      <c r="J132" s="31"/>
      <c r="K132" s="344">
        <f>IFERROR(Tb_Atualizações[[#This Row],[% EXECUTADO]]/Tb_Atualizações[[#This Row],[% PREVISTO]],"0%")</f>
        <v>1</v>
      </c>
      <c r="L132" s="31" t="str" cm="1">
        <f t="array" aca="1" ref="L1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32" s="30"/>
      <c r="N132" s="30"/>
      <c r="O132" s="42">
        <f t="shared" si="7"/>
        <v>2023</v>
      </c>
      <c r="P132" s="42" t="str">
        <f t="shared" si="8"/>
        <v>202301945/2022</v>
      </c>
      <c r="Q132" s="42">
        <v>1</v>
      </c>
    </row>
    <row r="133" spans="1:17" ht="105" hidden="1">
      <c r="A133" s="44" t="s">
        <v>425</v>
      </c>
      <c r="B133" s="312" t="str">
        <f>IFERROR(INDEX(Projetos!$B$3:$B$129,MATCH(A133,Projetos!$A$3:$A$129,0))," ")</f>
        <v>Diagnóstico sobre a otimização dos processos de trabalho no Poder Judiciário em face da implementação das Políticas Tecnológicas do Programa Justiça 4.0.</v>
      </c>
      <c r="C133" s="26" t="s">
        <v>426</v>
      </c>
      <c r="D133" s="34">
        <v>0.69799999999999995</v>
      </c>
      <c r="E133" s="34">
        <v>0.65600000000000003</v>
      </c>
      <c r="F133" s="27">
        <v>45111</v>
      </c>
      <c r="G133" s="125">
        <v>45078</v>
      </c>
      <c r="H133" s="28" t="str">
        <f t="shared" si="6"/>
        <v>06767/202245078</v>
      </c>
      <c r="I133" s="38">
        <f>IFERROR(INDEX(Projetos!$M$2:$M$129,MATCH(Atualizações!A133,Projetos!$A$2:$A$129,0))," ")</f>
        <v>45605</v>
      </c>
      <c r="J133" s="31"/>
      <c r="K133" s="344">
        <f>IFERROR(Tb_Atualizações[[#This Row],[% EXECUTADO]]/Tb_Atualizações[[#This Row],[% PREVISTO]],"0%")</f>
        <v>0.93982808022922648</v>
      </c>
      <c r="L133" s="31" t="str" cm="1">
        <f t="array" aca="1" ref="L1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33" s="30"/>
      <c r="N133" s="30"/>
      <c r="O133" s="42">
        <f t="shared" si="7"/>
        <v>2023</v>
      </c>
      <c r="P133" s="42" t="str">
        <f t="shared" si="8"/>
        <v>202306767/2022</v>
      </c>
      <c r="Q133" s="42">
        <v>1</v>
      </c>
    </row>
    <row r="134" spans="1:17" ht="45" hidden="1">
      <c r="A134" s="44" t="s">
        <v>502</v>
      </c>
      <c r="B134" s="312" t="str">
        <f>IFERROR(INDEX(Projetos!$B$3:$B$129,MATCH(A134,Projetos!$A$3:$A$129,0))," ")</f>
        <v>Plano Nacional de Inovação no Poder Judiciário</v>
      </c>
      <c r="C134" s="26" t="s">
        <v>503</v>
      </c>
      <c r="D134" s="34">
        <v>0.873</v>
      </c>
      <c r="E134" s="34">
        <v>0.85</v>
      </c>
      <c r="F134" s="27">
        <v>45111</v>
      </c>
      <c r="G134" s="125">
        <v>45078</v>
      </c>
      <c r="H134" s="28" t="str">
        <f t="shared" si="6"/>
        <v>09081/202245078</v>
      </c>
      <c r="I134" s="38">
        <f>IFERROR(INDEX(Projetos!$M$2:$M$129,MATCH(Atualizações!A134,Projetos!$A$2:$A$129,0))," ")</f>
        <v>45321</v>
      </c>
      <c r="J134" s="31"/>
      <c r="K134" s="344">
        <f>IFERROR(Tb_Atualizações[[#This Row],[% EXECUTADO]]/Tb_Atualizações[[#This Row],[% PREVISTO]],"0%")</f>
        <v>0.97365406643757157</v>
      </c>
      <c r="L134" s="31" t="str" cm="1">
        <f t="array" aca="1" ref="L1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34" s="29"/>
      <c r="N134" s="30"/>
      <c r="O134" s="42">
        <f t="shared" si="7"/>
        <v>2023</v>
      </c>
      <c r="P134" s="42" t="str">
        <f t="shared" si="8"/>
        <v>202309081/2022</v>
      </c>
      <c r="Q134" s="42">
        <v>1</v>
      </c>
    </row>
    <row r="135" spans="1:17" ht="60" hidden="1">
      <c r="A135" s="44" t="s">
        <v>341</v>
      </c>
      <c r="B135" s="312" t="str">
        <f>IFERROR(INDEX(Projetos!$B$3:$B$129,MATCH(A135,Projetos!$A$3:$A$129,0))," ")</f>
        <v>PMO Jud -Redesenho dos processos do Escritório de Projetos do CNJ</v>
      </c>
      <c r="C135" s="26" t="s">
        <v>1257</v>
      </c>
      <c r="D135" s="34">
        <v>1</v>
      </c>
      <c r="E135" s="34">
        <v>0.97899999999999998</v>
      </c>
      <c r="F135" s="27">
        <v>45111</v>
      </c>
      <c r="G135" s="125">
        <v>45078</v>
      </c>
      <c r="H135" s="28" t="str">
        <f t="shared" si="6"/>
        <v>03096/202145078</v>
      </c>
      <c r="I135" s="38">
        <f>IFERROR(INDEX(Projetos!$M$2:$M$129,MATCH(Atualizações!A135,Projetos!$A$2:$A$129,0))," ")</f>
        <v>45291</v>
      </c>
      <c r="J135" s="31"/>
      <c r="K135" s="344">
        <f>IFERROR(Tb_Atualizações[[#This Row],[% EXECUTADO]]/Tb_Atualizações[[#This Row],[% PREVISTO]],"0%")</f>
        <v>0.97899999999999998</v>
      </c>
      <c r="L135" s="31" t="str" cm="1">
        <f t="array" aca="1" ref="L1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35" s="29"/>
      <c r="N135" s="30"/>
      <c r="O135" s="42">
        <f t="shared" si="7"/>
        <v>2023</v>
      </c>
      <c r="P135" s="42" t="str">
        <f t="shared" si="8"/>
        <v>202303096/2021</v>
      </c>
      <c r="Q135" s="42">
        <v>1</v>
      </c>
    </row>
    <row r="136" spans="1:17" ht="45" hidden="1">
      <c r="A136" s="44" t="s">
        <v>358</v>
      </c>
      <c r="B136" s="312" t="str">
        <f>IFERROR(INDEX(Projetos!$B$3:$B$129,MATCH(A136,Projetos!$A$3:$A$129,0))," ")</f>
        <v>Prevjud - Automação de Processos Previdenciários - Justiça 4.0</v>
      </c>
      <c r="C136" s="26" t="s">
        <v>359</v>
      </c>
      <c r="D136" s="34">
        <v>1</v>
      </c>
      <c r="E136" s="34">
        <v>0.94</v>
      </c>
      <c r="F136" s="27">
        <v>45111</v>
      </c>
      <c r="G136" s="125">
        <v>45078</v>
      </c>
      <c r="H136" s="28" t="str">
        <f t="shared" si="6"/>
        <v>03558/202145078</v>
      </c>
      <c r="I136" s="38" t="str">
        <f>IFERROR(INDEX(Projetos!$M$2:$M$129,MATCH(Atualizações!A136,Projetos!$A$2:$A$129,0))," ")</f>
        <v>31/03/2026</v>
      </c>
      <c r="J136" s="31"/>
      <c r="K136" s="344">
        <f>IFERROR(Tb_Atualizações[[#This Row],[% EXECUTADO]]/Tb_Atualizações[[#This Row],[% PREVISTO]],"0%")</f>
        <v>0.94</v>
      </c>
      <c r="L136" s="31" t="str" cm="1">
        <f t="array" aca="1" ref="L1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36" s="29"/>
      <c r="N136" s="30"/>
      <c r="O136" s="42">
        <f t="shared" si="7"/>
        <v>2023</v>
      </c>
      <c r="P136" s="42" t="str">
        <f t="shared" si="8"/>
        <v>202303558/2021</v>
      </c>
      <c r="Q136" s="42">
        <v>1</v>
      </c>
    </row>
    <row r="137" spans="1:17" ht="15" hidden="1">
      <c r="A137" s="44" t="s">
        <v>331</v>
      </c>
      <c r="B137" s="312" t="str">
        <f>IFERROR(INDEX(Projetos!$B$3:$B$129,MATCH(A137,Projetos!$A$3:$A$129,0))," ")</f>
        <v>SNIPER - Justiça 4.0</v>
      </c>
      <c r="C137" s="26" t="s">
        <v>332</v>
      </c>
      <c r="D137" s="34">
        <v>1</v>
      </c>
      <c r="E137" s="34">
        <v>0.96599999999999997</v>
      </c>
      <c r="F137" s="27">
        <v>45111</v>
      </c>
      <c r="G137" s="125">
        <v>45078</v>
      </c>
      <c r="H137" s="28" t="str">
        <f t="shared" si="6"/>
        <v>02941/202145078</v>
      </c>
      <c r="I137" s="38">
        <f>IFERROR(INDEX(Projetos!$M$2:$M$129,MATCH(Atualizações!A137,Projetos!$A$2:$A$129,0))," ")</f>
        <v>45442</v>
      </c>
      <c r="J137" s="31"/>
      <c r="K137" s="344">
        <f>IFERROR(Tb_Atualizações[[#This Row],[% EXECUTADO]]/Tb_Atualizações[[#This Row],[% PREVISTO]],"0%")</f>
        <v>0.96599999999999997</v>
      </c>
      <c r="L137" s="31" t="str" cm="1">
        <f t="array" aca="1" ref="L1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37" s="29"/>
      <c r="N137" s="30"/>
      <c r="O137" s="42">
        <f t="shared" si="7"/>
        <v>2023</v>
      </c>
      <c r="P137" s="42" t="str">
        <f t="shared" si="8"/>
        <v>202302941/2021</v>
      </c>
      <c r="Q137" s="42">
        <v>1</v>
      </c>
    </row>
    <row r="138" spans="1:17" ht="60" hidden="1">
      <c r="A138" s="44" t="s">
        <v>570</v>
      </c>
      <c r="B138" s="312" t="str">
        <f>IFERROR(INDEX(Projetos!$B$3:$B$129,MATCH(A138,Projetos!$A$3:$A$129,0))," ")</f>
        <v>Repositório Anticorrupção e Tecnologia do Poder Judiciário</v>
      </c>
      <c r="C138" s="26" t="s">
        <v>1267</v>
      </c>
      <c r="D138" s="34">
        <v>1</v>
      </c>
      <c r="E138" s="34">
        <v>0.71199999999999997</v>
      </c>
      <c r="F138" s="27">
        <v>45113</v>
      </c>
      <c r="G138" s="125">
        <v>45078</v>
      </c>
      <c r="H138" s="28" t="str">
        <f t="shared" si="6"/>
        <v>10157/202245078</v>
      </c>
      <c r="I138" s="38">
        <f>IFERROR(INDEX(Projetos!$M$2:$M$129,MATCH(Atualizações!A138,Projetos!$A$2:$A$129,0))," ")</f>
        <v>45565</v>
      </c>
      <c r="J138" s="31"/>
      <c r="K138" s="344">
        <f>IFERROR(Tb_Atualizações[[#This Row],[% EXECUTADO]]/Tb_Atualizações[[#This Row],[% PREVISTO]],"0%")</f>
        <v>0.71199999999999997</v>
      </c>
      <c r="L138" s="31" t="str" cm="1">
        <f t="array" aca="1" ref="L1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38" s="30"/>
      <c r="N138" s="30"/>
      <c r="O138" s="42">
        <f t="shared" si="7"/>
        <v>2023</v>
      </c>
      <c r="P138" s="42" t="str">
        <f t="shared" si="8"/>
        <v>202310157/2022</v>
      </c>
      <c r="Q138" s="42">
        <v>1</v>
      </c>
    </row>
    <row r="139" spans="1:17" ht="30" hidden="1">
      <c r="A139" s="44" t="s">
        <v>160</v>
      </c>
      <c r="B139" s="312" t="str">
        <f>IFERROR(INDEX(Projetos!$B$3:$B$129,MATCH(A139,Projetos!$A$3:$A$129,0))," ")</f>
        <v>Domicílio Judicial Eletrônico</v>
      </c>
      <c r="C139" s="26" t="s">
        <v>161</v>
      </c>
      <c r="D139" s="34">
        <v>0.99199999999999999</v>
      </c>
      <c r="E139" s="34">
        <v>0.95299999999999996</v>
      </c>
      <c r="F139" s="27">
        <v>45113</v>
      </c>
      <c r="G139" s="125">
        <v>45108</v>
      </c>
      <c r="H139" s="28" t="str">
        <f t="shared" si="6"/>
        <v>01487/202245108</v>
      </c>
      <c r="I139" s="38">
        <f>IFERROR(INDEX(Projetos!$M$2:$M$129,MATCH(Atualizações!A139,Projetos!$A$2:$A$129,0))," ")</f>
        <v>45566</v>
      </c>
      <c r="J139" s="31"/>
      <c r="K139" s="344">
        <f>IFERROR(Tb_Atualizações[[#This Row],[% EXECUTADO]]/Tb_Atualizações[[#This Row],[% PREVISTO]],"0%")</f>
        <v>0.96068548387096775</v>
      </c>
      <c r="L139" s="31" t="str" cm="1">
        <f t="array" aca="1" ref="L1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39" s="29"/>
      <c r="N139" s="30"/>
      <c r="O139" s="42">
        <f t="shared" si="7"/>
        <v>2023</v>
      </c>
      <c r="P139" s="42" t="str">
        <f t="shared" si="8"/>
        <v>202301487/2022</v>
      </c>
      <c r="Q139" s="42">
        <v>1</v>
      </c>
    </row>
    <row r="140" spans="1:17" ht="30" hidden="1">
      <c r="A140" s="44" t="s">
        <v>97</v>
      </c>
      <c r="B140" s="312" t="str">
        <f>IFERROR(INDEX(Projetos!$B$3:$B$129,MATCH(A140,Projetos!$A$3:$A$129,0))," ")</f>
        <v>Execução Fiscal - Automação e Governança</v>
      </c>
      <c r="C140" s="26" t="s">
        <v>98</v>
      </c>
      <c r="D140" s="34">
        <v>0.96</v>
      </c>
      <c r="E140" s="34">
        <v>0.96</v>
      </c>
      <c r="F140" s="27">
        <v>45117</v>
      </c>
      <c r="G140" s="125">
        <v>45078</v>
      </c>
      <c r="H140" s="28" t="str">
        <f t="shared" si="6"/>
        <v>00535/201945078</v>
      </c>
      <c r="I140" s="38">
        <f>IFERROR(INDEX(Projetos!$M$2:$M$129,MATCH(Atualizações!A140,Projetos!$A$2:$A$129,0))," ")</f>
        <v>45930</v>
      </c>
      <c r="J140" s="31"/>
      <c r="K140" s="344">
        <f>IFERROR(Tb_Atualizações[[#This Row],[% EXECUTADO]]/Tb_Atualizações[[#This Row],[% PREVISTO]],"0%")</f>
        <v>1</v>
      </c>
      <c r="L140" s="31" t="str" cm="1">
        <f t="array" aca="1" ref="L1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0" s="30"/>
      <c r="N140" s="30"/>
      <c r="O140" s="42">
        <f t="shared" si="7"/>
        <v>2023</v>
      </c>
      <c r="P140" s="42" t="str">
        <f t="shared" si="8"/>
        <v>202300535/2019</v>
      </c>
      <c r="Q140" s="42">
        <v>1</v>
      </c>
    </row>
    <row r="141" spans="1:17" ht="30.75" hidden="1">
      <c r="A141" s="44" t="s">
        <v>350</v>
      </c>
      <c r="B141" s="312" t="str">
        <f>IFERROR(INDEX(Projetos!$B$3:$B$129,MATCH(A141,Projetos!$A$3:$A$129,0))," ")</f>
        <v>Painel de Estatística   - Justiça 4.0</v>
      </c>
      <c r="C141" s="26" t="s">
        <v>1255</v>
      </c>
      <c r="D141" s="34">
        <v>0.72199999999999998</v>
      </c>
      <c r="E141" s="34">
        <v>0.89100000000000001</v>
      </c>
      <c r="F141" s="27">
        <v>45117</v>
      </c>
      <c r="G141" s="125">
        <v>45078</v>
      </c>
      <c r="H141" s="28" t="str">
        <f t="shared" si="6"/>
        <v>03545/202145078</v>
      </c>
      <c r="I141" s="38">
        <f>IFERROR(INDEX(Projetos!$M$2:$M$129,MATCH(Atualizações!A141,Projetos!$A$2:$A$129,0))," ")</f>
        <v>46387</v>
      </c>
      <c r="J141" s="31" t="s">
        <v>1275</v>
      </c>
      <c r="K141" s="344">
        <f>IFERROR(Tb_Atualizações[[#This Row],[% EXECUTADO]]/Tb_Atualizações[[#This Row],[% PREVISTO]],"0%")</f>
        <v>1.2340720221606649</v>
      </c>
      <c r="L141" s="31" t="str" cm="1">
        <f t="array" aca="1" ref="L1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1" s="30"/>
      <c r="N141" s="30"/>
      <c r="O141" s="42">
        <f t="shared" si="7"/>
        <v>2023</v>
      </c>
      <c r="P141" s="42" t="str">
        <f t="shared" si="8"/>
        <v>202303545/2021</v>
      </c>
      <c r="Q141" s="42">
        <v>1</v>
      </c>
    </row>
    <row r="142" spans="1:17" ht="30" hidden="1">
      <c r="A142" s="44"/>
      <c r="B142" s="40" t="s">
        <v>1273</v>
      </c>
      <c r="C142" s="26" t="s">
        <v>1273</v>
      </c>
      <c r="D142" s="34">
        <v>0.5</v>
      </c>
      <c r="E142" s="34">
        <v>0.5</v>
      </c>
      <c r="F142" s="27">
        <v>45122</v>
      </c>
      <c r="G142" s="125">
        <v>45108</v>
      </c>
      <c r="H142" s="28" t="str">
        <f t="shared" si="6"/>
        <v>45108</v>
      </c>
      <c r="I142" s="38" t="str">
        <f>IFERROR(INDEX(Projetos!$M$2:$M$129,MATCH(Atualizações!A142,Projetos!$A$2:$A$129,0))," ")</f>
        <v xml:space="preserve"> </v>
      </c>
      <c r="J142" s="31"/>
      <c r="K142" s="344">
        <f>IFERROR(Tb_Atualizações[[#This Row],[% EXECUTADO]]/Tb_Atualizações[[#This Row],[% PREVISTO]],"0%")</f>
        <v>1</v>
      </c>
      <c r="L142" s="31" t="str" cm="1">
        <f t="array" aca="1" ref="L1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2" s="30"/>
      <c r="N142" s="30"/>
      <c r="O142" s="42">
        <f t="shared" si="7"/>
        <v>2023</v>
      </c>
      <c r="P142" s="42" t="str">
        <f t="shared" si="8"/>
        <v>2023</v>
      </c>
      <c r="Q142" s="42">
        <v>1</v>
      </c>
    </row>
    <row r="143" spans="1:17" ht="45" hidden="1">
      <c r="A143" s="44" t="s">
        <v>182</v>
      </c>
      <c r="B143" s="312" t="str">
        <f>IFERROR(INDEX(Projetos!$B$3:$B$129,MATCH(A143,Projetos!$A$3:$A$129,0))," ")</f>
        <v xml:space="preserve">Mineração de Processos do Pje </v>
      </c>
      <c r="C143" s="26" t="s">
        <v>1254</v>
      </c>
      <c r="D143" s="34">
        <v>0.98</v>
      </c>
      <c r="E143" s="34">
        <v>0.98</v>
      </c>
      <c r="F143" s="27">
        <v>45125</v>
      </c>
      <c r="G143" s="125">
        <v>45078</v>
      </c>
      <c r="H143" s="28" t="str">
        <f t="shared" si="6"/>
        <v>01764/202045078</v>
      </c>
      <c r="I143" s="38">
        <f>IFERROR(INDEX(Projetos!$M$2:$M$129,MATCH(Atualizações!A143,Projetos!$A$2:$A$129,0))," ")</f>
        <v>46630</v>
      </c>
      <c r="J143" s="31"/>
      <c r="K143" s="344">
        <f>IFERROR(Tb_Atualizações[[#This Row],[% EXECUTADO]]/Tb_Atualizações[[#This Row],[% PREVISTO]],"0%")</f>
        <v>1</v>
      </c>
      <c r="L143" s="31" t="str" cm="1">
        <f t="array" aca="1" ref="L1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3" s="30"/>
      <c r="N143" s="30"/>
      <c r="O143" s="42">
        <f t="shared" si="7"/>
        <v>2023</v>
      </c>
      <c r="P143" s="42" t="str">
        <f t="shared" si="8"/>
        <v>202301764/2020</v>
      </c>
      <c r="Q143" s="42">
        <v>1</v>
      </c>
    </row>
    <row r="144" spans="1:17" ht="45" hidden="1">
      <c r="A144" s="44" t="s">
        <v>1249</v>
      </c>
      <c r="B144" s="312" t="str">
        <f>IFERROR(INDEX(Projetos!$B$3:$B$129,MATCH(A144,Projetos!$A$3:$A$129,0))," ")</f>
        <v xml:space="preserve"> </v>
      </c>
      <c r="C144" s="26" t="s">
        <v>1250</v>
      </c>
      <c r="D144" s="34">
        <v>0.64700000000000002</v>
      </c>
      <c r="E144" s="34">
        <v>0.64700000000000002</v>
      </c>
      <c r="F144" s="27">
        <v>45133</v>
      </c>
      <c r="G144" s="125">
        <v>45047</v>
      </c>
      <c r="H144" s="28" t="str">
        <f t="shared" si="6"/>
        <v>12115/202245047</v>
      </c>
      <c r="I144" s="38" t="str">
        <f>IFERROR(INDEX(Projetos!$M$2:$M$129,MATCH(Atualizações!A144,Projetos!$A$2:$A$129,0))," ")</f>
        <v xml:space="preserve"> </v>
      </c>
      <c r="J144" s="31" t="s">
        <v>1276</v>
      </c>
      <c r="K144" s="344">
        <f>IFERROR(Tb_Atualizações[[#This Row],[% EXECUTADO]]/Tb_Atualizações[[#This Row],[% PREVISTO]],"0%")</f>
        <v>1</v>
      </c>
      <c r="L144" s="31" t="str" cm="1">
        <f t="array" aca="1" ref="L1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4" s="30"/>
      <c r="N144" s="30"/>
      <c r="O144" s="42">
        <f t="shared" si="7"/>
        <v>2023</v>
      </c>
      <c r="P144" s="42" t="str">
        <f t="shared" si="8"/>
        <v>202312115/2022</v>
      </c>
      <c r="Q144" s="42">
        <v>1</v>
      </c>
    </row>
    <row r="145" spans="1:17" ht="105" hidden="1">
      <c r="A145" s="44" t="s">
        <v>425</v>
      </c>
      <c r="B145" s="312" t="str">
        <f>IFERROR(INDEX(Projetos!$B$3:$B$129,MATCH(A145,Projetos!$A$3:$A$129,0))," ")</f>
        <v>Diagnóstico sobre a otimização dos processos de trabalho no Poder Judiciário em face da implementação das Políticas Tecnológicas do Programa Justiça 4.0.</v>
      </c>
      <c r="C145" s="26" t="s">
        <v>426</v>
      </c>
      <c r="D145" s="34">
        <v>0.747</v>
      </c>
      <c r="E145" s="34">
        <v>0.68799999999999994</v>
      </c>
      <c r="F145" s="27">
        <v>45133</v>
      </c>
      <c r="G145" s="125">
        <v>45108</v>
      </c>
      <c r="H145" s="28" t="str">
        <f t="shared" si="6"/>
        <v>06767/202245108</v>
      </c>
      <c r="I145" s="38">
        <f>IFERROR(INDEX(Projetos!$M$2:$M$129,MATCH(Atualizações!A145,Projetos!$A$2:$A$129,0))," ")</f>
        <v>45605</v>
      </c>
      <c r="J145" s="31"/>
      <c r="K145" s="344">
        <f>IFERROR(Tb_Atualizações[[#This Row],[% EXECUTADO]]/Tb_Atualizações[[#This Row],[% PREVISTO]],"0%")</f>
        <v>0.92101740294511369</v>
      </c>
      <c r="L145" s="31" t="str" cm="1">
        <f t="array" aca="1" ref="L1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45" s="30"/>
      <c r="N145" s="30"/>
      <c r="O145" s="42">
        <f t="shared" si="7"/>
        <v>2023</v>
      </c>
      <c r="P145" s="42" t="str">
        <f t="shared" si="8"/>
        <v>202306767/2022</v>
      </c>
      <c r="Q145" s="42">
        <v>1</v>
      </c>
    </row>
    <row r="146" spans="1:17" hidden="1">
      <c r="A146" s="44"/>
      <c r="B146" s="40" t="s">
        <v>1253</v>
      </c>
      <c r="C146" s="26" t="s">
        <v>1253</v>
      </c>
      <c r="D146" s="34">
        <v>1</v>
      </c>
      <c r="E146" s="34">
        <v>1</v>
      </c>
      <c r="F146" s="27">
        <v>45138</v>
      </c>
      <c r="G146" s="125">
        <v>45017</v>
      </c>
      <c r="H146" s="28" t="str">
        <f t="shared" si="6"/>
        <v>45017</v>
      </c>
      <c r="I146" s="38" t="str">
        <f>IFERROR(INDEX(Projetos!$M$2:$M$129,MATCH(Atualizações!A146,Projetos!$A$2:$A$129,0))," ")</f>
        <v xml:space="preserve"> </v>
      </c>
      <c r="J146" s="31"/>
      <c r="K146" s="344">
        <f>IFERROR(Tb_Atualizações[[#This Row],[% EXECUTADO]]/Tb_Atualizações[[#This Row],[% PREVISTO]],"0%")</f>
        <v>1</v>
      </c>
      <c r="L146" s="31" t="str" cm="1">
        <f t="array" aca="1" ref="L1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46" s="30"/>
      <c r="N146" s="30"/>
      <c r="O146" s="42">
        <f t="shared" si="7"/>
        <v>2023</v>
      </c>
      <c r="P146" s="42" t="str">
        <f t="shared" si="8"/>
        <v>2023</v>
      </c>
      <c r="Q146" s="42">
        <v>1</v>
      </c>
    </row>
    <row r="147" spans="1:17" ht="45" hidden="1">
      <c r="A147" s="44" t="s">
        <v>502</v>
      </c>
      <c r="B147" s="312" t="str">
        <f>IFERROR(INDEX(Projetos!$B$3:$B$129,MATCH(A147,Projetos!$A$3:$A$129,0))," ")</f>
        <v>Plano Nacional de Inovação no Poder Judiciário</v>
      </c>
      <c r="C147" s="26" t="s">
        <v>503</v>
      </c>
      <c r="D147" s="34">
        <v>0.88100000000000001</v>
      </c>
      <c r="E147" s="34">
        <v>0.89300000000000002</v>
      </c>
      <c r="F147" s="27">
        <v>45138</v>
      </c>
      <c r="G147" s="125">
        <v>45108</v>
      </c>
      <c r="H147" s="28" t="str">
        <f t="shared" si="6"/>
        <v>09081/202245108</v>
      </c>
      <c r="I147" s="38">
        <f>IFERROR(INDEX(Projetos!$M$2:$M$129,MATCH(Atualizações!A147,Projetos!$A$2:$A$129,0))," ")</f>
        <v>45321</v>
      </c>
      <c r="J147" s="31" t="s">
        <v>1277</v>
      </c>
      <c r="K147" s="344">
        <f>IFERROR(Tb_Atualizações[[#This Row],[% EXECUTADO]]/Tb_Atualizações[[#This Row],[% PREVISTO]],"0%")</f>
        <v>1.0136208853575484</v>
      </c>
      <c r="L147" s="31" t="str" cm="1">
        <f t="array" aca="1" ref="L1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7" s="29"/>
      <c r="N147" s="30"/>
      <c r="O147" s="42">
        <f t="shared" si="7"/>
        <v>2023</v>
      </c>
      <c r="P147" s="42" t="str">
        <f t="shared" si="8"/>
        <v>202309081/2022</v>
      </c>
      <c r="Q147" s="42">
        <v>1</v>
      </c>
    </row>
    <row r="148" spans="1:17" ht="60" hidden="1">
      <c r="A148" s="44" t="s">
        <v>341</v>
      </c>
      <c r="B148" s="312" t="str">
        <f>IFERROR(INDEX(Projetos!$B$3:$B$129,MATCH(A148,Projetos!$A$3:$A$129,0))," ")</f>
        <v>PMO Jud -Redesenho dos processos do Escritório de Projetos do CNJ</v>
      </c>
      <c r="C148" s="26" t="s">
        <v>1257</v>
      </c>
      <c r="D148" s="34">
        <v>1</v>
      </c>
      <c r="E148" s="34">
        <v>0.99</v>
      </c>
      <c r="F148" s="27">
        <v>45138</v>
      </c>
      <c r="G148" s="125">
        <v>45108</v>
      </c>
      <c r="H148" s="28" t="str">
        <f t="shared" si="6"/>
        <v>03096/202145108</v>
      </c>
      <c r="I148" s="38">
        <f>IFERROR(INDEX(Projetos!$M$2:$M$129,MATCH(Atualizações!A148,Projetos!$A$2:$A$129,0))," ")</f>
        <v>45291</v>
      </c>
      <c r="J148" s="31"/>
      <c r="K148" s="344">
        <f>IFERROR(Tb_Atualizações[[#This Row],[% EXECUTADO]]/Tb_Atualizações[[#This Row],[% PREVISTO]],"0%")</f>
        <v>0.99</v>
      </c>
      <c r="L148" s="31" t="str" cm="1">
        <f t="array" aca="1" ref="L1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48" s="29"/>
      <c r="N148" s="30"/>
      <c r="O148" s="42">
        <f t="shared" si="7"/>
        <v>2023</v>
      </c>
      <c r="P148" s="42" t="str">
        <f t="shared" si="8"/>
        <v>202303096/2021</v>
      </c>
      <c r="Q148" s="42">
        <v>1</v>
      </c>
    </row>
    <row r="149" spans="1:17" hidden="1">
      <c r="A149" s="44"/>
      <c r="B149" s="40" t="s">
        <v>1253</v>
      </c>
      <c r="C149" s="26" t="s">
        <v>1253</v>
      </c>
      <c r="D149" s="34">
        <v>1</v>
      </c>
      <c r="E149" s="34">
        <v>1</v>
      </c>
      <c r="F149" s="27">
        <v>45138</v>
      </c>
      <c r="G149" s="125">
        <v>45139</v>
      </c>
      <c r="H149" s="28" t="str">
        <f t="shared" si="6"/>
        <v>45139</v>
      </c>
      <c r="I149" s="38" t="str">
        <f>IFERROR(INDEX(Projetos!$M$2:$M$129,MATCH(Atualizações!A149,Projetos!$A$2:$A$129,0))," ")</f>
        <v xml:space="preserve"> </v>
      </c>
      <c r="J149" s="31"/>
      <c r="K149" s="344">
        <f>IFERROR(Tb_Atualizações[[#This Row],[% EXECUTADO]]/Tb_Atualizações[[#This Row],[% PREVISTO]],"0%")</f>
        <v>1</v>
      </c>
      <c r="L149" s="31" t="str" cm="1">
        <f t="array" aca="1" ref="L1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49" s="30"/>
      <c r="N149" s="30"/>
      <c r="O149" s="42">
        <f t="shared" si="7"/>
        <v>2023</v>
      </c>
      <c r="P149" s="42" t="str">
        <f t="shared" si="8"/>
        <v>2023</v>
      </c>
      <c r="Q149" s="42">
        <v>1</v>
      </c>
    </row>
    <row r="150" spans="1:17" ht="105" hidden="1">
      <c r="A150" s="44" t="s">
        <v>369</v>
      </c>
      <c r="B150" s="312" t="str">
        <f>IFERROR(INDEX(Projetos!$B$3:$B$129,MATCH(A150,Projetos!$A$3:$A$129,0))," ")</f>
        <v>Aperfeiçoamento funcional em temáticas prioritárias para o CNJ e para Justiça Federal (cursos, capacitações, metodologias e ferramentas)</v>
      </c>
      <c r="C150" s="26" t="s">
        <v>370</v>
      </c>
      <c r="D150" s="34">
        <v>0.92</v>
      </c>
      <c r="E150" s="34">
        <v>0.92</v>
      </c>
      <c r="F150" s="27">
        <v>45140</v>
      </c>
      <c r="G150" s="125">
        <v>45108</v>
      </c>
      <c r="H150" s="28" t="str">
        <f t="shared" si="6"/>
        <v>03559/202145108</v>
      </c>
      <c r="I150" s="38">
        <f>IFERROR(INDEX(Projetos!$M$2:$M$129,MATCH(Atualizações!A150,Projetos!$A$2:$A$129,0))," ")</f>
        <v>45351</v>
      </c>
      <c r="J150" s="31"/>
      <c r="K150" s="344">
        <f>IFERROR(Tb_Atualizações[[#This Row],[% EXECUTADO]]/Tb_Atualizações[[#This Row],[% PREVISTO]],"0%")</f>
        <v>1</v>
      </c>
      <c r="L150" s="31" t="str" cm="1">
        <f t="array" aca="1" ref="L1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50" s="30"/>
      <c r="N150" s="30"/>
      <c r="O150" s="42">
        <f t="shared" si="7"/>
        <v>2023</v>
      </c>
      <c r="P150" s="42" t="str">
        <f t="shared" si="8"/>
        <v>202303559/2021</v>
      </c>
      <c r="Q150" s="42">
        <v>1</v>
      </c>
    </row>
    <row r="151" spans="1:17" ht="45" hidden="1">
      <c r="A151" s="44" t="s">
        <v>358</v>
      </c>
      <c r="B151" s="312" t="str">
        <f>IFERROR(INDEX(Projetos!$B$3:$B$129,MATCH(A151,Projetos!$A$3:$A$129,0))," ")</f>
        <v>Prevjud - Automação de Processos Previdenciários - Justiça 4.0</v>
      </c>
      <c r="C151" s="26" t="s">
        <v>359</v>
      </c>
      <c r="D151" s="34">
        <v>0.98599999999999999</v>
      </c>
      <c r="E151" s="34">
        <v>0.96799999999999997</v>
      </c>
      <c r="F151" s="27">
        <v>45140</v>
      </c>
      <c r="G151" s="125">
        <v>45108</v>
      </c>
      <c r="H151" s="28" t="str">
        <f t="shared" si="6"/>
        <v>03558/202145108</v>
      </c>
      <c r="I151" s="38" t="str">
        <f>IFERROR(INDEX(Projetos!$M$2:$M$129,MATCH(Atualizações!A151,Projetos!$A$2:$A$129,0))," ")</f>
        <v>31/03/2026</v>
      </c>
      <c r="J151" s="31"/>
      <c r="K151" s="344">
        <f>IFERROR(Tb_Atualizações[[#This Row],[% EXECUTADO]]/Tb_Atualizações[[#This Row],[% PREVISTO]],"0%")</f>
        <v>0.98174442190669364</v>
      </c>
      <c r="L151" s="31" t="str" cm="1">
        <f t="array" aca="1" ref="L1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51" s="29"/>
      <c r="N151" s="30"/>
      <c r="O151" s="42">
        <f t="shared" si="7"/>
        <v>2023</v>
      </c>
      <c r="P151" s="42" t="str">
        <f t="shared" si="8"/>
        <v>202303558/2021</v>
      </c>
      <c r="Q151" s="42">
        <v>1</v>
      </c>
    </row>
    <row r="152" spans="1:17" ht="15" hidden="1">
      <c r="A152" s="44" t="s">
        <v>331</v>
      </c>
      <c r="B152" s="312" t="str">
        <f>IFERROR(INDEX(Projetos!$B$3:$B$129,MATCH(A152,Projetos!$A$3:$A$129,0))," ")</f>
        <v>SNIPER - Justiça 4.0</v>
      </c>
      <c r="C152" s="26" t="s">
        <v>332</v>
      </c>
      <c r="D152" s="34">
        <v>0.98</v>
      </c>
      <c r="E152" s="34">
        <v>0.98799999999999999</v>
      </c>
      <c r="F152" s="27">
        <v>45140</v>
      </c>
      <c r="G152" s="125">
        <v>45108</v>
      </c>
      <c r="H152" s="28" t="str">
        <f t="shared" si="6"/>
        <v>02941/202145108</v>
      </c>
      <c r="I152" s="38">
        <f>IFERROR(INDEX(Projetos!$M$2:$M$129,MATCH(Atualizações!A152,Projetos!$A$2:$A$129,0))," ")</f>
        <v>45442</v>
      </c>
      <c r="J152" s="31"/>
      <c r="K152" s="344">
        <f>IFERROR(Tb_Atualizações[[#This Row],[% EXECUTADO]]/Tb_Atualizações[[#This Row],[% PREVISTO]],"0%")</f>
        <v>1.0081632653061225</v>
      </c>
      <c r="L152" s="31" t="str" cm="1">
        <f t="array" aca="1" ref="L1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52" s="29"/>
      <c r="N152" s="30"/>
      <c r="O152" s="42">
        <f t="shared" si="7"/>
        <v>2023</v>
      </c>
      <c r="P152" s="42" t="str">
        <f t="shared" si="8"/>
        <v>202302941/2021</v>
      </c>
      <c r="Q152" s="42">
        <v>1</v>
      </c>
    </row>
    <row r="153" spans="1:17" ht="30" hidden="1">
      <c r="A153" s="44" t="s">
        <v>609</v>
      </c>
      <c r="B153" s="312" t="str">
        <f>IFERROR(INDEX(Projetos!$B$3:$B$129,MATCH(A153,Projetos!$A$3:$A$129,0))," ")</f>
        <v>SPVATJUD</v>
      </c>
      <c r="C153" s="26" t="s">
        <v>1278</v>
      </c>
      <c r="D153" s="34">
        <v>0.47099999999999997</v>
      </c>
      <c r="E153" s="34">
        <v>0.30299999999999999</v>
      </c>
      <c r="F153" s="27">
        <v>45140</v>
      </c>
      <c r="G153" s="125">
        <v>45108</v>
      </c>
      <c r="H153" s="28" t="str">
        <f t="shared" si="6"/>
        <v>11270/202245108</v>
      </c>
      <c r="I153" s="38">
        <f>IFERROR(INDEX(Projetos!$M$2:$M$129,MATCH(Atualizações!A153,Projetos!$A$2:$A$129,0))," ")</f>
        <v>45716</v>
      </c>
      <c r="J153" s="31"/>
      <c r="K153" s="344">
        <f>IFERROR(Tb_Atualizações[[#This Row],[% EXECUTADO]]/Tb_Atualizações[[#This Row],[% PREVISTO]],"0%")</f>
        <v>0.64331210191082799</v>
      </c>
      <c r="L153" s="31" t="str" cm="1">
        <f t="array" aca="1" ref="L1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53" s="29"/>
      <c r="N153" s="30"/>
      <c r="O153" s="42">
        <f t="shared" si="7"/>
        <v>2023</v>
      </c>
      <c r="P153" s="42" t="str">
        <f t="shared" si="8"/>
        <v>202311270/2022</v>
      </c>
      <c r="Q153" s="42">
        <v>1</v>
      </c>
    </row>
    <row r="154" spans="1:17" ht="15" hidden="1">
      <c r="A154" s="44" t="s">
        <v>322</v>
      </c>
      <c r="B154" s="312" t="str">
        <f>IFERROR(INDEX(Projetos!$B$3:$B$129,MATCH(A154,Projetos!$A$3:$A$129,0))," ")</f>
        <v>SNGB - Sistema Nacional de Gestão de Bens</v>
      </c>
      <c r="C154" s="45" t="s">
        <v>1261</v>
      </c>
      <c r="D154" s="34">
        <v>0.94699999999999995</v>
      </c>
      <c r="E154" s="34">
        <v>0.873</v>
      </c>
      <c r="F154" s="27">
        <v>45148</v>
      </c>
      <c r="G154" s="125">
        <v>45108</v>
      </c>
      <c r="H154" s="28" t="str">
        <f t="shared" si="6"/>
        <v>02938/202145108</v>
      </c>
      <c r="I154" s="38">
        <f>IFERROR(INDEX(Projetos!$M$2:$M$129,MATCH(Atualizações!A154,Projetos!$A$2:$A$129,0))," ")</f>
        <v>45519</v>
      </c>
      <c r="J154" s="31"/>
      <c r="K154" s="344">
        <f>IFERROR(Tb_Atualizações[[#This Row],[% EXECUTADO]]/Tb_Atualizações[[#This Row],[% PREVISTO]],"0%")</f>
        <v>0.92185850052798313</v>
      </c>
      <c r="L154" s="31" t="str" cm="1">
        <f t="array" aca="1" ref="L1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54" s="29"/>
      <c r="N154" s="30"/>
      <c r="O154" s="42">
        <f t="shared" si="7"/>
        <v>2023</v>
      </c>
      <c r="P154" s="42" t="str">
        <f t="shared" si="8"/>
        <v>202302938/2021</v>
      </c>
      <c r="Q154" s="42">
        <v>1</v>
      </c>
    </row>
    <row r="155" spans="1:17" ht="30" hidden="1">
      <c r="A155" s="44"/>
      <c r="B155" s="40" t="s">
        <v>1273</v>
      </c>
      <c r="C155" s="26" t="s">
        <v>1273</v>
      </c>
      <c r="D155" s="34">
        <v>1</v>
      </c>
      <c r="E155" s="34">
        <v>1</v>
      </c>
      <c r="F155" s="27">
        <v>45148</v>
      </c>
      <c r="G155" s="125">
        <v>45139</v>
      </c>
      <c r="H155" s="28" t="str">
        <f t="shared" si="6"/>
        <v>45139</v>
      </c>
      <c r="I155" s="38" t="str">
        <f>IFERROR(INDEX(Projetos!$M$2:$M$129,MATCH(Atualizações!A155,Projetos!$A$2:$A$129,0))," ")</f>
        <v xml:space="preserve"> </v>
      </c>
      <c r="J155" s="31"/>
      <c r="K155" s="344">
        <f>IFERROR(Tb_Atualizações[[#This Row],[% EXECUTADO]]/Tb_Atualizações[[#This Row],[% PREVISTO]],"0%")</f>
        <v>1</v>
      </c>
      <c r="L155" s="31" t="str" cm="1">
        <f t="array" aca="1" ref="L1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55" s="30"/>
      <c r="N155" s="30"/>
      <c r="O155" s="42">
        <f t="shared" si="7"/>
        <v>2023</v>
      </c>
      <c r="P155" s="42" t="str">
        <f t="shared" si="8"/>
        <v>2023</v>
      </c>
      <c r="Q155" s="42">
        <v>1</v>
      </c>
    </row>
    <row r="156" spans="1:17" ht="45" hidden="1">
      <c r="A156" s="44" t="s">
        <v>1262</v>
      </c>
      <c r="B156" s="40" t="s">
        <v>1263</v>
      </c>
      <c r="C156" s="26" t="s">
        <v>1263</v>
      </c>
      <c r="D156" s="34">
        <v>0.01</v>
      </c>
      <c r="E156" s="34">
        <v>0.01</v>
      </c>
      <c r="F156" s="27">
        <v>45148</v>
      </c>
      <c r="G156" s="125">
        <v>45139</v>
      </c>
      <c r="H156" s="28" t="str">
        <f t="shared" si="6"/>
        <v>08285/202245139</v>
      </c>
      <c r="I156" s="38" t="str">
        <f>IFERROR(INDEX(Projetos!$M$2:$M$129,MATCH(Atualizações!A156,Projetos!$A$2:$A$129,0))," ")</f>
        <v xml:space="preserve"> </v>
      </c>
      <c r="J156" s="31" t="s">
        <v>1279</v>
      </c>
      <c r="K156" s="344">
        <f>IFERROR(Tb_Atualizações[[#This Row],[% EXECUTADO]]/Tb_Atualizações[[#This Row],[% PREVISTO]],"0%")</f>
        <v>1</v>
      </c>
      <c r="L156" s="31" t="str" cm="1">
        <f t="array" aca="1" ref="L1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56" s="29"/>
      <c r="N156" s="30"/>
      <c r="O156" s="42">
        <f t="shared" si="7"/>
        <v>2023</v>
      </c>
      <c r="P156" s="42" t="str">
        <f t="shared" si="8"/>
        <v>202308285/2022</v>
      </c>
      <c r="Q156" s="42">
        <v>1</v>
      </c>
    </row>
    <row r="157" spans="1:17" ht="30.75" hidden="1">
      <c r="A157" s="44" t="s">
        <v>350</v>
      </c>
      <c r="B157" s="312" t="str">
        <f>IFERROR(INDEX(Projetos!$B$3:$B$129,MATCH(A157,Projetos!$A$3:$A$129,0))," ")</f>
        <v>Painel de Estatística   - Justiça 4.0</v>
      </c>
      <c r="C157" s="26" t="s">
        <v>1255</v>
      </c>
      <c r="D157" s="34">
        <v>0.72699999999999998</v>
      </c>
      <c r="E157" s="34">
        <v>0.89100000000000001</v>
      </c>
      <c r="F157" s="27">
        <v>45160</v>
      </c>
      <c r="G157" s="125">
        <v>45108</v>
      </c>
      <c r="H157" s="28" t="str">
        <f t="shared" si="6"/>
        <v>03545/202145108</v>
      </c>
      <c r="I157" s="38">
        <f>IFERROR(INDEX(Projetos!$M$2:$M$129,MATCH(Atualizações!A157,Projetos!$A$2:$A$129,0))," ")</f>
        <v>46387</v>
      </c>
      <c r="J157" s="31"/>
      <c r="K157" s="344">
        <f>IFERROR(Tb_Atualizações[[#This Row],[% EXECUTADO]]/Tb_Atualizações[[#This Row],[% PREVISTO]],"0%")</f>
        <v>1.2255845942228336</v>
      </c>
      <c r="L157" s="31" t="str" cm="1">
        <f t="array" aca="1" ref="L1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57" s="30"/>
      <c r="N157" s="30"/>
      <c r="O157" s="42">
        <f t="shared" si="7"/>
        <v>2023</v>
      </c>
      <c r="P157" s="42" t="str">
        <f t="shared" si="8"/>
        <v>202303545/2021</v>
      </c>
      <c r="Q157" s="42">
        <v>1</v>
      </c>
    </row>
    <row r="158" spans="1:17" ht="45" hidden="1">
      <c r="A158" s="44" t="s">
        <v>209</v>
      </c>
      <c r="B158" s="312" t="str">
        <f>IFERROR(INDEX(Projetos!$B$3:$B$129,MATCH(A158,Projetos!$A$3:$A$129,0))," ")</f>
        <v>Capacitação técnica para desenvolvedores nas tecnologias da PDPJ - BR</v>
      </c>
      <c r="C158" s="26" t="s">
        <v>1272</v>
      </c>
      <c r="D158" s="34">
        <v>0.22700000000000001</v>
      </c>
      <c r="E158" s="34">
        <v>0.14000000000000001</v>
      </c>
      <c r="F158" s="27">
        <v>45160</v>
      </c>
      <c r="G158" s="125">
        <v>45139</v>
      </c>
      <c r="H158" s="28" t="str">
        <f t="shared" si="6"/>
        <v>01945/202245139</v>
      </c>
      <c r="I158" s="38">
        <f>IFERROR(INDEX(Projetos!$M$2:$M$129,MATCH(Atualizações!A158,Projetos!$A$2:$A$129,0))," ")</f>
        <v>45866</v>
      </c>
      <c r="J158" s="31"/>
      <c r="K158" s="344">
        <f>IFERROR(Tb_Atualizações[[#This Row],[% EXECUTADO]]/Tb_Atualizações[[#This Row],[% PREVISTO]],"0%")</f>
        <v>0.61674008810572689</v>
      </c>
      <c r="L158" s="31" t="str" cm="1">
        <f t="array" aca="1" ref="L1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58" s="30"/>
      <c r="N158" s="30"/>
      <c r="O158" s="42">
        <f t="shared" si="7"/>
        <v>2023</v>
      </c>
      <c r="P158" s="42" t="str">
        <f t="shared" si="8"/>
        <v>202301945/2022</v>
      </c>
      <c r="Q158" s="42">
        <v>1</v>
      </c>
    </row>
    <row r="159" spans="1:17" ht="45" hidden="1">
      <c r="A159" s="44" t="s">
        <v>298</v>
      </c>
      <c r="B159" s="312" t="str">
        <f>IFERROR(INDEX(Projetos!$B$3:$B$129,MATCH(A159,Projetos!$A$3:$A$129,0))," ")</f>
        <v>Propagar - Inclusão, Acessibilidade, Justiça e Cidadania</v>
      </c>
      <c r="C159" s="26" t="s">
        <v>299</v>
      </c>
      <c r="D159" s="34">
        <v>0.16250000000000001</v>
      </c>
      <c r="E159" s="34">
        <v>0.16250000000000001</v>
      </c>
      <c r="F159" s="27">
        <v>45160</v>
      </c>
      <c r="G159" s="125">
        <v>45139</v>
      </c>
      <c r="H159" s="28" t="str">
        <f t="shared" si="6"/>
        <v>02660/202345139</v>
      </c>
      <c r="I159" s="38">
        <f>IFERROR(INDEX(Projetos!$M$2:$M$129,MATCH(Atualizações!A159,Projetos!$A$2:$A$129,0))," ")</f>
        <v>45485</v>
      </c>
      <c r="J159" s="31"/>
      <c r="K159" s="344">
        <f>IFERROR(Tb_Atualizações[[#This Row],[% EXECUTADO]]/Tb_Atualizações[[#This Row],[% PREVISTO]],"0%")</f>
        <v>1</v>
      </c>
      <c r="L159" s="31" t="str" cm="1">
        <f t="array" aca="1" ref="L1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59" s="29"/>
      <c r="N159" s="30"/>
      <c r="O159" s="42">
        <f t="shared" si="7"/>
        <v>2023</v>
      </c>
      <c r="P159" s="42" t="str">
        <f t="shared" si="8"/>
        <v>202302660/2023</v>
      </c>
      <c r="Q159" s="42">
        <v>1</v>
      </c>
    </row>
    <row r="160" spans="1:17" ht="30" hidden="1">
      <c r="A160" s="44"/>
      <c r="B160" s="40" t="s">
        <v>1259</v>
      </c>
      <c r="C160" s="26" t="s">
        <v>1259</v>
      </c>
      <c r="D160" s="34">
        <v>1</v>
      </c>
      <c r="E160" s="34">
        <v>1</v>
      </c>
      <c r="F160" s="27">
        <v>45166</v>
      </c>
      <c r="G160" s="125">
        <v>45078</v>
      </c>
      <c r="H160" s="28" t="str">
        <f t="shared" si="6"/>
        <v>45078</v>
      </c>
      <c r="I160" s="38" t="str">
        <f>IFERROR(INDEX(Projetos!$M$2:$M$129,MATCH(Atualizações!A160,Projetos!$A$2:$A$129,0))," ")</f>
        <v xml:space="preserve"> </v>
      </c>
      <c r="J160" s="31"/>
      <c r="K160" s="344">
        <f>IFERROR(Tb_Atualizações[[#This Row],[% EXECUTADO]]/Tb_Atualizações[[#This Row],[% PREVISTO]],"0%")</f>
        <v>1</v>
      </c>
      <c r="L160" s="31" t="str" cm="1">
        <f t="array" aca="1" ref="L1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60" s="29"/>
      <c r="N160" s="30"/>
      <c r="O160" s="42">
        <f t="shared" si="7"/>
        <v>2023</v>
      </c>
      <c r="P160" s="42" t="str">
        <f t="shared" si="8"/>
        <v>2023</v>
      </c>
      <c r="Q160" s="42">
        <v>1</v>
      </c>
    </row>
    <row r="161" spans="1:17" ht="45" hidden="1">
      <c r="A161" s="44"/>
      <c r="B161" s="40" t="s">
        <v>1268</v>
      </c>
      <c r="C161" s="26" t="s">
        <v>1268</v>
      </c>
      <c r="D161" s="34">
        <v>1</v>
      </c>
      <c r="E161" s="34">
        <v>0.72699999999999998</v>
      </c>
      <c r="F161" s="27">
        <v>45166</v>
      </c>
      <c r="G161" s="125">
        <v>45108</v>
      </c>
      <c r="H161" s="28" t="str">
        <f t="shared" si="6"/>
        <v>45108</v>
      </c>
      <c r="I161" s="38" t="str">
        <f>IFERROR(INDEX(Projetos!$M$2:$M$129,MATCH(Atualizações!A161,Projetos!$A$2:$A$129,0))," ")</f>
        <v xml:space="preserve"> </v>
      </c>
      <c r="J161" s="31"/>
      <c r="K161" s="344">
        <f>IFERROR(Tb_Atualizações[[#This Row],[% EXECUTADO]]/Tb_Atualizações[[#This Row],[% PREVISTO]],"0%")</f>
        <v>0.72699999999999998</v>
      </c>
      <c r="L161" s="31" t="str" cm="1">
        <f t="array" aca="1" ref="L1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61" s="30"/>
      <c r="N161" s="30"/>
      <c r="O161" s="42">
        <f t="shared" si="7"/>
        <v>2023</v>
      </c>
      <c r="P161" s="42" t="str">
        <f t="shared" si="8"/>
        <v>2023</v>
      </c>
      <c r="Q161" s="42">
        <v>1</v>
      </c>
    </row>
    <row r="162" spans="1:17" ht="105" hidden="1">
      <c r="A162" s="44" t="s">
        <v>369</v>
      </c>
      <c r="B162" s="312" t="str">
        <f>IFERROR(INDEX(Projetos!$B$3:$B$129,MATCH(A162,Projetos!$A$3:$A$129,0))," ")</f>
        <v>Aperfeiçoamento funcional em temáticas prioritárias para o CNJ e para Justiça Federal (cursos, capacitações, metodologias e ferramentas)</v>
      </c>
      <c r="C162" s="26" t="s">
        <v>370</v>
      </c>
      <c r="D162" s="34">
        <v>0.91300000000000003</v>
      </c>
      <c r="E162" s="34">
        <v>0.90700000000000003</v>
      </c>
      <c r="F162" s="27">
        <v>45166</v>
      </c>
      <c r="G162" s="125">
        <v>45139</v>
      </c>
      <c r="H162" s="28" t="str">
        <f t="shared" si="6"/>
        <v>03559/202145139</v>
      </c>
      <c r="I162" s="38">
        <f>IFERROR(INDEX(Projetos!$M$2:$M$129,MATCH(Atualizações!A162,Projetos!$A$2:$A$129,0))," ")</f>
        <v>45351</v>
      </c>
      <c r="J162" s="31" t="s">
        <v>1276</v>
      </c>
      <c r="K162" s="344">
        <f>IFERROR(Tb_Atualizações[[#This Row],[% EXECUTADO]]/Tb_Atualizações[[#This Row],[% PREVISTO]],"0%")</f>
        <v>0.99342825848849947</v>
      </c>
      <c r="L162" s="31" t="str" cm="1">
        <f t="array" aca="1" ref="L1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2" s="30"/>
      <c r="N162" s="30"/>
      <c r="O162" s="42">
        <f t="shared" si="7"/>
        <v>2023</v>
      </c>
      <c r="P162" s="42" t="str">
        <f t="shared" si="8"/>
        <v>202303559/2021</v>
      </c>
      <c r="Q162" s="42">
        <v>1</v>
      </c>
    </row>
    <row r="163" spans="1:17" ht="15" hidden="1">
      <c r="A163" s="44" t="s">
        <v>471</v>
      </c>
      <c r="B163" s="312" t="str">
        <f>IFERROR(INDEX(Projetos!$B$3:$B$129,MATCH(A163,Projetos!$A$3:$A$129,0))," ")</f>
        <v>Sinapses 5 - Capacitação Cursos EaD IA</v>
      </c>
      <c r="C163" s="26" t="s">
        <v>1280</v>
      </c>
      <c r="D163" s="34">
        <v>0.78200000000000003</v>
      </c>
      <c r="E163" s="34">
        <v>0.75800000000000001</v>
      </c>
      <c r="F163" s="27">
        <v>45166</v>
      </c>
      <c r="G163" s="125">
        <v>45139</v>
      </c>
      <c r="H163" s="28" t="str">
        <f t="shared" si="6"/>
        <v>08543/202145139</v>
      </c>
      <c r="I163" s="38">
        <f>IFERROR(INDEX(Projetos!$M$2:$M$129,MATCH(Atualizações!A163,Projetos!$A$2:$A$129,0))," ")</f>
        <v>45716</v>
      </c>
      <c r="J163" s="31"/>
      <c r="K163" s="344">
        <f>IFERROR(Tb_Atualizações[[#This Row],[% EXECUTADO]]/Tb_Atualizações[[#This Row],[% PREVISTO]],"0%")</f>
        <v>0.96930946291560105</v>
      </c>
      <c r="L163" s="31" t="str" cm="1">
        <f t="array" aca="1" ref="L1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3" s="29"/>
      <c r="N163" s="30"/>
      <c r="O163" s="42">
        <f t="shared" si="7"/>
        <v>2023</v>
      </c>
      <c r="P163" s="42" t="str">
        <f t="shared" si="8"/>
        <v>202308543/2021</v>
      </c>
      <c r="Q163" s="42">
        <v>1</v>
      </c>
    </row>
    <row r="164" spans="1:17" ht="45" hidden="1">
      <c r="A164" s="44" t="s">
        <v>1249</v>
      </c>
      <c r="B164" s="312" t="str">
        <f>IFERROR(INDEX(Projetos!$B$3:$B$129,MATCH(A164,Projetos!$A$3:$A$129,0))," ")</f>
        <v xml:space="preserve"> </v>
      </c>
      <c r="C164" s="26" t="s">
        <v>1250</v>
      </c>
      <c r="D164" s="34">
        <v>0.754</v>
      </c>
      <c r="E164" s="34">
        <v>0.74099999999999999</v>
      </c>
      <c r="F164" s="27">
        <v>45168</v>
      </c>
      <c r="G164" s="125">
        <v>45139</v>
      </c>
      <c r="H164" s="28" t="str">
        <f t="shared" si="6"/>
        <v>12115/202245139</v>
      </c>
      <c r="I164" s="38" t="str">
        <f>IFERROR(INDEX(Projetos!$M$2:$M$129,MATCH(Atualizações!A164,Projetos!$A$2:$A$129,0))," ")</f>
        <v xml:space="preserve"> </v>
      </c>
      <c r="J164" s="31"/>
      <c r="K164" s="344">
        <f>IFERROR(Tb_Atualizações[[#This Row],[% EXECUTADO]]/Tb_Atualizações[[#This Row],[% PREVISTO]],"0%")</f>
        <v>0.98275862068965514</v>
      </c>
      <c r="L164" s="31" t="str" cm="1">
        <f t="array" aca="1" ref="L1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4" s="30"/>
      <c r="N164" s="30"/>
      <c r="O164" s="42">
        <f t="shared" si="7"/>
        <v>2023</v>
      </c>
      <c r="P164" s="42" t="str">
        <f t="shared" si="8"/>
        <v>202312115/2022</v>
      </c>
      <c r="Q164" s="42">
        <v>1</v>
      </c>
    </row>
    <row r="165" spans="1:17" ht="30" hidden="1">
      <c r="A165" s="44" t="s">
        <v>97</v>
      </c>
      <c r="B165" s="312" t="str">
        <f>IFERROR(INDEX(Projetos!$B$3:$B$129,MATCH(A165,Projetos!$A$3:$A$129,0))," ")</f>
        <v>Execução Fiscal - Automação e Governança</v>
      </c>
      <c r="C165" s="26" t="s">
        <v>98</v>
      </c>
      <c r="D165" s="34">
        <v>0.97</v>
      </c>
      <c r="E165" s="34">
        <v>0.97</v>
      </c>
      <c r="F165" s="27">
        <v>45168</v>
      </c>
      <c r="G165" s="125">
        <v>45139</v>
      </c>
      <c r="H165" s="28" t="str">
        <f t="shared" si="6"/>
        <v>00535/201945139</v>
      </c>
      <c r="I165" s="38">
        <f>IFERROR(INDEX(Projetos!$M$2:$M$129,MATCH(Atualizações!A165,Projetos!$A$2:$A$129,0))," ")</f>
        <v>45930</v>
      </c>
      <c r="J165" s="31"/>
      <c r="K165" s="344">
        <f>IFERROR(Tb_Atualizações[[#This Row],[% EXECUTADO]]/Tb_Atualizações[[#This Row],[% PREVISTO]],"0%")</f>
        <v>1</v>
      </c>
      <c r="L165" s="31" t="str" cm="1">
        <f t="array" aca="1" ref="L1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5" s="30"/>
      <c r="N165" s="30"/>
      <c r="O165" s="42">
        <f t="shared" si="7"/>
        <v>2023</v>
      </c>
      <c r="P165" s="42" t="str">
        <f t="shared" si="8"/>
        <v>202300535/2019</v>
      </c>
      <c r="Q165" s="42">
        <v>1</v>
      </c>
    </row>
    <row r="166" spans="1:17" ht="105" hidden="1">
      <c r="A166" s="44" t="s">
        <v>425</v>
      </c>
      <c r="B166" s="312" t="str">
        <f>IFERROR(INDEX(Projetos!$B$3:$B$129,MATCH(A166,Projetos!$A$3:$A$129,0))," ")</f>
        <v>Diagnóstico sobre a otimização dos processos de trabalho no Poder Judiciário em face da implementação das Políticas Tecnológicas do Programa Justiça 4.0.</v>
      </c>
      <c r="C166" s="26" t="s">
        <v>426</v>
      </c>
      <c r="D166" s="34">
        <v>0.81299999999999994</v>
      </c>
      <c r="E166" s="34">
        <v>0.73799999999999999</v>
      </c>
      <c r="F166" s="27">
        <v>45169</v>
      </c>
      <c r="G166" s="125">
        <v>45139</v>
      </c>
      <c r="H166" s="28" t="str">
        <f t="shared" si="6"/>
        <v>06767/202245139</v>
      </c>
      <c r="I166" s="38">
        <f>IFERROR(INDEX(Projetos!$M$2:$M$129,MATCH(Atualizações!A166,Projetos!$A$2:$A$129,0))," ")</f>
        <v>45605</v>
      </c>
      <c r="J166" s="31"/>
      <c r="K166" s="344">
        <f>IFERROR(Tb_Atualizações[[#This Row],[% EXECUTADO]]/Tb_Atualizações[[#This Row],[% PREVISTO]],"0%")</f>
        <v>0.90774907749077494</v>
      </c>
      <c r="L166" s="31" t="str" cm="1">
        <f t="array" aca="1" ref="L1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66" s="30"/>
      <c r="N166" s="30"/>
      <c r="O166" s="42">
        <f t="shared" si="7"/>
        <v>2023</v>
      </c>
      <c r="P166" s="42" t="str">
        <f t="shared" si="8"/>
        <v>202306767/2022</v>
      </c>
      <c r="Q166" s="42">
        <v>1</v>
      </c>
    </row>
    <row r="167" spans="1:17" ht="60" hidden="1">
      <c r="A167" s="44" t="s">
        <v>341</v>
      </c>
      <c r="B167" s="312" t="str">
        <f>IFERROR(INDEX(Projetos!$B$3:$B$129,MATCH(A167,Projetos!$A$3:$A$129,0))," ")</f>
        <v>PMO Jud -Redesenho dos processos do Escritório de Projetos do CNJ</v>
      </c>
      <c r="C167" s="26" t="s">
        <v>1257</v>
      </c>
      <c r="D167" s="34">
        <v>1</v>
      </c>
      <c r="E167" s="34">
        <v>0.96</v>
      </c>
      <c r="F167" s="27">
        <v>45173</v>
      </c>
      <c r="G167" s="125">
        <v>45139</v>
      </c>
      <c r="H167" s="28" t="str">
        <f t="shared" si="6"/>
        <v>03096/202145139</v>
      </c>
      <c r="I167" s="38">
        <f>IFERROR(INDEX(Projetos!$M$2:$M$129,MATCH(Atualizações!A167,Projetos!$A$2:$A$129,0))," ")</f>
        <v>45291</v>
      </c>
      <c r="J167" s="31"/>
      <c r="K167" s="344">
        <f>IFERROR(Tb_Atualizações[[#This Row],[% EXECUTADO]]/Tb_Atualizações[[#This Row],[% PREVISTO]],"0%")</f>
        <v>0.96</v>
      </c>
      <c r="L167" s="31" t="str" cm="1">
        <f t="array" aca="1" ref="L1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7" s="29"/>
      <c r="N167" s="30"/>
      <c r="O167" s="42">
        <f t="shared" si="7"/>
        <v>2023</v>
      </c>
      <c r="P167" s="42" t="str">
        <f t="shared" si="8"/>
        <v>202303096/2021</v>
      </c>
      <c r="Q167" s="42">
        <v>1</v>
      </c>
    </row>
    <row r="168" spans="1:17" ht="45" hidden="1">
      <c r="A168" s="44" t="s">
        <v>358</v>
      </c>
      <c r="B168" s="312" t="str">
        <f>IFERROR(INDEX(Projetos!$B$3:$B$129,MATCH(A168,Projetos!$A$3:$A$129,0))," ")</f>
        <v>Prevjud - Automação de Processos Previdenciários - Justiça 4.0</v>
      </c>
      <c r="C168" s="26" t="s">
        <v>359</v>
      </c>
      <c r="D168" s="34">
        <v>0.996</v>
      </c>
      <c r="E168" s="34">
        <v>0.96799999999999997</v>
      </c>
      <c r="F168" s="27">
        <v>45173</v>
      </c>
      <c r="G168" s="125">
        <v>45139</v>
      </c>
      <c r="H168" s="28" t="str">
        <f t="shared" si="6"/>
        <v>03558/202145139</v>
      </c>
      <c r="I168" s="38" t="str">
        <f>IFERROR(INDEX(Projetos!$M$2:$M$129,MATCH(Atualizações!A168,Projetos!$A$2:$A$129,0))," ")</f>
        <v>31/03/2026</v>
      </c>
      <c r="J168" s="31"/>
      <c r="K168" s="344">
        <f>IFERROR(Tb_Atualizações[[#This Row],[% EXECUTADO]]/Tb_Atualizações[[#This Row],[% PREVISTO]],"0%")</f>
        <v>0.9718875502008032</v>
      </c>
      <c r="L168" s="31" t="str" cm="1">
        <f t="array" aca="1" ref="L1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8" s="29"/>
      <c r="N168" s="30"/>
      <c r="O168" s="42">
        <f t="shared" si="7"/>
        <v>2023</v>
      </c>
      <c r="P168" s="42" t="str">
        <f t="shared" si="8"/>
        <v>202303558/2021</v>
      </c>
      <c r="Q168" s="42">
        <v>1</v>
      </c>
    </row>
    <row r="169" spans="1:17" ht="30" hidden="1">
      <c r="A169" s="44" t="s">
        <v>141</v>
      </c>
      <c r="B169" s="312" t="str">
        <f>IFERROR(INDEX(Projetos!$B$3:$B$129,MATCH(A169,Projetos!$A$3:$A$129,0))," ")</f>
        <v>6ª edição da Série Justiça e pesquisa</v>
      </c>
      <c r="C169" s="26" t="s">
        <v>142</v>
      </c>
      <c r="D169" s="34">
        <v>0.05</v>
      </c>
      <c r="E169" s="34">
        <v>0.05</v>
      </c>
      <c r="F169" s="27">
        <v>45174</v>
      </c>
      <c r="G169" s="125">
        <v>45108</v>
      </c>
      <c r="H169" s="28" t="str">
        <f t="shared" si="6"/>
        <v>01179/202345108</v>
      </c>
      <c r="I169" s="38">
        <f>IFERROR(INDEX(Projetos!$M$2:$M$129,MATCH(Atualizações!A169,Projetos!$A$2:$A$129,0))," ")</f>
        <v>45597</v>
      </c>
      <c r="J169" s="31" t="s">
        <v>1281</v>
      </c>
      <c r="K169" s="344">
        <f>IFERROR(Tb_Atualizações[[#This Row],[% EXECUTADO]]/Tb_Atualizações[[#This Row],[% PREVISTO]],"0%")</f>
        <v>1</v>
      </c>
      <c r="L169" s="31" t="str" cm="1">
        <f t="array" aca="1" ref="L1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69" s="30"/>
      <c r="N169" s="30"/>
      <c r="O169" s="42">
        <f t="shared" si="7"/>
        <v>2023</v>
      </c>
      <c r="P169" s="42" t="str">
        <f t="shared" si="8"/>
        <v>202301179/2023</v>
      </c>
      <c r="Q169" s="42">
        <v>1</v>
      </c>
    </row>
    <row r="170" spans="1:17" ht="15" hidden="1">
      <c r="A170" s="44" t="s">
        <v>331</v>
      </c>
      <c r="B170" s="312" t="str">
        <f>IFERROR(INDEX(Projetos!$B$3:$B$129,MATCH(A170,Projetos!$A$3:$A$129,0))," ")</f>
        <v>SNIPER - Justiça 4.0</v>
      </c>
      <c r="C170" s="26" t="s">
        <v>332</v>
      </c>
      <c r="D170" s="34">
        <v>0.99099999999999999</v>
      </c>
      <c r="E170" s="34">
        <v>0.98</v>
      </c>
      <c r="F170" s="27">
        <v>45174</v>
      </c>
      <c r="G170" s="125">
        <v>45139</v>
      </c>
      <c r="H170" s="28" t="str">
        <f t="shared" si="6"/>
        <v>02941/202145139</v>
      </c>
      <c r="I170" s="38">
        <f>IFERROR(INDEX(Projetos!$M$2:$M$129,MATCH(Atualizações!A170,Projetos!$A$2:$A$129,0))," ")</f>
        <v>45442</v>
      </c>
      <c r="J170" s="31"/>
      <c r="K170" s="344">
        <f>IFERROR(Tb_Atualizações[[#This Row],[% EXECUTADO]]/Tb_Atualizações[[#This Row],[% PREVISTO]],"0%")</f>
        <v>0.9889001009081736</v>
      </c>
      <c r="L170" s="31" t="str" cm="1">
        <f t="array" aca="1" ref="L1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70" s="29"/>
      <c r="N170" s="30"/>
      <c r="O170" s="42">
        <f t="shared" si="7"/>
        <v>2023</v>
      </c>
      <c r="P170" s="42" t="str">
        <f t="shared" si="8"/>
        <v>202302941/2021</v>
      </c>
      <c r="Q170" s="42">
        <v>1</v>
      </c>
    </row>
    <row r="171" spans="1:17" ht="15" hidden="1">
      <c r="A171" s="44" t="s">
        <v>609</v>
      </c>
      <c r="B171" s="312" t="str">
        <f>IFERROR(INDEX(Projetos!$B$3:$B$129,MATCH(A171,Projetos!$A$3:$A$129,0))," ")</f>
        <v>SPVATJUD</v>
      </c>
      <c r="C171" s="26" t="s">
        <v>1278</v>
      </c>
      <c r="D171" s="34">
        <v>0.503</v>
      </c>
      <c r="E171" s="34">
        <v>0.443</v>
      </c>
      <c r="F171" s="27">
        <v>45174</v>
      </c>
      <c r="G171" s="125">
        <v>45139</v>
      </c>
      <c r="H171" s="28" t="str">
        <f t="shared" si="6"/>
        <v>11270/202245139</v>
      </c>
      <c r="I171" s="38">
        <f>IFERROR(INDEX(Projetos!$M$2:$M$129,MATCH(Atualizações!A171,Projetos!$A$2:$A$129,0))," ")</f>
        <v>45716</v>
      </c>
      <c r="J171" s="31"/>
      <c r="K171" s="344">
        <f>IFERROR(Tb_Atualizações[[#This Row],[% EXECUTADO]]/Tb_Atualizações[[#This Row],[% PREVISTO]],"0%")</f>
        <v>0.88071570576540759</v>
      </c>
      <c r="L171" s="31" t="str" cm="1">
        <f t="array" aca="1" ref="L1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71" s="29"/>
      <c r="N171" s="30"/>
      <c r="O171" s="42">
        <f t="shared" si="7"/>
        <v>2023</v>
      </c>
      <c r="P171" s="42" t="str">
        <f t="shared" si="8"/>
        <v>202311270/2022</v>
      </c>
      <c r="Q171" s="42">
        <v>1</v>
      </c>
    </row>
    <row r="172" spans="1:17" ht="45" hidden="1">
      <c r="A172" s="44"/>
      <c r="B172" s="40" t="s">
        <v>1282</v>
      </c>
      <c r="C172" s="26" t="s">
        <v>1282</v>
      </c>
      <c r="D172" s="34">
        <v>1</v>
      </c>
      <c r="E172" s="34">
        <v>1</v>
      </c>
      <c r="F172" s="27">
        <v>45180</v>
      </c>
      <c r="G172" s="125">
        <v>45139</v>
      </c>
      <c r="H172" s="28" t="str">
        <f t="shared" si="6"/>
        <v>45139</v>
      </c>
      <c r="I172" s="38" t="str">
        <f>IFERROR(INDEX(Projetos!$M$2:$M$129,MATCH(Atualizações!A172,Projetos!$A$2:$A$129,0))," ")</f>
        <v xml:space="preserve"> </v>
      </c>
      <c r="J172" s="31"/>
      <c r="K172" s="344">
        <f>IFERROR(Tb_Atualizações[[#This Row],[% EXECUTADO]]/Tb_Atualizações[[#This Row],[% PREVISTO]],"0%")</f>
        <v>1</v>
      </c>
      <c r="L172" s="31" t="str" cm="1">
        <f t="array" aca="1" ref="L1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72" s="30"/>
      <c r="N172" s="30"/>
      <c r="O172" s="42">
        <f t="shared" si="7"/>
        <v>2023</v>
      </c>
      <c r="P172" s="42" t="str">
        <f t="shared" si="8"/>
        <v>2023</v>
      </c>
      <c r="Q172" s="42">
        <v>1</v>
      </c>
    </row>
    <row r="173" spans="1:17" ht="15" hidden="1">
      <c r="A173" s="44" t="s">
        <v>487</v>
      </c>
      <c r="B173" s="312" t="str">
        <f>IFERROR(INDEX(Projetos!$B$3:$B$129,MATCH(A173,Projetos!$A$3:$A$129,0))," ")</f>
        <v>Demandas Complexas</v>
      </c>
      <c r="C173" s="26" t="s">
        <v>488</v>
      </c>
      <c r="D173" s="34">
        <v>7.8399999999999997E-2</v>
      </c>
      <c r="E173" s="34">
        <v>7.3499999999999996E-2</v>
      </c>
      <c r="F173" s="27">
        <v>45180</v>
      </c>
      <c r="G173" s="125">
        <v>45139</v>
      </c>
      <c r="H173" s="28" t="str">
        <f t="shared" si="6"/>
        <v>08610/202245139</v>
      </c>
      <c r="I173" s="38">
        <f>IFERROR(INDEX(Projetos!$M$2:$M$129,MATCH(Atualizações!A173,Projetos!$A$2:$A$129,0))," ")</f>
        <v>45913</v>
      </c>
      <c r="J173" s="31"/>
      <c r="K173" s="344">
        <f>IFERROR(Tb_Atualizações[[#This Row],[% EXECUTADO]]/Tb_Atualizações[[#This Row],[% PREVISTO]],"0%")</f>
        <v>0.9375</v>
      </c>
      <c r="L173" s="31" t="str" cm="1">
        <f t="array" aca="1" ref="L1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73" s="30"/>
      <c r="N173" s="30"/>
      <c r="O173" s="42">
        <f t="shared" si="7"/>
        <v>2023</v>
      </c>
      <c r="P173" s="42" t="str">
        <f t="shared" si="8"/>
        <v>202308610/2022</v>
      </c>
      <c r="Q173" s="42">
        <v>1</v>
      </c>
    </row>
    <row r="174" spans="1:17" ht="60" hidden="1">
      <c r="A174" s="44" t="s">
        <v>436</v>
      </c>
      <c r="B174" s="312" t="str">
        <f>IFERROR(INDEX(Projetos!$B$3:$B$129,MATCH(A174,Projetos!$A$3:$A$129,0))," ")</f>
        <v>Sensibilização e Formação em Integridade e Compliance no Poder Judiciário</v>
      </c>
      <c r="C174" s="26" t="s">
        <v>437</v>
      </c>
      <c r="D174" s="34">
        <v>0.42899999999999999</v>
      </c>
      <c r="E174" s="34">
        <v>0.97399999999999998</v>
      </c>
      <c r="F174" s="27">
        <v>45182</v>
      </c>
      <c r="G174" s="125">
        <v>45139</v>
      </c>
      <c r="H174" s="28" t="str">
        <f t="shared" si="6"/>
        <v>07855/202245139</v>
      </c>
      <c r="I174" s="38">
        <f>IFERROR(INDEX(Projetos!$M$2:$M$129,MATCH(Atualizações!A174,Projetos!$A$2:$A$129,0))," ")</f>
        <v>45412</v>
      </c>
      <c r="J174" s="31"/>
      <c r="K174" s="344">
        <f>IFERROR(Tb_Atualizações[[#This Row],[% EXECUTADO]]/Tb_Atualizações[[#This Row],[% PREVISTO]],"0%")</f>
        <v>2.2703962703962706</v>
      </c>
      <c r="L174" s="31" t="str" cm="1">
        <f t="array" aca="1" ref="L1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74" s="29"/>
      <c r="N174" s="30"/>
      <c r="O174" s="42">
        <f t="shared" si="7"/>
        <v>2023</v>
      </c>
      <c r="P174" s="42" t="str">
        <f t="shared" si="8"/>
        <v>202307855/2022</v>
      </c>
      <c r="Q174" s="42">
        <v>1</v>
      </c>
    </row>
    <row r="175" spans="1:17" ht="30" hidden="1">
      <c r="A175" s="44" t="s">
        <v>160</v>
      </c>
      <c r="B175" s="312" t="str">
        <f>IFERROR(INDEX(Projetos!$B$3:$B$129,MATCH(A175,Projetos!$A$3:$A$129,0))," ")</f>
        <v>Domicílio Judicial Eletrônico</v>
      </c>
      <c r="C175" s="26" t="s">
        <v>161</v>
      </c>
      <c r="D175" s="34">
        <v>0.84499999999999997</v>
      </c>
      <c r="E175" s="34">
        <v>0.81699999999999995</v>
      </c>
      <c r="F175" s="27">
        <v>45183</v>
      </c>
      <c r="G175" s="125">
        <v>45139</v>
      </c>
      <c r="H175" s="28" t="str">
        <f t="shared" si="6"/>
        <v>01487/202245139</v>
      </c>
      <c r="I175" s="38">
        <f>IFERROR(INDEX(Projetos!$M$2:$M$129,MATCH(Atualizações!A175,Projetos!$A$2:$A$129,0))," ")</f>
        <v>45566</v>
      </c>
      <c r="J175" s="31"/>
      <c r="K175" s="344">
        <f>IFERROR(Tb_Atualizações[[#This Row],[% EXECUTADO]]/Tb_Atualizações[[#This Row],[% PREVISTO]],"0%")</f>
        <v>0.96686390532544375</v>
      </c>
      <c r="L175" s="31" t="str" cm="1">
        <f t="array" aca="1" ref="L1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75" s="29"/>
      <c r="N175" s="30"/>
      <c r="O175" s="42">
        <f t="shared" si="7"/>
        <v>2023</v>
      </c>
      <c r="P175" s="42" t="str">
        <f t="shared" si="8"/>
        <v>202301487/2022</v>
      </c>
      <c r="Q175" s="42">
        <v>1</v>
      </c>
    </row>
    <row r="176" spans="1:17" ht="45" hidden="1">
      <c r="A176" s="44" t="s">
        <v>502</v>
      </c>
      <c r="B176" s="312" t="str">
        <f>IFERROR(INDEX(Projetos!$B$3:$B$129,MATCH(A176,Projetos!$A$3:$A$129,0))," ")</f>
        <v>Plano Nacional de Inovação no Poder Judiciário</v>
      </c>
      <c r="C176" s="26" t="s">
        <v>503</v>
      </c>
      <c r="D176" s="34">
        <v>0.97199999999999998</v>
      </c>
      <c r="E176" s="34">
        <v>0.93600000000000005</v>
      </c>
      <c r="F176" s="27">
        <v>45183</v>
      </c>
      <c r="G176" s="125">
        <v>45139</v>
      </c>
      <c r="H176" s="28" t="str">
        <f t="shared" si="6"/>
        <v>09081/202245139</v>
      </c>
      <c r="I176" s="38">
        <f>IFERROR(INDEX(Projetos!$M$2:$M$129,MATCH(Atualizações!A176,Projetos!$A$2:$A$129,0))," ")</f>
        <v>45321</v>
      </c>
      <c r="J176" s="31"/>
      <c r="K176" s="344">
        <f>IFERROR(Tb_Atualizações[[#This Row],[% EXECUTADO]]/Tb_Atualizações[[#This Row],[% PREVISTO]],"0%")</f>
        <v>0.96296296296296302</v>
      </c>
      <c r="L176" s="31" t="str" cm="1">
        <f t="array" aca="1" ref="L1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76" s="29"/>
      <c r="N176" s="30"/>
      <c r="O176" s="42">
        <f t="shared" si="7"/>
        <v>2023</v>
      </c>
      <c r="P176" s="42" t="str">
        <f t="shared" si="8"/>
        <v>202309081/2022</v>
      </c>
      <c r="Q176" s="42">
        <v>1</v>
      </c>
    </row>
    <row r="177" spans="1:17" ht="30" hidden="1">
      <c r="A177" s="44" t="s">
        <v>479</v>
      </c>
      <c r="B177" s="312" t="str">
        <f>IFERROR(INDEX(Projetos!$B$3:$B$129,MATCH(A177,Projetos!$A$3:$A$129,0))," ")</f>
        <v>Data Lake</v>
      </c>
      <c r="C177" s="26" t="s">
        <v>480</v>
      </c>
      <c r="D177" s="34">
        <v>0.95699999999999996</v>
      </c>
      <c r="E177" s="34">
        <v>0.42599999999999999</v>
      </c>
      <c r="F177" s="27">
        <v>45184</v>
      </c>
      <c r="G177" s="125">
        <v>45139</v>
      </c>
      <c r="H177" s="28" t="str">
        <f t="shared" si="6"/>
        <v>08547/202145139</v>
      </c>
      <c r="I177" s="38" t="str">
        <f>IFERROR(INDEX(Projetos!$M$2:$M$129,MATCH(Atualizações!A177,Projetos!$A$2:$A$129,0))," ")</f>
        <v>31/12/2024</v>
      </c>
      <c r="J177" s="31"/>
      <c r="K177" s="344">
        <f>IFERROR(Tb_Atualizações[[#This Row],[% EXECUTADO]]/Tb_Atualizações[[#This Row],[% PREVISTO]],"0%")</f>
        <v>0.44514106583072099</v>
      </c>
      <c r="L177" s="31" t="str" cm="1">
        <f t="array" aca="1" ref="L1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77" s="29"/>
      <c r="N177" s="30"/>
      <c r="O177" s="42">
        <f t="shared" si="7"/>
        <v>2023</v>
      </c>
      <c r="P177" s="42" t="str">
        <f t="shared" si="8"/>
        <v>202308547/2021</v>
      </c>
      <c r="Q177" s="42">
        <v>1</v>
      </c>
    </row>
    <row r="178" spans="1:17" ht="15" hidden="1">
      <c r="A178" s="44" t="s">
        <v>229</v>
      </c>
      <c r="B178" s="312" t="str">
        <f>IFERROR(INDEX(Projetos!$B$3:$B$129,MATCH(A178,Projetos!$A$3:$A$129,0))," ")</f>
        <v>Gabinete do Juízo</v>
      </c>
      <c r="C178" s="26" t="s">
        <v>1274</v>
      </c>
      <c r="D178" s="34">
        <v>0.77600000000000002</v>
      </c>
      <c r="E178" s="34">
        <v>0.71399999999999997</v>
      </c>
      <c r="F178" s="27">
        <v>45184</v>
      </c>
      <c r="G178" s="125">
        <v>45139</v>
      </c>
      <c r="H178" s="28" t="str">
        <f t="shared" si="6"/>
        <v>02080/202345139</v>
      </c>
      <c r="I178" s="38">
        <f>IFERROR(INDEX(Projetos!$M$2:$M$129,MATCH(Atualizações!A178,Projetos!$A$2:$A$129,0))," ")</f>
        <v>46379</v>
      </c>
      <c r="J178" s="31"/>
      <c r="K178" s="344">
        <f>IFERROR(Tb_Atualizações[[#This Row],[% EXECUTADO]]/Tb_Atualizações[[#This Row],[% PREVISTO]],"0%")</f>
        <v>0.92010309278350511</v>
      </c>
      <c r="L178" s="31" t="str" cm="1">
        <f t="array" aca="1" ref="L1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78" s="30"/>
      <c r="N178" s="30"/>
      <c r="O178" s="42">
        <f t="shared" si="7"/>
        <v>2023</v>
      </c>
      <c r="P178" s="42" t="str">
        <f t="shared" si="8"/>
        <v>202302080/2023</v>
      </c>
      <c r="Q178" s="42">
        <v>1</v>
      </c>
    </row>
    <row r="179" spans="1:17" ht="15" hidden="1">
      <c r="A179" s="44" t="s">
        <v>464</v>
      </c>
      <c r="B179" s="312" t="str">
        <f>IFERROR(INDEX(Projetos!$B$3:$B$129,MATCH(A179,Projetos!$A$3:$A$129,0))," ")</f>
        <v>Sirenejud 2.0</v>
      </c>
      <c r="C179" s="26" t="s">
        <v>465</v>
      </c>
      <c r="D179" s="34">
        <v>0.7</v>
      </c>
      <c r="E179" s="34">
        <v>0.7</v>
      </c>
      <c r="F179" s="27">
        <v>45184</v>
      </c>
      <c r="G179" s="125">
        <v>45139</v>
      </c>
      <c r="H179" s="28" t="str">
        <f t="shared" si="6"/>
        <v>08536/202245139</v>
      </c>
      <c r="I179" s="38">
        <f>IFERROR(INDEX(Projetos!$M$2:$M$129,MATCH(Atualizações!A179,Projetos!$A$2:$A$129,0))," ")</f>
        <v>45433</v>
      </c>
      <c r="J179" s="31"/>
      <c r="K179" s="344">
        <f>IFERROR(Tb_Atualizações[[#This Row],[% EXECUTADO]]/Tb_Atualizações[[#This Row],[% PREVISTO]],"0%")</f>
        <v>1</v>
      </c>
      <c r="L179" s="31" t="str" cm="1">
        <f t="array" aca="1" ref="L1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79" s="29"/>
      <c r="N179" s="30"/>
      <c r="O179" s="42">
        <f t="shared" si="7"/>
        <v>2023</v>
      </c>
      <c r="P179" s="42" t="str">
        <f t="shared" si="8"/>
        <v>202308536/2022</v>
      </c>
      <c r="Q179" s="42">
        <v>1</v>
      </c>
    </row>
    <row r="180" spans="1:17" ht="15" hidden="1">
      <c r="A180" s="44" t="s">
        <v>684</v>
      </c>
      <c r="B180" s="312" t="str">
        <f>IFERROR(INDEX(Projetos!$B$3:$B$129,MATCH(A180,Projetos!$A$3:$A$129,0))," ")</f>
        <v>Painel dos Grandes Litigantes</v>
      </c>
      <c r="C180" s="393"/>
      <c r="D180" s="48">
        <v>0.96499999999999997</v>
      </c>
      <c r="E180" s="48">
        <v>0.96099999999999997</v>
      </c>
      <c r="F180" s="49">
        <v>45187</v>
      </c>
      <c r="G180" s="125">
        <v>45139</v>
      </c>
      <c r="H180" s="28" t="str">
        <f t="shared" si="6"/>
        <v>12135/202245139</v>
      </c>
      <c r="I180" s="38" t="str">
        <f>IFERROR(INDEX(Projetos!$M$2:$M$129,MATCH(Atualizações!A180,Projetos!$A$2:$A$129,0))," ")</f>
        <v>30/06/26</v>
      </c>
      <c r="J180" s="61"/>
      <c r="K180" s="344">
        <f>IFERROR(Tb_Atualizações[[#This Row],[% EXECUTADO]]/Tb_Atualizações[[#This Row],[% PREVISTO]],"0%")</f>
        <v>0.99585492227979278</v>
      </c>
      <c r="L180" s="31" t="str" cm="1">
        <f t="array" aca="1" ref="L1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0" s="50"/>
      <c r="N180" s="30"/>
      <c r="O180" s="42">
        <f t="shared" si="7"/>
        <v>2023</v>
      </c>
      <c r="P180" s="42" t="str">
        <f t="shared" si="8"/>
        <v>202312135/2022</v>
      </c>
      <c r="Q180" s="42">
        <v>1</v>
      </c>
    </row>
    <row r="181" spans="1:17" ht="15" hidden="1">
      <c r="A181" s="44" t="s">
        <v>322</v>
      </c>
      <c r="B181" s="312" t="str">
        <f>IFERROR(INDEX(Projetos!$B$3:$B$129,MATCH(A181,Projetos!$A$3:$A$129,0))," ")</f>
        <v>SNGB - Sistema Nacional de Gestão de Bens</v>
      </c>
      <c r="C181" s="45" t="s">
        <v>1261</v>
      </c>
      <c r="D181" s="34">
        <v>0.97199999999999998</v>
      </c>
      <c r="E181" s="34">
        <v>0.88</v>
      </c>
      <c r="F181" s="27">
        <v>45187</v>
      </c>
      <c r="G181" s="125">
        <v>45139</v>
      </c>
      <c r="H181" s="28" t="str">
        <f t="shared" si="6"/>
        <v>02938/202145139</v>
      </c>
      <c r="I181" s="38">
        <f>IFERROR(INDEX(Projetos!$M$2:$M$129,MATCH(Atualizações!A181,Projetos!$A$2:$A$129,0))," ")</f>
        <v>45519</v>
      </c>
      <c r="J181" s="31"/>
      <c r="K181" s="344">
        <f>IFERROR(Tb_Atualizações[[#This Row],[% EXECUTADO]]/Tb_Atualizações[[#This Row],[% PREVISTO]],"0%")</f>
        <v>0.90534979423868311</v>
      </c>
      <c r="L181" s="31" t="str" cm="1">
        <f t="array" aca="1" ref="L1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81" s="29"/>
      <c r="N181" s="30"/>
      <c r="O181" s="42">
        <f t="shared" si="7"/>
        <v>2023</v>
      </c>
      <c r="P181" s="42" t="str">
        <f t="shared" si="8"/>
        <v>202302938/2021</v>
      </c>
      <c r="Q181" s="42">
        <v>1</v>
      </c>
    </row>
    <row r="182" spans="1:17" ht="45" hidden="1">
      <c r="A182" s="44"/>
      <c r="B182" s="40" t="s">
        <v>1268</v>
      </c>
      <c r="C182" s="26" t="s">
        <v>1268</v>
      </c>
      <c r="D182" s="34">
        <v>0.89400000000000002</v>
      </c>
      <c r="E182" s="34">
        <v>0.83199999999999996</v>
      </c>
      <c r="F182" s="27">
        <v>45188</v>
      </c>
      <c r="G182" s="125">
        <v>45139</v>
      </c>
      <c r="H182" s="28" t="str">
        <f t="shared" si="6"/>
        <v>45139</v>
      </c>
      <c r="I182" s="38" t="str">
        <f>IFERROR(INDEX(Projetos!$M$2:$M$129,MATCH(Atualizações!A182,Projetos!$A$2:$A$129,0))," ")</f>
        <v xml:space="preserve"> </v>
      </c>
      <c r="J182" s="31"/>
      <c r="K182" s="344">
        <f>IFERROR(Tb_Atualizações[[#This Row],[% EXECUTADO]]/Tb_Atualizações[[#This Row],[% PREVISTO]],"0%")</f>
        <v>0.93064876957494402</v>
      </c>
      <c r="L182" s="31" t="str" cm="1">
        <f t="array" aca="1" ref="L1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82" s="30"/>
      <c r="N182" s="30"/>
      <c r="O182" s="42">
        <f t="shared" si="7"/>
        <v>2023</v>
      </c>
      <c r="P182" s="42" t="str">
        <f t="shared" si="8"/>
        <v>2023</v>
      </c>
      <c r="Q182" s="42">
        <v>1</v>
      </c>
    </row>
    <row r="183" spans="1:17" ht="105" hidden="1">
      <c r="A183" s="44" t="s">
        <v>369</v>
      </c>
      <c r="B183" s="312" t="str">
        <f>IFERROR(INDEX(Projetos!$B$3:$B$129,MATCH(A183,Projetos!$A$3:$A$129,0))," ")</f>
        <v>Aperfeiçoamento funcional em temáticas prioritárias para o CNJ e para Justiça Federal (cursos, capacitações, metodologias e ferramentas)</v>
      </c>
      <c r="C183" s="26" t="s">
        <v>370</v>
      </c>
      <c r="D183" s="34">
        <v>0.97499999999999998</v>
      </c>
      <c r="E183" s="34">
        <v>0.95499999999999996</v>
      </c>
      <c r="F183" s="27">
        <v>45201</v>
      </c>
      <c r="G183" s="125">
        <v>45170</v>
      </c>
      <c r="H183" s="28" t="str">
        <f t="shared" si="6"/>
        <v>03559/202145170</v>
      </c>
      <c r="I183" s="38">
        <f>IFERROR(INDEX(Projetos!$M$2:$M$129,MATCH(Atualizações!A183,Projetos!$A$2:$A$129,0))," ")</f>
        <v>45351</v>
      </c>
      <c r="J183" s="31"/>
      <c r="K183" s="344">
        <f>IFERROR(Tb_Atualizações[[#This Row],[% EXECUTADO]]/Tb_Atualizações[[#This Row],[% PREVISTO]],"0%")</f>
        <v>0.97948717948717945</v>
      </c>
      <c r="L183" s="31" t="str" cm="1">
        <f t="array" aca="1" ref="L1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3" s="30"/>
      <c r="N183" s="30"/>
      <c r="O183" s="42">
        <f t="shared" si="7"/>
        <v>2023</v>
      </c>
      <c r="P183" s="42" t="str">
        <f t="shared" si="8"/>
        <v>202303559/2021</v>
      </c>
      <c r="Q183" s="42">
        <v>1</v>
      </c>
    </row>
    <row r="184" spans="1:17" ht="45" hidden="1">
      <c r="A184" s="44" t="s">
        <v>209</v>
      </c>
      <c r="B184" s="312" t="str">
        <f>IFERROR(INDEX(Projetos!$B$3:$B$129,MATCH(A184,Projetos!$A$3:$A$129,0))," ")</f>
        <v>Capacitação técnica para desenvolvedores nas tecnologias da PDPJ - BR</v>
      </c>
      <c r="C184" s="26" t="s">
        <v>1272</v>
      </c>
      <c r="D184" s="34">
        <v>0.16700000000000001</v>
      </c>
      <c r="E184" s="34">
        <v>0.16800000000000001</v>
      </c>
      <c r="F184" s="27">
        <v>45201</v>
      </c>
      <c r="G184" s="125">
        <v>45170</v>
      </c>
      <c r="H184" s="28" t="str">
        <f t="shared" si="6"/>
        <v>01945/202245170</v>
      </c>
      <c r="I184" s="38">
        <f>IFERROR(INDEX(Projetos!$M$2:$M$129,MATCH(Atualizações!A184,Projetos!$A$2:$A$129,0))," ")</f>
        <v>45866</v>
      </c>
      <c r="J184" s="31"/>
      <c r="K184" s="344">
        <f>IFERROR(Tb_Atualizações[[#This Row],[% EXECUTADO]]/Tb_Atualizações[[#This Row],[% PREVISTO]],"0%")</f>
        <v>1.0059880239520957</v>
      </c>
      <c r="L184" s="31" t="str" cm="1">
        <f t="array" aca="1" ref="L1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4" s="30"/>
      <c r="N184" s="30"/>
      <c r="O184" s="42">
        <f t="shared" si="7"/>
        <v>2023</v>
      </c>
      <c r="P184" s="42" t="str">
        <f t="shared" si="8"/>
        <v>202301945/2022</v>
      </c>
      <c r="Q184" s="42">
        <v>1</v>
      </c>
    </row>
    <row r="185" spans="1:17" ht="30" hidden="1">
      <c r="A185" s="44" t="s">
        <v>97</v>
      </c>
      <c r="B185" s="312" t="str">
        <f>IFERROR(INDEX(Projetos!$B$3:$B$129,MATCH(A185,Projetos!$A$3:$A$129,0))," ")</f>
        <v>Execução Fiscal - Automação e Governança</v>
      </c>
      <c r="C185" s="26" t="s">
        <v>98</v>
      </c>
      <c r="D185" s="34">
        <v>0.97</v>
      </c>
      <c r="E185" s="34">
        <v>0.97</v>
      </c>
      <c r="F185" s="27">
        <v>45201</v>
      </c>
      <c r="G185" s="125">
        <v>45170</v>
      </c>
      <c r="H185" s="28" t="str">
        <f t="shared" si="6"/>
        <v>00535/201945170</v>
      </c>
      <c r="I185" s="38">
        <f>IFERROR(INDEX(Projetos!$M$2:$M$129,MATCH(Atualizações!A185,Projetos!$A$2:$A$129,0))," ")</f>
        <v>45930</v>
      </c>
      <c r="J185" s="31"/>
      <c r="K185" s="344">
        <f>IFERROR(Tb_Atualizações[[#This Row],[% EXECUTADO]]/Tb_Atualizações[[#This Row],[% PREVISTO]],"0%")</f>
        <v>1</v>
      </c>
      <c r="L185" s="31" t="str" cm="1">
        <f t="array" aca="1" ref="L1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5" s="30"/>
      <c r="N185" s="30"/>
      <c r="O185" s="42">
        <f t="shared" si="7"/>
        <v>2023</v>
      </c>
      <c r="P185" s="42" t="str">
        <f t="shared" si="8"/>
        <v>202300535/2019</v>
      </c>
      <c r="Q185" s="42">
        <v>1</v>
      </c>
    </row>
    <row r="186" spans="1:17" ht="45" hidden="1">
      <c r="A186" s="44" t="s">
        <v>502</v>
      </c>
      <c r="B186" s="312" t="str">
        <f>IFERROR(INDEX(Projetos!$B$3:$B$129,MATCH(A186,Projetos!$A$3:$A$129,0))," ")</f>
        <v>Plano Nacional de Inovação no Poder Judiciário</v>
      </c>
      <c r="C186" s="26" t="s">
        <v>503</v>
      </c>
      <c r="D186" s="34">
        <v>1</v>
      </c>
      <c r="E186" s="34">
        <v>0.94899999999999995</v>
      </c>
      <c r="F186" s="27">
        <v>45201</v>
      </c>
      <c r="G186" s="125">
        <v>45170</v>
      </c>
      <c r="H186" s="28" t="str">
        <f t="shared" si="6"/>
        <v>09081/202245170</v>
      </c>
      <c r="I186" s="38">
        <f>IFERROR(INDEX(Projetos!$M$2:$M$129,MATCH(Atualizações!A186,Projetos!$A$2:$A$129,0))," ")</f>
        <v>45321</v>
      </c>
      <c r="J186" s="31"/>
      <c r="K186" s="344">
        <f>IFERROR(Tb_Atualizações[[#This Row],[% EXECUTADO]]/Tb_Atualizações[[#This Row],[% PREVISTO]],"0%")</f>
        <v>0.94899999999999995</v>
      </c>
      <c r="L186" s="31" t="str" cm="1">
        <f t="array" aca="1" ref="L1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86" s="29"/>
      <c r="N186" s="30"/>
      <c r="O186" s="42">
        <f t="shared" si="7"/>
        <v>2023</v>
      </c>
      <c r="P186" s="42" t="str">
        <f t="shared" si="8"/>
        <v>202309081/2022</v>
      </c>
      <c r="Q186" s="42">
        <v>1</v>
      </c>
    </row>
    <row r="187" spans="1:17" ht="15" hidden="1">
      <c r="A187" s="44" t="s">
        <v>471</v>
      </c>
      <c r="B187" s="312" t="str">
        <f>IFERROR(INDEX(Projetos!$B$3:$B$129,MATCH(A187,Projetos!$A$3:$A$129,0))," ")</f>
        <v>Sinapses 5 - Capacitação Cursos EaD IA</v>
      </c>
      <c r="C187" s="26" t="s">
        <v>1280</v>
      </c>
      <c r="D187" s="34">
        <v>0.81299999999999994</v>
      </c>
      <c r="E187" s="34">
        <v>0.77900000000000003</v>
      </c>
      <c r="F187" s="27">
        <v>45201</v>
      </c>
      <c r="G187" s="125">
        <v>45170</v>
      </c>
      <c r="H187" s="28" t="str">
        <f t="shared" si="6"/>
        <v>08543/202145170</v>
      </c>
      <c r="I187" s="38">
        <f>IFERROR(INDEX(Projetos!$M$2:$M$129,MATCH(Atualizações!A187,Projetos!$A$2:$A$129,0))," ")</f>
        <v>45716</v>
      </c>
      <c r="J187" s="31"/>
      <c r="K187" s="344">
        <f>IFERROR(Tb_Atualizações[[#This Row],[% EXECUTADO]]/Tb_Atualizações[[#This Row],[% PREVISTO]],"0%")</f>
        <v>0.95817958179581808</v>
      </c>
      <c r="L187" s="31" t="str" cm="1">
        <f t="array" aca="1" ref="L1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7" s="29"/>
      <c r="N187" s="30"/>
      <c r="O187" s="42">
        <f t="shared" si="7"/>
        <v>2023</v>
      </c>
      <c r="P187" s="42" t="str">
        <f t="shared" si="8"/>
        <v>202308543/2021</v>
      </c>
      <c r="Q187" s="42">
        <v>1</v>
      </c>
    </row>
    <row r="188" spans="1:17" ht="15" hidden="1">
      <c r="A188" s="44" t="s">
        <v>229</v>
      </c>
      <c r="B188" s="312" t="str">
        <f>IFERROR(INDEX(Projetos!$B$3:$B$129,MATCH(A188,Projetos!$A$3:$A$129,0))," ")</f>
        <v>Gabinete do Juízo</v>
      </c>
      <c r="C188" s="26" t="s">
        <v>1274</v>
      </c>
      <c r="D188" s="34">
        <v>0.80200000000000005</v>
      </c>
      <c r="E188" s="34">
        <v>0.82799999999999996</v>
      </c>
      <c r="F188" s="27">
        <v>45203</v>
      </c>
      <c r="G188" s="125">
        <v>45170</v>
      </c>
      <c r="H188" s="28" t="str">
        <f t="shared" si="6"/>
        <v>02080/202345170</v>
      </c>
      <c r="I188" s="38">
        <f>IFERROR(INDEX(Projetos!$M$2:$M$129,MATCH(Atualizações!A188,Projetos!$A$2:$A$129,0))," ")</f>
        <v>46379</v>
      </c>
      <c r="J188" s="31"/>
      <c r="K188" s="344">
        <f>IFERROR(Tb_Atualizações[[#This Row],[% EXECUTADO]]/Tb_Atualizações[[#This Row],[% PREVISTO]],"0%")</f>
        <v>1.0324189526184537</v>
      </c>
      <c r="L188" s="31" t="str" cm="1">
        <f t="array" aca="1" ref="L1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88" s="30"/>
      <c r="N188" s="30"/>
      <c r="O188" s="42">
        <f t="shared" si="7"/>
        <v>2023</v>
      </c>
      <c r="P188" s="42" t="str">
        <f t="shared" si="8"/>
        <v>202302080/2023</v>
      </c>
      <c r="Q188" s="42">
        <v>1</v>
      </c>
    </row>
    <row r="189" spans="1:17" ht="30" hidden="1">
      <c r="A189" s="44" t="s">
        <v>1283</v>
      </c>
      <c r="B189" s="40" t="s">
        <v>1284</v>
      </c>
      <c r="C189" s="26" t="s">
        <v>1284</v>
      </c>
      <c r="D189" s="34">
        <v>1</v>
      </c>
      <c r="E189" s="34">
        <v>0.56100000000000005</v>
      </c>
      <c r="F189" s="27">
        <v>45203</v>
      </c>
      <c r="G189" s="125">
        <v>45170</v>
      </c>
      <c r="H189" s="28" t="str">
        <f t="shared" si="6"/>
        <v>01508/202245170</v>
      </c>
      <c r="I189" s="38" t="str">
        <f>IFERROR(INDEX(Projetos!$M$2:$M$129,MATCH(Atualizações!A189,Projetos!$A$2:$A$129,0))," ")</f>
        <v xml:space="preserve"> </v>
      </c>
      <c r="J189" s="31"/>
      <c r="K189" s="344">
        <f>IFERROR(Tb_Atualizações[[#This Row],[% EXECUTADO]]/Tb_Atualizações[[#This Row],[% PREVISTO]],"0%")</f>
        <v>0.56100000000000005</v>
      </c>
      <c r="L189" s="31" t="str" cm="1">
        <f t="array" aca="1" ref="L1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89" s="29"/>
      <c r="N189" s="30"/>
      <c r="O189" s="42">
        <f t="shared" si="7"/>
        <v>2023</v>
      </c>
      <c r="P189" s="42" t="str">
        <f t="shared" si="8"/>
        <v>202301508/2022</v>
      </c>
      <c r="Q189" s="42">
        <v>1</v>
      </c>
    </row>
    <row r="190" spans="1:17" ht="15" hidden="1">
      <c r="A190" s="44" t="s">
        <v>609</v>
      </c>
      <c r="B190" s="312" t="str">
        <f>IFERROR(INDEX(Projetos!$B$3:$B$129,MATCH(A190,Projetos!$A$3:$A$129,0))," ")</f>
        <v>SPVATJUD</v>
      </c>
      <c r="C190" s="26" t="s">
        <v>1278</v>
      </c>
      <c r="D190" s="34">
        <v>0.56000000000000005</v>
      </c>
      <c r="E190" s="34">
        <v>0.505</v>
      </c>
      <c r="F190" s="27">
        <v>45204</v>
      </c>
      <c r="G190" s="125">
        <v>45170</v>
      </c>
      <c r="H190" s="28" t="str">
        <f t="shared" si="6"/>
        <v>11270/202245170</v>
      </c>
      <c r="I190" s="38">
        <f>IFERROR(INDEX(Projetos!$M$2:$M$129,MATCH(Atualizações!A190,Projetos!$A$2:$A$129,0))," ")</f>
        <v>45716</v>
      </c>
      <c r="J190" s="31"/>
      <c r="K190" s="344">
        <f>IFERROR(Tb_Atualizações[[#This Row],[% EXECUTADO]]/Tb_Atualizações[[#This Row],[% PREVISTO]],"0%")</f>
        <v>0.90178571428571419</v>
      </c>
      <c r="L190" s="31" t="str" cm="1">
        <f t="array" aca="1" ref="L1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90" s="29"/>
      <c r="N190" s="30"/>
      <c r="O190" s="42">
        <f t="shared" si="7"/>
        <v>2023</v>
      </c>
      <c r="P190" s="42" t="str">
        <f t="shared" si="8"/>
        <v>202311270/2022</v>
      </c>
      <c r="Q190" s="42">
        <v>1</v>
      </c>
    </row>
    <row r="191" spans="1:17" ht="60" hidden="1">
      <c r="A191" s="44" t="s">
        <v>436</v>
      </c>
      <c r="B191" s="312" t="str">
        <f>IFERROR(INDEX(Projetos!$B$3:$B$129,MATCH(A191,Projetos!$A$3:$A$129,0))," ")</f>
        <v>Sensibilização e Formação em Integridade e Compliance no Poder Judiciário</v>
      </c>
      <c r="C191" s="26" t="s">
        <v>437</v>
      </c>
      <c r="D191" s="34">
        <v>0.38600000000000001</v>
      </c>
      <c r="E191" s="34">
        <v>0.85199999999999998</v>
      </c>
      <c r="F191" s="27">
        <v>45205</v>
      </c>
      <c r="G191" s="125">
        <v>45170</v>
      </c>
      <c r="H191" s="28" t="str">
        <f t="shared" si="6"/>
        <v>07855/202245170</v>
      </c>
      <c r="I191" s="38">
        <f>IFERROR(INDEX(Projetos!$M$2:$M$129,MATCH(Atualizações!A191,Projetos!$A$2:$A$129,0))," ")</f>
        <v>45412</v>
      </c>
      <c r="J191" s="31"/>
      <c r="K191" s="344">
        <f>IFERROR(Tb_Atualizações[[#This Row],[% EXECUTADO]]/Tb_Atualizações[[#This Row],[% PREVISTO]],"0%")</f>
        <v>2.2072538860103625</v>
      </c>
      <c r="L191" s="31" t="str" cm="1">
        <f t="array" aca="1" ref="L1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1" s="29"/>
      <c r="N191" s="30"/>
      <c r="O191" s="42">
        <f t="shared" si="7"/>
        <v>2023</v>
      </c>
      <c r="P191" s="42" t="str">
        <f t="shared" si="8"/>
        <v>202307855/2022</v>
      </c>
      <c r="Q191" s="42">
        <v>1</v>
      </c>
    </row>
    <row r="192" spans="1:17" ht="30.75" hidden="1">
      <c r="A192" s="44" t="s">
        <v>350</v>
      </c>
      <c r="B192" s="312" t="str">
        <f>IFERROR(INDEX(Projetos!$B$3:$B$129,MATCH(A192,Projetos!$A$3:$A$129,0))," ")</f>
        <v>Painel de Estatística   - Justiça 4.0</v>
      </c>
      <c r="C192" s="26" t="s">
        <v>1255</v>
      </c>
      <c r="D192" s="34">
        <v>0.97799999999999998</v>
      </c>
      <c r="E192" s="34">
        <v>0.89100000000000001</v>
      </c>
      <c r="F192" s="27">
        <v>45210</v>
      </c>
      <c r="G192" s="125">
        <v>45139</v>
      </c>
      <c r="H192" s="28" t="str">
        <f t="shared" si="6"/>
        <v>03545/202145139</v>
      </c>
      <c r="I192" s="38">
        <f>IFERROR(INDEX(Projetos!$M$2:$M$129,MATCH(Atualizações!A192,Projetos!$A$2:$A$129,0))," ")</f>
        <v>46387</v>
      </c>
      <c r="J192" s="31"/>
      <c r="K192" s="344">
        <f>IFERROR(Tb_Atualizações[[#This Row],[% EXECUTADO]]/Tb_Atualizações[[#This Row],[% PREVISTO]],"0%")</f>
        <v>0.91104294478527614</v>
      </c>
      <c r="L192" s="31" t="str" cm="1">
        <f t="array" aca="1" ref="L1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92" s="30"/>
      <c r="N192" s="30"/>
      <c r="O192" s="42">
        <f t="shared" si="7"/>
        <v>2023</v>
      </c>
      <c r="P192" s="42" t="str">
        <f t="shared" si="8"/>
        <v>202303545/2021</v>
      </c>
      <c r="Q192" s="42">
        <v>1</v>
      </c>
    </row>
    <row r="193" spans="1:17" ht="45" hidden="1">
      <c r="A193" s="44" t="s">
        <v>502</v>
      </c>
      <c r="B193" s="312" t="str">
        <f>IFERROR(INDEX(Projetos!$B$3:$B$129,MATCH(A193,Projetos!$A$3:$A$129,0))," ")</f>
        <v>Plano Nacional de Inovação no Poder Judiciário</v>
      </c>
      <c r="C193" s="26" t="s">
        <v>503</v>
      </c>
      <c r="D193" s="34">
        <v>0.90600000000000003</v>
      </c>
      <c r="E193" s="34">
        <v>0.91</v>
      </c>
      <c r="F193" s="27">
        <v>45217</v>
      </c>
      <c r="G193" s="125">
        <v>45200</v>
      </c>
      <c r="H193" s="28" t="str">
        <f t="shared" si="6"/>
        <v>09081/202245200</v>
      </c>
      <c r="I193" s="38">
        <f>IFERROR(INDEX(Projetos!$M$2:$M$129,MATCH(Atualizações!A193,Projetos!$A$2:$A$129,0))," ")</f>
        <v>45321</v>
      </c>
      <c r="J193" s="31" t="s">
        <v>1285</v>
      </c>
      <c r="K193" s="344">
        <f>IFERROR(Tb_Atualizações[[#This Row],[% EXECUTADO]]/Tb_Atualizações[[#This Row],[% PREVISTO]],"0%")</f>
        <v>1.0044150110375276</v>
      </c>
      <c r="L193" s="31" t="str" cm="1">
        <f t="array" aca="1" ref="L1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3" s="29"/>
      <c r="N193" s="30"/>
      <c r="O193" s="42">
        <f t="shared" si="7"/>
        <v>2023</v>
      </c>
      <c r="P193" s="42" t="str">
        <f t="shared" si="8"/>
        <v>202309081/2022</v>
      </c>
      <c r="Q193" s="42">
        <v>1</v>
      </c>
    </row>
    <row r="194" spans="1:17" ht="45" hidden="1">
      <c r="A194" s="44"/>
      <c r="B194" s="40" t="s">
        <v>1239</v>
      </c>
      <c r="C194" s="26" t="s">
        <v>1239</v>
      </c>
      <c r="D194" s="34">
        <v>1</v>
      </c>
      <c r="E194" s="34">
        <v>1</v>
      </c>
      <c r="F194" s="27">
        <v>45219</v>
      </c>
      <c r="G194" s="125">
        <v>45200</v>
      </c>
      <c r="H194" s="28" t="str">
        <f t="shared" ref="H194:H257" si="9">A194&amp;G194</f>
        <v>45200</v>
      </c>
      <c r="I194" s="38" t="str">
        <f>IFERROR(INDEX(Projetos!$M$2:$M$129,MATCH(Atualizações!A194,Projetos!$A$2:$A$129,0))," ")</f>
        <v xml:space="preserve"> </v>
      </c>
      <c r="J194" s="31"/>
      <c r="K194" s="344">
        <f>IFERROR(Tb_Atualizações[[#This Row],[% EXECUTADO]]/Tb_Atualizações[[#This Row],[% PREVISTO]],"0%")</f>
        <v>1</v>
      </c>
      <c r="L194" s="31" t="str" cm="1">
        <f t="array" aca="1" ref="L1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94" s="29"/>
      <c r="N194" s="30"/>
      <c r="O194" s="42">
        <f t="shared" ref="O194:O257" si="10">YEAR(F194)</f>
        <v>2023</v>
      </c>
      <c r="P194" s="42" t="str">
        <f t="shared" ref="P194:P257" si="11">O194&amp;A194</f>
        <v>2023</v>
      </c>
      <c r="Q194" s="42">
        <v>1</v>
      </c>
    </row>
    <row r="195" spans="1:17" ht="15" hidden="1">
      <c r="A195" s="44" t="s">
        <v>479</v>
      </c>
      <c r="B195" s="312" t="str">
        <f>IFERROR(INDEX(Projetos!$B$3:$B$129,MATCH(A195,Projetos!$A$3:$A$129,0))," ")</f>
        <v>Data Lake</v>
      </c>
      <c r="C195" s="26" t="s">
        <v>480</v>
      </c>
      <c r="D195" s="34">
        <v>0.56599999999999995</v>
      </c>
      <c r="E195" s="34">
        <v>0.56999999999999995</v>
      </c>
      <c r="F195" s="27">
        <v>45220</v>
      </c>
      <c r="G195" s="125">
        <v>45170</v>
      </c>
      <c r="H195" s="28" t="str">
        <f t="shared" si="9"/>
        <v>08547/202145170</v>
      </c>
      <c r="I195" s="38" t="str">
        <f>IFERROR(INDEX(Projetos!$M$2:$M$129,MATCH(Atualizações!A195,Projetos!$A$2:$A$129,0))," ")</f>
        <v>31/12/2024</v>
      </c>
      <c r="J195" s="31"/>
      <c r="K195" s="344">
        <f>IFERROR(Tb_Atualizações[[#This Row],[% EXECUTADO]]/Tb_Atualizações[[#This Row],[% PREVISTO]],"0%")</f>
        <v>1.0070671378091873</v>
      </c>
      <c r="L195" s="31" t="str" cm="1">
        <f t="array" aca="1" ref="L1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5" s="29"/>
      <c r="N195" s="30"/>
      <c r="O195" s="42">
        <f t="shared" si="10"/>
        <v>2023</v>
      </c>
      <c r="P195" s="42" t="str">
        <f t="shared" si="11"/>
        <v>202308547/2021</v>
      </c>
      <c r="Q195" s="42">
        <v>1</v>
      </c>
    </row>
    <row r="196" spans="1:17" ht="45" hidden="1">
      <c r="A196" s="44" t="s">
        <v>182</v>
      </c>
      <c r="B196" s="312" t="str">
        <f>IFERROR(INDEX(Projetos!$B$3:$B$129,MATCH(A196,Projetos!$A$3:$A$129,0))," ")</f>
        <v xml:space="preserve">Mineração de Processos do Pje </v>
      </c>
      <c r="C196" s="26" t="s">
        <v>1254</v>
      </c>
      <c r="D196" s="34">
        <v>0.98</v>
      </c>
      <c r="E196" s="34">
        <v>0.98</v>
      </c>
      <c r="F196" s="27">
        <v>45229</v>
      </c>
      <c r="G196" s="125">
        <v>45170</v>
      </c>
      <c r="H196" s="28" t="str">
        <f t="shared" si="9"/>
        <v>01764/202045170</v>
      </c>
      <c r="I196" s="38">
        <f>IFERROR(INDEX(Projetos!$M$2:$M$129,MATCH(Atualizações!A196,Projetos!$A$2:$A$129,0))," ")</f>
        <v>46630</v>
      </c>
      <c r="J196" s="31"/>
      <c r="K196" s="344">
        <f>IFERROR(Tb_Atualizações[[#This Row],[% EXECUTADO]]/Tb_Atualizações[[#This Row],[% PREVISTO]],"0%")</f>
        <v>1</v>
      </c>
      <c r="L196" s="31" t="str" cm="1">
        <f t="array" aca="1" ref="L1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6" s="30"/>
      <c r="N196" s="30"/>
      <c r="O196" s="42">
        <f t="shared" si="10"/>
        <v>2023</v>
      </c>
      <c r="P196" s="42" t="str">
        <f t="shared" si="11"/>
        <v>202301764/2020</v>
      </c>
      <c r="Q196" s="42">
        <v>1</v>
      </c>
    </row>
    <row r="197" spans="1:17" ht="30" hidden="1">
      <c r="A197" s="44" t="s">
        <v>141</v>
      </c>
      <c r="B197" s="312" t="str">
        <f>IFERROR(INDEX(Projetos!$B$3:$B$129,MATCH(A197,Projetos!$A$3:$A$129,0))," ")</f>
        <v>6ª edição da Série Justiça e pesquisa</v>
      </c>
      <c r="C197" s="26" t="s">
        <v>142</v>
      </c>
      <c r="D197" s="34">
        <v>0.2</v>
      </c>
      <c r="E197" s="34">
        <v>0.24</v>
      </c>
      <c r="F197" s="27">
        <v>45229</v>
      </c>
      <c r="G197" s="125">
        <v>45200</v>
      </c>
      <c r="H197" s="28" t="str">
        <f t="shared" si="9"/>
        <v>01179/202345200</v>
      </c>
      <c r="I197" s="38">
        <f>IFERROR(INDEX(Projetos!$M$2:$M$129,MATCH(Atualizações!A197,Projetos!$A$2:$A$129,0))," ")</f>
        <v>45597</v>
      </c>
      <c r="J197" s="31" t="s">
        <v>1286</v>
      </c>
      <c r="K197" s="344">
        <f>IFERROR(Tb_Atualizações[[#This Row],[% EXECUTADO]]/Tb_Atualizações[[#This Row],[% PREVISTO]],"0%")</f>
        <v>1.2</v>
      </c>
      <c r="L197" s="31" t="str" cm="1">
        <f t="array" aca="1" ref="L1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7" s="30"/>
      <c r="N197" s="30"/>
      <c r="O197" s="42">
        <f t="shared" si="10"/>
        <v>2023</v>
      </c>
      <c r="P197" s="42" t="str">
        <f t="shared" si="11"/>
        <v>202301179/2023</v>
      </c>
      <c r="Q197" s="42">
        <v>1</v>
      </c>
    </row>
    <row r="198" spans="1:17" ht="105" hidden="1">
      <c r="A198" s="44" t="s">
        <v>369</v>
      </c>
      <c r="B198" s="312" t="str">
        <f>IFERROR(INDEX(Projetos!$B$3:$B$129,MATCH(A198,Projetos!$A$3:$A$129,0))," ")</f>
        <v>Aperfeiçoamento funcional em temáticas prioritárias para o CNJ e para Justiça Federal (cursos, capacitações, metodologias e ferramentas)</v>
      </c>
      <c r="C198" s="26" t="s">
        <v>370</v>
      </c>
      <c r="D198" s="34">
        <v>0.98699999999999999</v>
      </c>
      <c r="E198" s="34">
        <v>0.97499999999999998</v>
      </c>
      <c r="F198" s="27">
        <v>45229</v>
      </c>
      <c r="G198" s="125">
        <v>45200</v>
      </c>
      <c r="H198" s="28" t="str">
        <f t="shared" si="9"/>
        <v>03559/202145200</v>
      </c>
      <c r="I198" s="38">
        <f>IFERROR(INDEX(Projetos!$M$2:$M$129,MATCH(Atualizações!A198,Projetos!$A$2:$A$129,0))," ")</f>
        <v>45351</v>
      </c>
      <c r="J198" s="31"/>
      <c r="K198" s="344">
        <f>IFERROR(Tb_Atualizações[[#This Row],[% EXECUTADO]]/Tb_Atualizações[[#This Row],[% PREVISTO]],"0%")</f>
        <v>0.9878419452887538</v>
      </c>
      <c r="L198" s="31" t="str" cm="1">
        <f t="array" aca="1" ref="L1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8" s="30"/>
      <c r="N198" s="30"/>
      <c r="O198" s="42">
        <f t="shared" si="10"/>
        <v>2023</v>
      </c>
      <c r="P198" s="42" t="str">
        <f t="shared" si="11"/>
        <v>202303559/2021</v>
      </c>
      <c r="Q198" s="42">
        <v>1</v>
      </c>
    </row>
    <row r="199" spans="1:17" ht="45" hidden="1">
      <c r="A199" s="44" t="s">
        <v>209</v>
      </c>
      <c r="B199" s="312" t="str">
        <f>IFERROR(INDEX(Projetos!$B$3:$B$129,MATCH(A199,Projetos!$A$3:$A$129,0))," ")</f>
        <v>Capacitação técnica para desenvolvedores nas tecnologias da PDPJ - BR</v>
      </c>
      <c r="C199" s="26" t="s">
        <v>1272</v>
      </c>
      <c r="D199" s="34">
        <v>0.183</v>
      </c>
      <c r="E199" s="34">
        <v>0.17799999999999999</v>
      </c>
      <c r="F199" s="27">
        <v>45229</v>
      </c>
      <c r="G199" s="125">
        <v>45200</v>
      </c>
      <c r="H199" s="28" t="str">
        <f t="shared" si="9"/>
        <v>01945/202245200</v>
      </c>
      <c r="I199" s="38">
        <f>IFERROR(INDEX(Projetos!$M$2:$M$129,MATCH(Atualizações!A199,Projetos!$A$2:$A$129,0))," ")</f>
        <v>45866</v>
      </c>
      <c r="J199" s="31"/>
      <c r="K199" s="344">
        <f>IFERROR(Tb_Atualizações[[#This Row],[% EXECUTADO]]/Tb_Atualizações[[#This Row],[% PREVISTO]],"0%")</f>
        <v>0.97267759562841527</v>
      </c>
      <c r="L199" s="31" t="str" cm="1">
        <f t="array" aca="1" ref="L1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99" s="30"/>
      <c r="N199" s="30"/>
      <c r="O199" s="42">
        <f t="shared" si="10"/>
        <v>2023</v>
      </c>
      <c r="P199" s="42" t="str">
        <f t="shared" si="11"/>
        <v>202301945/2022</v>
      </c>
      <c r="Q199" s="42">
        <v>1</v>
      </c>
    </row>
    <row r="200" spans="1:17" ht="15" hidden="1">
      <c r="A200" s="44" t="s">
        <v>322</v>
      </c>
      <c r="B200" s="312" t="str">
        <f>IFERROR(INDEX(Projetos!$B$3:$B$129,MATCH(A200,Projetos!$A$3:$A$129,0))," ")</f>
        <v>SNGB - Sistema Nacional de Gestão de Bens</v>
      </c>
      <c r="C200" s="45" t="s">
        <v>1261</v>
      </c>
      <c r="D200" s="34">
        <v>0.995</v>
      </c>
      <c r="E200" s="34">
        <v>0.89800000000000002</v>
      </c>
      <c r="F200" s="27">
        <v>45230</v>
      </c>
      <c r="G200" s="125">
        <v>45200</v>
      </c>
      <c r="H200" s="28" t="str">
        <f t="shared" si="9"/>
        <v>02938/202145200</v>
      </c>
      <c r="I200" s="38">
        <f>IFERROR(INDEX(Projetos!$M$2:$M$129,MATCH(Atualizações!A200,Projetos!$A$2:$A$129,0))," ")</f>
        <v>45519</v>
      </c>
      <c r="J200" s="31"/>
      <c r="K200" s="344">
        <f>IFERROR(Tb_Atualizações[[#This Row],[% EXECUTADO]]/Tb_Atualizações[[#This Row],[% PREVISTO]],"0%")</f>
        <v>0.90251256281407033</v>
      </c>
      <c r="L200" s="31" t="str" cm="1">
        <f t="array" aca="1" ref="L2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00" s="29"/>
      <c r="N200" s="30"/>
      <c r="O200" s="42">
        <f t="shared" si="10"/>
        <v>2023</v>
      </c>
      <c r="P200" s="42" t="str">
        <f t="shared" si="11"/>
        <v>202302938/2021</v>
      </c>
      <c r="Q200" s="42">
        <v>1</v>
      </c>
    </row>
    <row r="201" spans="1:17" ht="15" hidden="1">
      <c r="A201" s="44" t="s">
        <v>443</v>
      </c>
      <c r="B201" s="312" t="str">
        <f>IFERROR(INDEX(Projetos!$B$3:$B$129,MATCH(A201,Projetos!$A$3:$A$129,0))," ")</f>
        <v>Implantação do SERP</v>
      </c>
      <c r="C201" s="26" t="s">
        <v>444</v>
      </c>
      <c r="D201" s="34">
        <v>0.42</v>
      </c>
      <c r="E201" s="34">
        <v>0.42</v>
      </c>
      <c r="F201" s="27">
        <v>45231</v>
      </c>
      <c r="G201" s="125">
        <v>45200</v>
      </c>
      <c r="H201" s="28" t="str">
        <f t="shared" si="9"/>
        <v>08286/202245200</v>
      </c>
      <c r="I201" s="38">
        <f>IFERROR(INDEX(Projetos!$M$2:$M$129,MATCH(Atualizações!A201,Projetos!$A$2:$A$129,0))," ")</f>
        <v>45688</v>
      </c>
      <c r="J201" s="31"/>
      <c r="K201" s="344">
        <f>IFERROR(Tb_Atualizações[[#This Row],[% EXECUTADO]]/Tb_Atualizações[[#This Row],[% PREVISTO]],"0%")</f>
        <v>1</v>
      </c>
      <c r="L201" s="31" t="str" cm="1">
        <f t="array" aca="1" ref="L2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01" s="30"/>
      <c r="N201" s="30"/>
      <c r="O201" s="42">
        <f t="shared" si="10"/>
        <v>2023</v>
      </c>
      <c r="P201" s="42" t="str">
        <f t="shared" si="11"/>
        <v>202308286/2022</v>
      </c>
      <c r="Q201" s="42">
        <v>1</v>
      </c>
    </row>
    <row r="202" spans="1:17" ht="15" hidden="1">
      <c r="A202" s="44" t="s">
        <v>464</v>
      </c>
      <c r="B202" s="312" t="str">
        <f>IFERROR(INDEX(Projetos!$B$3:$B$129,MATCH(A202,Projetos!$A$3:$A$129,0))," ")</f>
        <v>Sirenejud 2.0</v>
      </c>
      <c r="C202" s="26" t="s">
        <v>465</v>
      </c>
      <c r="D202" s="34">
        <v>0.84</v>
      </c>
      <c r="E202" s="34">
        <v>0.84</v>
      </c>
      <c r="F202" s="125">
        <v>45231</v>
      </c>
      <c r="G202" s="125">
        <v>45231</v>
      </c>
      <c r="H202" s="28" t="str">
        <f t="shared" si="9"/>
        <v>08536/202245231</v>
      </c>
      <c r="I202" s="38">
        <f>IFERROR(INDEX(Projetos!$M$2:$M$129,MATCH(Atualizações!A202,Projetos!$A$2:$A$129,0))," ")</f>
        <v>45433</v>
      </c>
      <c r="J202" s="31"/>
      <c r="K202" s="344">
        <f>IFERROR(Tb_Atualizações[[#This Row],[% EXECUTADO]]/Tb_Atualizações[[#This Row],[% PREVISTO]],"0%")</f>
        <v>1</v>
      </c>
      <c r="L202" s="31" t="str" cm="1">
        <f t="array" aca="1" ref="L2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02" s="29"/>
      <c r="N202" s="30"/>
      <c r="O202" s="42">
        <f t="shared" si="10"/>
        <v>2023</v>
      </c>
      <c r="P202" s="42" t="str">
        <f t="shared" si="11"/>
        <v>202308536/2022</v>
      </c>
      <c r="Q202" s="42">
        <v>1</v>
      </c>
    </row>
    <row r="203" spans="1:17" ht="15" hidden="1">
      <c r="A203" s="44" t="s">
        <v>479</v>
      </c>
      <c r="B203" s="312" t="str">
        <f>IFERROR(INDEX(Projetos!$B$3:$B$129,MATCH(A203,Projetos!$A$3:$A$129,0))," ")</f>
        <v>Data Lake</v>
      </c>
      <c r="C203" s="26" t="s">
        <v>480</v>
      </c>
      <c r="D203" s="34">
        <v>0.52900000000000003</v>
      </c>
      <c r="E203" s="34">
        <v>0.46500000000000002</v>
      </c>
      <c r="F203" s="27">
        <v>45235</v>
      </c>
      <c r="G203" s="125">
        <v>45200</v>
      </c>
      <c r="H203" s="28" t="str">
        <f t="shared" si="9"/>
        <v>08547/202145200</v>
      </c>
      <c r="I203" s="38" t="str">
        <f>IFERROR(INDEX(Projetos!$M$2:$M$129,MATCH(Atualizações!A203,Projetos!$A$2:$A$129,0))," ")</f>
        <v>31/12/2024</v>
      </c>
      <c r="J203" s="31"/>
      <c r="K203" s="344">
        <f>IFERROR(Tb_Atualizações[[#This Row],[% EXECUTADO]]/Tb_Atualizações[[#This Row],[% PREVISTO]],"0%")</f>
        <v>0.87901701323251413</v>
      </c>
      <c r="L203" s="31" t="str" cm="1">
        <f t="array" aca="1" ref="L2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03" s="29"/>
      <c r="N203" s="30"/>
      <c r="O203" s="42">
        <f t="shared" si="10"/>
        <v>2023</v>
      </c>
      <c r="P203" s="42" t="str">
        <f t="shared" si="11"/>
        <v>202308547/2021</v>
      </c>
      <c r="Q203" s="42">
        <v>1</v>
      </c>
    </row>
    <row r="204" spans="1:17" ht="30" hidden="1">
      <c r="A204" s="44" t="s">
        <v>1283</v>
      </c>
      <c r="B204" s="40" t="s">
        <v>1284</v>
      </c>
      <c r="C204" s="26" t="s">
        <v>1284</v>
      </c>
      <c r="D204" s="34">
        <v>1</v>
      </c>
      <c r="E204" s="34">
        <v>0.56100000000000005</v>
      </c>
      <c r="F204" s="27">
        <v>45235</v>
      </c>
      <c r="G204" s="125">
        <v>45200</v>
      </c>
      <c r="H204" s="28" t="str">
        <f t="shared" si="9"/>
        <v>01508/202245200</v>
      </c>
      <c r="I204" s="38" t="str">
        <f>IFERROR(INDEX(Projetos!$M$2:$M$129,MATCH(Atualizações!A204,Projetos!$A$2:$A$129,0))," ")</f>
        <v xml:space="preserve"> </v>
      </c>
      <c r="J204" s="31"/>
      <c r="K204" s="344">
        <f>IFERROR(Tb_Atualizações[[#This Row],[% EXECUTADO]]/Tb_Atualizações[[#This Row],[% PREVISTO]],"0%")</f>
        <v>0.56100000000000005</v>
      </c>
      <c r="L204" s="31" t="str" cm="1">
        <f t="array" aca="1" ref="L2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04" s="29"/>
      <c r="N204" s="30"/>
      <c r="O204" s="42">
        <f t="shared" si="10"/>
        <v>2023</v>
      </c>
      <c r="P204" s="42" t="str">
        <f t="shared" si="11"/>
        <v>202301508/2022</v>
      </c>
      <c r="Q204" s="42">
        <v>1</v>
      </c>
    </row>
    <row r="205" spans="1:17" ht="45" hidden="1">
      <c r="A205" s="44" t="s">
        <v>358</v>
      </c>
      <c r="B205" s="312" t="str">
        <f>IFERROR(INDEX(Projetos!$B$3:$B$129,MATCH(A205,Projetos!$A$3:$A$129,0))," ")</f>
        <v>Prevjud - Automação de Processos Previdenciários - Justiça 4.0</v>
      </c>
      <c r="C205" s="26" t="s">
        <v>359</v>
      </c>
      <c r="D205" s="34">
        <v>0.92400000000000004</v>
      </c>
      <c r="E205" s="34">
        <v>0.90700000000000003</v>
      </c>
      <c r="F205" s="27">
        <v>45236</v>
      </c>
      <c r="G205" s="125">
        <v>45200</v>
      </c>
      <c r="H205" s="28" t="str">
        <f t="shared" si="9"/>
        <v>03558/202145200</v>
      </c>
      <c r="I205" s="38" t="str">
        <f>IFERROR(INDEX(Projetos!$M$2:$M$129,MATCH(Atualizações!A205,Projetos!$A$2:$A$129,0))," ")</f>
        <v>31/03/2026</v>
      </c>
      <c r="J205" s="31"/>
      <c r="K205" s="344">
        <f>IFERROR(Tb_Atualizações[[#This Row],[% EXECUTADO]]/Tb_Atualizações[[#This Row],[% PREVISTO]],"0%")</f>
        <v>0.98160173160173159</v>
      </c>
      <c r="L205" s="31" t="str" cm="1">
        <f t="array" aca="1" ref="L2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05" s="29"/>
      <c r="N205" s="30"/>
      <c r="O205" s="42">
        <f t="shared" si="10"/>
        <v>2023</v>
      </c>
      <c r="P205" s="42" t="str">
        <f t="shared" si="11"/>
        <v>202303558/2021</v>
      </c>
      <c r="Q205" s="42">
        <v>1</v>
      </c>
    </row>
    <row r="206" spans="1:17" ht="15" hidden="1">
      <c r="A206" s="44" t="s">
        <v>331</v>
      </c>
      <c r="B206" s="312" t="str">
        <f>IFERROR(INDEX(Projetos!$B$3:$B$129,MATCH(A206,Projetos!$A$3:$A$129,0))," ")</f>
        <v>SNIPER - Justiça 4.0</v>
      </c>
      <c r="C206" s="26" t="s">
        <v>332</v>
      </c>
      <c r="D206" s="34">
        <v>0.996</v>
      </c>
      <c r="E206" s="34">
        <v>0.99199999999999999</v>
      </c>
      <c r="F206" s="27">
        <v>45236</v>
      </c>
      <c r="G206" s="125">
        <v>45200</v>
      </c>
      <c r="H206" s="28" t="str">
        <f t="shared" si="9"/>
        <v>02941/202145200</v>
      </c>
      <c r="I206" s="38">
        <f>IFERROR(INDEX(Projetos!$M$2:$M$129,MATCH(Atualizações!A206,Projetos!$A$2:$A$129,0))," ")</f>
        <v>45442</v>
      </c>
      <c r="J206" s="31"/>
      <c r="K206" s="344">
        <f>IFERROR(Tb_Atualizações[[#This Row],[% EXECUTADO]]/Tb_Atualizações[[#This Row],[% PREVISTO]],"0%")</f>
        <v>0.99598393574297184</v>
      </c>
      <c r="L206" s="31" t="str" cm="1">
        <f t="array" aca="1" ref="L2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06" s="29"/>
      <c r="N206" s="30"/>
      <c r="O206" s="42">
        <f t="shared" si="10"/>
        <v>2023</v>
      </c>
      <c r="P206" s="42" t="str">
        <f t="shared" si="11"/>
        <v>202302941/2021</v>
      </c>
      <c r="Q206" s="42">
        <v>1</v>
      </c>
    </row>
    <row r="207" spans="1:17" ht="15" hidden="1">
      <c r="A207" s="44" t="s">
        <v>609</v>
      </c>
      <c r="B207" s="312" t="str">
        <f>IFERROR(INDEX(Projetos!$B$3:$B$129,MATCH(A207,Projetos!$A$3:$A$129,0))," ")</f>
        <v>SPVATJUD</v>
      </c>
      <c r="C207" s="26" t="s">
        <v>1278</v>
      </c>
      <c r="D207" s="34">
        <v>0.65600000000000003</v>
      </c>
      <c r="E207" s="34">
        <v>0.58799999999999997</v>
      </c>
      <c r="F207" s="27">
        <v>45236</v>
      </c>
      <c r="G207" s="125">
        <v>45200</v>
      </c>
      <c r="H207" s="28" t="str">
        <f t="shared" si="9"/>
        <v>11270/202245200</v>
      </c>
      <c r="I207" s="38">
        <f>IFERROR(INDEX(Projetos!$M$2:$M$129,MATCH(Atualizações!A207,Projetos!$A$2:$A$129,0))," ")</f>
        <v>45716</v>
      </c>
      <c r="J207" s="31"/>
      <c r="K207" s="344">
        <f>IFERROR(Tb_Atualizações[[#This Row],[% EXECUTADO]]/Tb_Atualizações[[#This Row],[% PREVISTO]],"0%")</f>
        <v>0.89634146341463405</v>
      </c>
      <c r="L207" s="31" t="str" cm="1">
        <f t="array" aca="1" ref="L2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07" s="29"/>
      <c r="N207" s="30"/>
      <c r="O207" s="42">
        <f t="shared" si="10"/>
        <v>2023</v>
      </c>
      <c r="P207" s="42" t="str">
        <f t="shared" si="11"/>
        <v>202311270/2022</v>
      </c>
      <c r="Q207" s="42">
        <v>1</v>
      </c>
    </row>
    <row r="208" spans="1:17" ht="45" hidden="1">
      <c r="A208" s="44" t="s">
        <v>298</v>
      </c>
      <c r="B208" s="312" t="str">
        <f>IFERROR(INDEX(Projetos!$B$3:$B$129,MATCH(A208,Projetos!$A$3:$A$129,0))," ")</f>
        <v>Propagar - Inclusão, Acessibilidade, Justiça e Cidadania</v>
      </c>
      <c r="C208" s="26" t="s">
        <v>299</v>
      </c>
      <c r="D208" s="34">
        <v>0.4</v>
      </c>
      <c r="E208" s="34">
        <v>0.2</v>
      </c>
      <c r="F208" s="27">
        <v>45237</v>
      </c>
      <c r="G208" s="125">
        <v>45200</v>
      </c>
      <c r="H208" s="28" t="str">
        <f t="shared" si="9"/>
        <v>02660/202345200</v>
      </c>
      <c r="I208" s="38">
        <f>IFERROR(INDEX(Projetos!$M$2:$M$129,MATCH(Atualizações!A208,Projetos!$A$2:$A$129,0))," ")</f>
        <v>45485</v>
      </c>
      <c r="J208" s="31" t="s">
        <v>1287</v>
      </c>
      <c r="K208" s="344">
        <f>IFERROR(Tb_Atualizações[[#This Row],[% EXECUTADO]]/Tb_Atualizações[[#This Row],[% PREVISTO]],"0%")</f>
        <v>0.5</v>
      </c>
      <c r="L208" s="31" t="str" cm="1">
        <f t="array" aca="1" ref="L2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08" s="29"/>
      <c r="N208" s="30"/>
      <c r="O208" s="42">
        <f t="shared" si="10"/>
        <v>2023</v>
      </c>
      <c r="P208" s="42" t="str">
        <f t="shared" si="11"/>
        <v>202302660/2023</v>
      </c>
      <c r="Q208" s="42">
        <v>1</v>
      </c>
    </row>
    <row r="209" spans="1:17" ht="30" hidden="1">
      <c r="A209" s="44" t="s">
        <v>298</v>
      </c>
      <c r="B209" s="312" t="str">
        <f>IFERROR(INDEX(Projetos!$B$3:$B$129,MATCH(A209,Projetos!$A$3:$A$129,0))," ")</f>
        <v>Propagar - Inclusão, Acessibilidade, Justiça e Cidadania</v>
      </c>
      <c r="C209" s="391"/>
      <c r="D209" s="48">
        <v>0.4</v>
      </c>
      <c r="E209" s="48">
        <v>0.2</v>
      </c>
      <c r="F209" s="49">
        <v>45237</v>
      </c>
      <c r="G209" s="125">
        <v>45231</v>
      </c>
      <c r="H209" s="28" t="str">
        <f t="shared" si="9"/>
        <v>02660/202345231</v>
      </c>
      <c r="I209" s="38">
        <f>IFERROR(INDEX(Projetos!$M$2:$M$129,MATCH(Atualizações!A209,Projetos!$A$2:$A$129,0))," ")</f>
        <v>45485</v>
      </c>
      <c r="J209" s="61" t="s">
        <v>1288</v>
      </c>
      <c r="K209" s="344">
        <f>IFERROR(Tb_Atualizações[[#This Row],[% EXECUTADO]]/Tb_Atualizações[[#This Row],[% PREVISTO]],"0%")</f>
        <v>0.5</v>
      </c>
      <c r="L209" s="31" t="str" cm="1">
        <f t="array" aca="1" ref="L2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09" s="50"/>
      <c r="N209" s="30"/>
      <c r="O209" s="42">
        <f t="shared" si="10"/>
        <v>2023</v>
      </c>
      <c r="P209" s="42" t="str">
        <f t="shared" si="11"/>
        <v>202302660/2023</v>
      </c>
      <c r="Q209" s="42">
        <v>1</v>
      </c>
    </row>
    <row r="210" spans="1:17" ht="30" hidden="1">
      <c r="A210" s="44" t="s">
        <v>97</v>
      </c>
      <c r="B210" s="312" t="str">
        <f>IFERROR(INDEX(Projetos!$B$3:$B$129,MATCH(A210,Projetos!$A$3:$A$129,0))," ")</f>
        <v>Execução Fiscal - Automação e Governança</v>
      </c>
      <c r="C210" s="26" t="s">
        <v>98</v>
      </c>
      <c r="D210" s="34">
        <v>0.98</v>
      </c>
      <c r="E210" s="34">
        <v>0.98</v>
      </c>
      <c r="F210" s="27">
        <v>45238</v>
      </c>
      <c r="G210" s="125">
        <v>45200</v>
      </c>
      <c r="H210" s="28" t="str">
        <f t="shared" si="9"/>
        <v>00535/201945200</v>
      </c>
      <c r="I210" s="38">
        <f>IFERROR(INDEX(Projetos!$M$2:$M$129,MATCH(Atualizações!A210,Projetos!$A$2:$A$129,0))," ")</f>
        <v>45930</v>
      </c>
      <c r="J210" s="31"/>
      <c r="K210" s="344">
        <f>IFERROR(Tb_Atualizações[[#This Row],[% EXECUTADO]]/Tb_Atualizações[[#This Row],[% PREVISTO]],"0%")</f>
        <v>1</v>
      </c>
      <c r="L210" s="31" t="str" cm="1">
        <f t="array" aca="1" ref="L2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10" s="30"/>
      <c r="N210" s="30"/>
      <c r="O210" s="42">
        <f t="shared" si="10"/>
        <v>2023</v>
      </c>
      <c r="P210" s="42" t="str">
        <f t="shared" si="11"/>
        <v>202300535/2019</v>
      </c>
      <c r="Q210" s="42">
        <v>1</v>
      </c>
    </row>
    <row r="211" spans="1:17" ht="30" hidden="1">
      <c r="A211" s="44" t="s">
        <v>229</v>
      </c>
      <c r="B211" s="312" t="str">
        <f>IFERROR(INDEX(Projetos!$B$3:$B$129,MATCH(A211,Projetos!$A$3:$A$129,0))," ")</f>
        <v>Gabinete do Juízo</v>
      </c>
      <c r="C211" s="26" t="s">
        <v>1274</v>
      </c>
      <c r="D211" s="34">
        <v>0.98599999999999999</v>
      </c>
      <c r="E211" s="34">
        <v>0.82799999999999996</v>
      </c>
      <c r="F211" s="27">
        <v>45238</v>
      </c>
      <c r="G211" s="125">
        <v>45200</v>
      </c>
      <c r="H211" s="28" t="str">
        <f t="shared" si="9"/>
        <v>02080/202345200</v>
      </c>
      <c r="I211" s="38">
        <f>IFERROR(INDEX(Projetos!$M$2:$M$129,MATCH(Atualizações!A211,Projetos!$A$2:$A$129,0))," ")</f>
        <v>46379</v>
      </c>
      <c r="J211" s="31"/>
      <c r="K211" s="344">
        <f>IFERROR(Tb_Atualizações[[#This Row],[% EXECUTADO]]/Tb_Atualizações[[#This Row],[% PREVISTO]],"0%")</f>
        <v>0.83975659229208921</v>
      </c>
      <c r="L211" s="31" t="str" cm="1">
        <f t="array" aca="1" ref="L2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11" s="30"/>
      <c r="N211" s="30"/>
      <c r="O211" s="42">
        <f t="shared" si="10"/>
        <v>2023</v>
      </c>
      <c r="P211" s="42" t="str">
        <f t="shared" si="11"/>
        <v>202302080/2023</v>
      </c>
      <c r="Q211" s="42">
        <v>1</v>
      </c>
    </row>
    <row r="212" spans="1:17" ht="15" hidden="1">
      <c r="A212" s="44" t="s">
        <v>464</v>
      </c>
      <c r="B212" s="312" t="str">
        <f>IFERROR(INDEX(Projetos!$B$3:$B$129,MATCH(A212,Projetos!$A$3:$A$129,0))," ")</f>
        <v>Sirenejud 2.0</v>
      </c>
      <c r="C212" s="26" t="s">
        <v>465</v>
      </c>
      <c r="D212" s="34">
        <v>0.8</v>
      </c>
      <c r="E212" s="34">
        <v>0.79</v>
      </c>
      <c r="F212" s="27">
        <v>45239</v>
      </c>
      <c r="G212" s="125">
        <v>45200</v>
      </c>
      <c r="H212" s="28" t="str">
        <f t="shared" si="9"/>
        <v>08536/202245200</v>
      </c>
      <c r="I212" s="38">
        <f>IFERROR(INDEX(Projetos!$M$2:$M$129,MATCH(Atualizações!A212,Projetos!$A$2:$A$129,0))," ")</f>
        <v>45433</v>
      </c>
      <c r="J212" s="31"/>
      <c r="K212" s="344">
        <f>IFERROR(Tb_Atualizações[[#This Row],[% EXECUTADO]]/Tb_Atualizações[[#This Row],[% PREVISTO]],"0%")</f>
        <v>0.98750000000000004</v>
      </c>
      <c r="L212" s="31" t="str" cm="1">
        <f t="array" aca="1" ref="L2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12" s="29"/>
      <c r="N212" s="30"/>
      <c r="O212" s="42">
        <f t="shared" si="10"/>
        <v>2023</v>
      </c>
      <c r="P212" s="42" t="str">
        <f t="shared" si="11"/>
        <v>202308536/2022</v>
      </c>
      <c r="Q212" s="42">
        <v>1</v>
      </c>
    </row>
    <row r="213" spans="1:17" ht="60" hidden="1">
      <c r="A213" s="44" t="s">
        <v>570</v>
      </c>
      <c r="B213" s="312" t="str">
        <f>IFERROR(INDEX(Projetos!$B$3:$B$129,MATCH(A213,Projetos!$A$3:$A$129,0))," ")</f>
        <v>Repositório Anticorrupção e Tecnologia do Poder Judiciário</v>
      </c>
      <c r="C213" s="26" t="s">
        <v>1267</v>
      </c>
      <c r="D213" s="34">
        <v>0.98399999999999999</v>
      </c>
      <c r="E213" s="34">
        <v>0.93</v>
      </c>
      <c r="F213" s="27">
        <v>45240</v>
      </c>
      <c r="G213" s="125">
        <v>45200</v>
      </c>
      <c r="H213" s="28" t="str">
        <f t="shared" si="9"/>
        <v>10157/202245200</v>
      </c>
      <c r="I213" s="38">
        <f>IFERROR(INDEX(Projetos!$M$2:$M$129,MATCH(Atualizações!A213,Projetos!$A$2:$A$129,0))," ")</f>
        <v>45565</v>
      </c>
      <c r="J213" s="31"/>
      <c r="K213" s="344">
        <f>IFERROR(Tb_Atualizações[[#This Row],[% EXECUTADO]]/Tb_Atualizações[[#This Row],[% PREVISTO]],"0%")</f>
        <v>0.94512195121951226</v>
      </c>
      <c r="L213" s="31" t="str" cm="1">
        <f t="array" aca="1" ref="L2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13" s="30"/>
      <c r="N213" s="30"/>
      <c r="O213" s="42">
        <f t="shared" si="10"/>
        <v>2023</v>
      </c>
      <c r="P213" s="42" t="str">
        <f t="shared" si="11"/>
        <v>202310157/2022</v>
      </c>
      <c r="Q213" s="42">
        <v>1</v>
      </c>
    </row>
    <row r="214" spans="1:17" ht="45" hidden="1">
      <c r="A214" s="44" t="s">
        <v>1249</v>
      </c>
      <c r="B214" s="312" t="str">
        <f>IFERROR(INDEX(Projetos!$B$3:$B$129,MATCH(A214,Projetos!$A$3:$A$129,0))," ")</f>
        <v xml:space="preserve"> </v>
      </c>
      <c r="C214" s="26" t="s">
        <v>1250</v>
      </c>
      <c r="D214" s="34">
        <v>0.874</v>
      </c>
      <c r="E214" s="34">
        <v>0.86899999999999999</v>
      </c>
      <c r="F214" s="27">
        <v>45243</v>
      </c>
      <c r="G214" s="125">
        <v>45200</v>
      </c>
      <c r="H214" s="28" t="str">
        <f t="shared" si="9"/>
        <v>12115/202245200</v>
      </c>
      <c r="I214" s="38" t="str">
        <f>IFERROR(INDEX(Projetos!$M$2:$M$129,MATCH(Atualizações!A214,Projetos!$A$2:$A$129,0))," ")</f>
        <v xml:space="preserve"> </v>
      </c>
      <c r="J214" s="31"/>
      <c r="K214" s="344">
        <f>IFERROR(Tb_Atualizações[[#This Row],[% EXECUTADO]]/Tb_Atualizações[[#This Row],[% PREVISTO]],"0%")</f>
        <v>0.99427917620137296</v>
      </c>
      <c r="L214" s="31" t="str" cm="1">
        <f t="array" aca="1" ref="L2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14" s="30"/>
      <c r="N214" s="30"/>
      <c r="O214" s="42">
        <f t="shared" si="10"/>
        <v>2023</v>
      </c>
      <c r="P214" s="42" t="str">
        <f t="shared" si="11"/>
        <v>202312115/2022</v>
      </c>
      <c r="Q214" s="42">
        <v>1</v>
      </c>
    </row>
    <row r="215" spans="1:17" ht="60" hidden="1">
      <c r="A215" s="44" t="s">
        <v>436</v>
      </c>
      <c r="B215" s="312" t="str">
        <f>IFERROR(INDEX(Projetos!$B$3:$B$129,MATCH(A215,Projetos!$A$3:$A$129,0))," ")</f>
        <v>Sensibilização e Formação em Integridade e Compliance no Poder Judiciário</v>
      </c>
      <c r="C215" s="26" t="s">
        <v>437</v>
      </c>
      <c r="D215" s="34">
        <v>0.441</v>
      </c>
      <c r="E215" s="34">
        <v>0.85199999999999998</v>
      </c>
      <c r="F215" s="27">
        <v>45243</v>
      </c>
      <c r="G215" s="125">
        <v>45200</v>
      </c>
      <c r="H215" s="28" t="str">
        <f t="shared" si="9"/>
        <v>07855/202245200</v>
      </c>
      <c r="I215" s="38">
        <f>IFERROR(INDEX(Projetos!$M$2:$M$129,MATCH(Atualizações!A215,Projetos!$A$2:$A$129,0))," ")</f>
        <v>45412</v>
      </c>
      <c r="J215" s="31"/>
      <c r="K215" s="344">
        <f>IFERROR(Tb_Atualizações[[#This Row],[% EXECUTADO]]/Tb_Atualizações[[#This Row],[% PREVISTO]],"0%")</f>
        <v>1.9319727891156462</v>
      </c>
      <c r="L215" s="31" t="str" cm="1">
        <f t="array" aca="1" ref="L2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15" s="29"/>
      <c r="N215" s="30"/>
      <c r="O215" s="42">
        <f t="shared" si="10"/>
        <v>2023</v>
      </c>
      <c r="P215" s="42" t="str">
        <f t="shared" si="11"/>
        <v>202307855/2022</v>
      </c>
      <c r="Q215" s="42">
        <v>1</v>
      </c>
    </row>
    <row r="216" spans="1:17" ht="45" hidden="1">
      <c r="A216" s="44"/>
      <c r="B216" s="40" t="s">
        <v>1268</v>
      </c>
      <c r="C216" s="26" t="s">
        <v>1268</v>
      </c>
      <c r="D216" s="34">
        <v>1</v>
      </c>
      <c r="E216" s="34">
        <v>1</v>
      </c>
      <c r="F216" s="27">
        <v>45244</v>
      </c>
      <c r="G216" s="125">
        <v>45200</v>
      </c>
      <c r="H216" s="28" t="str">
        <f t="shared" si="9"/>
        <v>45200</v>
      </c>
      <c r="I216" s="38" t="str">
        <f>IFERROR(INDEX(Projetos!$M$2:$M$129,MATCH(Atualizações!A216,Projetos!$A$2:$A$129,0))," ")</f>
        <v xml:space="preserve"> </v>
      </c>
      <c r="J216" s="31"/>
      <c r="K216" s="344">
        <f>IFERROR(Tb_Atualizações[[#This Row],[% EXECUTADO]]/Tb_Atualizações[[#This Row],[% PREVISTO]],"0%")</f>
        <v>1</v>
      </c>
      <c r="L216" s="31" t="str" cm="1">
        <f t="array" aca="1" ref="L2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216" s="30"/>
      <c r="N216" s="30"/>
      <c r="O216" s="42">
        <f t="shared" si="10"/>
        <v>2023</v>
      </c>
      <c r="P216" s="42" t="str">
        <f t="shared" si="11"/>
        <v>2023</v>
      </c>
      <c r="Q216" s="42">
        <v>1</v>
      </c>
    </row>
    <row r="217" spans="1:17" ht="105" hidden="1">
      <c r="A217" s="44" t="s">
        <v>425</v>
      </c>
      <c r="B217" s="312" t="str">
        <f>IFERROR(INDEX(Projetos!$B$3:$B$129,MATCH(A217,Projetos!$A$3:$A$129,0))," ")</f>
        <v>Diagnóstico sobre a otimização dos processos de trabalho no Poder Judiciário em face da implementação das Políticas Tecnológicas do Programa Justiça 4.0.</v>
      </c>
      <c r="C217" s="26" t="s">
        <v>426</v>
      </c>
      <c r="D217" s="34">
        <v>0.91400000000000003</v>
      </c>
      <c r="E217" s="34">
        <v>0.68</v>
      </c>
      <c r="F217" s="27">
        <v>45244</v>
      </c>
      <c r="G217" s="125">
        <v>45200</v>
      </c>
      <c r="H217" s="28" t="str">
        <f t="shared" si="9"/>
        <v>06767/202245200</v>
      </c>
      <c r="I217" s="38">
        <f>IFERROR(INDEX(Projetos!$M$2:$M$129,MATCH(Atualizações!A217,Projetos!$A$2:$A$129,0))," ")</f>
        <v>45605</v>
      </c>
      <c r="J217" s="31"/>
      <c r="K217" s="344">
        <f>IFERROR(Tb_Atualizações[[#This Row],[% EXECUTADO]]/Tb_Atualizações[[#This Row],[% PREVISTO]],"0%")</f>
        <v>0.74398249452954046</v>
      </c>
      <c r="L217" s="31" t="str" cm="1">
        <f t="array" aca="1" ref="L2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17" s="30"/>
      <c r="N217" s="30"/>
      <c r="O217" s="42">
        <f t="shared" si="10"/>
        <v>2023</v>
      </c>
      <c r="P217" s="42" t="str">
        <f t="shared" si="11"/>
        <v>202306767/2022</v>
      </c>
      <c r="Q217" s="42">
        <v>1</v>
      </c>
    </row>
    <row r="218" spans="1:17" ht="30" hidden="1">
      <c r="A218" s="44" t="s">
        <v>160</v>
      </c>
      <c r="B218" s="312" t="str">
        <f>IFERROR(INDEX(Projetos!$B$3:$B$129,MATCH(A218,Projetos!$A$3:$A$129,0))," ")</f>
        <v>Domicílio Judicial Eletrônico</v>
      </c>
      <c r="C218" s="26" t="s">
        <v>161</v>
      </c>
      <c r="D218" s="34">
        <v>0.95599999999999996</v>
      </c>
      <c r="E218" s="34">
        <v>0.89800000000000002</v>
      </c>
      <c r="F218" s="27">
        <v>45259</v>
      </c>
      <c r="G218" s="125">
        <v>45231</v>
      </c>
      <c r="H218" s="28" t="str">
        <f t="shared" si="9"/>
        <v>01487/202245231</v>
      </c>
      <c r="I218" s="38">
        <f>IFERROR(INDEX(Projetos!$M$2:$M$129,MATCH(Atualizações!A218,Projetos!$A$2:$A$129,0))," ")</f>
        <v>45566</v>
      </c>
      <c r="J218" s="31"/>
      <c r="K218" s="344">
        <f>IFERROR(Tb_Atualizações[[#This Row],[% EXECUTADO]]/Tb_Atualizações[[#This Row],[% PREVISTO]],"0%")</f>
        <v>0.93933054393305448</v>
      </c>
      <c r="L218" s="31" t="str" cm="1">
        <f t="array" aca="1" ref="L2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18" s="29"/>
      <c r="N218" s="30"/>
      <c r="O218" s="42">
        <f t="shared" si="10"/>
        <v>2023</v>
      </c>
      <c r="P218" s="42" t="str">
        <f t="shared" si="11"/>
        <v>202301487/2022</v>
      </c>
      <c r="Q218" s="42">
        <v>1</v>
      </c>
    </row>
    <row r="219" spans="1:17" ht="45" hidden="1">
      <c r="A219" s="44" t="s">
        <v>358</v>
      </c>
      <c r="B219" s="312" t="str">
        <f>IFERROR(INDEX(Projetos!$B$3:$B$129,MATCH(A219,Projetos!$A$3:$A$129,0))," ")</f>
        <v>Prevjud - Automação de Processos Previdenciários - Justiça 4.0</v>
      </c>
      <c r="C219" s="26" t="s">
        <v>359</v>
      </c>
      <c r="D219" s="34">
        <v>0.92700000000000005</v>
      </c>
      <c r="E219" s="34">
        <v>0.90700000000000003</v>
      </c>
      <c r="F219" s="27">
        <v>45260</v>
      </c>
      <c r="G219" s="125">
        <v>45231</v>
      </c>
      <c r="H219" s="28" t="str">
        <f t="shared" si="9"/>
        <v>03558/202145231</v>
      </c>
      <c r="I219" s="38" t="str">
        <f>IFERROR(INDEX(Projetos!$M$2:$M$129,MATCH(Atualizações!A219,Projetos!$A$2:$A$129,0))," ")</f>
        <v>31/03/2026</v>
      </c>
      <c r="J219" s="31"/>
      <c r="K219" s="344">
        <f>IFERROR(Tb_Atualizações[[#This Row],[% EXECUTADO]]/Tb_Atualizações[[#This Row],[% PREVISTO]],"0%")</f>
        <v>0.97842502696871625</v>
      </c>
      <c r="L219" s="31" t="str" cm="1">
        <f t="array" aca="1" ref="L2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19" s="29"/>
      <c r="N219" s="30"/>
      <c r="O219" s="42">
        <f t="shared" si="10"/>
        <v>2023</v>
      </c>
      <c r="P219" s="42" t="str">
        <f t="shared" si="11"/>
        <v>202303558/2021</v>
      </c>
      <c r="Q219" s="42">
        <v>1</v>
      </c>
    </row>
    <row r="220" spans="1:17" ht="15" hidden="1">
      <c r="A220" s="44" t="s">
        <v>331</v>
      </c>
      <c r="B220" s="312" t="str">
        <f>IFERROR(INDEX(Projetos!$B$3:$B$129,MATCH(A220,Projetos!$A$3:$A$129,0))," ")</f>
        <v>SNIPER - Justiça 4.0</v>
      </c>
      <c r="C220" s="26" t="s">
        <v>332</v>
      </c>
      <c r="D220" s="34">
        <v>0.998</v>
      </c>
      <c r="E220" s="34">
        <v>0.996</v>
      </c>
      <c r="F220" s="27">
        <v>45260</v>
      </c>
      <c r="G220" s="125">
        <v>45231</v>
      </c>
      <c r="H220" s="28" t="str">
        <f t="shared" si="9"/>
        <v>02941/202145231</v>
      </c>
      <c r="I220" s="38">
        <f>IFERROR(INDEX(Projetos!$M$2:$M$129,MATCH(Atualizações!A220,Projetos!$A$2:$A$129,0))," ")</f>
        <v>45442</v>
      </c>
      <c r="J220" s="31"/>
      <c r="K220" s="344">
        <f>IFERROR(Tb_Atualizações[[#This Row],[% EXECUTADO]]/Tb_Atualizações[[#This Row],[% PREVISTO]],"0%")</f>
        <v>0.99799599198396793</v>
      </c>
      <c r="L220" s="31" t="str" cm="1">
        <f t="array" aca="1" ref="L2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0" s="29"/>
      <c r="N220" s="30"/>
      <c r="O220" s="42">
        <f t="shared" si="10"/>
        <v>2023</v>
      </c>
      <c r="P220" s="42" t="str">
        <f t="shared" si="11"/>
        <v>202302941/2021</v>
      </c>
      <c r="Q220" s="42">
        <v>1</v>
      </c>
    </row>
    <row r="221" spans="1:17" ht="15" hidden="1">
      <c r="A221" s="44" t="s">
        <v>609</v>
      </c>
      <c r="B221" s="312" t="str">
        <f>IFERROR(INDEX(Projetos!$B$3:$B$129,MATCH(A221,Projetos!$A$3:$A$129,0))," ")</f>
        <v>SPVATJUD</v>
      </c>
      <c r="C221" s="26" t="s">
        <v>1278</v>
      </c>
      <c r="D221" s="34">
        <v>0.77</v>
      </c>
      <c r="E221" s="34">
        <v>0.68799999999999994</v>
      </c>
      <c r="F221" s="27">
        <v>45260</v>
      </c>
      <c r="G221" s="125">
        <v>45231</v>
      </c>
      <c r="H221" s="28" t="str">
        <f t="shared" si="9"/>
        <v>11270/202245231</v>
      </c>
      <c r="I221" s="38">
        <f>IFERROR(INDEX(Projetos!$M$2:$M$129,MATCH(Atualizações!A221,Projetos!$A$2:$A$129,0))," ")</f>
        <v>45716</v>
      </c>
      <c r="J221" s="31"/>
      <c r="K221" s="344">
        <f>IFERROR(Tb_Atualizações[[#This Row],[% EXECUTADO]]/Tb_Atualizações[[#This Row],[% PREVISTO]],"0%")</f>
        <v>0.89350649350649336</v>
      </c>
      <c r="L221" s="31" t="str" cm="1">
        <f t="array" aca="1" ref="L2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21" s="29"/>
      <c r="N221" s="30"/>
      <c r="O221" s="42">
        <f t="shared" si="10"/>
        <v>2023</v>
      </c>
      <c r="P221" s="42" t="str">
        <f t="shared" si="11"/>
        <v>202311270/2022</v>
      </c>
      <c r="Q221" s="42">
        <v>1</v>
      </c>
    </row>
    <row r="222" spans="1:17" ht="15" hidden="1">
      <c r="A222" s="44" t="s">
        <v>322</v>
      </c>
      <c r="B222" s="312" t="str">
        <f>IFERROR(INDEX(Projetos!$B$3:$B$129,MATCH(A222,Projetos!$A$3:$A$129,0))," ")</f>
        <v>SNGB - Sistema Nacional de Gestão de Bens</v>
      </c>
      <c r="C222" s="45" t="s">
        <v>1261</v>
      </c>
      <c r="D222" s="34">
        <v>1</v>
      </c>
      <c r="E222" s="34">
        <v>0.93200000000000005</v>
      </c>
      <c r="F222" s="27">
        <v>45261</v>
      </c>
      <c r="G222" s="125">
        <v>45231</v>
      </c>
      <c r="H222" s="28" t="str">
        <f t="shared" si="9"/>
        <v>02938/202145231</v>
      </c>
      <c r="I222" s="38">
        <f>IFERROR(INDEX(Projetos!$M$2:$M$129,MATCH(Atualizações!A222,Projetos!$A$2:$A$129,0))," ")</f>
        <v>45519</v>
      </c>
      <c r="J222" s="31"/>
      <c r="K222" s="344">
        <f>IFERROR(Tb_Atualizações[[#This Row],[% EXECUTADO]]/Tb_Atualizações[[#This Row],[% PREVISTO]],"0%")</f>
        <v>0.93200000000000005</v>
      </c>
      <c r="L222" s="31" t="str" cm="1">
        <f t="array" aca="1" ref="L2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22" s="29"/>
      <c r="N222" s="30"/>
      <c r="O222" s="42">
        <f t="shared" si="10"/>
        <v>2023</v>
      </c>
      <c r="P222" s="42" t="str">
        <f t="shared" si="11"/>
        <v>202302938/2021</v>
      </c>
      <c r="Q222" s="42">
        <v>1</v>
      </c>
    </row>
    <row r="223" spans="1:17" ht="15" hidden="1">
      <c r="A223" s="44" t="s">
        <v>322</v>
      </c>
      <c r="B223" s="312" t="str">
        <f>IFERROR(INDEX(Projetos!$B$3:$B$129,MATCH(A223,Projetos!$A$3:$A$129,0))," ")</f>
        <v>SNGB - Sistema Nacional de Gestão de Bens</v>
      </c>
      <c r="C223" s="45" t="s">
        <v>1261</v>
      </c>
      <c r="D223" s="34">
        <v>1</v>
      </c>
      <c r="E223" s="34">
        <v>0.93899999999999995</v>
      </c>
      <c r="F223" s="125">
        <v>45261</v>
      </c>
      <c r="G223" s="125">
        <v>45261</v>
      </c>
      <c r="H223" s="28" t="str">
        <f t="shared" si="9"/>
        <v>02938/202145261</v>
      </c>
      <c r="I223" s="38">
        <f>IFERROR(INDEX(Projetos!$M$2:$M$129,MATCH(Atualizações!A223,Projetos!$A$2:$A$129,0))," ")</f>
        <v>45519</v>
      </c>
      <c r="J223" s="31"/>
      <c r="K223" s="344">
        <f>IFERROR(Tb_Atualizações[[#This Row],[% EXECUTADO]]/Tb_Atualizações[[#This Row],[% PREVISTO]],"0%")</f>
        <v>0.93899999999999995</v>
      </c>
      <c r="L223" s="31" t="str" cm="1">
        <f t="array" aca="1" ref="L2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23" s="29"/>
      <c r="N223" s="30"/>
      <c r="O223" s="42">
        <f t="shared" si="10"/>
        <v>2023</v>
      </c>
      <c r="P223" s="42" t="str">
        <f t="shared" si="11"/>
        <v>202302938/2021</v>
      </c>
      <c r="Q223" s="42">
        <v>1</v>
      </c>
    </row>
    <row r="224" spans="1:17" ht="105" hidden="1">
      <c r="A224" s="44" t="s">
        <v>369</v>
      </c>
      <c r="B224" s="312" t="str">
        <f>IFERROR(INDEX(Projetos!$B$3:$B$129,MATCH(A224,Projetos!$A$3:$A$129,0))," ")</f>
        <v>Aperfeiçoamento funcional em temáticas prioritárias para o CNJ e para Justiça Federal (cursos, capacitações, metodologias e ferramentas)</v>
      </c>
      <c r="C224" s="26" t="s">
        <v>370</v>
      </c>
      <c r="D224" s="34">
        <v>0.99099999999999999</v>
      </c>
      <c r="E224" s="34">
        <v>0.98899999999999999</v>
      </c>
      <c r="F224" s="27">
        <v>45265</v>
      </c>
      <c r="G224" s="125">
        <v>45231</v>
      </c>
      <c r="H224" s="28" t="str">
        <f t="shared" si="9"/>
        <v>03559/202145231</v>
      </c>
      <c r="I224" s="38">
        <f>IFERROR(INDEX(Projetos!$M$2:$M$129,MATCH(Atualizações!A224,Projetos!$A$2:$A$129,0))," ")</f>
        <v>45351</v>
      </c>
      <c r="J224" s="31" t="s">
        <v>1276</v>
      </c>
      <c r="K224" s="344">
        <f>IFERROR(Tb_Atualizações[[#This Row],[% EXECUTADO]]/Tb_Atualizações[[#This Row],[% PREVISTO]],"0%")</f>
        <v>0.99798183652875883</v>
      </c>
      <c r="L224" s="31" t="str" cm="1">
        <f t="array" aca="1" ref="L2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4" s="30"/>
      <c r="N224" s="30"/>
      <c r="O224" s="42">
        <f t="shared" si="10"/>
        <v>2023</v>
      </c>
      <c r="P224" s="42" t="str">
        <f t="shared" si="11"/>
        <v>202303559/2021</v>
      </c>
      <c r="Q224" s="42">
        <v>1</v>
      </c>
    </row>
    <row r="225" spans="1:17" ht="60" hidden="1">
      <c r="A225" s="44" t="s">
        <v>436</v>
      </c>
      <c r="B225" s="312" t="str">
        <f>IFERROR(INDEX(Projetos!$B$3:$B$129,MATCH(A225,Projetos!$A$3:$A$129,0))," ")</f>
        <v>Sensibilização e Formação em Integridade e Compliance no Poder Judiciário</v>
      </c>
      <c r="C225" s="26" t="s">
        <v>437</v>
      </c>
      <c r="D225" s="34">
        <v>0.42699999999999999</v>
      </c>
      <c r="E225" s="34">
        <v>0.85199999999999998</v>
      </c>
      <c r="F225" s="27">
        <v>45265</v>
      </c>
      <c r="G225" s="125">
        <v>45231</v>
      </c>
      <c r="H225" s="28" t="str">
        <f t="shared" si="9"/>
        <v>07855/202245231</v>
      </c>
      <c r="I225" s="38">
        <f>IFERROR(INDEX(Projetos!$M$2:$M$129,MATCH(Atualizações!A225,Projetos!$A$2:$A$129,0))," ")</f>
        <v>45412</v>
      </c>
      <c r="J225" s="31"/>
      <c r="K225" s="344">
        <f>IFERROR(Tb_Atualizações[[#This Row],[% EXECUTADO]]/Tb_Atualizações[[#This Row],[% PREVISTO]],"0%")</f>
        <v>1.9953161592505855</v>
      </c>
      <c r="L225" s="31" t="str" cm="1">
        <f t="array" aca="1" ref="L2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5" s="29"/>
      <c r="N225" s="30"/>
      <c r="O225" s="42">
        <f t="shared" si="10"/>
        <v>2023</v>
      </c>
      <c r="P225" s="42" t="str">
        <f t="shared" si="11"/>
        <v>202307855/2022</v>
      </c>
      <c r="Q225" s="42">
        <v>1</v>
      </c>
    </row>
    <row r="226" spans="1:17" ht="15" hidden="1">
      <c r="A226" s="44" t="s">
        <v>471</v>
      </c>
      <c r="B226" s="312" t="str">
        <f>IFERROR(INDEX(Projetos!$B$3:$B$129,MATCH(A226,Projetos!$A$3:$A$129,0))," ")</f>
        <v>Sinapses 5 - Capacitação Cursos EaD IA</v>
      </c>
      <c r="C226" s="26" t="s">
        <v>1280</v>
      </c>
      <c r="D226" s="34">
        <v>0.83699999999999997</v>
      </c>
      <c r="E226" s="34">
        <v>0.81799999999999995</v>
      </c>
      <c r="F226" s="27">
        <v>45265</v>
      </c>
      <c r="G226" s="125">
        <v>45231</v>
      </c>
      <c r="H226" s="28" t="str">
        <f t="shared" si="9"/>
        <v>08543/202145231</v>
      </c>
      <c r="I226" s="38">
        <f>IFERROR(INDEX(Projetos!$M$2:$M$129,MATCH(Atualizações!A226,Projetos!$A$2:$A$129,0))," ")</f>
        <v>45716</v>
      </c>
      <c r="J226" s="31"/>
      <c r="K226" s="344">
        <f>IFERROR(Tb_Atualizações[[#This Row],[% EXECUTADO]]/Tb_Atualizações[[#This Row],[% PREVISTO]],"0%")</f>
        <v>0.97729988052568695</v>
      </c>
      <c r="L226" s="31" t="str" cm="1">
        <f t="array" aca="1" ref="L2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6" s="29"/>
      <c r="N226" s="30"/>
      <c r="O226" s="42">
        <f t="shared" si="10"/>
        <v>2023</v>
      </c>
      <c r="P226" s="42" t="str">
        <f t="shared" si="11"/>
        <v>202308543/2021</v>
      </c>
      <c r="Q226" s="42">
        <v>1</v>
      </c>
    </row>
    <row r="227" spans="1:17" ht="15" hidden="1">
      <c r="A227" s="44" t="s">
        <v>97</v>
      </c>
      <c r="B227" s="312" t="str">
        <f>IFERROR(INDEX(Projetos!$B$3:$B$129,MATCH(A227,Projetos!$A$3:$A$129,0))," ")</f>
        <v>Execução Fiscal - Automação e Governança</v>
      </c>
      <c r="C227" s="391"/>
      <c r="D227" s="48">
        <v>0.98</v>
      </c>
      <c r="E227" s="48">
        <v>0.98</v>
      </c>
      <c r="F227" s="49">
        <v>45265</v>
      </c>
      <c r="G227" s="125">
        <v>45261</v>
      </c>
      <c r="H227" s="28" t="str">
        <f t="shared" si="9"/>
        <v>00535/201945261</v>
      </c>
      <c r="I227" s="38">
        <f>IFERROR(INDEX(Projetos!$M$2:$M$129,MATCH(Atualizações!A227,Projetos!$A$2:$A$129,0))," ")</f>
        <v>45930</v>
      </c>
      <c r="J227" s="61"/>
      <c r="K227" s="344">
        <f>IFERROR(Tb_Atualizações[[#This Row],[% EXECUTADO]]/Tb_Atualizações[[#This Row],[% PREVISTO]],"0%")</f>
        <v>1</v>
      </c>
      <c r="L227" s="31" t="str" cm="1">
        <f t="array" aca="1" ref="L2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7" s="50"/>
      <c r="N227" s="30"/>
      <c r="O227" s="42">
        <f t="shared" si="10"/>
        <v>2023</v>
      </c>
      <c r="P227" s="42" t="str">
        <f t="shared" si="11"/>
        <v>202300535/2019</v>
      </c>
      <c r="Q227" s="42">
        <v>1</v>
      </c>
    </row>
    <row r="228" spans="1:17" ht="45" hidden="1">
      <c r="A228" s="44" t="s">
        <v>502</v>
      </c>
      <c r="B228" s="312" t="str">
        <f>IFERROR(INDEX(Projetos!$B$3:$B$129,MATCH(A228,Projetos!$A$3:$A$129,0))," ")</f>
        <v>Plano Nacional de Inovação no Poder Judiciário</v>
      </c>
      <c r="C228" s="26" t="s">
        <v>503</v>
      </c>
      <c r="D228" s="34">
        <v>0.93300000000000005</v>
      </c>
      <c r="E228" s="34">
        <v>0.93799999999999994</v>
      </c>
      <c r="F228" s="27">
        <v>45266</v>
      </c>
      <c r="G228" s="125">
        <v>45231</v>
      </c>
      <c r="H228" s="28" t="str">
        <f t="shared" si="9"/>
        <v>09081/202245231</v>
      </c>
      <c r="I228" s="38">
        <f>IFERROR(INDEX(Projetos!$M$2:$M$129,MATCH(Atualizações!A228,Projetos!$A$2:$A$129,0))," ")</f>
        <v>45321</v>
      </c>
      <c r="J228" s="31"/>
      <c r="K228" s="344">
        <f>IFERROR(Tb_Atualizações[[#This Row],[% EXECUTADO]]/Tb_Atualizações[[#This Row],[% PREVISTO]],"0%")</f>
        <v>1.005359056806002</v>
      </c>
      <c r="L228" s="31" t="str" cm="1">
        <f t="array" aca="1" ref="L2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8" s="29"/>
      <c r="N228" s="30"/>
      <c r="O228" s="42">
        <f t="shared" si="10"/>
        <v>2023</v>
      </c>
      <c r="P228" s="42" t="str">
        <f t="shared" si="11"/>
        <v>202309081/2022</v>
      </c>
      <c r="Q228" s="42">
        <v>1</v>
      </c>
    </row>
    <row r="229" spans="1:17" ht="60" hidden="1">
      <c r="A229" s="44" t="s">
        <v>341</v>
      </c>
      <c r="B229" s="312" t="str">
        <f>IFERROR(INDEX(Projetos!$B$3:$B$129,MATCH(A229,Projetos!$A$3:$A$129,0))," ")</f>
        <v>PMO Jud -Redesenho dos processos do Escritório de Projetos do CNJ</v>
      </c>
      <c r="C229" s="26" t="s">
        <v>1257</v>
      </c>
      <c r="D229" s="34">
        <v>0.99</v>
      </c>
      <c r="E229" s="34">
        <v>0.98299999999999998</v>
      </c>
      <c r="F229" s="27">
        <v>45266</v>
      </c>
      <c r="G229" s="125">
        <v>45231</v>
      </c>
      <c r="H229" s="28" t="str">
        <f t="shared" si="9"/>
        <v>03096/202145231</v>
      </c>
      <c r="I229" s="38">
        <f>IFERROR(INDEX(Projetos!$M$2:$M$129,MATCH(Atualizações!A229,Projetos!$A$2:$A$129,0))," ")</f>
        <v>45291</v>
      </c>
      <c r="J229" s="31"/>
      <c r="K229" s="344">
        <f>IFERROR(Tb_Atualizações[[#This Row],[% EXECUTADO]]/Tb_Atualizações[[#This Row],[% PREVISTO]],"0%")</f>
        <v>0.99292929292929288</v>
      </c>
      <c r="L229" s="31" t="str" cm="1">
        <f t="array" aca="1" ref="L2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29" s="29"/>
      <c r="N229" s="30"/>
      <c r="O229" s="42">
        <f t="shared" si="10"/>
        <v>2023</v>
      </c>
      <c r="P229" s="42" t="str">
        <f t="shared" si="11"/>
        <v>202303096/2021</v>
      </c>
      <c r="Q229" s="42">
        <v>1</v>
      </c>
    </row>
    <row r="230" spans="1:17" ht="15" hidden="1">
      <c r="A230" s="44" t="s">
        <v>1249</v>
      </c>
      <c r="B230" s="312" t="str">
        <f>IFERROR(INDEX(Projetos!$B$3:$B$129,MATCH(A230,Projetos!$A$3:$A$129,0))," ")</f>
        <v xml:space="preserve"> </v>
      </c>
      <c r="C230" s="391"/>
      <c r="D230" s="48">
        <v>0.97699999999999998</v>
      </c>
      <c r="E230" s="48">
        <v>0.96399999999999997</v>
      </c>
      <c r="F230" s="49">
        <v>45266</v>
      </c>
      <c r="G230" s="125">
        <v>45261</v>
      </c>
      <c r="H230" s="28" t="str">
        <f t="shared" si="9"/>
        <v>12115/202245261</v>
      </c>
      <c r="I230" s="38" t="str">
        <f>IFERROR(INDEX(Projetos!$M$2:$M$129,MATCH(Atualizações!A230,Projetos!$A$2:$A$129,0))," ")</f>
        <v xml:space="preserve"> </v>
      </c>
      <c r="J230" s="61"/>
      <c r="K230" s="344">
        <f>IFERROR(Tb_Atualizações[[#This Row],[% EXECUTADO]]/Tb_Atualizações[[#This Row],[% PREVISTO]],"0%")</f>
        <v>0.98669396110542473</v>
      </c>
      <c r="L230" s="31" t="str" cm="1">
        <f t="array" aca="1" ref="L2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30" s="50"/>
      <c r="N230" s="30"/>
      <c r="O230" s="42">
        <f t="shared" si="10"/>
        <v>2023</v>
      </c>
      <c r="P230" s="42" t="str">
        <f t="shared" si="11"/>
        <v>202312115/2022</v>
      </c>
      <c r="Q230" s="42">
        <v>1</v>
      </c>
    </row>
    <row r="231" spans="1:17" ht="45" hidden="1">
      <c r="A231" s="44" t="s">
        <v>209</v>
      </c>
      <c r="B231" s="312" t="str">
        <f>IFERROR(INDEX(Projetos!$B$3:$B$129,MATCH(A231,Projetos!$A$3:$A$129,0))," ")</f>
        <v>Capacitação técnica para desenvolvedores nas tecnologias da PDPJ - BR</v>
      </c>
      <c r="C231" s="26" t="s">
        <v>1272</v>
      </c>
      <c r="D231" s="34">
        <v>0.253</v>
      </c>
      <c r="E231" s="34">
        <v>0.22600000000000001</v>
      </c>
      <c r="F231" s="27">
        <v>45271</v>
      </c>
      <c r="G231" s="125">
        <v>45231</v>
      </c>
      <c r="H231" s="28" t="str">
        <f t="shared" si="9"/>
        <v>01945/202245231</v>
      </c>
      <c r="I231" s="38">
        <f>IFERROR(INDEX(Projetos!$M$2:$M$129,MATCH(Atualizações!A231,Projetos!$A$2:$A$129,0))," ")</f>
        <v>45866</v>
      </c>
      <c r="J231" s="31" t="s">
        <v>1276</v>
      </c>
      <c r="K231" s="344">
        <f>IFERROR(Tb_Atualizações[[#This Row],[% EXECUTADO]]/Tb_Atualizações[[#This Row],[% PREVISTO]],"0%")</f>
        <v>0.89328063241106725</v>
      </c>
      <c r="L231" s="31" t="str" cm="1">
        <f t="array" aca="1" ref="L2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31" s="30"/>
      <c r="N231" s="30"/>
      <c r="O231" s="42">
        <f t="shared" si="10"/>
        <v>2023</v>
      </c>
      <c r="P231" s="42" t="str">
        <f t="shared" si="11"/>
        <v>202301945/2022</v>
      </c>
      <c r="Q231" s="42">
        <v>1</v>
      </c>
    </row>
    <row r="232" spans="1:17" ht="15" hidden="1">
      <c r="A232" s="44" t="s">
        <v>684</v>
      </c>
      <c r="B232" s="312" t="str">
        <f>IFERROR(INDEX(Projetos!$B$3:$B$129,MATCH(A232,Projetos!$A$3:$A$129,0))," ")</f>
        <v>Painel dos Grandes Litigantes</v>
      </c>
      <c r="C232" s="393"/>
      <c r="D232" s="48">
        <v>0.998</v>
      </c>
      <c r="E232" s="48">
        <v>0.996</v>
      </c>
      <c r="F232" s="49">
        <v>45273</v>
      </c>
      <c r="G232" s="125">
        <v>45231</v>
      </c>
      <c r="H232" s="28" t="str">
        <f t="shared" si="9"/>
        <v>12135/202245231</v>
      </c>
      <c r="I232" s="38" t="str">
        <f>IFERROR(INDEX(Projetos!$M$2:$M$129,MATCH(Atualizações!A232,Projetos!$A$2:$A$129,0))," ")</f>
        <v>30/06/26</v>
      </c>
      <c r="J232" s="61"/>
      <c r="K232" s="344">
        <f>IFERROR(Tb_Atualizações[[#This Row],[% EXECUTADO]]/Tb_Atualizações[[#This Row],[% PREVISTO]],"0%")</f>
        <v>0.99799599198396793</v>
      </c>
      <c r="L232" s="31" t="str" cm="1">
        <f t="array" aca="1" ref="L2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32" s="50"/>
      <c r="N232" s="30"/>
      <c r="O232" s="42">
        <f t="shared" si="10"/>
        <v>2023</v>
      </c>
      <c r="P232" s="42" t="str">
        <f t="shared" si="11"/>
        <v>202312135/2022</v>
      </c>
      <c r="Q232" s="42">
        <v>1</v>
      </c>
    </row>
    <row r="233" spans="1:17" ht="15" hidden="1">
      <c r="A233" s="44" t="s">
        <v>1249</v>
      </c>
      <c r="B233" s="312" t="str">
        <f>IFERROR(INDEX(Projetos!$B$3:$B$129,MATCH(A233,Projetos!$A$3:$A$129,0))," ")</f>
        <v xml:space="preserve"> </v>
      </c>
      <c r="C233" s="391"/>
      <c r="D233" s="48">
        <v>0.98199999999999998</v>
      </c>
      <c r="E233" s="48">
        <v>1</v>
      </c>
      <c r="F233" s="49">
        <v>45273</v>
      </c>
      <c r="G233" s="125">
        <v>45261</v>
      </c>
      <c r="H233" s="28" t="str">
        <f t="shared" si="9"/>
        <v>12115/202245261</v>
      </c>
      <c r="I233" s="38" t="str">
        <f>IFERROR(INDEX(Projetos!$M$2:$M$129,MATCH(Atualizações!A233,Projetos!$A$2:$A$129,0))," ")</f>
        <v xml:space="preserve"> </v>
      </c>
      <c r="J233" s="61" t="s">
        <v>1289</v>
      </c>
      <c r="K233" s="344">
        <f>IFERROR(Tb_Atualizações[[#This Row],[% EXECUTADO]]/Tb_Atualizações[[#This Row],[% PREVISTO]],"0%")</f>
        <v>1.0183299389002036</v>
      </c>
      <c r="L233" s="31" t="str" cm="1">
        <f t="array" aca="1" ref="L2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233" s="50"/>
      <c r="N233" s="30"/>
      <c r="O233" s="42">
        <f t="shared" si="10"/>
        <v>2023</v>
      </c>
      <c r="P233" s="42" t="str">
        <f t="shared" si="11"/>
        <v>202312115/2022</v>
      </c>
      <c r="Q233" s="42">
        <v>1</v>
      </c>
    </row>
    <row r="234" spans="1:17" ht="15" hidden="1">
      <c r="A234" s="44" t="s">
        <v>479</v>
      </c>
      <c r="B234" s="312" t="str">
        <f>IFERROR(INDEX(Projetos!$B$3:$B$129,MATCH(A234,Projetos!$A$3:$A$129,0))," ")</f>
        <v>Data Lake</v>
      </c>
      <c r="C234" s="26" t="s">
        <v>480</v>
      </c>
      <c r="D234" s="34">
        <v>0.495</v>
      </c>
      <c r="E234" s="34">
        <v>0.502</v>
      </c>
      <c r="F234" s="27">
        <v>45274</v>
      </c>
      <c r="G234" s="125">
        <v>45231</v>
      </c>
      <c r="H234" s="28" t="str">
        <f t="shared" si="9"/>
        <v>08547/202145231</v>
      </c>
      <c r="I234" s="38" t="str">
        <f>IFERROR(INDEX(Projetos!$M$2:$M$129,MATCH(Atualizações!A234,Projetos!$A$2:$A$129,0))," ")</f>
        <v>31/12/2024</v>
      </c>
      <c r="J234" s="31" t="s">
        <v>1275</v>
      </c>
      <c r="K234" s="344">
        <f>IFERROR(Tb_Atualizações[[#This Row],[% EXECUTADO]]/Tb_Atualizações[[#This Row],[% PREVISTO]],"0%")</f>
        <v>1.0141414141414142</v>
      </c>
      <c r="L234" s="31" t="str" cm="1">
        <f t="array" aca="1" ref="L2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34" s="29"/>
      <c r="N234" s="30"/>
      <c r="O234" s="42">
        <f t="shared" si="10"/>
        <v>2023</v>
      </c>
      <c r="P234" s="42" t="str">
        <f t="shared" si="11"/>
        <v>202308547/2021</v>
      </c>
      <c r="Q234" s="42">
        <v>1</v>
      </c>
    </row>
    <row r="235" spans="1:17" ht="30.75" hidden="1">
      <c r="A235" s="44" t="s">
        <v>350</v>
      </c>
      <c r="B235" s="312" t="str">
        <f>IFERROR(INDEX(Projetos!$B$3:$B$129,MATCH(A235,Projetos!$A$3:$A$129,0))," ")</f>
        <v>Painel de Estatística   - Justiça 4.0</v>
      </c>
      <c r="C235" s="26" t="s">
        <v>1255</v>
      </c>
      <c r="D235" s="34">
        <v>1</v>
      </c>
      <c r="E235" s="34">
        <v>0.94499999999999995</v>
      </c>
      <c r="F235" s="27">
        <v>45274</v>
      </c>
      <c r="G235" s="125">
        <v>45231</v>
      </c>
      <c r="H235" s="28" t="str">
        <f t="shared" si="9"/>
        <v>03545/202145231</v>
      </c>
      <c r="I235" s="38">
        <f>IFERROR(INDEX(Projetos!$M$2:$M$129,MATCH(Atualizações!A235,Projetos!$A$2:$A$129,0))," ")</f>
        <v>46387</v>
      </c>
      <c r="J235" s="31"/>
      <c r="K235" s="344">
        <f>IFERROR(Tb_Atualizações[[#This Row],[% EXECUTADO]]/Tb_Atualizações[[#This Row],[% PREVISTO]],"0%")</f>
        <v>0.94499999999999995</v>
      </c>
      <c r="L235" s="31" t="str" cm="1">
        <f t="array" aca="1" ref="L2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35" s="30"/>
      <c r="N235" s="30"/>
      <c r="O235" s="42">
        <f t="shared" si="10"/>
        <v>2023</v>
      </c>
      <c r="P235" s="42" t="str">
        <f t="shared" si="11"/>
        <v>202303545/2021</v>
      </c>
      <c r="Q235" s="42">
        <v>1</v>
      </c>
    </row>
    <row r="236" spans="1:17" ht="30" hidden="1">
      <c r="A236" s="46" t="s">
        <v>1283</v>
      </c>
      <c r="B236" s="40" t="s">
        <v>1284</v>
      </c>
      <c r="C236" s="392" t="s">
        <v>1284</v>
      </c>
      <c r="D236" s="34">
        <v>1</v>
      </c>
      <c r="E236" s="34">
        <v>0.9</v>
      </c>
      <c r="F236" s="27">
        <v>45274</v>
      </c>
      <c r="G236" s="125">
        <v>45231</v>
      </c>
      <c r="H236" s="28" t="str">
        <f t="shared" si="9"/>
        <v>01508/202245231</v>
      </c>
      <c r="I236" s="38" t="str">
        <f>IFERROR(INDEX(Projetos!$M$2:$M$129,MATCH(Atualizações!A236,Projetos!$A$2:$A$129,0))," ")</f>
        <v xml:space="preserve"> </v>
      </c>
      <c r="J236" s="31"/>
      <c r="K236" s="344">
        <f>IFERROR(Tb_Atualizações[[#This Row],[% EXECUTADO]]/Tb_Atualizações[[#This Row],[% PREVISTO]],"0%")</f>
        <v>0.9</v>
      </c>
      <c r="L236" s="31" t="str" cm="1">
        <f t="array" aca="1" ref="L2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36" s="29"/>
      <c r="N236" s="30"/>
      <c r="O236" s="42">
        <f t="shared" si="10"/>
        <v>2023</v>
      </c>
      <c r="P236" s="42" t="str">
        <f t="shared" si="11"/>
        <v>202301508/2022</v>
      </c>
      <c r="Q236" s="42">
        <v>1</v>
      </c>
    </row>
    <row r="237" spans="1:17" ht="60" hidden="1">
      <c r="A237" s="46" t="s">
        <v>570</v>
      </c>
      <c r="B237" s="312" t="str">
        <f>IFERROR(INDEX(Projetos!$B$3:$B$129,MATCH(A237,Projetos!$A$3:$A$129,0))," ")</f>
        <v>Repositório Anticorrupção e Tecnologia do Poder Judiciário</v>
      </c>
      <c r="C237" s="392" t="s">
        <v>1267</v>
      </c>
      <c r="D237" s="34">
        <v>0.86799999999999999</v>
      </c>
      <c r="E237" s="34">
        <v>0.88500000000000001</v>
      </c>
      <c r="F237" s="27">
        <v>45274</v>
      </c>
      <c r="G237" s="125">
        <v>45231</v>
      </c>
      <c r="H237" s="28" t="str">
        <f t="shared" si="9"/>
        <v>10157/202245231</v>
      </c>
      <c r="I237" s="38">
        <f>IFERROR(INDEX(Projetos!$M$2:$M$129,MATCH(Atualizações!A237,Projetos!$A$2:$A$129,0))," ")</f>
        <v>45565</v>
      </c>
      <c r="J237" s="31" t="s">
        <v>1276</v>
      </c>
      <c r="K237" s="344">
        <f>IFERROR(Tb_Atualizações[[#This Row],[% EXECUTADO]]/Tb_Atualizações[[#This Row],[% PREVISTO]],"0%")</f>
        <v>1.0195852534562213</v>
      </c>
      <c r="L237" s="31" t="str" cm="1">
        <f t="array" aca="1" ref="L2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37" s="30"/>
      <c r="N237" s="30"/>
      <c r="O237" s="42">
        <f t="shared" si="10"/>
        <v>2023</v>
      </c>
      <c r="P237" s="42" t="str">
        <f t="shared" si="11"/>
        <v>202310157/2022</v>
      </c>
      <c r="Q237" s="42">
        <v>1</v>
      </c>
    </row>
    <row r="238" spans="1:17" ht="105" hidden="1">
      <c r="A238" s="46" t="s">
        <v>425</v>
      </c>
      <c r="B238" s="312" t="str">
        <f>IFERROR(INDEX(Projetos!$B$3:$B$129,MATCH(A238,Projetos!$A$3:$A$129,0))," ")</f>
        <v>Diagnóstico sobre a otimização dos processos de trabalho no Poder Judiciário em face da implementação das Políticas Tecnológicas do Programa Justiça 4.0.</v>
      </c>
      <c r="C238" s="392" t="s">
        <v>426</v>
      </c>
      <c r="D238" s="34">
        <v>0.99299999999999999</v>
      </c>
      <c r="E238" s="34">
        <v>0.76900000000000002</v>
      </c>
      <c r="F238" s="27">
        <v>45275</v>
      </c>
      <c r="G238" s="125">
        <v>45231</v>
      </c>
      <c r="H238" s="28" t="str">
        <f t="shared" si="9"/>
        <v>06767/202245231</v>
      </c>
      <c r="I238" s="38">
        <f>IFERROR(INDEX(Projetos!$M$2:$M$129,MATCH(Atualizações!A238,Projetos!$A$2:$A$129,0))," ")</f>
        <v>45605</v>
      </c>
      <c r="J238" s="31"/>
      <c r="K238" s="344">
        <f>IFERROR(Tb_Atualizações[[#This Row],[% EXECUTADO]]/Tb_Atualizações[[#This Row],[% PREVISTO]],"0%")</f>
        <v>0.77442094662638472</v>
      </c>
      <c r="L238" s="31" t="str" cm="1">
        <f t="array" aca="1" ref="L2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38" s="30"/>
      <c r="N238" s="30"/>
      <c r="O238" s="42">
        <f t="shared" si="10"/>
        <v>2023</v>
      </c>
      <c r="P238" s="42" t="str">
        <f t="shared" si="11"/>
        <v>202306767/2022</v>
      </c>
      <c r="Q238" s="42">
        <v>1</v>
      </c>
    </row>
    <row r="239" spans="1:17" ht="15" hidden="1">
      <c r="A239" s="46" t="s">
        <v>229</v>
      </c>
      <c r="B239" s="312" t="str">
        <f>IFERROR(INDEX(Projetos!$B$3:$B$129,MATCH(A239,Projetos!$A$3:$A$129,0))," ")</f>
        <v>Gabinete do Juízo</v>
      </c>
      <c r="C239" s="392" t="s">
        <v>1274</v>
      </c>
      <c r="D239" s="34">
        <v>0.99199999999999999</v>
      </c>
      <c r="E239" s="34">
        <v>0.93100000000000005</v>
      </c>
      <c r="F239" s="27">
        <v>45275</v>
      </c>
      <c r="G239" s="125">
        <v>45231</v>
      </c>
      <c r="H239" s="28" t="str">
        <f t="shared" si="9"/>
        <v>02080/202345231</v>
      </c>
      <c r="I239" s="38">
        <f>IFERROR(INDEX(Projetos!$M$2:$M$129,MATCH(Atualizações!A239,Projetos!$A$2:$A$129,0))," ")</f>
        <v>46379</v>
      </c>
      <c r="J239" s="31"/>
      <c r="K239" s="344">
        <f>IFERROR(Tb_Atualizações[[#This Row],[% EXECUTADO]]/Tb_Atualizações[[#This Row],[% PREVISTO]],"0%")</f>
        <v>0.93850806451612911</v>
      </c>
      <c r="L239" s="31" t="str" cm="1">
        <f t="array" aca="1" ref="L2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39" s="30"/>
      <c r="N239" s="30"/>
      <c r="O239" s="42">
        <f t="shared" si="10"/>
        <v>2023</v>
      </c>
      <c r="P239" s="42" t="str">
        <f t="shared" si="11"/>
        <v>202302080/2023</v>
      </c>
      <c r="Q239" s="42">
        <v>1</v>
      </c>
    </row>
    <row r="240" spans="1:17" ht="45" hidden="1">
      <c r="A240" s="46" t="s">
        <v>1249</v>
      </c>
      <c r="B240" s="312" t="str">
        <f>IFERROR(INDEX(Projetos!$B$3:$B$129,MATCH(A240,Projetos!$A$3:$A$129,0))," ")</f>
        <v xml:space="preserve"> </v>
      </c>
      <c r="C240" s="392" t="s">
        <v>1250</v>
      </c>
      <c r="D240" s="34">
        <v>0.96399999999999997</v>
      </c>
      <c r="E240" s="34">
        <v>0.97699999999999998</v>
      </c>
      <c r="F240" s="27">
        <v>45279</v>
      </c>
      <c r="G240" s="125">
        <v>45231</v>
      </c>
      <c r="H240" s="28" t="str">
        <f t="shared" si="9"/>
        <v>12115/202245231</v>
      </c>
      <c r="I240" s="38" t="str">
        <f>IFERROR(INDEX(Projetos!$M$2:$M$129,MATCH(Atualizações!A240,Projetos!$A$2:$A$129,0))," ")</f>
        <v xml:space="preserve"> </v>
      </c>
      <c r="J240" s="31"/>
      <c r="K240" s="344">
        <f>IFERROR(Tb_Atualizações[[#This Row],[% EXECUTADO]]/Tb_Atualizações[[#This Row],[% PREVISTO]],"0%")</f>
        <v>1.0134854771784232</v>
      </c>
      <c r="L240" s="31" t="str" cm="1">
        <f t="array" aca="1" ref="L2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40" s="30"/>
      <c r="N240" s="30"/>
      <c r="O240" s="42">
        <f t="shared" si="10"/>
        <v>2023</v>
      </c>
      <c r="P240" s="42" t="str">
        <f t="shared" si="11"/>
        <v>202312115/2022</v>
      </c>
      <c r="Q240" s="42">
        <v>1</v>
      </c>
    </row>
    <row r="241" spans="1:17" ht="15" hidden="1">
      <c r="A241" s="46" t="s">
        <v>160</v>
      </c>
      <c r="B241" s="312" t="str">
        <f>IFERROR(INDEX(Projetos!$B$3:$B$129,MATCH(A241,Projetos!$A$3:$A$129,0))," ")</f>
        <v>Domicílio Judicial Eletrônico</v>
      </c>
      <c r="C241" s="47"/>
      <c r="D241" s="48">
        <v>0.96</v>
      </c>
      <c r="E241" s="48">
        <v>0.89800000000000002</v>
      </c>
      <c r="F241" s="49">
        <v>45280</v>
      </c>
      <c r="G241" s="125">
        <v>45261</v>
      </c>
      <c r="H241" s="28" t="str">
        <f t="shared" si="9"/>
        <v>01487/202245261</v>
      </c>
      <c r="I241" s="38">
        <f>IFERROR(INDEX(Projetos!$M$2:$M$129,MATCH(Atualizações!A241,Projetos!$A$2:$A$129,0))," ")</f>
        <v>45566</v>
      </c>
      <c r="J241" s="61"/>
      <c r="K241" s="344">
        <f>IFERROR(Tb_Atualizações[[#This Row],[% EXECUTADO]]/Tb_Atualizações[[#This Row],[% PREVISTO]],"0%")</f>
        <v>0.93541666666666667</v>
      </c>
      <c r="L241" s="31" t="str" cm="1">
        <f t="array" aca="1" ref="L2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41" s="50"/>
      <c r="N241" s="30"/>
      <c r="O241" s="42">
        <f t="shared" si="10"/>
        <v>2023</v>
      </c>
      <c r="P241" s="42" t="str">
        <f t="shared" si="11"/>
        <v>202301487/2022</v>
      </c>
      <c r="Q241" s="42">
        <v>1</v>
      </c>
    </row>
    <row r="242" spans="1:17" ht="15" hidden="1">
      <c r="A242" s="46" t="s">
        <v>160</v>
      </c>
      <c r="B242" s="312" t="str">
        <f>IFERROR(INDEX(Projetos!$B$3:$B$129,MATCH(A242,Projetos!$A$3:$A$129,0))," ")</f>
        <v>Domicílio Judicial Eletrônico</v>
      </c>
      <c r="C242" s="47"/>
      <c r="D242" s="48">
        <v>0.96</v>
      </c>
      <c r="E242" s="48">
        <v>0.89800000000000002</v>
      </c>
      <c r="F242" s="49">
        <v>45280</v>
      </c>
      <c r="G242" s="125">
        <v>45261</v>
      </c>
      <c r="H242" s="28" t="str">
        <f t="shared" si="9"/>
        <v>01487/202245261</v>
      </c>
      <c r="I242" s="38">
        <f>IFERROR(INDEX(Projetos!$M$2:$M$129,MATCH(Atualizações!A242,Projetos!$A$2:$A$129,0))," ")</f>
        <v>45566</v>
      </c>
      <c r="J242" s="61"/>
      <c r="K242" s="344">
        <f>IFERROR(Tb_Atualizações[[#This Row],[% EXECUTADO]]/Tb_Atualizações[[#This Row],[% PREVISTO]],"0%")</f>
        <v>0.93541666666666667</v>
      </c>
      <c r="L242" s="31" t="str" cm="1">
        <f t="array" aca="1" ref="L2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42" s="50"/>
      <c r="N242" s="30"/>
      <c r="O242" s="42">
        <f t="shared" si="10"/>
        <v>2023</v>
      </c>
      <c r="P242" s="42" t="str">
        <f t="shared" si="11"/>
        <v>202301487/2022</v>
      </c>
      <c r="Q242" s="42">
        <v>1</v>
      </c>
    </row>
    <row r="243" spans="1:17" ht="45" hidden="1">
      <c r="A243" s="46" t="s">
        <v>1283</v>
      </c>
      <c r="B243" s="40" t="s">
        <v>1284</v>
      </c>
      <c r="C243" s="47"/>
      <c r="D243" s="48">
        <v>1</v>
      </c>
      <c r="E243" s="48">
        <v>1</v>
      </c>
      <c r="F243" s="49">
        <v>45280</v>
      </c>
      <c r="G243" s="125">
        <v>45261</v>
      </c>
      <c r="H243" s="28" t="str">
        <f t="shared" si="9"/>
        <v>01508/202245261</v>
      </c>
      <c r="I243" s="38" t="str">
        <f>IFERROR(INDEX(Projetos!$M$2:$M$129,MATCH(Atualizações!A243,Projetos!$A$2:$A$129,0))," ")</f>
        <v xml:space="preserve"> </v>
      </c>
      <c r="J243" s="61" t="s">
        <v>1290</v>
      </c>
      <c r="K243" s="344">
        <f>IFERROR(Tb_Atualizações[[#This Row],[% EXECUTADO]]/Tb_Atualizações[[#This Row],[% PREVISTO]],"0%")</f>
        <v>1</v>
      </c>
      <c r="L243" s="31" t="str" cm="1">
        <f t="array" aca="1" ref="L2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243" s="50"/>
      <c r="N243" s="30"/>
      <c r="O243" s="42">
        <f t="shared" si="10"/>
        <v>2023</v>
      </c>
      <c r="P243" s="42" t="str">
        <f t="shared" si="11"/>
        <v>202301508/2022</v>
      </c>
      <c r="Q243" s="42">
        <v>1</v>
      </c>
    </row>
    <row r="244" spans="1:17" ht="15" hidden="1">
      <c r="A244" s="46" t="s">
        <v>322</v>
      </c>
      <c r="B244" s="312" t="str">
        <f>IFERROR(INDEX(Projetos!$B$3:$B$129,MATCH(A244,Projetos!$A$3:$A$129,0))," ")</f>
        <v>SNGB - Sistema Nacional de Gestão de Bens</v>
      </c>
      <c r="C244" s="47"/>
      <c r="D244" s="48">
        <v>1</v>
      </c>
      <c r="E244" s="48">
        <v>0.94299999999999995</v>
      </c>
      <c r="F244" s="49">
        <v>45287</v>
      </c>
      <c r="G244" s="125">
        <v>45261</v>
      </c>
      <c r="H244" s="28" t="str">
        <f t="shared" si="9"/>
        <v>02938/202145261</v>
      </c>
      <c r="I244" s="38">
        <f>IFERROR(INDEX(Projetos!$M$2:$M$129,MATCH(Atualizações!A244,Projetos!$A$2:$A$129,0))," ")</f>
        <v>45519</v>
      </c>
      <c r="J244" s="61"/>
      <c r="K244" s="344">
        <f>IFERROR(Tb_Atualizações[[#This Row],[% EXECUTADO]]/Tb_Atualizações[[#This Row],[% PREVISTO]],"0%")</f>
        <v>0.94299999999999995</v>
      </c>
      <c r="L244" s="31" t="str" cm="1">
        <f t="array" aca="1" ref="L2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44" s="50"/>
      <c r="N244" s="30"/>
      <c r="O244" s="42">
        <f t="shared" si="10"/>
        <v>2023</v>
      </c>
      <c r="P244" s="42" t="str">
        <f t="shared" si="11"/>
        <v>202302938/2021</v>
      </c>
      <c r="Q244" s="42">
        <v>1</v>
      </c>
    </row>
    <row r="245" spans="1:17" ht="30" hidden="1">
      <c r="A245" s="46" t="s">
        <v>425</v>
      </c>
      <c r="B245" s="312" t="str">
        <f>IFERROR(INDEX(Projetos!$B$3:$B$129,MATCH(A245,Projetos!$A$3:$A$129,0))," ")</f>
        <v>Diagnóstico sobre a otimização dos processos de trabalho no Poder Judiciário em face da implementação das Políticas Tecnológicas do Programa Justiça 4.0.</v>
      </c>
      <c r="C245" s="47"/>
      <c r="D245" s="48">
        <v>0.72699999999999998</v>
      </c>
      <c r="E245" s="48">
        <v>0.67300000000000004</v>
      </c>
      <c r="F245" s="49">
        <v>45288</v>
      </c>
      <c r="G245" s="125">
        <v>45261</v>
      </c>
      <c r="H245" s="28" t="str">
        <f t="shared" si="9"/>
        <v>06767/202245261</v>
      </c>
      <c r="I245" s="38">
        <f>IFERROR(INDEX(Projetos!$M$2:$M$129,MATCH(Atualizações!A245,Projetos!$A$2:$A$129,0))," ")</f>
        <v>45605</v>
      </c>
      <c r="J245" s="61"/>
      <c r="K245" s="344">
        <f>IFERROR(Tb_Atualizações[[#This Row],[% EXECUTADO]]/Tb_Atualizações[[#This Row],[% PREVISTO]],"0%")</f>
        <v>0.92572214580467682</v>
      </c>
      <c r="L245" s="31" t="str" cm="1">
        <f t="array" aca="1" ref="L2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45" s="50"/>
      <c r="N245" s="30"/>
      <c r="O245" s="42">
        <f t="shared" si="10"/>
        <v>2023</v>
      </c>
      <c r="P245" s="42" t="str">
        <f t="shared" si="11"/>
        <v>202306767/2022</v>
      </c>
      <c r="Q245" s="42">
        <v>1</v>
      </c>
    </row>
    <row r="246" spans="1:17" ht="15" hidden="1">
      <c r="A246" s="46" t="s">
        <v>479</v>
      </c>
      <c r="B246" s="312" t="str">
        <f>IFERROR(INDEX(Projetos!$B$3:$B$129,MATCH(A246,Projetos!$A$3:$A$129,0))," ")</f>
        <v>Data Lake</v>
      </c>
      <c r="C246" s="47"/>
      <c r="D246" s="48">
        <v>0.55500000000000005</v>
      </c>
      <c r="E246" s="48">
        <v>0.52500000000000002</v>
      </c>
      <c r="F246" s="49">
        <v>45289</v>
      </c>
      <c r="G246" s="125">
        <v>45261</v>
      </c>
      <c r="H246" s="28" t="str">
        <f t="shared" si="9"/>
        <v>08547/202145261</v>
      </c>
      <c r="I246" s="38" t="str">
        <f>IFERROR(INDEX(Projetos!$M$2:$M$129,MATCH(Atualizações!A246,Projetos!$A$2:$A$129,0))," ")</f>
        <v>31/12/2024</v>
      </c>
      <c r="J246" s="61"/>
      <c r="K246" s="344">
        <f>IFERROR(Tb_Atualizações[[#This Row],[% EXECUTADO]]/Tb_Atualizações[[#This Row],[% PREVISTO]],"0%")</f>
        <v>0.94594594594594594</v>
      </c>
      <c r="L246" s="31" t="str" cm="1">
        <f t="array" aca="1" ref="L2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46" s="50"/>
      <c r="N246" s="30"/>
      <c r="O246" s="42">
        <f t="shared" si="10"/>
        <v>2023</v>
      </c>
      <c r="P246" s="42" t="str">
        <f t="shared" si="11"/>
        <v>202308547/2021</v>
      </c>
      <c r="Q246" s="42">
        <v>1</v>
      </c>
    </row>
    <row r="247" spans="1:17" ht="15" hidden="1">
      <c r="A247" s="46" t="s">
        <v>358</v>
      </c>
      <c r="B247" s="312" t="str">
        <f>IFERROR(INDEX(Projetos!$B$3:$B$129,MATCH(A247,Projetos!$A$3:$A$129,0))," ")</f>
        <v>Prevjud - Automação de Processos Previdenciários - Justiça 4.0</v>
      </c>
      <c r="C247" s="47"/>
      <c r="D247" s="48">
        <v>0.92700000000000005</v>
      </c>
      <c r="E247" s="48">
        <v>0.91200000000000003</v>
      </c>
      <c r="F247" s="49">
        <v>45289</v>
      </c>
      <c r="G247" s="125">
        <v>45261</v>
      </c>
      <c r="H247" s="28" t="str">
        <f t="shared" si="9"/>
        <v>03558/202145261</v>
      </c>
      <c r="I247" s="38" t="str">
        <f>IFERROR(INDEX(Projetos!$M$2:$M$129,MATCH(Atualizações!A247,Projetos!$A$2:$A$129,0))," ")</f>
        <v>31/03/2026</v>
      </c>
      <c r="J247" s="61"/>
      <c r="K247" s="344">
        <f>IFERROR(Tb_Atualizações[[#This Row],[% EXECUTADO]]/Tb_Atualizações[[#This Row],[% PREVISTO]],"0%")</f>
        <v>0.98381877022653719</v>
      </c>
      <c r="L247" s="31" t="str" cm="1">
        <f t="array" aca="1" ref="L2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47" s="50"/>
      <c r="N247" s="30"/>
      <c r="O247" s="42">
        <f t="shared" si="10"/>
        <v>2023</v>
      </c>
      <c r="P247" s="42" t="str">
        <f t="shared" si="11"/>
        <v>202303558/2021</v>
      </c>
      <c r="Q247" s="42">
        <v>1</v>
      </c>
    </row>
    <row r="248" spans="1:17" ht="15" hidden="1">
      <c r="A248" s="46" t="s">
        <v>609</v>
      </c>
      <c r="B248" s="312" t="str">
        <f>IFERROR(INDEX(Projetos!$B$3:$B$129,MATCH(A248,Projetos!$A$3:$A$129,0))," ")</f>
        <v>SPVATJUD</v>
      </c>
      <c r="C248" s="47"/>
      <c r="D248" s="48">
        <v>0.79800000000000004</v>
      </c>
      <c r="E248" s="48">
        <v>0.79</v>
      </c>
      <c r="F248" s="49">
        <v>45289</v>
      </c>
      <c r="G248" s="125">
        <v>45261</v>
      </c>
      <c r="H248" s="28" t="str">
        <f t="shared" si="9"/>
        <v>11270/202245261</v>
      </c>
      <c r="I248" s="38">
        <f>IFERROR(INDEX(Projetos!$M$2:$M$129,MATCH(Atualizações!A248,Projetos!$A$2:$A$129,0))," ")</f>
        <v>45716</v>
      </c>
      <c r="J248" s="61"/>
      <c r="K248" s="344">
        <f>IFERROR(Tb_Atualizações[[#This Row],[% EXECUTADO]]/Tb_Atualizações[[#This Row],[% PREVISTO]],"0%")</f>
        <v>0.9899749373433584</v>
      </c>
      <c r="L248" s="31" t="str" cm="1">
        <f t="array" aca="1" ref="L2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48" s="50"/>
      <c r="N248" s="30"/>
      <c r="O248" s="42">
        <f t="shared" si="10"/>
        <v>2023</v>
      </c>
      <c r="P248" s="42" t="str">
        <f t="shared" si="11"/>
        <v>202311270/2022</v>
      </c>
      <c r="Q248" s="42">
        <v>1</v>
      </c>
    </row>
    <row r="249" spans="1:17" ht="15" hidden="1">
      <c r="A249" s="46" t="s">
        <v>487</v>
      </c>
      <c r="B249" s="312" t="str">
        <f>IFERROR(INDEX(Projetos!$B$3:$B$129,MATCH(A249,Projetos!$A$3:$A$129,0))," ")</f>
        <v>Demandas Complexas</v>
      </c>
      <c r="C249" s="50"/>
      <c r="D249" s="34">
        <v>7.8399999999999997E-2</v>
      </c>
      <c r="E249" s="34">
        <v>7.3499999999999996E-2</v>
      </c>
      <c r="F249" s="49">
        <v>45292</v>
      </c>
      <c r="G249" s="125">
        <v>45139</v>
      </c>
      <c r="H249" s="46" t="str">
        <f t="shared" si="9"/>
        <v>08610/202245139</v>
      </c>
      <c r="I249" s="38">
        <f>IFERROR(INDEX(Projetos!$M$2:$M$129,MATCH(Atualizações!A249,Projetos!$A$2:$A$129,0))," ")</f>
        <v>45913</v>
      </c>
      <c r="J249" s="61" t="s">
        <v>1291</v>
      </c>
      <c r="K249" s="344">
        <f>IFERROR(Tb_Atualizações[[#This Row],[% EXECUTADO]]/Tb_Atualizações[[#This Row],[% PREVISTO]],"0%")</f>
        <v>0.9375</v>
      </c>
      <c r="L249" s="31" t="str" cm="1">
        <f t="array" aca="1" ref="L2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49" s="50"/>
      <c r="N249" s="30"/>
      <c r="O249" s="42">
        <f t="shared" si="10"/>
        <v>2024</v>
      </c>
      <c r="P249" s="42" t="str">
        <f t="shared" si="11"/>
        <v>202408610/2022</v>
      </c>
      <c r="Q249" s="42">
        <v>1</v>
      </c>
    </row>
    <row r="250" spans="1:17" ht="15" hidden="1">
      <c r="A250" s="46" t="s">
        <v>443</v>
      </c>
      <c r="B250" s="312" t="str">
        <f>IFERROR(INDEX(Projetos!$B$3:$B$129,MATCH(A250,Projetos!$A$3:$A$129,0))," ")</f>
        <v>Implantação do SERP</v>
      </c>
      <c r="C250" s="50"/>
      <c r="D250" s="34">
        <v>0.42</v>
      </c>
      <c r="E250" s="34">
        <v>0.42</v>
      </c>
      <c r="F250" s="49">
        <v>45292</v>
      </c>
      <c r="G250" s="125">
        <v>45200</v>
      </c>
      <c r="H250" s="46" t="str">
        <f t="shared" si="9"/>
        <v>08286/202245200</v>
      </c>
      <c r="I250" s="38">
        <f>IFERROR(INDEX(Projetos!$M$2:$M$129,MATCH(Atualizações!A250,Projetos!$A$2:$A$129,0))," ")</f>
        <v>45688</v>
      </c>
      <c r="J250" s="61" t="s">
        <v>1291</v>
      </c>
      <c r="K250" s="344">
        <f>IFERROR(Tb_Atualizações[[#This Row],[% EXECUTADO]]/Tb_Atualizações[[#This Row],[% PREVISTO]],"0%")</f>
        <v>1</v>
      </c>
      <c r="L250" s="31" t="str" cm="1">
        <f t="array" aca="1" ref="L2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0" s="50"/>
      <c r="N250" s="30"/>
      <c r="O250" s="42">
        <f t="shared" si="10"/>
        <v>2024</v>
      </c>
      <c r="P250" s="42" t="str">
        <f t="shared" si="11"/>
        <v>202408286/2022</v>
      </c>
      <c r="Q250" s="42">
        <v>1</v>
      </c>
    </row>
    <row r="251" spans="1:17" ht="30" hidden="1">
      <c r="A251" s="46" t="s">
        <v>369</v>
      </c>
      <c r="B251" s="312" t="str">
        <f>IFERROR(INDEX(Projetos!$B$3:$B$129,MATCH(A251,Projetos!$A$3:$A$129,0))," ")</f>
        <v>Aperfeiçoamento funcional em temáticas prioritárias para o CNJ e para Justiça Federal (cursos, capacitações, metodologias e ferramentas)</v>
      </c>
      <c r="C251" s="47"/>
      <c r="D251" s="48">
        <v>0.996</v>
      </c>
      <c r="E251" s="48">
        <v>0.996</v>
      </c>
      <c r="F251" s="49">
        <v>45293</v>
      </c>
      <c r="G251" s="125">
        <v>45261</v>
      </c>
      <c r="H251" s="28" t="str">
        <f t="shared" si="9"/>
        <v>03559/202145261</v>
      </c>
      <c r="I251" s="38">
        <f>IFERROR(INDEX(Projetos!$M$2:$M$129,MATCH(Atualizações!A251,Projetos!$A$2:$A$129,0))," ")</f>
        <v>45351</v>
      </c>
      <c r="J251" s="61"/>
      <c r="K251" s="344">
        <f>IFERROR(Tb_Atualizações[[#This Row],[% EXECUTADO]]/Tb_Atualizações[[#This Row],[% PREVISTO]],"0%")</f>
        <v>1</v>
      </c>
      <c r="L251" s="31" t="str" cm="1">
        <f t="array" aca="1" ref="L2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1" s="50"/>
      <c r="N251" s="30"/>
      <c r="O251" s="42">
        <f t="shared" si="10"/>
        <v>2024</v>
      </c>
      <c r="P251" s="42" t="str">
        <f t="shared" si="11"/>
        <v>202403559/2021</v>
      </c>
      <c r="Q251" s="42">
        <v>1</v>
      </c>
    </row>
    <row r="252" spans="1:17" ht="15" hidden="1">
      <c r="A252" s="46" t="s">
        <v>209</v>
      </c>
      <c r="B252" s="312" t="str">
        <f>IFERROR(INDEX(Projetos!$B$3:$B$129,MATCH(A252,Projetos!$A$3:$A$129,0))," ")</f>
        <v>Capacitação técnica para desenvolvedores nas tecnologias da PDPJ - BR</v>
      </c>
      <c r="C252" s="47"/>
      <c r="D252" s="48">
        <v>0.32500000000000001</v>
      </c>
      <c r="E252" s="48">
        <v>0.29499999999999998</v>
      </c>
      <c r="F252" s="49">
        <v>45293</v>
      </c>
      <c r="G252" s="125">
        <v>45261</v>
      </c>
      <c r="H252" s="28" t="str">
        <f t="shared" si="9"/>
        <v>01945/202245261</v>
      </c>
      <c r="I252" s="38">
        <f>IFERROR(INDEX(Projetos!$M$2:$M$129,MATCH(Atualizações!A252,Projetos!$A$2:$A$129,0))," ")</f>
        <v>45866</v>
      </c>
      <c r="J252" s="61"/>
      <c r="K252" s="344">
        <f>IFERROR(Tb_Atualizações[[#This Row],[% EXECUTADO]]/Tb_Atualizações[[#This Row],[% PREVISTO]],"0%")</f>
        <v>0.90769230769230758</v>
      </c>
      <c r="L252" s="31" t="str" cm="1">
        <f t="array" aca="1" ref="L2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52" s="50"/>
      <c r="N252" s="30"/>
      <c r="O252" s="42">
        <f t="shared" si="10"/>
        <v>2024</v>
      </c>
      <c r="P252" s="42" t="str">
        <f t="shared" si="11"/>
        <v>202401945/2022</v>
      </c>
      <c r="Q252" s="42">
        <v>1</v>
      </c>
    </row>
    <row r="253" spans="1:17" ht="15" hidden="1">
      <c r="A253" s="46" t="s">
        <v>502</v>
      </c>
      <c r="B253" s="312" t="str">
        <f>IFERROR(INDEX(Projetos!$B$3:$B$129,MATCH(A253,Projetos!$A$3:$A$129,0))," ")</f>
        <v>Plano Nacional de Inovação no Poder Judiciário</v>
      </c>
      <c r="C253" s="47"/>
      <c r="D253" s="48">
        <v>0.96299999999999997</v>
      </c>
      <c r="E253" s="48">
        <v>0.94599999999999995</v>
      </c>
      <c r="F253" s="49">
        <v>45293</v>
      </c>
      <c r="G253" s="125">
        <v>45261</v>
      </c>
      <c r="H253" s="28" t="str">
        <f t="shared" si="9"/>
        <v>09081/202245261</v>
      </c>
      <c r="I253" s="38">
        <f>IFERROR(INDEX(Projetos!$M$2:$M$129,MATCH(Atualizações!A253,Projetos!$A$2:$A$129,0))," ")</f>
        <v>45321</v>
      </c>
      <c r="J253" s="61"/>
      <c r="K253" s="344">
        <f>IFERROR(Tb_Atualizações[[#This Row],[% EXECUTADO]]/Tb_Atualizações[[#This Row],[% PREVISTO]],"0%")</f>
        <v>0.98234683281412249</v>
      </c>
      <c r="L253" s="31" t="str" cm="1">
        <f t="array" aca="1" ref="L2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3" s="50"/>
      <c r="N253" s="30"/>
      <c r="O253" s="42">
        <f t="shared" si="10"/>
        <v>2024</v>
      </c>
      <c r="P253" s="42" t="str">
        <f t="shared" si="11"/>
        <v>202409081/2022</v>
      </c>
      <c r="Q253" s="42">
        <v>1</v>
      </c>
    </row>
    <row r="254" spans="1:17" ht="15" hidden="1">
      <c r="A254" s="46" t="s">
        <v>471</v>
      </c>
      <c r="B254" s="312" t="str">
        <f>IFERROR(INDEX(Projetos!$B$3:$B$129,MATCH(A254,Projetos!$A$3:$A$129,0))," ")</f>
        <v>Sinapses 5 - Capacitação Cursos EaD IA</v>
      </c>
      <c r="C254" s="47"/>
      <c r="D254" s="48">
        <v>0.83699999999999997</v>
      </c>
      <c r="E254" s="48">
        <v>0.83099999999999996</v>
      </c>
      <c r="F254" s="49">
        <v>45293</v>
      </c>
      <c r="G254" s="125">
        <v>45261</v>
      </c>
      <c r="H254" s="28" t="str">
        <f t="shared" si="9"/>
        <v>08543/202145261</v>
      </c>
      <c r="I254" s="38">
        <f>IFERROR(INDEX(Projetos!$M$2:$M$129,MATCH(Atualizações!A254,Projetos!$A$2:$A$129,0))," ")</f>
        <v>45716</v>
      </c>
      <c r="J254" s="61"/>
      <c r="K254" s="344">
        <f>IFERROR(Tb_Atualizações[[#This Row],[% EXECUTADO]]/Tb_Atualizações[[#This Row],[% PREVISTO]],"0%")</f>
        <v>0.99283154121863804</v>
      </c>
      <c r="L254" s="31" t="str" cm="1">
        <f t="array" aca="1" ref="L2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4" s="50"/>
      <c r="N254" s="30"/>
      <c r="O254" s="42">
        <f t="shared" si="10"/>
        <v>2024</v>
      </c>
      <c r="P254" s="42" t="str">
        <f t="shared" si="11"/>
        <v>202408543/2021</v>
      </c>
      <c r="Q254" s="42">
        <v>1</v>
      </c>
    </row>
    <row r="255" spans="1:17" ht="15" hidden="1">
      <c r="A255" s="46" t="s">
        <v>331</v>
      </c>
      <c r="B255" s="312" t="str">
        <f>IFERROR(INDEX(Projetos!$B$3:$B$129,MATCH(A255,Projetos!$A$3:$A$129,0))," ")</f>
        <v>SNIPER - Justiça 4.0</v>
      </c>
      <c r="C255" s="47"/>
      <c r="D255" s="48">
        <v>0.998</v>
      </c>
      <c r="E255" s="48">
        <v>0.996</v>
      </c>
      <c r="F255" s="49">
        <v>45293</v>
      </c>
      <c r="G255" s="125">
        <v>45261</v>
      </c>
      <c r="H255" s="28" t="str">
        <f t="shared" si="9"/>
        <v>02941/202145261</v>
      </c>
      <c r="I255" s="38">
        <f>IFERROR(INDEX(Projetos!$M$2:$M$129,MATCH(Atualizações!A255,Projetos!$A$2:$A$129,0))," ")</f>
        <v>45442</v>
      </c>
      <c r="J255" s="61"/>
      <c r="K255" s="344">
        <f>IFERROR(Tb_Atualizações[[#This Row],[% EXECUTADO]]/Tb_Atualizações[[#This Row],[% PREVISTO]],"0%")</f>
        <v>0.99799599198396793</v>
      </c>
      <c r="L255" s="31" t="str" cm="1">
        <f t="array" aca="1" ref="L2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5" s="50"/>
      <c r="N255" s="30"/>
      <c r="O255" s="42">
        <f t="shared" si="10"/>
        <v>2024</v>
      </c>
      <c r="P255" s="42" t="str">
        <f t="shared" si="11"/>
        <v>202402941/2021</v>
      </c>
      <c r="Q255" s="42">
        <v>1</v>
      </c>
    </row>
    <row r="256" spans="1:17" ht="15" hidden="1">
      <c r="A256" s="46" t="s">
        <v>350</v>
      </c>
      <c r="B256" s="312" t="str">
        <f>IFERROR(INDEX(Projetos!$B$3:$B$129,MATCH(A256,Projetos!$A$3:$A$129,0))," ")</f>
        <v>Painel de Estatística   - Justiça 4.0</v>
      </c>
      <c r="C256" s="47"/>
      <c r="D256" s="48">
        <v>0.95599999999999996</v>
      </c>
      <c r="E256" s="48">
        <v>0.90500000000000003</v>
      </c>
      <c r="F256" s="49">
        <v>45294</v>
      </c>
      <c r="G256" s="125">
        <v>45261</v>
      </c>
      <c r="H256" s="28" t="str">
        <f t="shared" si="9"/>
        <v>03545/202145261</v>
      </c>
      <c r="I256" s="38">
        <f>IFERROR(INDEX(Projetos!$M$2:$M$129,MATCH(Atualizações!A256,Projetos!$A$2:$A$129,0))," ")</f>
        <v>46387</v>
      </c>
      <c r="J256" s="61"/>
      <c r="K256" s="344">
        <f>IFERROR(Tb_Atualizações[[#This Row],[% EXECUTADO]]/Tb_Atualizações[[#This Row],[% PREVISTO]],"0%")</f>
        <v>0.94665271966527198</v>
      </c>
      <c r="L256" s="31" t="str" cm="1">
        <f t="array" aca="1" ref="L2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56" s="50"/>
      <c r="N256" s="30"/>
      <c r="O256" s="42">
        <f t="shared" si="10"/>
        <v>2024</v>
      </c>
      <c r="P256" s="42" t="str">
        <f t="shared" si="11"/>
        <v>202403545/2021</v>
      </c>
      <c r="Q256" s="42">
        <v>1</v>
      </c>
    </row>
    <row r="257" spans="1:17" ht="15" hidden="1">
      <c r="A257" s="46" t="s">
        <v>502</v>
      </c>
      <c r="B257" s="312" t="str">
        <f>IFERROR(INDEX(Projetos!$B$3:$B$129,MATCH(A257,Projetos!$A$3:$A$129,0))," ")</f>
        <v>Plano Nacional de Inovação no Poder Judiciário</v>
      </c>
      <c r="C257" s="47"/>
      <c r="D257" s="48">
        <v>0.96299999999999997</v>
      </c>
      <c r="E257" s="48">
        <v>0.94599999999999995</v>
      </c>
      <c r="F257" s="49">
        <v>45294</v>
      </c>
      <c r="G257" s="125">
        <v>45261</v>
      </c>
      <c r="H257" s="28" t="str">
        <f t="shared" si="9"/>
        <v>09081/202245261</v>
      </c>
      <c r="I257" s="38">
        <f>IFERROR(INDEX(Projetos!$M$2:$M$129,MATCH(Atualizações!A257,Projetos!$A$2:$A$129,0))," ")</f>
        <v>45321</v>
      </c>
      <c r="J257" s="61"/>
      <c r="K257" s="344">
        <f>IFERROR(Tb_Atualizações[[#This Row],[% EXECUTADO]]/Tb_Atualizações[[#This Row],[% PREVISTO]],"0%")</f>
        <v>0.98234683281412249</v>
      </c>
      <c r="L257" s="31" t="str" cm="1">
        <f t="array" aca="1" ref="L2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7" s="50"/>
      <c r="N257" s="30"/>
      <c r="O257" s="42">
        <f t="shared" si="10"/>
        <v>2024</v>
      </c>
      <c r="P257" s="42" t="str">
        <f t="shared" si="11"/>
        <v>202409081/2022</v>
      </c>
      <c r="Q257" s="42">
        <v>1</v>
      </c>
    </row>
    <row r="258" spans="1:17" ht="30" hidden="1">
      <c r="A258" s="46" t="s">
        <v>502</v>
      </c>
      <c r="B258" s="312" t="str">
        <f>IFERROR(INDEX(Projetos!$B$3:$B$129,MATCH(A258,Projetos!$A$3:$A$129,0))," ")</f>
        <v>Plano Nacional de Inovação no Poder Judiciário</v>
      </c>
      <c r="C258" s="47"/>
      <c r="D258" s="48">
        <v>0.96299999999999997</v>
      </c>
      <c r="E258" s="48">
        <v>0.94599999999999995</v>
      </c>
      <c r="F258" s="49">
        <v>45294</v>
      </c>
      <c r="G258" s="125">
        <v>45261</v>
      </c>
      <c r="H258" s="28" t="str">
        <f t="shared" ref="H258:H321" si="12">A258&amp;G258</f>
        <v>09081/202245261</v>
      </c>
      <c r="I258" s="38">
        <f>IFERROR(INDEX(Projetos!$M$2:$M$129,MATCH(Atualizações!A258,Projetos!$A$2:$A$129,0))," ")</f>
        <v>45321</v>
      </c>
      <c r="J258" s="61" t="s">
        <v>1292</v>
      </c>
      <c r="K258" s="344">
        <f>IFERROR(Tb_Atualizações[[#This Row],[% EXECUTADO]]/Tb_Atualizações[[#This Row],[% PREVISTO]],"0%")</f>
        <v>0.98234683281412249</v>
      </c>
      <c r="L258" s="31" t="str" cm="1">
        <f t="array" aca="1" ref="L2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58" s="50"/>
      <c r="N258" s="30"/>
      <c r="O258" s="42">
        <f t="shared" ref="O258:O321" si="13">YEAR(F258)</f>
        <v>2024</v>
      </c>
      <c r="P258" s="42" t="str">
        <f t="shared" ref="P258:P321" si="14">O258&amp;A258</f>
        <v>202409081/2022</v>
      </c>
      <c r="Q258" s="42">
        <v>1</v>
      </c>
    </row>
    <row r="259" spans="1:17" ht="30" hidden="1">
      <c r="A259" s="46" t="s">
        <v>341</v>
      </c>
      <c r="B259" s="312" t="str">
        <f>IFERROR(INDEX(Projetos!$B$3:$B$129,MATCH(A259,Projetos!$A$3:$A$129,0))," ")</f>
        <v>PMO Jud -Redesenho dos processos do Escritório de Projetos do CNJ</v>
      </c>
      <c r="C259" s="47"/>
      <c r="D259" s="48">
        <v>1</v>
      </c>
      <c r="E259" s="48">
        <v>0.99</v>
      </c>
      <c r="F259" s="49">
        <v>45294</v>
      </c>
      <c r="G259" s="125">
        <v>45261</v>
      </c>
      <c r="H259" s="28" t="str">
        <f t="shared" si="12"/>
        <v>03096/202145261</v>
      </c>
      <c r="I259" s="38">
        <f>IFERROR(INDEX(Projetos!$M$2:$M$129,MATCH(Atualizações!A259,Projetos!$A$2:$A$129,0))," ")</f>
        <v>45291</v>
      </c>
      <c r="J259" s="61"/>
      <c r="K259" s="344">
        <f>IFERROR(Tb_Atualizações[[#This Row],[% EXECUTADO]]/Tb_Atualizações[[#This Row],[% PREVISTO]],"0%")</f>
        <v>0.99</v>
      </c>
      <c r="L259" s="31" t="str" cm="1">
        <f t="array" aca="1" ref="L2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59" s="50"/>
      <c r="N259" s="30"/>
      <c r="O259" s="42">
        <f t="shared" si="13"/>
        <v>2024</v>
      </c>
      <c r="P259" s="42" t="str">
        <f t="shared" si="14"/>
        <v>202403096/2021</v>
      </c>
      <c r="Q259" s="42">
        <v>1</v>
      </c>
    </row>
    <row r="260" spans="1:17" ht="15" hidden="1">
      <c r="A260" s="46" t="s">
        <v>684</v>
      </c>
      <c r="B260" s="312" t="str">
        <f>IFERROR(INDEX(Projetos!$B$3:$B$129,MATCH(A260,Projetos!$A$3:$A$129,0))," ")</f>
        <v>Painel dos Grandes Litigantes</v>
      </c>
      <c r="C260" s="50"/>
      <c r="D260" s="48">
        <v>1</v>
      </c>
      <c r="E260" s="48">
        <v>0.96099999999999997</v>
      </c>
      <c r="F260" s="49">
        <v>45299</v>
      </c>
      <c r="G260" s="125">
        <v>45261</v>
      </c>
      <c r="H260" s="28" t="str">
        <f t="shared" si="12"/>
        <v>12135/202245261</v>
      </c>
      <c r="I260" s="38" t="str">
        <f>IFERROR(INDEX(Projetos!$M$2:$M$129,MATCH(Atualizações!A260,Projetos!$A$2:$A$129,0))," ")</f>
        <v>30/06/26</v>
      </c>
      <c r="J260" s="61"/>
      <c r="K260" s="344">
        <f>IFERROR(Tb_Atualizações[[#This Row],[% EXECUTADO]]/Tb_Atualizações[[#This Row],[% PREVISTO]],"0%")</f>
        <v>0.96099999999999997</v>
      </c>
      <c r="L260" s="31" t="str" cm="1">
        <f t="array" aca="1" ref="L2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0" s="50"/>
      <c r="N260" s="30"/>
      <c r="O260" s="42">
        <f t="shared" si="13"/>
        <v>2024</v>
      </c>
      <c r="P260" s="42" t="str">
        <f t="shared" si="14"/>
        <v>202412135/2022</v>
      </c>
      <c r="Q260" s="42">
        <v>1</v>
      </c>
    </row>
    <row r="261" spans="1:17" ht="15" hidden="1">
      <c r="A261" s="46" t="s">
        <v>570</v>
      </c>
      <c r="B261" s="312" t="str">
        <f>IFERROR(INDEX(Projetos!$B$3:$B$129,MATCH(A261,Projetos!$A$3:$A$129,0))," ")</f>
        <v>Repositório Anticorrupção e Tecnologia do Poder Judiciário</v>
      </c>
      <c r="C261" s="47"/>
      <c r="D261" s="48">
        <v>0.89800000000000002</v>
      </c>
      <c r="E261" s="48">
        <v>0.88500000000000001</v>
      </c>
      <c r="F261" s="49">
        <v>45302</v>
      </c>
      <c r="G261" s="125">
        <v>45261</v>
      </c>
      <c r="H261" s="28" t="str">
        <f t="shared" si="12"/>
        <v>10157/202245261</v>
      </c>
      <c r="I261" s="38">
        <f>IFERROR(INDEX(Projetos!$M$2:$M$129,MATCH(Atualizações!A261,Projetos!$A$2:$A$129,0))," ")</f>
        <v>45565</v>
      </c>
      <c r="J261" s="61"/>
      <c r="K261" s="344">
        <f>IFERROR(Tb_Atualizações[[#This Row],[% EXECUTADO]]/Tb_Atualizações[[#This Row],[% PREVISTO]],"0%")</f>
        <v>0.98552338530066819</v>
      </c>
      <c r="L261" s="31" t="str" cm="1">
        <f t="array" aca="1" ref="L2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1" s="50"/>
      <c r="N261" s="30"/>
      <c r="O261" s="42">
        <f t="shared" si="13"/>
        <v>2024</v>
      </c>
      <c r="P261" s="42" t="str">
        <f t="shared" si="14"/>
        <v>202410157/2022</v>
      </c>
      <c r="Q261" s="42">
        <v>1</v>
      </c>
    </row>
    <row r="262" spans="1:17" ht="15" hidden="1">
      <c r="A262" s="46" t="s">
        <v>436</v>
      </c>
      <c r="B262" s="312" t="str">
        <f>IFERROR(INDEX(Projetos!$B$3:$B$129,MATCH(A262,Projetos!$A$3:$A$129,0))," ")</f>
        <v>Sensibilização e Formação em Integridade e Compliance no Poder Judiciário</v>
      </c>
      <c r="C262" s="47"/>
      <c r="D262" s="48">
        <v>0.45500000000000002</v>
      </c>
      <c r="E262" s="48">
        <v>0.88300000000000001</v>
      </c>
      <c r="F262" s="49">
        <v>45302</v>
      </c>
      <c r="G262" s="125">
        <v>45261</v>
      </c>
      <c r="H262" s="28" t="str">
        <f t="shared" si="12"/>
        <v>07855/202245261</v>
      </c>
      <c r="I262" s="38">
        <f>IFERROR(INDEX(Projetos!$M$2:$M$129,MATCH(Atualizações!A262,Projetos!$A$2:$A$129,0))," ")</f>
        <v>45412</v>
      </c>
      <c r="J262" s="61"/>
      <c r="K262" s="344">
        <f>IFERROR(Tb_Atualizações[[#This Row],[% EXECUTADO]]/Tb_Atualizações[[#This Row],[% PREVISTO]],"0%")</f>
        <v>1.9406593406593406</v>
      </c>
      <c r="L262" s="31" t="str" cm="1">
        <f t="array" aca="1" ref="L2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2" s="50"/>
      <c r="N262" s="30"/>
      <c r="O262" s="42">
        <f t="shared" si="13"/>
        <v>2024</v>
      </c>
      <c r="P262" s="42" t="str">
        <f t="shared" si="14"/>
        <v>202407855/2022</v>
      </c>
      <c r="Q262" s="42">
        <v>1</v>
      </c>
    </row>
    <row r="263" spans="1:17" ht="60" hidden="1">
      <c r="A263" s="46" t="s">
        <v>229</v>
      </c>
      <c r="B263" s="312" t="str">
        <f>IFERROR(INDEX(Projetos!$B$3:$B$129,MATCH(A263,Projetos!$A$3:$A$129,0))," ")</f>
        <v>Gabinete do Juízo</v>
      </c>
      <c r="C263" s="47"/>
      <c r="D263" s="48">
        <v>1</v>
      </c>
      <c r="E263" s="48">
        <v>0.93300000000000005</v>
      </c>
      <c r="F263" s="49">
        <v>45303</v>
      </c>
      <c r="G263" s="125">
        <v>45261</v>
      </c>
      <c r="H263" s="28" t="str">
        <f t="shared" si="12"/>
        <v>02080/202345261</v>
      </c>
      <c r="I263" s="38">
        <f>IFERROR(INDEX(Projetos!$M$2:$M$129,MATCH(Atualizações!A263,Projetos!$A$2:$A$129,0))," ")</f>
        <v>46379</v>
      </c>
      <c r="J263" s="61" t="s">
        <v>1293</v>
      </c>
      <c r="K263" s="344">
        <f>IFERROR(Tb_Atualizações[[#This Row],[% EXECUTADO]]/Tb_Atualizações[[#This Row],[% PREVISTO]],"0%")</f>
        <v>0.93300000000000005</v>
      </c>
      <c r="L263" s="31" t="str" cm="1">
        <f t="array" aca="1" ref="L2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63" s="50"/>
      <c r="N263" s="30"/>
      <c r="O263" s="42">
        <f t="shared" si="13"/>
        <v>2024</v>
      </c>
      <c r="P263" s="42" t="str">
        <f t="shared" si="14"/>
        <v>202402080/2023</v>
      </c>
      <c r="Q263" s="42">
        <v>1</v>
      </c>
    </row>
    <row r="264" spans="1:17" ht="30" hidden="1">
      <c r="A264" s="46" t="s">
        <v>464</v>
      </c>
      <c r="B264" s="312" t="str">
        <f>IFERROR(INDEX(Projetos!$B$3:$B$129,MATCH(A264,Projetos!$A$3:$A$129,0))," ")</f>
        <v>Sirenejud 2.0</v>
      </c>
      <c r="C264" s="47"/>
      <c r="D264" s="48">
        <v>0.68</v>
      </c>
      <c r="E264" s="48">
        <v>0.68</v>
      </c>
      <c r="F264" s="49">
        <v>45303</v>
      </c>
      <c r="G264" s="125">
        <v>45261</v>
      </c>
      <c r="H264" s="28" t="str">
        <f t="shared" si="12"/>
        <v>08536/202245261</v>
      </c>
      <c r="I264" s="38">
        <f>IFERROR(INDEX(Projetos!$M$2:$M$129,MATCH(Atualizações!A264,Projetos!$A$2:$A$129,0))," ")</f>
        <v>45433</v>
      </c>
      <c r="J264" s="61" t="s">
        <v>1294</v>
      </c>
      <c r="K264" s="344">
        <f>IFERROR(Tb_Atualizações[[#This Row],[% EXECUTADO]]/Tb_Atualizações[[#This Row],[% PREVISTO]],"0%")</f>
        <v>1</v>
      </c>
      <c r="L264" s="31" t="str" cm="1">
        <f t="array" aca="1" ref="L2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4" s="50"/>
      <c r="N264" s="30"/>
      <c r="O264" s="42">
        <f t="shared" si="13"/>
        <v>2024</v>
      </c>
      <c r="P264" s="42" t="str">
        <f t="shared" si="14"/>
        <v>202408536/2022</v>
      </c>
      <c r="Q264" s="42">
        <v>1</v>
      </c>
    </row>
    <row r="265" spans="1:17" ht="15" hidden="1">
      <c r="A265" s="46" t="s">
        <v>141</v>
      </c>
      <c r="B265" s="312" t="str">
        <f>IFERROR(INDEX(Projetos!$B$3:$B$129,MATCH(A265,Projetos!$A$3:$A$129,0))," ")</f>
        <v>6ª edição da Série Justiça e pesquisa</v>
      </c>
      <c r="C265" s="47"/>
      <c r="D265" s="48">
        <v>0.48</v>
      </c>
      <c r="E265" s="213">
        <v>0.48</v>
      </c>
      <c r="F265" s="49">
        <v>45313</v>
      </c>
      <c r="G265" s="125">
        <v>45261</v>
      </c>
      <c r="H265" s="28" t="str">
        <f t="shared" si="12"/>
        <v>01179/202345261</v>
      </c>
      <c r="I265" s="38">
        <f>IFERROR(INDEX(Projetos!$M$2:$M$129,MATCH(Atualizações!A265,Projetos!$A$2:$A$129,0))," ")</f>
        <v>45597</v>
      </c>
      <c r="J265" s="61"/>
      <c r="K265" s="344">
        <f>IFERROR(Tb_Atualizações[[#This Row],[% EXECUTADO]]/Tb_Atualizações[[#This Row],[% PREVISTO]],"0%")</f>
        <v>1</v>
      </c>
      <c r="L265" s="31" t="str" cm="1">
        <f t="array" aca="1" ref="L2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5" s="50"/>
      <c r="N265" s="30"/>
      <c r="O265" s="42">
        <f t="shared" si="13"/>
        <v>2024</v>
      </c>
      <c r="P265" s="42" t="str">
        <f t="shared" si="14"/>
        <v>202401179/2023</v>
      </c>
      <c r="Q265" s="42">
        <v>1</v>
      </c>
    </row>
    <row r="266" spans="1:17" ht="30" hidden="1">
      <c r="A266" s="46" t="s">
        <v>141</v>
      </c>
      <c r="B266" s="312" t="str">
        <f>IFERROR(INDEX(Projetos!$B$3:$B$129,MATCH(A266,Projetos!$A$3:$A$129,0))," ")</f>
        <v>6ª edição da Série Justiça e pesquisa</v>
      </c>
      <c r="C266" s="47"/>
      <c r="D266" s="48">
        <v>0.48</v>
      </c>
      <c r="E266" s="48">
        <v>0.48</v>
      </c>
      <c r="F266" s="49">
        <v>45313</v>
      </c>
      <c r="G266" s="125">
        <v>45292</v>
      </c>
      <c r="H266" s="28" t="str">
        <f t="shared" si="12"/>
        <v>01179/202345292</v>
      </c>
      <c r="I266" s="38">
        <f>IFERROR(INDEX(Projetos!$M$2:$M$129,MATCH(Atualizações!A266,Projetos!$A$2:$A$129,0))," ")</f>
        <v>45597</v>
      </c>
      <c r="J266" s="61" t="s">
        <v>1295</v>
      </c>
      <c r="K266" s="344">
        <f>IFERROR(Tb_Atualizações[[#This Row],[% EXECUTADO]]/Tb_Atualizações[[#This Row],[% PREVISTO]],"0%")</f>
        <v>1</v>
      </c>
      <c r="L266" s="31" t="str" cm="1">
        <f t="array" aca="1" ref="L2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6" s="50"/>
      <c r="N266" s="30"/>
      <c r="O266" s="42">
        <f t="shared" si="13"/>
        <v>2024</v>
      </c>
      <c r="P266" s="42" t="str">
        <f t="shared" si="14"/>
        <v>202401179/2023</v>
      </c>
      <c r="Q266" s="42">
        <v>1</v>
      </c>
    </row>
    <row r="267" spans="1:17" ht="15" hidden="1">
      <c r="A267" s="46" t="s">
        <v>182</v>
      </c>
      <c r="B267" s="312" t="str">
        <f>IFERROR(INDEX(Projetos!$B$3:$B$129,MATCH(A267,Projetos!$A$3:$A$129,0))," ")</f>
        <v xml:space="preserve">Mineração de Processos do Pje </v>
      </c>
      <c r="C267" s="47"/>
      <c r="D267" s="48">
        <v>0.98</v>
      </c>
      <c r="E267" s="48">
        <v>0.98</v>
      </c>
      <c r="F267" s="49">
        <v>45313</v>
      </c>
      <c r="G267" s="125">
        <v>45292</v>
      </c>
      <c r="H267" s="28" t="str">
        <f t="shared" si="12"/>
        <v>01764/202045292</v>
      </c>
      <c r="I267" s="38">
        <f>IFERROR(INDEX(Projetos!$M$2:$M$129,MATCH(Atualizações!A267,Projetos!$A$2:$A$129,0))," ")</f>
        <v>46630</v>
      </c>
      <c r="J267" s="61"/>
      <c r="K267" s="344">
        <f>IFERROR(Tb_Atualizações[[#This Row],[% EXECUTADO]]/Tb_Atualizações[[#This Row],[% PREVISTO]],"0%")</f>
        <v>1</v>
      </c>
      <c r="L267" s="31" t="str" cm="1">
        <f t="array" aca="1" ref="L2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7" s="50"/>
      <c r="N267" s="30"/>
      <c r="O267" s="42">
        <f t="shared" si="13"/>
        <v>2024</v>
      </c>
      <c r="P267" s="42" t="str">
        <f t="shared" si="14"/>
        <v>202401764/2020</v>
      </c>
      <c r="Q267" s="42">
        <v>1</v>
      </c>
    </row>
    <row r="268" spans="1:17" ht="15" hidden="1">
      <c r="A268" s="46" t="s">
        <v>479</v>
      </c>
      <c r="B268" s="312" t="str">
        <f>IFERROR(INDEX(Projetos!$B$3:$B$129,MATCH(A268,Projetos!$A$3:$A$129,0))," ")</f>
        <v>Data Lake</v>
      </c>
      <c r="C268" s="47"/>
      <c r="D268" s="48">
        <v>0.57899999999999996</v>
      </c>
      <c r="E268" s="48">
        <v>0.60599999999999998</v>
      </c>
      <c r="F268" s="49">
        <v>45315</v>
      </c>
      <c r="G268" s="125">
        <v>45292</v>
      </c>
      <c r="H268" s="28" t="str">
        <f t="shared" si="12"/>
        <v>08547/202145292</v>
      </c>
      <c r="I268" s="38" t="str">
        <f>IFERROR(INDEX(Projetos!$M$2:$M$129,MATCH(Atualizações!A268,Projetos!$A$2:$A$129,0))," ")</f>
        <v>31/12/2024</v>
      </c>
      <c r="J268" s="61"/>
      <c r="K268" s="344">
        <f>IFERROR(Tb_Atualizações[[#This Row],[% EXECUTADO]]/Tb_Atualizações[[#This Row],[% PREVISTO]],"0%")</f>
        <v>1.0466321243523315</v>
      </c>
      <c r="L268" s="31" t="str" cm="1">
        <f t="array" aca="1" ref="L2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8" s="50"/>
      <c r="N268" s="30"/>
      <c r="O268" s="42">
        <f t="shared" si="13"/>
        <v>2024</v>
      </c>
      <c r="P268" s="42" t="str">
        <f t="shared" si="14"/>
        <v>202408547/2021</v>
      </c>
      <c r="Q268" s="42">
        <v>1</v>
      </c>
    </row>
    <row r="269" spans="1:17" ht="15" hidden="1">
      <c r="A269" s="46" t="s">
        <v>479</v>
      </c>
      <c r="B269" s="312" t="str">
        <f>IFERROR(INDEX(Projetos!$B$3:$B$129,MATCH(A269,Projetos!$A$3:$A$129,0))," ")</f>
        <v>Data Lake</v>
      </c>
      <c r="C269" s="47"/>
      <c r="D269" s="48">
        <v>0.59299999999999997</v>
      </c>
      <c r="E269" s="48">
        <v>0.61399999999999999</v>
      </c>
      <c r="F269" s="49">
        <v>45321</v>
      </c>
      <c r="G269" s="125">
        <v>45292</v>
      </c>
      <c r="H269" s="28" t="str">
        <f t="shared" si="12"/>
        <v>08547/202145292</v>
      </c>
      <c r="I269" s="38" t="str">
        <f>IFERROR(INDEX(Projetos!$M$2:$M$129,MATCH(Atualizações!A269,Projetos!$A$2:$A$129,0))," ")</f>
        <v>31/12/2024</v>
      </c>
      <c r="J269" s="61"/>
      <c r="K269" s="344">
        <f>IFERROR(Tb_Atualizações[[#This Row],[% EXECUTADO]]/Tb_Atualizações[[#This Row],[% PREVISTO]],"0%")</f>
        <v>1.0354131534569984</v>
      </c>
      <c r="L269" s="31" t="str" cm="1">
        <f t="array" aca="1" ref="L2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69" s="50"/>
      <c r="N269" s="30"/>
      <c r="O269" s="42">
        <f t="shared" si="13"/>
        <v>2024</v>
      </c>
      <c r="P269" s="42" t="str">
        <f t="shared" si="14"/>
        <v>202408547/2021</v>
      </c>
      <c r="Q269" s="42">
        <v>1</v>
      </c>
    </row>
    <row r="270" spans="1:17" ht="30" hidden="1">
      <c r="A270" s="46" t="s">
        <v>425</v>
      </c>
      <c r="B270" s="312" t="str">
        <f>IFERROR(INDEX(Projetos!$B$3:$B$129,MATCH(A270,Projetos!$A$3:$A$129,0))," ")</f>
        <v>Diagnóstico sobre a otimização dos processos de trabalho no Poder Judiciário em face da implementação das Políticas Tecnológicas do Programa Justiça 4.0.</v>
      </c>
      <c r="C270" s="47"/>
      <c r="D270" s="48">
        <v>0.78600000000000003</v>
      </c>
      <c r="E270" s="48">
        <v>0.68799999999999994</v>
      </c>
      <c r="F270" s="49">
        <v>45321</v>
      </c>
      <c r="G270" s="125">
        <v>45292</v>
      </c>
      <c r="H270" s="28" t="str">
        <f t="shared" si="12"/>
        <v>06767/202245292</v>
      </c>
      <c r="I270" s="38">
        <f>IFERROR(INDEX(Projetos!$M$2:$M$129,MATCH(Atualizações!A270,Projetos!$A$2:$A$129,0))," ")</f>
        <v>45605</v>
      </c>
      <c r="J270" s="61"/>
      <c r="K270" s="344">
        <f>IFERROR(Tb_Atualizações[[#This Row],[% EXECUTADO]]/Tb_Atualizações[[#This Row],[% PREVISTO]],"0%")</f>
        <v>0.87531806615776075</v>
      </c>
      <c r="L270" s="31" t="str" cm="1">
        <f t="array" aca="1" ref="L2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70" s="50"/>
      <c r="N270" s="30"/>
      <c r="O270" s="42">
        <f t="shared" si="13"/>
        <v>2024</v>
      </c>
      <c r="P270" s="42" t="str">
        <f t="shared" si="14"/>
        <v>202406767/2022</v>
      </c>
      <c r="Q270" s="42">
        <v>1</v>
      </c>
    </row>
    <row r="271" spans="1:17" ht="30" hidden="1">
      <c r="A271" s="46" t="s">
        <v>425</v>
      </c>
      <c r="B271" s="312" t="str">
        <f>IFERROR(INDEX(Projetos!$B$3:$B$129,MATCH(A271,Projetos!$A$3:$A$129,0))," ")</f>
        <v>Diagnóstico sobre a otimização dos processos de trabalho no Poder Judiciário em face da implementação das Políticas Tecnológicas do Programa Justiça 4.0.</v>
      </c>
      <c r="C271" s="47"/>
      <c r="D271" s="48">
        <v>0.78600000000000003</v>
      </c>
      <c r="E271" s="48">
        <v>0.68799999999999994</v>
      </c>
      <c r="F271" s="49">
        <v>45322</v>
      </c>
      <c r="G271" s="125">
        <v>45292</v>
      </c>
      <c r="H271" s="28" t="str">
        <f t="shared" si="12"/>
        <v>06767/202245292</v>
      </c>
      <c r="I271" s="38">
        <f>IFERROR(INDEX(Projetos!$M$2:$M$129,MATCH(Atualizações!A271,Projetos!$A$2:$A$129,0))," ")</f>
        <v>45605</v>
      </c>
      <c r="J271" s="61"/>
      <c r="K271" s="344">
        <f>IFERROR(Tb_Atualizações[[#This Row],[% EXECUTADO]]/Tb_Atualizações[[#This Row],[% PREVISTO]],"0%")</f>
        <v>0.87531806615776075</v>
      </c>
      <c r="L271" s="31" t="str" cm="1">
        <f t="array" aca="1" ref="L2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71" s="50"/>
      <c r="N271" s="30"/>
      <c r="O271" s="42">
        <f t="shared" si="13"/>
        <v>2024</v>
      </c>
      <c r="P271" s="42" t="str">
        <f t="shared" si="14"/>
        <v>202406767/2022</v>
      </c>
      <c r="Q271" s="42">
        <v>1</v>
      </c>
    </row>
    <row r="272" spans="1:17" ht="15" hidden="1">
      <c r="A272" s="46" t="s">
        <v>358</v>
      </c>
      <c r="B272" s="312" t="str">
        <f>IFERROR(INDEX(Projetos!$B$3:$B$129,MATCH(A272,Projetos!$A$3:$A$129,0))," ")</f>
        <v>Prevjud - Automação de Processos Previdenciários - Justiça 4.0</v>
      </c>
      <c r="C272" s="47"/>
      <c r="D272" s="48">
        <v>0.92700000000000005</v>
      </c>
      <c r="E272" s="48">
        <v>0.92300000000000004</v>
      </c>
      <c r="F272" s="49">
        <v>45322</v>
      </c>
      <c r="G272" s="125">
        <v>45292</v>
      </c>
      <c r="H272" s="28" t="str">
        <f t="shared" si="12"/>
        <v>03558/202145292</v>
      </c>
      <c r="I272" s="38" t="str">
        <f>IFERROR(INDEX(Projetos!$M$2:$M$129,MATCH(Atualizações!A272,Projetos!$A$2:$A$129,0))," ")</f>
        <v>31/03/2026</v>
      </c>
      <c r="J272" s="61"/>
      <c r="K272" s="344">
        <f>IFERROR(Tb_Atualizações[[#This Row],[% EXECUTADO]]/Tb_Atualizações[[#This Row],[% PREVISTO]],"0%")</f>
        <v>0.99568500539374327</v>
      </c>
      <c r="L272" s="31" t="str" cm="1">
        <f t="array" aca="1" ref="L2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2" s="50"/>
      <c r="N272" s="30"/>
      <c r="O272" s="42">
        <f t="shared" si="13"/>
        <v>2024</v>
      </c>
      <c r="P272" s="42" t="str">
        <f t="shared" si="14"/>
        <v>202403558/2021</v>
      </c>
      <c r="Q272" s="42">
        <v>1</v>
      </c>
    </row>
    <row r="273" spans="1:17" ht="15" hidden="1">
      <c r="A273" s="46" t="s">
        <v>322</v>
      </c>
      <c r="B273" s="312" t="str">
        <f>IFERROR(INDEX(Projetos!$B$3:$B$129,MATCH(A273,Projetos!$A$3:$A$129,0))," ")</f>
        <v>SNGB - Sistema Nacional de Gestão de Bens</v>
      </c>
      <c r="C273" s="47"/>
      <c r="D273" s="48">
        <v>1</v>
      </c>
      <c r="E273" s="48">
        <v>0.95199999999999996</v>
      </c>
      <c r="F273" s="49">
        <v>45322</v>
      </c>
      <c r="G273" s="125">
        <v>45292</v>
      </c>
      <c r="H273" s="28" t="str">
        <f t="shared" si="12"/>
        <v>02938/202145292</v>
      </c>
      <c r="I273" s="38">
        <f>IFERROR(INDEX(Projetos!$M$2:$M$129,MATCH(Atualizações!A273,Projetos!$A$2:$A$129,0))," ")</f>
        <v>45519</v>
      </c>
      <c r="J273" s="61"/>
      <c r="K273" s="344">
        <f>IFERROR(Tb_Atualizações[[#This Row],[% EXECUTADO]]/Tb_Atualizações[[#This Row],[% PREVISTO]],"0%")</f>
        <v>0.95199999999999996</v>
      </c>
      <c r="L273" s="31" t="str" cm="1">
        <f t="array" aca="1" ref="L2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3" s="50"/>
      <c r="N273" s="30"/>
      <c r="O273" s="42">
        <f t="shared" si="13"/>
        <v>2024</v>
      </c>
      <c r="P273" s="42" t="str">
        <f t="shared" si="14"/>
        <v>202402938/2021</v>
      </c>
      <c r="Q273" s="42">
        <v>1</v>
      </c>
    </row>
    <row r="274" spans="1:17" ht="15" hidden="1">
      <c r="A274" s="390" t="s">
        <v>322</v>
      </c>
      <c r="B274" s="312" t="str">
        <f>IFERROR(INDEX(Projetos!$B$3:$B$129,MATCH(A274,Projetos!$A$3:$A$129,0))," ")</f>
        <v>SNGB - Sistema Nacional de Gestão de Bens</v>
      </c>
      <c r="C274" s="47"/>
      <c r="D274" s="48">
        <v>1</v>
      </c>
      <c r="E274" s="48">
        <v>0.95199999999999996</v>
      </c>
      <c r="F274" s="49">
        <v>45322</v>
      </c>
      <c r="G274" s="125">
        <v>45292</v>
      </c>
      <c r="H274" s="28" t="str">
        <f t="shared" si="12"/>
        <v>02938/202145292</v>
      </c>
      <c r="I274" s="38">
        <f>IFERROR(INDEX(Projetos!$M$2:$M$129,MATCH(Atualizações!A274,Projetos!$A$2:$A$129,0))," ")</f>
        <v>45519</v>
      </c>
      <c r="J274" s="61"/>
      <c r="K274" s="344">
        <f>IFERROR(Tb_Atualizações[[#This Row],[% EXECUTADO]]/Tb_Atualizações[[#This Row],[% PREVISTO]],"0%")</f>
        <v>0.95199999999999996</v>
      </c>
      <c r="L274" s="31" t="str" cm="1">
        <f t="array" aca="1" ref="L2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4" s="50"/>
      <c r="N274" s="30"/>
      <c r="O274" s="42">
        <f t="shared" si="13"/>
        <v>2024</v>
      </c>
      <c r="P274" s="42" t="str">
        <f t="shared" si="14"/>
        <v>202402938/2021</v>
      </c>
      <c r="Q274" s="42">
        <v>1</v>
      </c>
    </row>
    <row r="275" spans="1:17" ht="15" hidden="1">
      <c r="A275" s="46" t="s">
        <v>609</v>
      </c>
      <c r="B275" s="312" t="str">
        <f>IFERROR(INDEX(Projetos!$B$3:$B$129,MATCH(A275,Projetos!$A$3:$A$129,0))," ")</f>
        <v>SPVATJUD</v>
      </c>
      <c r="C275" s="47"/>
      <c r="D275" s="48">
        <v>0.88100000000000001</v>
      </c>
      <c r="E275" s="48">
        <v>0.85299999999999998</v>
      </c>
      <c r="F275" s="49">
        <v>45322</v>
      </c>
      <c r="G275" s="125">
        <v>45292</v>
      </c>
      <c r="H275" s="28" t="str">
        <f t="shared" si="12"/>
        <v>11270/202245292</v>
      </c>
      <c r="I275" s="38">
        <f>IFERROR(INDEX(Projetos!$M$2:$M$129,MATCH(Atualizações!A275,Projetos!$A$2:$A$129,0))," ")</f>
        <v>45716</v>
      </c>
      <c r="J275" s="61"/>
      <c r="K275" s="344">
        <f>IFERROR(Tb_Atualizações[[#This Row],[% EXECUTADO]]/Tb_Atualizações[[#This Row],[% PREVISTO]],"0%")</f>
        <v>0.96821793416572077</v>
      </c>
      <c r="L275" s="31" t="str" cm="1">
        <f t="array" aca="1" ref="L2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5" s="50"/>
      <c r="N275" s="30"/>
      <c r="O275" s="42">
        <f t="shared" si="13"/>
        <v>2024</v>
      </c>
      <c r="P275" s="42" t="str">
        <f t="shared" si="14"/>
        <v>202411270/2022</v>
      </c>
      <c r="Q275" s="42">
        <v>1</v>
      </c>
    </row>
    <row r="276" spans="1:17" ht="15" hidden="1">
      <c r="A276" s="46" t="s">
        <v>209</v>
      </c>
      <c r="B276" s="312" t="str">
        <f>IFERROR(INDEX(Projetos!$B$3:$B$129,MATCH(A276,Projetos!$A$3:$A$129,0))," ")</f>
        <v>Capacitação técnica para desenvolvedores nas tecnologias da PDPJ - BR</v>
      </c>
      <c r="C276" s="47"/>
      <c r="D276" s="48">
        <v>0.35299999999999998</v>
      </c>
      <c r="E276" s="48">
        <v>0.35199999999999998</v>
      </c>
      <c r="F276" s="49">
        <v>45326</v>
      </c>
      <c r="G276" s="125">
        <v>45292</v>
      </c>
      <c r="H276" s="28" t="str">
        <f t="shared" si="12"/>
        <v>01945/202245292</v>
      </c>
      <c r="I276" s="38">
        <f>IFERROR(INDEX(Projetos!$M$2:$M$129,MATCH(Atualizações!A276,Projetos!$A$2:$A$129,0))," ")</f>
        <v>45866</v>
      </c>
      <c r="J276" s="61"/>
      <c r="K276" s="344">
        <f>IFERROR(Tb_Atualizações[[#This Row],[% EXECUTADO]]/Tb_Atualizações[[#This Row],[% PREVISTO]],"0%")</f>
        <v>0.99716713881019825</v>
      </c>
      <c r="L276" s="31" t="str" cm="1">
        <f t="array" aca="1" ref="L2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6" s="50"/>
      <c r="N276" s="30"/>
      <c r="O276" s="42">
        <f t="shared" si="13"/>
        <v>2024</v>
      </c>
      <c r="P276" s="42" t="str">
        <f t="shared" si="14"/>
        <v>202401945/2022</v>
      </c>
      <c r="Q276" s="42">
        <v>1</v>
      </c>
    </row>
    <row r="277" spans="1:17" ht="30" hidden="1">
      <c r="A277" s="46" t="s">
        <v>369</v>
      </c>
      <c r="B277" s="312" t="str">
        <f>IFERROR(INDEX(Projetos!$B$3:$B$129,MATCH(A277,Projetos!$A$3:$A$129,0))," ")</f>
        <v>Aperfeiçoamento funcional em temáticas prioritárias para o CNJ e para Justiça Federal (cursos, capacitações, metodologias e ferramentas)</v>
      </c>
      <c r="C277" s="47"/>
      <c r="D277" s="48">
        <v>0.998</v>
      </c>
      <c r="E277" s="48">
        <v>0.998</v>
      </c>
      <c r="F277" s="49">
        <v>45327</v>
      </c>
      <c r="G277" s="125">
        <v>45292</v>
      </c>
      <c r="H277" s="28" t="str">
        <f t="shared" si="12"/>
        <v>03559/202145292</v>
      </c>
      <c r="I277" s="38">
        <f>IFERROR(INDEX(Projetos!$M$2:$M$129,MATCH(Atualizações!A277,Projetos!$A$2:$A$129,0))," ")</f>
        <v>45351</v>
      </c>
      <c r="J277" s="61"/>
      <c r="K277" s="344">
        <f>IFERROR(Tb_Atualizações[[#This Row],[% EXECUTADO]]/Tb_Atualizações[[#This Row],[% PREVISTO]],"0%")</f>
        <v>1</v>
      </c>
      <c r="L277" s="31" t="str" cm="1">
        <f t="array" aca="1" ref="L2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7" s="50"/>
      <c r="N277" s="30"/>
      <c r="O277" s="42">
        <f t="shared" si="13"/>
        <v>2024</v>
      </c>
      <c r="P277" s="42" t="str">
        <f t="shared" si="14"/>
        <v>202403559/2021</v>
      </c>
      <c r="Q277" s="42">
        <v>1</v>
      </c>
    </row>
    <row r="278" spans="1:17" ht="15" hidden="1">
      <c r="A278" s="46" t="s">
        <v>436</v>
      </c>
      <c r="B278" s="312" t="str">
        <f>IFERROR(INDEX(Projetos!$B$3:$B$129,MATCH(A278,Projetos!$A$3:$A$129,0))," ")</f>
        <v>Sensibilização e Formação em Integridade e Compliance no Poder Judiciário</v>
      </c>
      <c r="C278" s="47"/>
      <c r="D278" s="48">
        <v>0.47299999999999998</v>
      </c>
      <c r="E278" s="48">
        <v>0.91400000000000003</v>
      </c>
      <c r="F278" s="49">
        <v>45327</v>
      </c>
      <c r="G278" s="125">
        <v>45292</v>
      </c>
      <c r="H278" s="28" t="str">
        <f t="shared" si="12"/>
        <v>07855/202245292</v>
      </c>
      <c r="I278" s="38">
        <f>IFERROR(INDEX(Projetos!$M$2:$M$129,MATCH(Atualizações!A278,Projetos!$A$2:$A$129,0))," ")</f>
        <v>45412</v>
      </c>
      <c r="J278" s="61"/>
      <c r="K278" s="344">
        <f>IFERROR(Tb_Atualizações[[#This Row],[% EXECUTADO]]/Tb_Atualizações[[#This Row],[% PREVISTO]],"0%")</f>
        <v>1.9323467230443976</v>
      </c>
      <c r="L278" s="31" t="str" cm="1">
        <f t="array" aca="1" ref="L2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8" s="50"/>
      <c r="N278" s="30"/>
      <c r="O278" s="42">
        <f t="shared" si="13"/>
        <v>2024</v>
      </c>
      <c r="P278" s="42" t="str">
        <f t="shared" si="14"/>
        <v>202407855/2022</v>
      </c>
      <c r="Q278" s="42">
        <v>1</v>
      </c>
    </row>
    <row r="279" spans="1:17" ht="15" hidden="1">
      <c r="A279" s="46" t="s">
        <v>471</v>
      </c>
      <c r="B279" s="312" t="str">
        <f>IFERROR(INDEX(Projetos!$B$3:$B$129,MATCH(A279,Projetos!$A$3:$A$129,0))," ")</f>
        <v>Sinapses 5 - Capacitação Cursos EaD IA</v>
      </c>
      <c r="C279" s="47"/>
      <c r="D279" s="48">
        <v>0.84599999999999997</v>
      </c>
      <c r="E279" s="48">
        <v>0.85399999999999998</v>
      </c>
      <c r="F279" s="49">
        <v>45327</v>
      </c>
      <c r="G279" s="125">
        <v>45292</v>
      </c>
      <c r="H279" s="28" t="str">
        <f t="shared" si="12"/>
        <v>08543/202145292</v>
      </c>
      <c r="I279" s="38">
        <f>IFERROR(INDEX(Projetos!$M$2:$M$129,MATCH(Atualizações!A279,Projetos!$A$2:$A$129,0))," ")</f>
        <v>45716</v>
      </c>
      <c r="J279" s="61"/>
      <c r="K279" s="344">
        <f>IFERROR(Tb_Atualizações[[#This Row],[% EXECUTADO]]/Tb_Atualizações[[#This Row],[% PREVISTO]],"0%")</f>
        <v>1.0094562647754137</v>
      </c>
      <c r="L279" s="31" t="str" cm="1">
        <f t="array" aca="1" ref="L2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79" s="50"/>
      <c r="N279" s="30"/>
      <c r="O279" s="42">
        <f t="shared" si="13"/>
        <v>2024</v>
      </c>
      <c r="P279" s="42" t="str">
        <f t="shared" si="14"/>
        <v>202408543/2021</v>
      </c>
      <c r="Q279" s="42">
        <v>1</v>
      </c>
    </row>
    <row r="280" spans="1:17" ht="15" hidden="1">
      <c r="A280" s="46" t="s">
        <v>464</v>
      </c>
      <c r="B280" s="312" t="str">
        <f>IFERROR(INDEX(Projetos!$B$3:$B$129,MATCH(A280,Projetos!$A$3:$A$129,0))," ")</f>
        <v>Sirenejud 2.0</v>
      </c>
      <c r="C280" s="47"/>
      <c r="D280" s="48">
        <v>0.75</v>
      </c>
      <c r="E280" s="48">
        <v>0.75</v>
      </c>
      <c r="F280" s="49">
        <v>45327</v>
      </c>
      <c r="G280" s="125">
        <v>45292</v>
      </c>
      <c r="H280" s="28" t="str">
        <f t="shared" si="12"/>
        <v>08536/202245292</v>
      </c>
      <c r="I280" s="38">
        <f>IFERROR(INDEX(Projetos!$M$2:$M$129,MATCH(Atualizações!A280,Projetos!$A$2:$A$129,0))," ")</f>
        <v>45433</v>
      </c>
      <c r="J280" s="61"/>
      <c r="K280" s="344">
        <f>IFERROR(Tb_Atualizações[[#This Row],[% EXECUTADO]]/Tb_Atualizações[[#This Row],[% PREVISTO]],"0%")</f>
        <v>1</v>
      </c>
      <c r="L280" s="31" t="str" cm="1">
        <f t="array" aca="1" ref="L2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80" s="50"/>
      <c r="N280" s="30"/>
      <c r="O280" s="42">
        <f t="shared" si="13"/>
        <v>2024</v>
      </c>
      <c r="P280" s="42" t="str">
        <f t="shared" si="14"/>
        <v>202408536/2022</v>
      </c>
      <c r="Q280" s="42">
        <v>1</v>
      </c>
    </row>
    <row r="281" spans="1:17" ht="15" hidden="1">
      <c r="A281" s="46" t="s">
        <v>331</v>
      </c>
      <c r="B281" s="312" t="str">
        <f>IFERROR(INDEX(Projetos!$B$3:$B$129,MATCH(A281,Projetos!$A$3:$A$129,0))," ")</f>
        <v>SNIPER - Justiça 4.0</v>
      </c>
      <c r="C281" s="47"/>
      <c r="D281" s="48">
        <v>0.998</v>
      </c>
      <c r="E281" s="48">
        <v>0.995</v>
      </c>
      <c r="F281" s="49">
        <v>45327</v>
      </c>
      <c r="G281" s="125">
        <v>45292</v>
      </c>
      <c r="H281" s="28" t="str">
        <f t="shared" si="12"/>
        <v>02941/202145292</v>
      </c>
      <c r="I281" s="38">
        <f>IFERROR(INDEX(Projetos!$M$2:$M$129,MATCH(Atualizações!A281,Projetos!$A$2:$A$129,0))," ")</f>
        <v>45442</v>
      </c>
      <c r="J281" s="61"/>
      <c r="K281" s="344">
        <f>IFERROR(Tb_Atualizações[[#This Row],[% EXECUTADO]]/Tb_Atualizações[[#This Row],[% PREVISTO]],"0%")</f>
        <v>0.99699398797595196</v>
      </c>
      <c r="L281" s="31" t="str" cm="1">
        <f t="array" aca="1" ref="L2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81" s="50"/>
      <c r="N281" s="30"/>
      <c r="O281" s="42">
        <f t="shared" si="13"/>
        <v>2024</v>
      </c>
      <c r="P281" s="42" t="str">
        <f t="shared" si="14"/>
        <v>202402941/2021</v>
      </c>
      <c r="Q281" s="42">
        <v>1</v>
      </c>
    </row>
    <row r="282" spans="1:17" ht="60" hidden="1">
      <c r="A282" s="46" t="s">
        <v>229</v>
      </c>
      <c r="B282" s="312" t="str">
        <f>IFERROR(INDEX(Projetos!$B$3:$B$129,MATCH(A282,Projetos!$A$3:$A$129,0))," ")</f>
        <v>Gabinete do Juízo</v>
      </c>
      <c r="C282" s="47"/>
      <c r="D282" s="48">
        <v>1</v>
      </c>
      <c r="E282" s="48">
        <v>0.93300000000000005</v>
      </c>
      <c r="F282" s="49">
        <v>45328</v>
      </c>
      <c r="G282" s="125">
        <v>45292</v>
      </c>
      <c r="H282" s="28" t="str">
        <f t="shared" si="12"/>
        <v>02080/202345292</v>
      </c>
      <c r="I282" s="38">
        <f>IFERROR(INDEX(Projetos!$M$2:$M$129,MATCH(Atualizações!A282,Projetos!$A$2:$A$129,0))," ")</f>
        <v>46379</v>
      </c>
      <c r="J282" s="61" t="s">
        <v>1296</v>
      </c>
      <c r="K282" s="344">
        <f>IFERROR(Tb_Atualizações[[#This Row],[% EXECUTADO]]/Tb_Atualizações[[#This Row],[% PREVISTO]],"0%")</f>
        <v>0.93300000000000005</v>
      </c>
      <c r="L282" s="31" t="str" cm="1">
        <f t="array" aca="1" ref="L2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82" s="50"/>
      <c r="N282" s="30"/>
      <c r="O282" s="42">
        <f t="shared" si="13"/>
        <v>2024</v>
      </c>
      <c r="P282" s="42" t="str">
        <f t="shared" si="14"/>
        <v>202402080/2023</v>
      </c>
      <c r="Q282" s="42">
        <v>1</v>
      </c>
    </row>
    <row r="283" spans="1:17" ht="15" hidden="1">
      <c r="A283" s="2" t="s">
        <v>70</v>
      </c>
      <c r="B283" s="312" t="str">
        <f>IFERROR(INDEX(Projetos!$B$3:$B$129,MATCH(A283,Projetos!$A$3:$A$129,0))," ")</f>
        <v>Mapa Nacional do Tribunal do Júri</v>
      </c>
      <c r="C283" s="47"/>
      <c r="D283" s="48">
        <v>0</v>
      </c>
      <c r="E283" s="48">
        <v>0</v>
      </c>
      <c r="F283" s="49">
        <v>45328</v>
      </c>
      <c r="G283" s="125">
        <v>45292</v>
      </c>
      <c r="H283" s="28" t="str">
        <f t="shared" si="12"/>
        <v>00139/202445292</v>
      </c>
      <c r="I283" s="38">
        <f>IFERROR(INDEX(Projetos!$M$2:$M$129,MATCH(Atualizações!A283,Projetos!$A$2:$A$129,0))," ")</f>
        <v>46658</v>
      </c>
      <c r="J283" s="61"/>
      <c r="K283" s="344" t="str">
        <f>IFERROR(Tb_Atualizações[[#This Row],[% EXECUTADO]]/Tb_Atualizações[[#This Row],[% PREVISTO]],"0%")</f>
        <v>0%</v>
      </c>
      <c r="L283" s="31" t="str" cm="1">
        <f t="array" aca="1" ref="L2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283" s="50"/>
      <c r="N283" s="30"/>
      <c r="O283" s="42">
        <f t="shared" si="13"/>
        <v>2024</v>
      </c>
      <c r="P283" s="42" t="str">
        <f t="shared" si="14"/>
        <v>202400139/2024</v>
      </c>
      <c r="Q283" s="42">
        <v>1</v>
      </c>
    </row>
    <row r="284" spans="1:17" ht="15" hidden="1">
      <c r="A284" s="46" t="s">
        <v>436</v>
      </c>
      <c r="B284" s="312" t="str">
        <f>IFERROR(INDEX(Projetos!$B$3:$B$129,MATCH(A284,Projetos!$A$3:$A$129,0))," ")</f>
        <v>Sensibilização e Formação em Integridade e Compliance no Poder Judiciário</v>
      </c>
      <c r="C284" s="47"/>
      <c r="D284" s="48">
        <v>0.47299999999999998</v>
      </c>
      <c r="E284" s="48">
        <v>0.91400000000000003</v>
      </c>
      <c r="F284" s="49">
        <v>45328</v>
      </c>
      <c r="G284" s="125">
        <v>45292</v>
      </c>
      <c r="H284" s="28" t="str">
        <f t="shared" si="12"/>
        <v>07855/202245292</v>
      </c>
      <c r="I284" s="38">
        <f>IFERROR(INDEX(Projetos!$M$2:$M$129,MATCH(Atualizações!A284,Projetos!$A$2:$A$129,0))," ")</f>
        <v>45412</v>
      </c>
      <c r="J284" s="61" t="s">
        <v>1297</v>
      </c>
      <c r="K284" s="344">
        <f>IFERROR(Tb_Atualizações[[#This Row],[% EXECUTADO]]/Tb_Atualizações[[#This Row],[% PREVISTO]],"0%")</f>
        <v>1.9323467230443976</v>
      </c>
      <c r="L284" s="31" t="str" cm="1">
        <f t="array" aca="1" ref="L2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84" s="50"/>
      <c r="N284" s="30"/>
      <c r="O284" s="42">
        <f t="shared" si="13"/>
        <v>2024</v>
      </c>
      <c r="P284" s="42" t="str">
        <f t="shared" si="14"/>
        <v>202407855/2022</v>
      </c>
      <c r="Q284" s="42">
        <v>1</v>
      </c>
    </row>
    <row r="285" spans="1:17" ht="15" hidden="1">
      <c r="A285" s="46" t="s">
        <v>160</v>
      </c>
      <c r="B285" s="312" t="str">
        <f>IFERROR(INDEX(Projetos!$B$3:$B$129,MATCH(A285,Projetos!$A$3:$A$129,0))," ")</f>
        <v>Domicílio Judicial Eletrônico</v>
      </c>
      <c r="C285" s="47"/>
      <c r="D285" s="48">
        <v>0.96699999999999997</v>
      </c>
      <c r="E285" s="48">
        <v>0.9</v>
      </c>
      <c r="F285" s="49">
        <v>45330</v>
      </c>
      <c r="G285" s="125">
        <v>45292</v>
      </c>
      <c r="H285" s="28" t="str">
        <f t="shared" si="12"/>
        <v>01487/202245292</v>
      </c>
      <c r="I285" s="38">
        <f>IFERROR(INDEX(Projetos!$M$2:$M$129,MATCH(Atualizações!A285,Projetos!$A$2:$A$129,0))," ")</f>
        <v>45566</v>
      </c>
      <c r="J285" s="61"/>
      <c r="K285" s="344">
        <f>IFERROR(Tb_Atualizações[[#This Row],[% EXECUTADO]]/Tb_Atualizações[[#This Row],[% PREVISTO]],"0%")</f>
        <v>0.93071354705274045</v>
      </c>
      <c r="L285" s="31" t="str" cm="1">
        <f t="array" aca="1" ref="L2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85" s="50"/>
      <c r="N285" s="30"/>
      <c r="O285" s="42">
        <f t="shared" si="13"/>
        <v>2024</v>
      </c>
      <c r="P285" s="42" t="str">
        <f t="shared" si="14"/>
        <v>202401487/2022</v>
      </c>
      <c r="Q285" s="42">
        <v>1</v>
      </c>
    </row>
    <row r="286" spans="1:17" ht="15" hidden="1">
      <c r="A286" s="46" t="s">
        <v>615</v>
      </c>
      <c r="B286" s="312" t="str">
        <f>IFERROR(INDEX(Projetos!$B$3:$B$129,MATCH(A286,Projetos!$A$3:$A$129,0))," ")</f>
        <v>Polícia Judicial Amiga dos Autistas</v>
      </c>
      <c r="C286" s="47"/>
      <c r="D286" s="48">
        <v>0</v>
      </c>
      <c r="E286" s="48">
        <v>0</v>
      </c>
      <c r="F286" s="49">
        <v>45341</v>
      </c>
      <c r="G286" s="125">
        <v>45292</v>
      </c>
      <c r="H286" s="28" t="str">
        <f t="shared" si="12"/>
        <v>11340/202345292</v>
      </c>
      <c r="I286" s="38">
        <f>IFERROR(INDEX(Projetos!$M$2:$M$129,MATCH(Atualizações!A286,Projetos!$A$2:$A$129,0))," ")</f>
        <v>45688</v>
      </c>
      <c r="J286" s="61"/>
      <c r="K286" s="344" t="str">
        <f>IFERROR(Tb_Atualizações[[#This Row],[% EXECUTADO]]/Tb_Atualizações[[#This Row],[% PREVISTO]],"0%")</f>
        <v>0%</v>
      </c>
      <c r="L286" s="31" t="str" cm="1">
        <f t="array" aca="1" ref="L2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286" s="50"/>
      <c r="N286" s="30"/>
      <c r="O286" s="42">
        <f t="shared" si="13"/>
        <v>2024</v>
      </c>
      <c r="P286" s="42" t="str">
        <f t="shared" si="14"/>
        <v>202411340/2023</v>
      </c>
      <c r="Q286" s="42">
        <v>1</v>
      </c>
    </row>
    <row r="287" spans="1:17" ht="15" hidden="1">
      <c r="A287" s="46" t="s">
        <v>229</v>
      </c>
      <c r="B287" s="312" t="str">
        <f>IFERROR(INDEX(Projetos!$B$3:$B$129,MATCH(A287,Projetos!$A$3:$A$129,0))," ")</f>
        <v>Gabinete do Juízo</v>
      </c>
      <c r="C287" s="47"/>
      <c r="D287" s="48">
        <v>1</v>
      </c>
      <c r="E287" s="48">
        <v>0.93300000000000005</v>
      </c>
      <c r="F287" s="49">
        <v>45348</v>
      </c>
      <c r="G287" s="125">
        <v>45323</v>
      </c>
      <c r="H287" s="28" t="str">
        <f t="shared" si="12"/>
        <v>02080/202345323</v>
      </c>
      <c r="I287" s="38">
        <f>IFERROR(INDEX(Projetos!$M$2:$M$129,MATCH(Atualizações!A287,Projetos!$A$2:$A$129,0))," ")</f>
        <v>46379</v>
      </c>
      <c r="J287" s="61"/>
      <c r="K287" s="344">
        <f>IFERROR(Tb_Atualizações[[#This Row],[% EXECUTADO]]/Tb_Atualizações[[#This Row],[% PREVISTO]],"0%")</f>
        <v>0.93300000000000005</v>
      </c>
      <c r="L287" s="31" t="str" cm="1">
        <f t="array" aca="1" ref="L2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87" s="50"/>
      <c r="N287" s="30"/>
      <c r="O287" s="42">
        <f t="shared" si="13"/>
        <v>2024</v>
      </c>
      <c r="P287" s="42" t="str">
        <f t="shared" si="14"/>
        <v>202402080/2023</v>
      </c>
      <c r="Q287" s="42">
        <v>1</v>
      </c>
    </row>
    <row r="288" spans="1:17" ht="30" hidden="1">
      <c r="A288" s="46" t="s">
        <v>479</v>
      </c>
      <c r="B288" s="312" t="str">
        <f>IFERROR(INDEX(Projetos!$B$3:$B$129,MATCH(A288,Projetos!$A$3:$A$129,0))," ")</f>
        <v>Data Lake</v>
      </c>
      <c r="C288" s="47"/>
      <c r="D288" s="48">
        <v>0.749</v>
      </c>
      <c r="E288" s="48">
        <v>0.63</v>
      </c>
      <c r="F288" s="49">
        <v>45351</v>
      </c>
      <c r="G288" s="125">
        <v>45323</v>
      </c>
      <c r="H288" s="28" t="str">
        <f t="shared" si="12"/>
        <v>08547/202145323</v>
      </c>
      <c r="I288" s="38" t="str">
        <f>IFERROR(INDEX(Projetos!$M$2:$M$129,MATCH(Atualizações!A288,Projetos!$A$2:$A$129,0))," ")</f>
        <v>31/12/2024</v>
      </c>
      <c r="J288" s="61"/>
      <c r="K288" s="344">
        <f>IFERROR(Tb_Atualizações[[#This Row],[% EXECUTADO]]/Tb_Atualizações[[#This Row],[% PREVISTO]],"0%")</f>
        <v>0.84112149532710279</v>
      </c>
      <c r="L288" s="31" t="str" cm="1">
        <f t="array" aca="1" ref="L2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288" s="50"/>
      <c r="N288" s="30"/>
      <c r="O288" s="42">
        <f t="shared" si="13"/>
        <v>2024</v>
      </c>
      <c r="P288" s="42" t="str">
        <f t="shared" si="14"/>
        <v>202408547/2021</v>
      </c>
      <c r="Q288" s="42">
        <v>1</v>
      </c>
    </row>
    <row r="289" spans="1:17" ht="15" hidden="1">
      <c r="A289" s="46" t="s">
        <v>464</v>
      </c>
      <c r="B289" s="312" t="str">
        <f>IFERROR(INDEX(Projetos!$B$3:$B$129,MATCH(A289,Projetos!$A$3:$A$129,0))," ")</f>
        <v>Sirenejud 2.0</v>
      </c>
      <c r="C289" s="47"/>
      <c r="D289" s="48">
        <v>0.86</v>
      </c>
      <c r="E289" s="48">
        <v>0.86</v>
      </c>
      <c r="F289" s="49">
        <v>45351</v>
      </c>
      <c r="G289" s="125">
        <v>45323</v>
      </c>
      <c r="H289" s="28" t="str">
        <f t="shared" si="12"/>
        <v>08536/202245323</v>
      </c>
      <c r="I289" s="38">
        <f>IFERROR(INDEX(Projetos!$M$2:$M$129,MATCH(Atualizações!A289,Projetos!$A$2:$A$129,0))," ")</f>
        <v>45433</v>
      </c>
      <c r="J289" s="61"/>
      <c r="K289" s="344">
        <f>IFERROR(Tb_Atualizações[[#This Row],[% EXECUTADO]]/Tb_Atualizações[[#This Row],[% PREVISTO]],"0%")</f>
        <v>1</v>
      </c>
      <c r="L289" s="31" t="str" cm="1">
        <f t="array" aca="1" ref="L2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89" s="50"/>
      <c r="N289" s="30"/>
      <c r="O289" s="42">
        <f t="shared" si="13"/>
        <v>2024</v>
      </c>
      <c r="P289" s="42" t="str">
        <f t="shared" si="14"/>
        <v>202408536/2022</v>
      </c>
      <c r="Q289" s="42">
        <v>1</v>
      </c>
    </row>
    <row r="290" spans="1:17" ht="15" hidden="1">
      <c r="A290" s="46" t="s">
        <v>322</v>
      </c>
      <c r="B290" s="312" t="str">
        <f>IFERROR(INDEX(Projetos!$B$3:$B$129,MATCH(A290,Projetos!$A$3:$A$129,0))," ")</f>
        <v>SNGB - Sistema Nacional de Gestão de Bens</v>
      </c>
      <c r="C290" s="47"/>
      <c r="D290" s="48">
        <v>1</v>
      </c>
      <c r="E290" s="48">
        <v>0.96699999999999997</v>
      </c>
      <c r="F290" s="49">
        <v>45351</v>
      </c>
      <c r="G290" s="125">
        <v>45323</v>
      </c>
      <c r="H290" s="28" t="str">
        <f t="shared" si="12"/>
        <v>02938/202145323</v>
      </c>
      <c r="I290" s="38">
        <f>IFERROR(INDEX(Projetos!$M$2:$M$129,MATCH(Atualizações!A290,Projetos!$A$2:$A$129,0))," ")</f>
        <v>45519</v>
      </c>
      <c r="J290" s="61"/>
      <c r="K290" s="344">
        <f>IFERROR(Tb_Atualizações[[#This Row],[% EXECUTADO]]/Tb_Atualizações[[#This Row],[% PREVISTO]],"0%")</f>
        <v>0.96699999999999997</v>
      </c>
      <c r="L290" s="31" t="str" cm="1">
        <f t="array" aca="1" ref="L2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0" s="50"/>
      <c r="N290" s="30"/>
      <c r="O290" s="42">
        <f t="shared" si="13"/>
        <v>2024</v>
      </c>
      <c r="P290" s="42" t="str">
        <f t="shared" si="14"/>
        <v>202402938/2021</v>
      </c>
      <c r="Q290" s="42">
        <v>1</v>
      </c>
    </row>
    <row r="291" spans="1:17" ht="15" hidden="1">
      <c r="A291" s="46" t="s">
        <v>358</v>
      </c>
      <c r="B291" s="312" t="str">
        <f>IFERROR(INDEX(Projetos!$B$3:$B$129,MATCH(A291,Projetos!$A$3:$A$129,0))," ")</f>
        <v>Prevjud - Automação de Processos Previdenciários - Justiça 4.0</v>
      </c>
      <c r="C291" s="47"/>
      <c r="D291" s="48">
        <v>0.93</v>
      </c>
      <c r="E291" s="48">
        <v>0.92200000000000004</v>
      </c>
      <c r="F291" s="49">
        <v>45355</v>
      </c>
      <c r="G291" s="125">
        <v>45323</v>
      </c>
      <c r="H291" s="28" t="str">
        <f t="shared" si="12"/>
        <v>03558/202145323</v>
      </c>
      <c r="I291" s="38" t="str">
        <f>IFERROR(INDEX(Projetos!$M$2:$M$129,MATCH(Atualizações!A291,Projetos!$A$2:$A$129,0))," ")</f>
        <v>31/03/2026</v>
      </c>
      <c r="J291" s="61"/>
      <c r="K291" s="344">
        <f>IFERROR(Tb_Atualizações[[#This Row],[% EXECUTADO]]/Tb_Atualizações[[#This Row],[% PREVISTO]],"0%")</f>
        <v>0.99139784946236553</v>
      </c>
      <c r="L291" s="31" t="str" cm="1">
        <f t="array" aca="1" ref="L2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1" s="50"/>
      <c r="N291" s="30"/>
      <c r="O291" s="42">
        <f t="shared" si="13"/>
        <v>2024</v>
      </c>
      <c r="P291" s="42" t="str">
        <f t="shared" si="14"/>
        <v>202403558/2021</v>
      </c>
      <c r="Q291" s="42">
        <v>1</v>
      </c>
    </row>
    <row r="292" spans="1:17" ht="15" hidden="1">
      <c r="A292" s="46" t="s">
        <v>471</v>
      </c>
      <c r="B292" s="312" t="str">
        <f>IFERROR(INDEX(Projetos!$B$3:$B$129,MATCH(A292,Projetos!$A$3:$A$129,0))," ")</f>
        <v>Sinapses 5 - Capacitação Cursos EaD IA</v>
      </c>
      <c r="C292" s="47"/>
      <c r="D292" s="48">
        <v>0.872</v>
      </c>
      <c r="E292" s="48">
        <v>0.89200000000000002</v>
      </c>
      <c r="F292" s="49">
        <v>45355</v>
      </c>
      <c r="G292" s="125">
        <v>45323</v>
      </c>
      <c r="H292" s="28" t="str">
        <f t="shared" si="12"/>
        <v>08543/202145323</v>
      </c>
      <c r="I292" s="38">
        <f>IFERROR(INDEX(Projetos!$M$2:$M$129,MATCH(Atualizações!A292,Projetos!$A$2:$A$129,0))," ")</f>
        <v>45716</v>
      </c>
      <c r="J292" s="61"/>
      <c r="K292" s="344">
        <f>IFERROR(Tb_Atualizações[[#This Row],[% EXECUTADO]]/Tb_Atualizações[[#This Row],[% PREVISTO]],"0%")</f>
        <v>1.0229357798165137</v>
      </c>
      <c r="L292" s="31" t="str" cm="1">
        <f t="array" aca="1" ref="L2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2" s="50"/>
      <c r="N292" s="30"/>
      <c r="O292" s="42">
        <f t="shared" si="13"/>
        <v>2024</v>
      </c>
      <c r="P292" s="42" t="str">
        <f t="shared" si="14"/>
        <v>202408543/2021</v>
      </c>
      <c r="Q292" s="42">
        <v>1</v>
      </c>
    </row>
    <row r="293" spans="1:17" ht="15" hidden="1">
      <c r="A293" s="46" t="s">
        <v>331</v>
      </c>
      <c r="B293" s="312" t="str">
        <f>IFERROR(INDEX(Projetos!$B$3:$B$129,MATCH(A293,Projetos!$A$3:$A$129,0))," ")</f>
        <v>SNIPER - Justiça 4.0</v>
      </c>
      <c r="C293" s="47"/>
      <c r="D293" s="48">
        <v>1</v>
      </c>
      <c r="E293" s="48">
        <v>0.999</v>
      </c>
      <c r="F293" s="49">
        <v>45355</v>
      </c>
      <c r="G293" s="125">
        <v>45323</v>
      </c>
      <c r="H293" s="28" t="str">
        <f t="shared" si="12"/>
        <v>02941/202145323</v>
      </c>
      <c r="I293" s="38">
        <f>IFERROR(INDEX(Projetos!$M$2:$M$129,MATCH(Atualizações!A293,Projetos!$A$2:$A$129,0))," ")</f>
        <v>45442</v>
      </c>
      <c r="J293" s="61"/>
      <c r="K293" s="344">
        <f>IFERROR(Tb_Atualizações[[#This Row],[% EXECUTADO]]/Tb_Atualizações[[#This Row],[% PREVISTO]],"0%")</f>
        <v>0.999</v>
      </c>
      <c r="L293" s="31" t="str" cm="1">
        <f t="array" aca="1" ref="L2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3" s="50"/>
      <c r="N293" s="30"/>
      <c r="O293" s="42">
        <f t="shared" si="13"/>
        <v>2024</v>
      </c>
      <c r="P293" s="42" t="str">
        <f t="shared" si="14"/>
        <v>202402941/2021</v>
      </c>
      <c r="Q293" s="42">
        <v>1</v>
      </c>
    </row>
    <row r="294" spans="1:17" ht="15" hidden="1">
      <c r="A294" s="46" t="s">
        <v>609</v>
      </c>
      <c r="B294" s="312" t="str">
        <f>IFERROR(INDEX(Projetos!$B$3:$B$129,MATCH(A294,Projetos!$A$3:$A$129,0))," ")</f>
        <v>SPVATJUD</v>
      </c>
      <c r="C294" s="47"/>
      <c r="D294" s="48">
        <v>0.87</v>
      </c>
      <c r="E294" s="48">
        <v>0.873</v>
      </c>
      <c r="F294" s="49">
        <v>45355</v>
      </c>
      <c r="G294" s="125">
        <v>45323</v>
      </c>
      <c r="H294" s="28" t="str">
        <f t="shared" si="12"/>
        <v>11270/202245323</v>
      </c>
      <c r="I294" s="38">
        <f>IFERROR(INDEX(Projetos!$M$2:$M$129,MATCH(Atualizações!A294,Projetos!$A$2:$A$129,0))," ")</f>
        <v>45716</v>
      </c>
      <c r="J294" s="61"/>
      <c r="K294" s="344">
        <f>IFERROR(Tb_Atualizações[[#This Row],[% EXECUTADO]]/Tb_Atualizações[[#This Row],[% PREVISTO]],"0%")</f>
        <v>1.0034482758620689</v>
      </c>
      <c r="L294" s="31" t="str" cm="1">
        <f t="array" aca="1" ref="L2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4" s="50"/>
      <c r="N294" s="30"/>
      <c r="O294" s="42">
        <f t="shared" si="13"/>
        <v>2024</v>
      </c>
      <c r="P294" s="42" t="str">
        <f t="shared" si="14"/>
        <v>202411270/2022</v>
      </c>
      <c r="Q294" s="42">
        <v>1</v>
      </c>
    </row>
    <row r="295" spans="1:17" ht="30" hidden="1">
      <c r="A295" s="46" t="s">
        <v>425</v>
      </c>
      <c r="B295" s="312" t="str">
        <f>IFERROR(INDEX(Projetos!$B$3:$B$129,MATCH(A295,Projetos!$A$3:$A$129,0))," ")</f>
        <v>Diagnóstico sobre a otimização dos processos de trabalho no Poder Judiciário em face da implementação das Políticas Tecnológicas do Programa Justiça 4.0.</v>
      </c>
      <c r="C295" s="47"/>
      <c r="D295" s="48">
        <v>0.72199999999999998</v>
      </c>
      <c r="E295" s="48">
        <v>0.69499999999999995</v>
      </c>
      <c r="F295" s="49">
        <v>45357</v>
      </c>
      <c r="G295" s="125">
        <v>45323</v>
      </c>
      <c r="H295" s="28" t="str">
        <f t="shared" si="12"/>
        <v>06767/202245323</v>
      </c>
      <c r="I295" s="38">
        <f>IFERROR(INDEX(Projetos!$M$2:$M$129,MATCH(Atualizações!A295,Projetos!$A$2:$A$129,0))," ")</f>
        <v>45605</v>
      </c>
      <c r="J295" s="61"/>
      <c r="K295" s="344">
        <f>IFERROR(Tb_Atualizações[[#This Row],[% EXECUTADO]]/Tb_Atualizações[[#This Row],[% PREVISTO]],"0%")</f>
        <v>0.9626038781163434</v>
      </c>
      <c r="L295" s="31" t="str" cm="1">
        <f t="array" aca="1" ref="L2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5" s="50"/>
      <c r="N295" s="30"/>
      <c r="O295" s="42">
        <f t="shared" si="13"/>
        <v>2024</v>
      </c>
      <c r="P295" s="42" t="str">
        <f t="shared" si="14"/>
        <v>202406767/2022</v>
      </c>
      <c r="Q295" s="42">
        <v>1</v>
      </c>
    </row>
    <row r="296" spans="1:17" ht="15" hidden="1">
      <c r="A296" s="2" t="s">
        <v>350</v>
      </c>
      <c r="B296" s="312" t="str">
        <f>IFERROR(INDEX(Projetos!$B$3:$B$129,MATCH(A296,Projetos!$A$3:$A$129,0))," ")</f>
        <v>Painel de Estatística   - Justiça 4.0</v>
      </c>
      <c r="C296" s="47"/>
      <c r="D296" s="48">
        <v>0.95799999999999996</v>
      </c>
      <c r="E296" s="48">
        <v>0.90500000000000003</v>
      </c>
      <c r="F296" s="49">
        <v>45357</v>
      </c>
      <c r="G296" s="125">
        <v>45323</v>
      </c>
      <c r="H296" s="28" t="str">
        <f t="shared" si="12"/>
        <v>03545/202145323</v>
      </c>
      <c r="I296" s="38">
        <f>IFERROR(INDEX(Projetos!$M$2:$M$129,MATCH(Atualizações!A296,Projetos!$A$2:$A$129,0))," ")</f>
        <v>46387</v>
      </c>
      <c r="J296" s="61"/>
      <c r="K296" s="344">
        <f>IFERROR(Tb_Atualizações[[#This Row],[% EXECUTADO]]/Tb_Atualizações[[#This Row],[% PREVISTO]],"0%")</f>
        <v>0.94467640918580387</v>
      </c>
      <c r="L296" s="31" t="str" cm="1">
        <f t="array" aca="1" ref="L2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296" s="50"/>
      <c r="N296" s="30"/>
      <c r="O296" s="42">
        <f t="shared" si="13"/>
        <v>2024</v>
      </c>
      <c r="P296" s="42" t="str">
        <f t="shared" si="14"/>
        <v>202403545/2021</v>
      </c>
      <c r="Q296" s="42">
        <v>1</v>
      </c>
    </row>
    <row r="297" spans="1:17" ht="15" hidden="1">
      <c r="A297" s="46" t="s">
        <v>436</v>
      </c>
      <c r="B297" s="312" t="str">
        <f>IFERROR(INDEX(Projetos!$B$3:$B$129,MATCH(A297,Projetos!$A$3:$A$129,0))," ")</f>
        <v>Sensibilização e Formação em Integridade e Compliance no Poder Judiciário</v>
      </c>
      <c r="C297" s="47"/>
      <c r="D297" s="48">
        <v>0.48499999999999999</v>
      </c>
      <c r="E297" s="48">
        <v>0.95199999999999996</v>
      </c>
      <c r="F297" s="49">
        <v>45357</v>
      </c>
      <c r="G297" s="125">
        <v>45323</v>
      </c>
      <c r="H297" s="28" t="str">
        <f t="shared" si="12"/>
        <v>07855/202245323</v>
      </c>
      <c r="I297" s="38">
        <f>IFERROR(INDEX(Projetos!$M$2:$M$129,MATCH(Atualizações!A297,Projetos!$A$2:$A$129,0))," ")</f>
        <v>45412</v>
      </c>
      <c r="J297" s="61"/>
      <c r="K297" s="344">
        <f>IFERROR(Tb_Atualizações[[#This Row],[% EXECUTADO]]/Tb_Atualizações[[#This Row],[% PREVISTO]],"0%")</f>
        <v>1.9628865979381442</v>
      </c>
      <c r="L297" s="31" t="str" cm="1">
        <f t="array" aca="1" ref="L2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7" s="50"/>
      <c r="N297" s="30"/>
      <c r="O297" s="42">
        <f t="shared" si="13"/>
        <v>2024</v>
      </c>
      <c r="P297" s="42" t="str">
        <f t="shared" si="14"/>
        <v>202407855/2022</v>
      </c>
      <c r="Q297" s="42">
        <v>1</v>
      </c>
    </row>
    <row r="298" spans="1:17" ht="30" hidden="1">
      <c r="A298" s="46" t="s">
        <v>369</v>
      </c>
      <c r="B298" s="312" t="str">
        <f>IFERROR(INDEX(Projetos!$B$3:$B$129,MATCH(A298,Projetos!$A$3:$A$129,0))," ")</f>
        <v>Aperfeiçoamento funcional em temáticas prioritárias para o CNJ e para Justiça Federal (cursos, capacitações, metodologias e ferramentas)</v>
      </c>
      <c r="C298" s="47"/>
      <c r="D298" s="48">
        <v>1</v>
      </c>
      <c r="E298" s="48">
        <v>1</v>
      </c>
      <c r="F298" s="49">
        <v>45358</v>
      </c>
      <c r="G298" s="125">
        <v>45323</v>
      </c>
      <c r="H298" s="28" t="str">
        <f t="shared" si="12"/>
        <v>03559/202145323</v>
      </c>
      <c r="I298" s="38">
        <f>IFERROR(INDEX(Projetos!$M$2:$M$129,MATCH(Atualizações!A298,Projetos!$A$2:$A$129,0))," ")</f>
        <v>45351</v>
      </c>
      <c r="J298" s="61"/>
      <c r="K298" s="344">
        <f>IFERROR(Tb_Atualizações[[#This Row],[% EXECUTADO]]/Tb_Atualizações[[#This Row],[% PREVISTO]],"0%")</f>
        <v>1</v>
      </c>
      <c r="L298" s="31" t="str" cm="1">
        <f t="array" aca="1" ref="L2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298" s="50"/>
      <c r="N298" s="30"/>
      <c r="O298" s="42">
        <f t="shared" si="13"/>
        <v>2024</v>
      </c>
      <c r="P298" s="42" t="str">
        <f t="shared" si="14"/>
        <v>202403559/2021</v>
      </c>
      <c r="Q298" s="42">
        <v>1</v>
      </c>
    </row>
    <row r="299" spans="1:17" ht="15" hidden="1">
      <c r="A299" s="46" t="s">
        <v>209</v>
      </c>
      <c r="B299" s="312" t="str">
        <f>IFERROR(INDEX(Projetos!$B$3:$B$129,MATCH(A299,Projetos!$A$3:$A$129,0))," ")</f>
        <v>Capacitação técnica para desenvolvedores nas tecnologias da PDPJ - BR</v>
      </c>
      <c r="C299" s="47"/>
      <c r="D299" s="48">
        <v>0.375</v>
      </c>
      <c r="E299" s="48">
        <v>0.375</v>
      </c>
      <c r="F299" s="49">
        <v>45358</v>
      </c>
      <c r="G299" s="125">
        <v>45323</v>
      </c>
      <c r="H299" s="28" t="str">
        <f t="shared" si="12"/>
        <v>01945/202245323</v>
      </c>
      <c r="I299" s="38">
        <f>IFERROR(INDEX(Projetos!$M$2:$M$129,MATCH(Atualizações!A299,Projetos!$A$2:$A$129,0))," ")</f>
        <v>45866</v>
      </c>
      <c r="J299" s="61"/>
      <c r="K299" s="344">
        <f>IFERROR(Tb_Atualizações[[#This Row],[% EXECUTADO]]/Tb_Atualizações[[#This Row],[% PREVISTO]],"0%")</f>
        <v>1</v>
      </c>
      <c r="L299" s="31" t="str" cm="1">
        <f t="array" aca="1" ref="L2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299" s="50"/>
      <c r="N299" s="30"/>
      <c r="O299" s="42">
        <f t="shared" si="13"/>
        <v>2024</v>
      </c>
      <c r="P299" s="42" t="str">
        <f t="shared" si="14"/>
        <v>202401945/2022</v>
      </c>
      <c r="Q299" s="42">
        <v>1</v>
      </c>
    </row>
    <row r="300" spans="1:17" ht="30" hidden="1">
      <c r="A300" s="46" t="s">
        <v>160</v>
      </c>
      <c r="B300" s="312" t="str">
        <f>IFERROR(INDEX(Projetos!$B$3:$B$129,MATCH(A300,Projetos!$A$3:$A$129,0))," ")</f>
        <v>Domicílio Judicial Eletrônico</v>
      </c>
      <c r="C300" s="47"/>
      <c r="D300" s="48">
        <v>0.97</v>
      </c>
      <c r="E300" s="48">
        <v>0.9</v>
      </c>
      <c r="F300" s="49">
        <v>45358</v>
      </c>
      <c r="G300" s="125">
        <v>45323</v>
      </c>
      <c r="H300" s="28" t="str">
        <f t="shared" si="12"/>
        <v>01487/202245323</v>
      </c>
      <c r="I300" s="38">
        <f>IFERROR(INDEX(Projetos!$M$2:$M$129,MATCH(Atualizações!A300,Projetos!$A$2:$A$129,0))," ")</f>
        <v>45566</v>
      </c>
      <c r="J300" s="61" t="s">
        <v>1298</v>
      </c>
      <c r="K300" s="344">
        <f>IFERROR(Tb_Atualizações[[#This Row],[% EXECUTADO]]/Tb_Atualizações[[#This Row],[% PREVISTO]],"0%")</f>
        <v>0.92783505154639179</v>
      </c>
      <c r="L300" s="31" t="str" cm="1">
        <f t="array" aca="1" ref="L3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00" s="50"/>
      <c r="N300" s="30"/>
      <c r="O300" s="42">
        <f t="shared" si="13"/>
        <v>2024</v>
      </c>
      <c r="P300" s="42" t="str">
        <f t="shared" si="14"/>
        <v>202401487/2022</v>
      </c>
      <c r="Q300" s="42">
        <v>1</v>
      </c>
    </row>
    <row r="301" spans="1:17" ht="30" hidden="1">
      <c r="A301" s="46" t="s">
        <v>341</v>
      </c>
      <c r="B301" s="312" t="str">
        <f>IFERROR(INDEX(Projetos!$B$3:$B$129,MATCH(A301,Projetos!$A$3:$A$129,0))," ")</f>
        <v>PMO Jud -Redesenho dos processos do Escritório de Projetos do CNJ</v>
      </c>
      <c r="C301" s="47"/>
      <c r="D301" s="48">
        <v>0.98</v>
      </c>
      <c r="E301" s="48">
        <v>0.99</v>
      </c>
      <c r="F301" s="49">
        <v>45358</v>
      </c>
      <c r="G301" s="125">
        <v>45323</v>
      </c>
      <c r="H301" s="28" t="str">
        <f t="shared" si="12"/>
        <v>03096/202145323</v>
      </c>
      <c r="I301" s="38">
        <f>IFERROR(INDEX(Projetos!$M$2:$M$129,MATCH(Atualizações!A301,Projetos!$A$2:$A$129,0))," ")</f>
        <v>45291</v>
      </c>
      <c r="J301" s="61"/>
      <c r="K301" s="344">
        <f>IFERROR(Tb_Atualizações[[#This Row],[% EXECUTADO]]/Tb_Atualizações[[#This Row],[% PREVISTO]],"0%")</f>
        <v>1.010204081632653</v>
      </c>
      <c r="L301" s="31" t="str" cm="1">
        <f t="array" aca="1" ref="L3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01" s="50"/>
      <c r="N301" s="30"/>
      <c r="O301" s="42">
        <f t="shared" si="13"/>
        <v>2024</v>
      </c>
      <c r="P301" s="42" t="str">
        <f t="shared" si="14"/>
        <v>202403096/2021</v>
      </c>
      <c r="Q301" s="42">
        <v>1</v>
      </c>
    </row>
    <row r="302" spans="1:17" ht="15" hidden="1">
      <c r="A302" s="46" t="s">
        <v>570</v>
      </c>
      <c r="B302" s="312" t="str">
        <f>IFERROR(INDEX(Projetos!$B$3:$B$129,MATCH(A302,Projetos!$A$3:$A$129,0))," ")</f>
        <v>Repositório Anticorrupção e Tecnologia do Poder Judiciário</v>
      </c>
      <c r="C302" s="47"/>
      <c r="D302" s="48">
        <v>0.89800000000000002</v>
      </c>
      <c r="E302" s="48">
        <v>0.88500000000000001</v>
      </c>
      <c r="F302" s="49">
        <v>45358</v>
      </c>
      <c r="G302" s="125">
        <v>45323</v>
      </c>
      <c r="H302" s="28" t="str">
        <f t="shared" si="12"/>
        <v>10157/202245323</v>
      </c>
      <c r="I302" s="38">
        <f>IFERROR(INDEX(Projetos!$M$2:$M$129,MATCH(Atualizações!A302,Projetos!$A$2:$A$129,0))," ")</f>
        <v>45565</v>
      </c>
      <c r="J302" s="61"/>
      <c r="K302" s="344">
        <f>IFERROR(Tb_Atualizações[[#This Row],[% EXECUTADO]]/Tb_Atualizações[[#This Row],[% PREVISTO]],"0%")</f>
        <v>0.98552338530066819</v>
      </c>
      <c r="L302" s="31" t="str" cm="1">
        <f t="array" aca="1" ref="L3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02" s="50"/>
      <c r="N302" s="30"/>
      <c r="O302" s="42">
        <f t="shared" si="13"/>
        <v>2024</v>
      </c>
      <c r="P302" s="42" t="str">
        <f t="shared" si="14"/>
        <v>202410157/2022</v>
      </c>
      <c r="Q302" s="42">
        <v>1</v>
      </c>
    </row>
    <row r="303" spans="1:17" ht="30" hidden="1">
      <c r="A303" s="46" t="s">
        <v>502</v>
      </c>
      <c r="B303" s="312" t="str">
        <f>IFERROR(INDEX(Projetos!$B$3:$B$129,MATCH(A303,Projetos!$A$3:$A$129,0))," ")</f>
        <v>Plano Nacional de Inovação no Poder Judiciário</v>
      </c>
      <c r="C303" s="47"/>
      <c r="D303" s="48">
        <v>0.76</v>
      </c>
      <c r="E303" s="48">
        <v>0.98799999999999999</v>
      </c>
      <c r="F303" s="49">
        <v>45359</v>
      </c>
      <c r="G303" s="125">
        <v>45323</v>
      </c>
      <c r="H303" s="28" t="str">
        <f t="shared" si="12"/>
        <v>09081/202245323</v>
      </c>
      <c r="I303" s="38">
        <f>IFERROR(INDEX(Projetos!$M$2:$M$129,MATCH(Atualizações!A303,Projetos!$A$2:$A$129,0))," ")</f>
        <v>45321</v>
      </c>
      <c r="J303" s="61"/>
      <c r="K303" s="344">
        <f>IFERROR(Tb_Atualizações[[#This Row],[% EXECUTADO]]/Tb_Atualizações[[#This Row],[% PREVISTO]],"0%")</f>
        <v>1.3</v>
      </c>
      <c r="L303" s="31" t="str" cm="1">
        <f t="array" aca="1" ref="L3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03" s="50"/>
      <c r="N303" s="30"/>
      <c r="O303" s="42">
        <f t="shared" si="13"/>
        <v>2024</v>
      </c>
      <c r="P303" s="42" t="str">
        <f t="shared" si="14"/>
        <v>202409081/2022</v>
      </c>
      <c r="Q303" s="42">
        <v>1</v>
      </c>
    </row>
    <row r="304" spans="1:17" ht="30" hidden="1">
      <c r="A304" s="46" t="s">
        <v>425</v>
      </c>
      <c r="B304" s="312" t="str">
        <f>IFERROR(INDEX(Projetos!$B$3:$B$129,MATCH(A304,Projetos!$A$3:$A$129,0))," ")</f>
        <v>Diagnóstico sobre a otimização dos processos de trabalho no Poder Judiciário em face da implementação das Políticas Tecnológicas do Programa Justiça 4.0.</v>
      </c>
      <c r="C304" s="47"/>
      <c r="D304" s="48">
        <v>0.72699999999999998</v>
      </c>
      <c r="E304" s="48">
        <v>0.69799999999999995</v>
      </c>
      <c r="F304" s="49">
        <v>45371</v>
      </c>
      <c r="G304" s="125">
        <v>45352</v>
      </c>
      <c r="H304" s="28" t="str">
        <f t="shared" si="12"/>
        <v>06767/202245352</v>
      </c>
      <c r="I304" s="38">
        <f>IFERROR(INDEX(Projetos!$M$2:$M$129,MATCH(Atualizações!A304,Projetos!$A$2:$A$129,0))," ")</f>
        <v>45605</v>
      </c>
      <c r="J304" s="61"/>
      <c r="K304" s="344">
        <f>IFERROR(Tb_Atualizações[[#This Row],[% EXECUTADO]]/Tb_Atualizações[[#This Row],[% PREVISTO]],"0%")</f>
        <v>0.9601100412654745</v>
      </c>
      <c r="L304" s="31" t="str" cm="1">
        <f t="array" aca="1" ref="L3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04" s="50"/>
      <c r="N304" s="30"/>
      <c r="O304" s="42">
        <f t="shared" si="13"/>
        <v>2024</v>
      </c>
      <c r="P304" s="42" t="str">
        <f t="shared" si="14"/>
        <v>202406767/2022</v>
      </c>
      <c r="Q304" s="42">
        <v>1</v>
      </c>
    </row>
    <row r="305" spans="1:18" ht="30" hidden="1">
      <c r="A305" s="46" t="s">
        <v>425</v>
      </c>
      <c r="B305" s="312" t="str">
        <f>IFERROR(INDEX(Projetos!$B$3:$B$129,MATCH(A305,Projetos!$A$3:$A$129,0))," ")</f>
        <v>Diagnóstico sobre a otimização dos processos de trabalho no Poder Judiciário em face da implementação das Políticas Tecnológicas do Programa Justiça 4.0.</v>
      </c>
      <c r="C305" s="47"/>
      <c r="D305" s="48">
        <v>0.72699999999999998</v>
      </c>
      <c r="E305" s="48">
        <v>0.69799999999999995</v>
      </c>
      <c r="F305" s="49">
        <v>45371</v>
      </c>
      <c r="G305" s="125">
        <v>45352</v>
      </c>
      <c r="H305" s="28" t="str">
        <f t="shared" si="12"/>
        <v>06767/202245352</v>
      </c>
      <c r="I305" s="38">
        <f>IFERROR(INDEX(Projetos!$M$2:$M$129,MATCH(Atualizações!A305,Projetos!$A$2:$A$129,0))," ")</f>
        <v>45605</v>
      </c>
      <c r="J305" s="61"/>
      <c r="K305" s="344">
        <f>IFERROR(Tb_Atualizações[[#This Row],[% EXECUTADO]]/Tb_Atualizações[[#This Row],[% PREVISTO]],"0%")</f>
        <v>0.9601100412654745</v>
      </c>
      <c r="L305" s="31" t="str" cm="1">
        <f t="array" aca="1" ref="L3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05" s="50"/>
      <c r="N305" s="30"/>
      <c r="O305" s="42">
        <f t="shared" si="13"/>
        <v>2024</v>
      </c>
      <c r="P305" s="42" t="str">
        <f t="shared" si="14"/>
        <v>202406767/2022</v>
      </c>
      <c r="Q305" s="42">
        <v>1</v>
      </c>
    </row>
    <row r="306" spans="1:18" ht="15" hidden="1">
      <c r="A306" s="46" t="s">
        <v>502</v>
      </c>
      <c r="B306" s="312" t="str">
        <f>IFERROR(INDEX(Projetos!$B$3:$B$129,MATCH(A306,Projetos!$A$3:$A$129,0))," ")</f>
        <v>Plano Nacional de Inovação no Poder Judiciário</v>
      </c>
      <c r="C306" s="47"/>
      <c r="D306" s="48">
        <v>1</v>
      </c>
      <c r="E306" s="48">
        <v>1</v>
      </c>
      <c r="F306" s="49">
        <v>45376</v>
      </c>
      <c r="G306" s="125">
        <v>45352</v>
      </c>
      <c r="H306" s="28" t="str">
        <f t="shared" si="12"/>
        <v>09081/202245352</v>
      </c>
      <c r="I306" s="38">
        <f>IFERROR(INDEX(Projetos!$M$2:$M$129,MATCH(Atualizações!A306,Projetos!$A$2:$A$129,0))," ")</f>
        <v>45321</v>
      </c>
      <c r="J306" s="61"/>
      <c r="K306" s="344">
        <f>IFERROR(Tb_Atualizações[[#This Row],[% EXECUTADO]]/Tb_Atualizações[[#This Row],[% PREVISTO]],"0%")</f>
        <v>1</v>
      </c>
      <c r="L306" s="31" t="str" cm="1">
        <f t="array" aca="1" ref="L3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06" s="50"/>
      <c r="N306" s="30"/>
      <c r="O306" s="42">
        <f t="shared" si="13"/>
        <v>2024</v>
      </c>
      <c r="P306" s="42" t="str">
        <f t="shared" si="14"/>
        <v>202409081/2022</v>
      </c>
      <c r="Q306" s="42">
        <v>1</v>
      </c>
    </row>
    <row r="307" spans="1:18" ht="15" hidden="1">
      <c r="A307" s="46" t="s">
        <v>451</v>
      </c>
      <c r="B307" s="312" t="str">
        <f>IFERROR(INDEX(Projetos!$B$3:$B$129,MATCH(A307,Projetos!$A$3:$A$129,0))," ")</f>
        <v>Conciliação e Mediação na prática</v>
      </c>
      <c r="C307" s="50"/>
      <c r="D307" s="34">
        <v>5.5500000000000001E-2</v>
      </c>
      <c r="E307" s="34">
        <v>1.0999999999999999E-2</v>
      </c>
      <c r="F307" s="49">
        <v>45383</v>
      </c>
      <c r="G307" s="125">
        <v>45017</v>
      </c>
      <c r="H307" s="46" t="str">
        <f t="shared" si="12"/>
        <v>08287/202245017</v>
      </c>
      <c r="I307" s="38">
        <f>IFERROR(INDEX(Projetos!$M$2:$M$129,MATCH(Atualizações!A307,Projetos!$A$2:$A$129,0))," ")</f>
        <v>45199</v>
      </c>
      <c r="J307" s="61" t="s">
        <v>1291</v>
      </c>
      <c r="K307" s="344">
        <f>IFERROR(Tb_Atualizações[[#This Row],[% EXECUTADO]]/Tb_Atualizações[[#This Row],[% PREVISTO]],"0%")</f>
        <v>0.19819819819819817</v>
      </c>
      <c r="L307" s="31" t="s">
        <v>49</v>
      </c>
      <c r="M307" s="50"/>
      <c r="N307" s="30"/>
      <c r="O307" s="42">
        <f t="shared" si="13"/>
        <v>2024</v>
      </c>
      <c r="P307" s="42" t="str">
        <f t="shared" si="14"/>
        <v>202408287/2022</v>
      </c>
      <c r="Q307" s="42">
        <v>1</v>
      </c>
    </row>
    <row r="308" spans="1:18" ht="15" hidden="1">
      <c r="A308" s="46" t="s">
        <v>464</v>
      </c>
      <c r="B308" s="312" t="str">
        <f>IFERROR(INDEX(Projetos!$B$3:$B$129,MATCH(A308,Projetos!$A$3:$A$129,0))," ")</f>
        <v>Sirenejud 2.0</v>
      </c>
      <c r="C308" s="47"/>
      <c r="D308" s="48">
        <v>0.88</v>
      </c>
      <c r="E308" s="48">
        <v>0.88</v>
      </c>
      <c r="F308" s="49">
        <v>45384</v>
      </c>
      <c r="G308" s="125">
        <v>45352</v>
      </c>
      <c r="H308" s="28" t="str">
        <f t="shared" si="12"/>
        <v>08536/202245352</v>
      </c>
      <c r="I308" s="38">
        <f>IFERROR(INDEX(Projetos!$M$2:$M$129,MATCH(Atualizações!A308,Projetos!$A$2:$A$129,0))," ")</f>
        <v>45433</v>
      </c>
      <c r="J308" s="61"/>
      <c r="K308" s="344">
        <f>IFERROR(Tb_Atualizações[[#This Row],[% EXECUTADO]]/Tb_Atualizações[[#This Row],[% PREVISTO]],"0%")</f>
        <v>1</v>
      </c>
      <c r="L308" s="31" t="str" cm="1">
        <f t="array" aca="1" ref="L3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08" s="50"/>
      <c r="N308" s="30"/>
      <c r="O308" s="42">
        <f t="shared" si="13"/>
        <v>2024</v>
      </c>
      <c r="P308" s="42" t="str">
        <f t="shared" si="14"/>
        <v>202408536/2022</v>
      </c>
      <c r="Q308" s="42">
        <v>1</v>
      </c>
    </row>
    <row r="309" spans="1:18" ht="15" hidden="1">
      <c r="A309" s="46" t="s">
        <v>209</v>
      </c>
      <c r="B309" s="312" t="str">
        <f>IFERROR(INDEX(Projetos!$B$3:$B$129,MATCH(A309,Projetos!$A$3:$A$129,0))," ")</f>
        <v>Capacitação técnica para desenvolvedores nas tecnologias da PDPJ - BR</v>
      </c>
      <c r="C309" s="47"/>
      <c r="D309" s="48">
        <v>0.41099999999999998</v>
      </c>
      <c r="E309" s="48">
        <v>0.38500000000000001</v>
      </c>
      <c r="F309" s="49">
        <v>45385</v>
      </c>
      <c r="G309" s="125">
        <v>45352</v>
      </c>
      <c r="H309" s="28" t="str">
        <f t="shared" si="12"/>
        <v>01945/202245352</v>
      </c>
      <c r="I309" s="38">
        <f>IFERROR(INDEX(Projetos!$M$2:$M$129,MATCH(Atualizações!A309,Projetos!$A$2:$A$129,0))," ")</f>
        <v>45866</v>
      </c>
      <c r="J309" s="61"/>
      <c r="K309" s="344">
        <f>IFERROR(Tb_Atualizações[[#This Row],[% EXECUTADO]]/Tb_Atualizações[[#This Row],[% PREVISTO]],"0%")</f>
        <v>0.93673965936739667</v>
      </c>
      <c r="L309" s="31" t="str" cm="1">
        <f t="array" aca="1" ref="L3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09" s="50"/>
      <c r="N309" s="30"/>
      <c r="O309" s="42">
        <f t="shared" si="13"/>
        <v>2024</v>
      </c>
      <c r="P309" s="42" t="str">
        <f t="shared" si="14"/>
        <v>202401945/2022</v>
      </c>
      <c r="Q309" s="42">
        <v>1</v>
      </c>
    </row>
    <row r="310" spans="1:18" ht="15" hidden="1">
      <c r="A310" s="46" t="s">
        <v>160</v>
      </c>
      <c r="B310" s="312" t="str">
        <f>IFERROR(INDEX(Projetos!$B$3:$B$129,MATCH(A310,Projetos!$A$3:$A$129,0))," ")</f>
        <v>Domicílio Judicial Eletrônico</v>
      </c>
      <c r="C310" s="47"/>
      <c r="D310" s="48">
        <v>0.97399999999999998</v>
      </c>
      <c r="E310" s="48">
        <v>0.92</v>
      </c>
      <c r="F310" s="49">
        <v>45385</v>
      </c>
      <c r="G310" s="125">
        <v>45352</v>
      </c>
      <c r="H310" s="28" t="str">
        <f t="shared" si="12"/>
        <v>01487/202245352</v>
      </c>
      <c r="I310" s="38">
        <f>IFERROR(INDEX(Projetos!$M$2:$M$129,MATCH(Atualizações!A310,Projetos!$A$2:$A$129,0))," ")</f>
        <v>45566</v>
      </c>
      <c r="J310" s="61"/>
      <c r="K310" s="344">
        <f>IFERROR(Tb_Atualizações[[#This Row],[% EXECUTADO]]/Tb_Atualizações[[#This Row],[% PREVISTO]],"0%")</f>
        <v>0.94455852156057496</v>
      </c>
      <c r="L310" s="31" t="str" cm="1">
        <f t="array" aca="1" ref="L3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10" s="50"/>
      <c r="N310" s="30"/>
      <c r="O310" s="42">
        <f t="shared" si="13"/>
        <v>2024</v>
      </c>
      <c r="P310" s="42" t="str">
        <f t="shared" si="14"/>
        <v>202401487/2022</v>
      </c>
      <c r="Q310" s="42">
        <v>1</v>
      </c>
    </row>
    <row r="311" spans="1:18" ht="15" hidden="1">
      <c r="A311" s="46" t="s">
        <v>471</v>
      </c>
      <c r="B311" s="312" t="str">
        <f>IFERROR(INDEX(Projetos!$B$3:$B$129,MATCH(A311,Projetos!$A$3:$A$129,0))," ")</f>
        <v>Sinapses 5 - Capacitação Cursos EaD IA</v>
      </c>
      <c r="C311" s="47"/>
      <c r="D311" s="48">
        <v>0.89900000000000002</v>
      </c>
      <c r="E311" s="48">
        <v>0.90200000000000002</v>
      </c>
      <c r="F311" s="49">
        <v>45385</v>
      </c>
      <c r="G311" s="125">
        <v>45352</v>
      </c>
      <c r="H311" s="28" t="str">
        <f t="shared" si="12"/>
        <v>08543/202145352</v>
      </c>
      <c r="I311" s="38">
        <f>IFERROR(INDEX(Projetos!$M$2:$M$129,MATCH(Atualizações!A311,Projetos!$A$2:$A$129,0))," ")</f>
        <v>45716</v>
      </c>
      <c r="J311" s="61"/>
      <c r="K311" s="344">
        <f>IFERROR(Tb_Atualizações[[#This Row],[% EXECUTADO]]/Tb_Atualizações[[#This Row],[% PREVISTO]],"0%")</f>
        <v>1.003337041156841</v>
      </c>
      <c r="L311" s="31" t="str" cm="1">
        <f t="array" aca="1" ref="L3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11" s="50"/>
      <c r="N311" s="30"/>
      <c r="O311" s="42">
        <f t="shared" si="13"/>
        <v>2024</v>
      </c>
      <c r="P311" s="42" t="str">
        <f t="shared" si="14"/>
        <v>202408543/2021</v>
      </c>
      <c r="Q311" s="42">
        <v>1</v>
      </c>
      <c r="R311" s="121"/>
    </row>
    <row r="312" spans="1:18" ht="15" hidden="1">
      <c r="A312" s="46" t="s">
        <v>298</v>
      </c>
      <c r="B312" s="312" t="str">
        <f>IFERROR(INDEX(Projetos!$B$3:$B$129,MATCH(A312,Projetos!$A$3:$A$129,0))," ")</f>
        <v>Propagar - Inclusão, Acessibilidade, Justiça e Cidadania</v>
      </c>
      <c r="C312" s="47"/>
      <c r="D312" s="48">
        <v>0.9375</v>
      </c>
      <c r="E312" s="48">
        <v>0.9375</v>
      </c>
      <c r="F312" s="49">
        <v>45390</v>
      </c>
      <c r="G312" s="125">
        <v>45352</v>
      </c>
      <c r="H312" s="28" t="str">
        <f t="shared" si="12"/>
        <v>02660/202345352</v>
      </c>
      <c r="I312" s="38">
        <f>IFERROR(INDEX(Projetos!$M$2:$M$129,MATCH(Atualizações!A312,Projetos!$A$2:$A$129,0))," ")</f>
        <v>45485</v>
      </c>
      <c r="J312" s="61"/>
      <c r="K312" s="344">
        <f>IFERROR(Tb_Atualizações[[#This Row],[% EXECUTADO]]/Tb_Atualizações[[#This Row],[% PREVISTO]],"0%")</f>
        <v>1</v>
      </c>
      <c r="L312" s="31" t="str" cm="1">
        <f t="array" aca="1" ref="L3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12" s="50"/>
      <c r="N312" s="30"/>
      <c r="O312" s="42">
        <f t="shared" si="13"/>
        <v>2024</v>
      </c>
      <c r="P312" s="42" t="str">
        <f t="shared" si="14"/>
        <v>202402660/2023</v>
      </c>
      <c r="Q312" s="42">
        <v>1</v>
      </c>
    </row>
    <row r="313" spans="1:18" ht="15" hidden="1">
      <c r="A313" s="46" t="s">
        <v>479</v>
      </c>
      <c r="B313" s="312" t="str">
        <f>IFERROR(INDEX(Projetos!$B$3:$B$129,MATCH(A313,Projetos!$A$3:$A$129,0))," ")</f>
        <v>Data Lake</v>
      </c>
      <c r="C313" s="47"/>
      <c r="D313" s="48">
        <v>0.72</v>
      </c>
      <c r="E313" s="48">
        <v>0.63200000000000001</v>
      </c>
      <c r="F313" s="49">
        <v>45391</v>
      </c>
      <c r="G313" s="125">
        <v>45352</v>
      </c>
      <c r="H313" s="28" t="str">
        <f t="shared" si="12"/>
        <v>08547/202145352</v>
      </c>
      <c r="I313" s="38" t="str">
        <f>IFERROR(INDEX(Projetos!$M$2:$M$129,MATCH(Atualizações!A313,Projetos!$A$2:$A$129,0))," ")</f>
        <v>31/12/2024</v>
      </c>
      <c r="J313" s="61"/>
      <c r="K313" s="344">
        <f>IFERROR(Tb_Atualizações[[#This Row],[% EXECUTADO]]/Tb_Atualizações[[#This Row],[% PREVISTO]],"0%")</f>
        <v>0.87777777777777777</v>
      </c>
      <c r="L313" s="31" t="str" cm="1">
        <f t="array" aca="1" ref="L3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13" s="50"/>
      <c r="N313" s="30"/>
      <c r="O313" s="42">
        <f t="shared" si="13"/>
        <v>2024</v>
      </c>
      <c r="P313" s="42" t="str">
        <f t="shared" si="14"/>
        <v>202408547/2021</v>
      </c>
      <c r="Q313" s="42">
        <v>1</v>
      </c>
    </row>
    <row r="314" spans="1:18" ht="15" hidden="1">
      <c r="A314" s="46" t="s">
        <v>570</v>
      </c>
      <c r="B314" s="312" t="str">
        <f>IFERROR(INDEX(Projetos!$B$3:$B$129,MATCH(A314,Projetos!$A$3:$A$129,0))," ")</f>
        <v>Repositório Anticorrupção e Tecnologia do Poder Judiciário</v>
      </c>
      <c r="C314" s="47"/>
      <c r="D314" s="48">
        <v>1</v>
      </c>
      <c r="E314" s="48">
        <v>0.94199999999999995</v>
      </c>
      <c r="F314" s="49">
        <v>45391</v>
      </c>
      <c r="G314" s="125">
        <v>45352</v>
      </c>
      <c r="H314" s="28" t="str">
        <f t="shared" si="12"/>
        <v>10157/202245352</v>
      </c>
      <c r="I314" s="38">
        <f>IFERROR(INDEX(Projetos!$M$2:$M$129,MATCH(Atualizações!A314,Projetos!$A$2:$A$129,0))," ")</f>
        <v>45565</v>
      </c>
      <c r="J314" s="61"/>
      <c r="K314" s="344">
        <f>IFERROR(Tb_Atualizações[[#This Row],[% EXECUTADO]]/Tb_Atualizações[[#This Row],[% PREVISTO]],"0%")</f>
        <v>0.94199999999999995</v>
      </c>
      <c r="L314" s="31" t="str" cm="1">
        <f t="array" aca="1" ref="L3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14" s="50"/>
      <c r="N314" s="30"/>
      <c r="O314" s="42">
        <f t="shared" si="13"/>
        <v>2024</v>
      </c>
      <c r="P314" s="42" t="str">
        <f t="shared" si="14"/>
        <v>202410157/2022</v>
      </c>
      <c r="Q314" s="42">
        <v>1</v>
      </c>
    </row>
    <row r="315" spans="1:18" ht="15" hidden="1">
      <c r="A315" s="386" t="s">
        <v>436</v>
      </c>
      <c r="B315" s="312" t="str">
        <f>IFERROR(INDEX(Projetos!$B$3:$B$129,MATCH(A315,Projetos!$A$3:$A$129,0))," ")</f>
        <v>Sensibilização e Formação em Integridade e Compliance no Poder Judiciário</v>
      </c>
      <c r="C315" s="47"/>
      <c r="D315" s="48">
        <v>0.5</v>
      </c>
      <c r="E315" s="48">
        <v>0.95199999999999996</v>
      </c>
      <c r="F315" s="49">
        <v>45391</v>
      </c>
      <c r="G315" s="125">
        <v>45352</v>
      </c>
      <c r="H315" s="28" t="str">
        <f t="shared" si="12"/>
        <v>07855/202245352</v>
      </c>
      <c r="I315" s="38">
        <f>IFERROR(INDEX(Projetos!$M$2:$M$129,MATCH(Atualizações!A315,Projetos!$A$2:$A$129,0))," ")</f>
        <v>45412</v>
      </c>
      <c r="J315" s="61"/>
      <c r="K315" s="344">
        <f>IFERROR(Tb_Atualizações[[#This Row],[% EXECUTADO]]/Tb_Atualizações[[#This Row],[% PREVISTO]],"0%")</f>
        <v>1.9039999999999999</v>
      </c>
      <c r="L315" s="31" t="str" cm="1">
        <f t="array" aca="1" ref="L3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15" s="50"/>
      <c r="N315" s="30"/>
      <c r="O315" s="42">
        <f t="shared" si="13"/>
        <v>2024</v>
      </c>
      <c r="P315" s="42" t="str">
        <f t="shared" si="14"/>
        <v>202407855/2022</v>
      </c>
      <c r="Q315" s="42">
        <v>1</v>
      </c>
    </row>
    <row r="316" spans="1:18" ht="15" hidden="1">
      <c r="A316" s="46" t="s">
        <v>358</v>
      </c>
      <c r="B316" s="312" t="str">
        <f>IFERROR(INDEX(Projetos!$B$3:$B$129,MATCH(A316,Projetos!$A$3:$A$129,0))," ")</f>
        <v>Prevjud - Automação de Processos Previdenciários - Justiça 4.0</v>
      </c>
      <c r="C316" s="47"/>
      <c r="D316" s="48">
        <v>0.93600000000000005</v>
      </c>
      <c r="E316" s="48">
        <v>0.92200000000000004</v>
      </c>
      <c r="F316" s="49">
        <v>45392</v>
      </c>
      <c r="G316" s="125">
        <v>45352</v>
      </c>
      <c r="H316" s="28" t="str">
        <f t="shared" si="12"/>
        <v>03558/202145352</v>
      </c>
      <c r="I316" s="38" t="str">
        <f>IFERROR(INDEX(Projetos!$M$2:$M$129,MATCH(Atualizações!A316,Projetos!$A$2:$A$129,0))," ")</f>
        <v>31/03/2026</v>
      </c>
      <c r="J316" s="61"/>
      <c r="K316" s="344">
        <f>IFERROR(Tb_Atualizações[[#This Row],[% EXECUTADO]]/Tb_Atualizações[[#This Row],[% PREVISTO]],"0%")</f>
        <v>0.98504273504273498</v>
      </c>
      <c r="L316" s="31" t="str" cm="1">
        <f t="array" aca="1" ref="L3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16" s="50"/>
      <c r="N316" s="30"/>
      <c r="O316" s="42">
        <f t="shared" si="13"/>
        <v>2024</v>
      </c>
      <c r="P316" s="42" t="str">
        <f t="shared" si="14"/>
        <v>202403558/2021</v>
      </c>
      <c r="Q316" s="42">
        <v>1</v>
      </c>
    </row>
    <row r="317" spans="1:18" ht="15" hidden="1">
      <c r="A317" s="46" t="s">
        <v>331</v>
      </c>
      <c r="B317" s="312" t="str">
        <f>IFERROR(INDEX(Projetos!$B$3:$B$129,MATCH(A317,Projetos!$A$3:$A$129,0))," ")</f>
        <v>SNIPER - Justiça 4.0</v>
      </c>
      <c r="C317" s="47"/>
      <c r="D317" s="48">
        <v>1</v>
      </c>
      <c r="E317" s="48">
        <v>1</v>
      </c>
      <c r="F317" s="49">
        <v>45392</v>
      </c>
      <c r="G317" s="125">
        <v>45352</v>
      </c>
      <c r="H317" s="28" t="str">
        <f t="shared" si="12"/>
        <v>02941/202145352</v>
      </c>
      <c r="I317" s="38">
        <f>IFERROR(INDEX(Projetos!$M$2:$M$129,MATCH(Atualizações!A317,Projetos!$A$2:$A$129,0))," ")</f>
        <v>45442</v>
      </c>
      <c r="J317" s="61"/>
      <c r="K317" s="344">
        <f>IFERROR(Tb_Atualizações[[#This Row],[% EXECUTADO]]/Tb_Atualizações[[#This Row],[% PREVISTO]],"0%")</f>
        <v>1</v>
      </c>
      <c r="L317" s="31" t="str" cm="1">
        <f t="array" aca="1" ref="L3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17" s="50"/>
      <c r="N317" s="30"/>
      <c r="O317" s="42">
        <f t="shared" si="13"/>
        <v>2024</v>
      </c>
      <c r="P317" s="42" t="str">
        <f t="shared" si="14"/>
        <v>202402941/2021</v>
      </c>
      <c r="Q317" s="42">
        <v>1</v>
      </c>
    </row>
    <row r="318" spans="1:18" ht="15" hidden="1">
      <c r="A318" s="46" t="s">
        <v>609</v>
      </c>
      <c r="B318" s="312" t="str">
        <f>IFERROR(INDEX(Projetos!$B$3:$B$129,MATCH(A318,Projetos!$A$3:$A$129,0))," ")</f>
        <v>SPVATJUD</v>
      </c>
      <c r="C318" s="47"/>
      <c r="D318" s="48">
        <v>0.90100000000000002</v>
      </c>
      <c r="E318" s="48">
        <v>0.89</v>
      </c>
      <c r="F318" s="49">
        <v>45392</v>
      </c>
      <c r="G318" s="125">
        <v>45352</v>
      </c>
      <c r="H318" s="28" t="str">
        <f t="shared" si="12"/>
        <v>11270/202245352</v>
      </c>
      <c r="I318" s="38">
        <f>IFERROR(INDEX(Projetos!$M$2:$M$129,MATCH(Atualizações!A318,Projetos!$A$2:$A$129,0))," ")</f>
        <v>45716</v>
      </c>
      <c r="J318" s="61"/>
      <c r="K318" s="344">
        <f>IFERROR(Tb_Atualizações[[#This Row],[% EXECUTADO]]/Tb_Atualizações[[#This Row],[% PREVISTO]],"0%")</f>
        <v>0.98779134295227522</v>
      </c>
      <c r="L318" s="31" t="str" cm="1">
        <f t="array" aca="1" ref="L3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18" s="50"/>
      <c r="N318" s="30"/>
      <c r="O318" s="42">
        <f t="shared" si="13"/>
        <v>2024</v>
      </c>
      <c r="P318" s="42" t="str">
        <f t="shared" si="14"/>
        <v>202411270/2022</v>
      </c>
      <c r="Q318" s="42">
        <v>1</v>
      </c>
    </row>
    <row r="319" spans="1:18" ht="15" hidden="1">
      <c r="A319" s="46" t="s">
        <v>350</v>
      </c>
      <c r="B319" s="312" t="str">
        <f>IFERROR(INDEX(Projetos!$B$3:$B$129,MATCH(A319,Projetos!$A$3:$A$129,0))," ")</f>
        <v>Painel de Estatística   - Justiça 4.0</v>
      </c>
      <c r="C319" s="47"/>
      <c r="D319" s="48">
        <v>0.96</v>
      </c>
      <c r="E319" s="48">
        <v>0.90500000000000003</v>
      </c>
      <c r="F319" s="49">
        <v>45406</v>
      </c>
      <c r="G319" s="125">
        <v>45383</v>
      </c>
      <c r="H319" s="28" t="str">
        <f t="shared" si="12"/>
        <v>03545/202145383</v>
      </c>
      <c r="I319" s="38">
        <f>IFERROR(INDEX(Projetos!$M$2:$M$129,MATCH(Atualizações!A319,Projetos!$A$2:$A$129,0))," ")</f>
        <v>46387</v>
      </c>
      <c r="J319" s="61"/>
      <c r="K319" s="344">
        <f>IFERROR(Tb_Atualizações[[#This Row],[% EXECUTADO]]/Tb_Atualizações[[#This Row],[% PREVISTO]],"0%")</f>
        <v>0.94270833333333337</v>
      </c>
      <c r="L319" s="31" t="str" cm="1">
        <f t="array" aca="1" ref="L3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19" s="50"/>
      <c r="N319" s="30"/>
      <c r="O319" s="42">
        <f t="shared" si="13"/>
        <v>2024</v>
      </c>
      <c r="P319" s="42" t="str">
        <f t="shared" si="14"/>
        <v>202403545/2021</v>
      </c>
      <c r="Q319" s="42">
        <v>1</v>
      </c>
    </row>
    <row r="320" spans="1:18" ht="15" hidden="1">
      <c r="A320" s="46" t="s">
        <v>479</v>
      </c>
      <c r="B320" s="312" t="str">
        <f>IFERROR(INDEX(Projetos!$B$3:$B$129,MATCH(A320,Projetos!$A$3:$A$129,0))," ")</f>
        <v>Data Lake</v>
      </c>
      <c r="C320" s="47"/>
      <c r="D320" s="48">
        <v>0.88100000000000001</v>
      </c>
      <c r="E320" s="48">
        <v>0.76200000000000001</v>
      </c>
      <c r="F320" s="49">
        <v>45407</v>
      </c>
      <c r="G320" s="125">
        <v>45383</v>
      </c>
      <c r="H320" s="28" t="str">
        <f t="shared" si="12"/>
        <v>08547/202145383</v>
      </c>
      <c r="I320" s="38" t="str">
        <f>IFERROR(INDEX(Projetos!$M$2:$M$129,MATCH(Atualizações!A320,Projetos!$A$2:$A$129,0))," ")</f>
        <v>31/12/2024</v>
      </c>
      <c r="J320" s="61"/>
      <c r="K320" s="344">
        <f>IFERROR(Tb_Atualizações[[#This Row],[% EXECUTADO]]/Tb_Atualizações[[#This Row],[% PREVISTO]],"0%")</f>
        <v>0.86492622020431331</v>
      </c>
      <c r="L320" s="31" t="str" cm="1">
        <f t="array" aca="1" ref="L3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20" s="50"/>
      <c r="N320" s="30"/>
      <c r="O320" s="42">
        <f t="shared" si="13"/>
        <v>2024</v>
      </c>
      <c r="P320" s="42" t="str">
        <f t="shared" si="14"/>
        <v>202408547/2021</v>
      </c>
      <c r="Q320" s="42">
        <v>1</v>
      </c>
    </row>
    <row r="321" spans="1:17" ht="15" hidden="1">
      <c r="A321" s="46" t="s">
        <v>404</v>
      </c>
      <c r="B321" s="312" t="str">
        <f>IFERROR(INDEX(Projetos!$B$3:$B$129,MATCH(A321,Projetos!$A$3:$A$129,0))," ")</f>
        <v>Consulta Nacional de Pessoas (FAC Nacional)</v>
      </c>
      <c r="C321" s="47"/>
      <c r="D321" s="48">
        <v>0</v>
      </c>
      <c r="E321" s="48">
        <v>0</v>
      </c>
      <c r="F321" s="49">
        <v>45408</v>
      </c>
      <c r="G321" s="125">
        <v>45352</v>
      </c>
      <c r="H321" s="28" t="str">
        <f t="shared" si="12"/>
        <v>05138/202445352</v>
      </c>
      <c r="I321" s="38">
        <f>IFERROR(INDEX(Projetos!$M$2:$M$129,MATCH(Atualizações!A321,Projetos!$A$2:$A$129,0))," ")</f>
        <v>45993</v>
      </c>
      <c r="J321" s="61"/>
      <c r="K321" s="344" t="str">
        <f>IFERROR(Tb_Atualizações[[#This Row],[% EXECUTADO]]/Tb_Atualizações[[#This Row],[% PREVISTO]],"0%")</f>
        <v>0%</v>
      </c>
      <c r="L321" s="31" t="str" cm="1">
        <f t="array" aca="1" ref="L3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21" s="50"/>
      <c r="N321" s="30"/>
      <c r="O321" s="42">
        <f t="shared" si="13"/>
        <v>2024</v>
      </c>
      <c r="P321" s="42" t="str">
        <f t="shared" si="14"/>
        <v>202405138/2024</v>
      </c>
      <c r="Q321" s="42">
        <v>1</v>
      </c>
    </row>
    <row r="322" spans="1:17" ht="15" hidden="1">
      <c r="A322" s="96" t="s">
        <v>384</v>
      </c>
      <c r="B322" s="312" t="str">
        <f>IFERROR(INDEX(Projetos!$B$3:$B$129,MATCH(A322,Projetos!$A$3:$A$129,0))," ")</f>
        <v>Integra - Serviço de Monitoramento de Atos do CNJ</v>
      </c>
      <c r="C322" s="47"/>
      <c r="D322" s="48">
        <v>0</v>
      </c>
      <c r="E322" s="48">
        <v>0</v>
      </c>
      <c r="F322" s="49">
        <v>45408</v>
      </c>
      <c r="G322" s="125">
        <v>45352</v>
      </c>
      <c r="H322" s="28" t="str">
        <f t="shared" ref="H322:H385" si="15">A322&amp;G322</f>
        <v>04137/202445352</v>
      </c>
      <c r="I322" s="38">
        <f>IFERROR(INDEX(Projetos!$M$2:$M$129,MATCH(Atualizações!A322,Projetos!$A$2:$A$129,0))," ")</f>
        <v>46285</v>
      </c>
      <c r="J322" s="61"/>
      <c r="K322" s="344" t="str">
        <f>IFERROR(Tb_Atualizações[[#This Row],[% EXECUTADO]]/Tb_Atualizações[[#This Row],[% PREVISTO]],"0%")</f>
        <v>0%</v>
      </c>
      <c r="L322" s="31" t="str" cm="1">
        <f t="array" aca="1" ref="L3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22" s="50"/>
      <c r="N322" s="30"/>
      <c r="O322" s="42">
        <f t="shared" ref="O322:O385" si="16">YEAR(F322)</f>
        <v>2024</v>
      </c>
      <c r="P322" s="42" t="str">
        <f t="shared" ref="P322:P385" si="17">O322&amp;A322</f>
        <v>202404137/2024</v>
      </c>
      <c r="Q322" s="42">
        <v>1</v>
      </c>
    </row>
    <row r="323" spans="1:17" ht="30" hidden="1">
      <c r="A323" s="389" t="s">
        <v>376</v>
      </c>
      <c r="B323" s="312" t="str">
        <f>IFERROR(INDEX(Projetos!$B$3:$B$129,MATCH(A323,Projetos!$A$3:$A$129,0))," ")</f>
        <v>Nacionalização SAREF - Sistema de Apresentação Remota por Reconhecimento Facial</v>
      </c>
      <c r="C323" s="47"/>
      <c r="D323" s="48">
        <v>0</v>
      </c>
      <c r="E323" s="48">
        <v>0</v>
      </c>
      <c r="F323" s="49">
        <v>45408</v>
      </c>
      <c r="G323" s="125">
        <v>45352</v>
      </c>
      <c r="H323" s="28" t="str">
        <f t="shared" si="15"/>
        <v>03924/202345352</v>
      </c>
      <c r="I323" s="38">
        <f>IFERROR(INDEX(Projetos!$M$2:$M$129,MATCH(Atualizações!A323,Projetos!$A$2:$A$129,0))," ")</f>
        <v>45565</v>
      </c>
      <c r="J323" s="61"/>
      <c r="K323" s="344" t="str">
        <f>IFERROR(Tb_Atualizações[[#This Row],[% EXECUTADO]]/Tb_Atualizações[[#This Row],[% PREVISTO]],"0%")</f>
        <v>0%</v>
      </c>
      <c r="L323" s="31" t="str" cm="1">
        <f t="array" aca="1" ref="L3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23" s="50"/>
      <c r="N323" s="30"/>
      <c r="O323" s="42">
        <f t="shared" si="16"/>
        <v>2024</v>
      </c>
      <c r="P323" s="42" t="str">
        <f t="shared" si="17"/>
        <v>202403924/2023</v>
      </c>
      <c r="Q323" s="42">
        <v>1</v>
      </c>
    </row>
    <row r="324" spans="1:17" ht="15" hidden="1">
      <c r="A324" s="46" t="s">
        <v>358</v>
      </c>
      <c r="B324" s="312" t="str">
        <f>IFERROR(INDEX(Projetos!$B$3:$B$129,MATCH(A324,Projetos!$A$3:$A$129,0))," ")</f>
        <v>Prevjud - Automação de Processos Previdenciários - Justiça 4.0</v>
      </c>
      <c r="C324" s="47"/>
      <c r="D324" s="48">
        <v>0.94199999999999995</v>
      </c>
      <c r="E324" s="48">
        <v>0.92800000000000005</v>
      </c>
      <c r="F324" s="49">
        <v>45408</v>
      </c>
      <c r="G324" s="125">
        <v>45383</v>
      </c>
      <c r="H324" s="28" t="str">
        <f t="shared" si="15"/>
        <v>03558/202145383</v>
      </c>
      <c r="I324" s="38" t="str">
        <f>IFERROR(INDEX(Projetos!$M$2:$M$129,MATCH(Atualizações!A324,Projetos!$A$2:$A$129,0))," ")</f>
        <v>31/03/2026</v>
      </c>
      <c r="J324" s="61"/>
      <c r="K324" s="344">
        <f>IFERROR(Tb_Atualizações[[#This Row],[% EXECUTADO]]/Tb_Atualizações[[#This Row],[% PREVISTO]],"0%")</f>
        <v>0.98513800424628462</v>
      </c>
      <c r="L324" s="31" t="str" cm="1">
        <f t="array" aca="1" ref="L3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24" s="50"/>
      <c r="N324" s="30"/>
      <c r="O324" s="42">
        <f t="shared" si="16"/>
        <v>2024</v>
      </c>
      <c r="P324" s="42" t="str">
        <f t="shared" si="17"/>
        <v>202403558/2021</v>
      </c>
      <c r="Q324" s="42">
        <v>1</v>
      </c>
    </row>
    <row r="325" spans="1:17" ht="15" hidden="1">
      <c r="A325" s="46" t="s">
        <v>609</v>
      </c>
      <c r="B325" s="312" t="str">
        <f>IFERROR(INDEX(Projetos!$B$3:$B$129,MATCH(A325,Projetos!$A$3:$A$129,0))," ")</f>
        <v>SPVATJUD</v>
      </c>
      <c r="C325" s="47"/>
      <c r="D325" s="48">
        <v>0.94899999999999995</v>
      </c>
      <c r="E325" s="48">
        <v>0.89800000000000002</v>
      </c>
      <c r="F325" s="49">
        <v>45408</v>
      </c>
      <c r="G325" s="125">
        <v>45383</v>
      </c>
      <c r="H325" s="28" t="str">
        <f t="shared" si="15"/>
        <v>11270/202245383</v>
      </c>
      <c r="I325" s="38">
        <f>IFERROR(INDEX(Projetos!$M$2:$M$129,MATCH(Atualizações!A325,Projetos!$A$2:$A$129,0))," ")</f>
        <v>45716</v>
      </c>
      <c r="J325" s="61"/>
      <c r="K325" s="344">
        <f>IFERROR(Tb_Atualizações[[#This Row],[% EXECUTADO]]/Tb_Atualizações[[#This Row],[% PREVISTO]],"0%")</f>
        <v>0.94625922023182307</v>
      </c>
      <c r="L325" s="31" t="str" cm="1">
        <f t="array" aca="1" ref="L3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25" s="50"/>
      <c r="N325" s="30"/>
      <c r="O325" s="42">
        <f t="shared" si="16"/>
        <v>2024</v>
      </c>
      <c r="P325" s="42" t="str">
        <f t="shared" si="17"/>
        <v>202411270/2022</v>
      </c>
      <c r="Q325" s="42">
        <v>1</v>
      </c>
    </row>
    <row r="326" spans="1:17" ht="15" hidden="1">
      <c r="A326" s="46" t="s">
        <v>209</v>
      </c>
      <c r="B326" s="312" t="str">
        <f>IFERROR(INDEX(Projetos!$B$3:$B$129,MATCH(A326,Projetos!$A$3:$A$129,0))," ")</f>
        <v>Capacitação técnica para desenvolvedores nas tecnologias da PDPJ - BR</v>
      </c>
      <c r="C326" s="47"/>
      <c r="D326" s="48">
        <v>0.48</v>
      </c>
      <c r="E326" s="48">
        <v>0.47</v>
      </c>
      <c r="F326" s="49">
        <v>45411</v>
      </c>
      <c r="G326" s="125">
        <v>45383</v>
      </c>
      <c r="H326" s="28" t="str">
        <f t="shared" si="15"/>
        <v>01945/202245383</v>
      </c>
      <c r="I326" s="38">
        <f>IFERROR(INDEX(Projetos!$M$2:$M$129,MATCH(Atualizações!A326,Projetos!$A$2:$A$129,0))," ")</f>
        <v>45866</v>
      </c>
      <c r="J326" s="61"/>
      <c r="K326" s="344">
        <f>IFERROR(Tb_Atualizações[[#This Row],[% EXECUTADO]]/Tb_Atualizações[[#This Row],[% PREVISTO]],"0%")</f>
        <v>0.97916666666666663</v>
      </c>
      <c r="L326" s="31" t="str" cm="1">
        <f t="array" aca="1" ref="L3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26" s="50"/>
      <c r="N326" s="30"/>
      <c r="O326" s="42">
        <f t="shared" si="16"/>
        <v>2024</v>
      </c>
      <c r="P326" s="42" t="str">
        <f t="shared" si="17"/>
        <v>202401945/2022</v>
      </c>
      <c r="Q326" s="42">
        <v>1</v>
      </c>
    </row>
    <row r="327" spans="1:17" ht="15" hidden="1">
      <c r="A327" s="46" t="s">
        <v>70</v>
      </c>
      <c r="B327" s="312" t="str">
        <f>IFERROR(INDEX(Projetos!$B$3:$B$129,MATCH(A327,Projetos!$A$3:$A$129,0))," ")</f>
        <v>Mapa Nacional do Tribunal do Júri</v>
      </c>
      <c r="C327" s="47"/>
      <c r="D327" s="48">
        <v>0.41</v>
      </c>
      <c r="E327" s="48">
        <v>0.41</v>
      </c>
      <c r="F327" s="49">
        <v>45411</v>
      </c>
      <c r="G327" s="125">
        <v>45383</v>
      </c>
      <c r="H327" s="28" t="str">
        <f t="shared" si="15"/>
        <v>00139/202445383</v>
      </c>
      <c r="I327" s="38">
        <f>IFERROR(INDEX(Projetos!$M$2:$M$129,MATCH(Atualizações!A327,Projetos!$A$2:$A$129,0))," ")</f>
        <v>46658</v>
      </c>
      <c r="J327" s="61"/>
      <c r="K327" s="344">
        <f>IFERROR(Tb_Atualizações[[#This Row],[% EXECUTADO]]/Tb_Atualizações[[#This Row],[% PREVISTO]],"0%")</f>
        <v>1</v>
      </c>
      <c r="L327" s="31" t="str" cm="1">
        <f t="array" aca="1" ref="L3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27" s="50"/>
      <c r="N327" s="30"/>
      <c r="O327" s="42">
        <f t="shared" si="16"/>
        <v>2024</v>
      </c>
      <c r="P327" s="42" t="str">
        <f t="shared" si="17"/>
        <v>202400139/2024</v>
      </c>
      <c r="Q327" s="42">
        <v>1</v>
      </c>
    </row>
    <row r="328" spans="1:17" ht="15" hidden="1">
      <c r="A328" s="46" t="s">
        <v>471</v>
      </c>
      <c r="B328" s="312" t="str">
        <f>IFERROR(INDEX(Projetos!$B$3:$B$129,MATCH(A328,Projetos!$A$3:$A$129,0))," ")</f>
        <v>Sinapses 5 - Capacitação Cursos EaD IA</v>
      </c>
      <c r="C328" s="47"/>
      <c r="D328" s="48">
        <v>0.92300000000000004</v>
      </c>
      <c r="E328" s="48">
        <v>0.91900000000000004</v>
      </c>
      <c r="F328" s="49">
        <v>45411</v>
      </c>
      <c r="G328" s="125">
        <v>45383</v>
      </c>
      <c r="H328" s="28" t="str">
        <f t="shared" si="15"/>
        <v>08543/202145383</v>
      </c>
      <c r="I328" s="38">
        <f>IFERROR(INDEX(Projetos!$M$2:$M$129,MATCH(Atualizações!A328,Projetos!$A$2:$A$129,0))," ")</f>
        <v>45716</v>
      </c>
      <c r="J328" s="61"/>
      <c r="K328" s="344">
        <f>IFERROR(Tb_Atualizações[[#This Row],[% EXECUTADO]]/Tb_Atualizações[[#This Row],[% PREVISTO]],"0%")</f>
        <v>0.99566630552546043</v>
      </c>
      <c r="L328" s="31" t="str" cm="1">
        <f t="array" aca="1" ref="L3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28" s="50"/>
      <c r="N328" s="30"/>
      <c r="O328" s="42">
        <f t="shared" si="16"/>
        <v>2024</v>
      </c>
      <c r="P328" s="42" t="str">
        <f t="shared" si="17"/>
        <v>202408543/2021</v>
      </c>
      <c r="Q328" s="42">
        <v>1</v>
      </c>
    </row>
    <row r="329" spans="1:17" ht="15" hidden="1">
      <c r="A329" s="46" t="s">
        <v>570</v>
      </c>
      <c r="B329" s="312" t="str">
        <f>IFERROR(INDEX(Projetos!$B$3:$B$129,MATCH(A329,Projetos!$A$3:$A$129,0))," ")</f>
        <v>Repositório Anticorrupção e Tecnologia do Poder Judiciário</v>
      </c>
      <c r="C329" s="47"/>
      <c r="D329" s="48">
        <v>1</v>
      </c>
      <c r="E329" s="48">
        <v>0.96299999999999997</v>
      </c>
      <c r="F329" s="49">
        <v>45412</v>
      </c>
      <c r="G329" s="125">
        <v>45383</v>
      </c>
      <c r="H329" s="28" t="str">
        <f t="shared" si="15"/>
        <v>10157/202245383</v>
      </c>
      <c r="I329" s="38">
        <f>IFERROR(INDEX(Projetos!$M$2:$M$129,MATCH(Atualizações!A329,Projetos!$A$2:$A$129,0))," ")</f>
        <v>45565</v>
      </c>
      <c r="J329" s="61"/>
      <c r="K329" s="344">
        <f>IFERROR(Tb_Atualizações[[#This Row],[% EXECUTADO]]/Tb_Atualizações[[#This Row],[% PREVISTO]],"0%")</f>
        <v>0.96299999999999997</v>
      </c>
      <c r="L329" s="31" t="str" cm="1">
        <f t="array" aca="1" ref="L3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29" s="50"/>
      <c r="N329" s="30"/>
      <c r="O329" s="42">
        <f t="shared" si="16"/>
        <v>2024</v>
      </c>
      <c r="P329" s="42" t="str">
        <f t="shared" si="17"/>
        <v>202410157/2022</v>
      </c>
      <c r="Q329" s="42">
        <v>1</v>
      </c>
    </row>
    <row r="330" spans="1:17" ht="15" hidden="1">
      <c r="A330" s="46" t="s">
        <v>436</v>
      </c>
      <c r="B330" s="312" t="str">
        <f>IFERROR(INDEX(Projetos!$B$3:$B$129,MATCH(A330,Projetos!$A$3:$A$129,0))," ")</f>
        <v>Sensibilização e Formação em Integridade e Compliance no Poder Judiciário</v>
      </c>
      <c r="C330" s="47"/>
      <c r="D330" s="48">
        <v>0.5</v>
      </c>
      <c r="E330" s="48">
        <v>1</v>
      </c>
      <c r="F330" s="49">
        <v>45412</v>
      </c>
      <c r="G330" s="125">
        <v>45383</v>
      </c>
      <c r="H330" s="28" t="str">
        <f t="shared" si="15"/>
        <v>07855/202245383</v>
      </c>
      <c r="I330" s="38">
        <f>IFERROR(INDEX(Projetos!$M$2:$M$129,MATCH(Atualizações!A330,Projetos!$A$2:$A$129,0))," ")</f>
        <v>45412</v>
      </c>
      <c r="J330" s="61"/>
      <c r="K330" s="344">
        <f>IFERROR(Tb_Atualizações[[#This Row],[% EXECUTADO]]/Tb_Atualizações[[#This Row],[% PREVISTO]],"0%")</f>
        <v>2</v>
      </c>
      <c r="L330" s="31" t="str" cm="1">
        <f t="array" aca="1" ref="L3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30" s="50"/>
      <c r="N330" s="30"/>
      <c r="O330" s="42">
        <f t="shared" si="16"/>
        <v>2024</v>
      </c>
      <c r="P330" s="42" t="str">
        <f t="shared" si="17"/>
        <v>202407855/2022</v>
      </c>
      <c r="Q330" s="42">
        <v>1</v>
      </c>
    </row>
    <row r="331" spans="1:17" ht="30" hidden="1">
      <c r="A331" s="46" t="s">
        <v>425</v>
      </c>
      <c r="B331" s="312" t="str">
        <f>IFERROR(INDEX(Projetos!$B$3:$B$129,MATCH(A331,Projetos!$A$3:$A$129,0))," ")</f>
        <v>Diagnóstico sobre a otimização dos processos de trabalho no Poder Judiciário em face da implementação das Políticas Tecnológicas do Programa Justiça 4.0.</v>
      </c>
      <c r="C331" s="47"/>
      <c r="D331" s="48">
        <v>0.755</v>
      </c>
      <c r="E331" s="48">
        <v>0.70399999999999996</v>
      </c>
      <c r="F331" s="49">
        <v>45414</v>
      </c>
      <c r="G331" s="125">
        <v>45383</v>
      </c>
      <c r="H331" s="28" t="str">
        <f t="shared" si="15"/>
        <v>06767/202245383</v>
      </c>
      <c r="I331" s="38">
        <f>IFERROR(INDEX(Projetos!$M$2:$M$129,MATCH(Atualizações!A331,Projetos!$A$2:$A$129,0))," ")</f>
        <v>45605</v>
      </c>
      <c r="J331" s="61"/>
      <c r="K331" s="344">
        <f>IFERROR(Tb_Atualizações[[#This Row],[% EXECUTADO]]/Tb_Atualizações[[#This Row],[% PREVISTO]],"0%")</f>
        <v>0.93245033112582776</v>
      </c>
      <c r="L331" s="31" t="str" cm="1">
        <f t="array" aca="1" ref="L3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31" s="50"/>
      <c r="N331" s="30"/>
      <c r="O331" s="42">
        <f t="shared" si="16"/>
        <v>2024</v>
      </c>
      <c r="P331" s="42" t="str">
        <f t="shared" si="17"/>
        <v>202406767/2022</v>
      </c>
      <c r="Q331" s="42">
        <v>1</v>
      </c>
    </row>
    <row r="332" spans="1:17" ht="15" hidden="1">
      <c r="A332" s="46" t="s">
        <v>229</v>
      </c>
      <c r="B332" s="312" t="str">
        <f>IFERROR(INDEX(Projetos!$B$3:$B$129,MATCH(A332,Projetos!$A$3:$A$129,0))," ")</f>
        <v>Gabinete do Juízo</v>
      </c>
      <c r="C332" s="47"/>
      <c r="D332" s="48">
        <v>1</v>
      </c>
      <c r="E332" s="48">
        <v>0.93300000000000005</v>
      </c>
      <c r="F332" s="49">
        <v>45414</v>
      </c>
      <c r="G332" s="125">
        <v>45383</v>
      </c>
      <c r="H332" s="28" t="str">
        <f t="shared" si="15"/>
        <v>02080/202345383</v>
      </c>
      <c r="I332" s="38">
        <f>IFERROR(INDEX(Projetos!$M$2:$M$129,MATCH(Atualizações!A332,Projetos!$A$2:$A$129,0))," ")</f>
        <v>46379</v>
      </c>
      <c r="J332" s="61"/>
      <c r="K332" s="344">
        <f>IFERROR(Tb_Atualizações[[#This Row],[% EXECUTADO]]/Tb_Atualizações[[#This Row],[% PREVISTO]],"0%")</f>
        <v>0.93300000000000005</v>
      </c>
      <c r="L332" s="31" t="str" cm="1">
        <f t="array" aca="1" ref="L3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32" s="50"/>
      <c r="N332" s="30"/>
      <c r="O332" s="42">
        <f t="shared" si="16"/>
        <v>2024</v>
      </c>
      <c r="P332" s="42" t="str">
        <f t="shared" si="17"/>
        <v>202402080/2023</v>
      </c>
      <c r="Q332" s="42">
        <v>1</v>
      </c>
    </row>
    <row r="333" spans="1:17" ht="30" hidden="1">
      <c r="A333" s="46" t="s">
        <v>376</v>
      </c>
      <c r="B333" s="312" t="str">
        <f>IFERROR(INDEX(Projetos!$B$3:$B$129,MATCH(A333,Projetos!$A$3:$A$129,0))," ")</f>
        <v>Nacionalização SAREF - Sistema de Apresentação Remota por Reconhecimento Facial</v>
      </c>
      <c r="C333" s="47"/>
      <c r="D333" s="48">
        <v>0.79200000000000004</v>
      </c>
      <c r="E333" s="48">
        <v>0.48</v>
      </c>
      <c r="F333" s="49">
        <v>45414</v>
      </c>
      <c r="G333" s="125">
        <v>45383</v>
      </c>
      <c r="H333" s="28" t="str">
        <f t="shared" si="15"/>
        <v>03924/202345383</v>
      </c>
      <c r="I333" s="38">
        <f>IFERROR(INDEX(Projetos!$M$2:$M$129,MATCH(Atualizações!A333,Projetos!$A$2:$A$129,0))," ")</f>
        <v>45565</v>
      </c>
      <c r="J333" s="61"/>
      <c r="K333" s="344">
        <f>IFERROR(Tb_Atualizações[[#This Row],[% EXECUTADO]]/Tb_Atualizações[[#This Row],[% PREVISTO]],"0%")</f>
        <v>0.60606060606060597</v>
      </c>
      <c r="L333" s="31" t="str" cm="1">
        <f t="array" aca="1" ref="L3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33" s="50"/>
      <c r="N333" s="30"/>
      <c r="O333" s="42">
        <f t="shared" si="16"/>
        <v>2024</v>
      </c>
      <c r="P333" s="42" t="str">
        <f t="shared" si="17"/>
        <v>202403924/2023</v>
      </c>
      <c r="Q333" s="42">
        <v>1</v>
      </c>
    </row>
    <row r="334" spans="1:17" ht="15" hidden="1">
      <c r="A334" s="46" t="s">
        <v>322</v>
      </c>
      <c r="B334" s="312" t="str">
        <f>IFERROR(INDEX(Projetos!$B$3:$B$129,MATCH(A334,Projetos!$A$3:$A$129,0))," ")</f>
        <v>SNGB - Sistema Nacional de Gestão de Bens</v>
      </c>
      <c r="C334" s="47"/>
      <c r="D334" s="48">
        <v>1</v>
      </c>
      <c r="E334" s="48">
        <v>0.98699999999999999</v>
      </c>
      <c r="F334" s="49">
        <v>45414</v>
      </c>
      <c r="G334" s="125">
        <v>45383</v>
      </c>
      <c r="H334" s="28" t="str">
        <f t="shared" si="15"/>
        <v>02938/202145383</v>
      </c>
      <c r="I334" s="38">
        <f>IFERROR(INDEX(Projetos!$M$2:$M$129,MATCH(Atualizações!A334,Projetos!$A$2:$A$129,0))," ")</f>
        <v>45519</v>
      </c>
      <c r="J334" s="61"/>
      <c r="K334" s="344">
        <f>IFERROR(Tb_Atualizações[[#This Row],[% EXECUTADO]]/Tb_Atualizações[[#This Row],[% PREVISTO]],"0%")</f>
        <v>0.98699999999999999</v>
      </c>
      <c r="L334" s="31" t="str" cm="1">
        <f t="array" aca="1" ref="L3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34" s="50"/>
      <c r="N334" s="30"/>
      <c r="O334" s="42">
        <f t="shared" si="16"/>
        <v>2024</v>
      </c>
      <c r="P334" s="42" t="str">
        <f t="shared" si="17"/>
        <v>202402938/2021</v>
      </c>
      <c r="Q334" s="42">
        <v>1</v>
      </c>
    </row>
    <row r="335" spans="1:17" ht="15" hidden="1">
      <c r="A335" s="46" t="s">
        <v>160</v>
      </c>
      <c r="B335" s="312" t="str">
        <f>IFERROR(INDEX(Projetos!$B$3:$B$129,MATCH(A335,Projetos!$A$3:$A$129,0))," ")</f>
        <v>Domicílio Judicial Eletrônico</v>
      </c>
      <c r="C335" s="47"/>
      <c r="D335" s="48">
        <v>0.97899999999999998</v>
      </c>
      <c r="E335" s="48">
        <v>0.92100000000000004</v>
      </c>
      <c r="F335" s="49">
        <v>45419</v>
      </c>
      <c r="G335" s="125">
        <v>45383</v>
      </c>
      <c r="H335" s="28" t="str">
        <f t="shared" si="15"/>
        <v>01487/202245383</v>
      </c>
      <c r="I335" s="38">
        <f>IFERROR(INDEX(Projetos!$M$2:$M$129,MATCH(Atualizações!A335,Projetos!$A$2:$A$129,0))," ")</f>
        <v>45566</v>
      </c>
      <c r="J335" s="61"/>
      <c r="K335" s="344">
        <f>IFERROR(Tb_Atualizações[[#This Row],[% EXECUTADO]]/Tb_Atualizações[[#This Row],[% PREVISTO]],"0%")</f>
        <v>0.9407558733401431</v>
      </c>
      <c r="L335" s="31" t="str" cm="1">
        <f t="array" aca="1" ref="L3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35" s="50"/>
      <c r="N335" s="30"/>
      <c r="O335" s="42">
        <f t="shared" si="16"/>
        <v>2024</v>
      </c>
      <c r="P335" s="42" t="str">
        <f t="shared" si="17"/>
        <v>202401487/2022</v>
      </c>
      <c r="Q335" s="42">
        <v>1</v>
      </c>
    </row>
    <row r="336" spans="1:17" ht="15" hidden="1">
      <c r="A336" s="46" t="s">
        <v>464</v>
      </c>
      <c r="B336" s="312" t="str">
        <f>IFERROR(INDEX(Projetos!$B$3:$B$129,MATCH(A336,Projetos!$A$3:$A$129,0))," ")</f>
        <v>Sirenejud 2.0</v>
      </c>
      <c r="C336" s="47"/>
      <c r="D336" s="48">
        <v>1</v>
      </c>
      <c r="E336" s="48">
        <v>1</v>
      </c>
      <c r="F336" s="49">
        <v>45419</v>
      </c>
      <c r="G336" s="125">
        <v>45383</v>
      </c>
      <c r="H336" s="28" t="str">
        <f t="shared" si="15"/>
        <v>08536/202245383</v>
      </c>
      <c r="I336" s="38">
        <f>IFERROR(INDEX(Projetos!$M$2:$M$129,MATCH(Atualizações!A336,Projetos!$A$2:$A$129,0))," ")</f>
        <v>45433</v>
      </c>
      <c r="J336" s="61"/>
      <c r="K336" s="344">
        <f>IFERROR(Tb_Atualizações[[#This Row],[% EXECUTADO]]/Tb_Atualizações[[#This Row],[% PREVISTO]],"0%")</f>
        <v>1</v>
      </c>
      <c r="L336" s="31" t="str" cm="1">
        <f t="array" aca="1" ref="L3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36" s="50"/>
      <c r="N336" s="30"/>
      <c r="O336" s="42">
        <f t="shared" si="16"/>
        <v>2024</v>
      </c>
      <c r="P336" s="42" t="str">
        <f t="shared" si="17"/>
        <v>202408536/2022</v>
      </c>
      <c r="Q336" s="42">
        <v>1</v>
      </c>
    </row>
    <row r="337" spans="1:17" ht="30" hidden="1">
      <c r="A337" s="46" t="s">
        <v>495</v>
      </c>
      <c r="B337" s="312" t="str">
        <f>IFERROR(INDEX(Projetos!$B$3:$B$129,MATCH(A337,Projetos!$A$3:$A$129,0))," ")</f>
        <v>Pesquisa IA 2023 - Mapeamento dos projetos de Inteligência Artificial em desenvolvimento pelos tribunais brasileiros</v>
      </c>
      <c r="C337" s="47"/>
      <c r="D337" s="48">
        <v>0</v>
      </c>
      <c r="E337" s="48">
        <v>0</v>
      </c>
      <c r="F337" s="49">
        <v>45427</v>
      </c>
      <c r="G337" s="125">
        <v>45383</v>
      </c>
      <c r="H337" s="28" t="str">
        <f t="shared" si="15"/>
        <v>08690/202345383</v>
      </c>
      <c r="I337" s="38">
        <f>IFERROR(INDEX(Projetos!$M$2:$M$129,MATCH(Atualizações!A337,Projetos!$A$2:$A$129,0))," ")</f>
        <v>45487</v>
      </c>
      <c r="J337" s="61"/>
      <c r="K337" s="344" t="str">
        <f>IFERROR(Tb_Atualizações[[#This Row],[% EXECUTADO]]/Tb_Atualizações[[#This Row],[% PREVISTO]],"0%")</f>
        <v>0%</v>
      </c>
      <c r="L337" s="31" t="str" cm="1">
        <f t="array" aca="1" ref="L3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37" s="50"/>
      <c r="N337" s="30"/>
      <c r="O337" s="42">
        <f t="shared" si="16"/>
        <v>2024</v>
      </c>
      <c r="P337" s="42" t="str">
        <f t="shared" si="17"/>
        <v>202408690/2023</v>
      </c>
      <c r="Q337" s="42">
        <v>1</v>
      </c>
    </row>
    <row r="338" spans="1:17" ht="15" hidden="1">
      <c r="A338" s="46" t="s">
        <v>350</v>
      </c>
      <c r="B338" s="312" t="str">
        <f>IFERROR(INDEX(Projetos!$B$3:$B$129,MATCH(A338,Projetos!$A$3:$A$129,0))," ")</f>
        <v>Painel de Estatística   - Justiça 4.0</v>
      </c>
      <c r="C338" s="47"/>
      <c r="D338" s="48">
        <v>0.96199999999999997</v>
      </c>
      <c r="E338" s="48">
        <v>0.90500000000000003</v>
      </c>
      <c r="F338" s="49">
        <v>45434</v>
      </c>
      <c r="G338" s="125">
        <v>45413</v>
      </c>
      <c r="H338" s="28" t="str">
        <f t="shared" si="15"/>
        <v>03545/202145413</v>
      </c>
      <c r="I338" s="38">
        <f>IFERROR(INDEX(Projetos!$M$2:$M$129,MATCH(Atualizações!A338,Projetos!$A$2:$A$129,0))," ")</f>
        <v>46387</v>
      </c>
      <c r="J338" s="61"/>
      <c r="K338" s="344">
        <f>IFERROR(Tb_Atualizações[[#This Row],[% EXECUTADO]]/Tb_Atualizações[[#This Row],[% PREVISTO]],"0%")</f>
        <v>0.94074844074844077</v>
      </c>
      <c r="L338" s="31" t="str" cm="1">
        <f t="array" aca="1" ref="L3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38" s="50"/>
      <c r="N338" s="30"/>
      <c r="O338" s="42">
        <f t="shared" si="16"/>
        <v>2024</v>
      </c>
      <c r="P338" s="42" t="str">
        <f t="shared" si="17"/>
        <v>202403545/2021</v>
      </c>
      <c r="Q338" s="42">
        <v>1</v>
      </c>
    </row>
    <row r="339" spans="1:17" ht="15" hidden="1">
      <c r="A339" s="46" t="s">
        <v>615</v>
      </c>
      <c r="B339" s="312" t="str">
        <f>IFERROR(INDEX(Projetos!$B$3:$B$129,MATCH(A339,Projetos!$A$3:$A$129,0))," ")</f>
        <v>Polícia Judicial Amiga dos Autistas</v>
      </c>
      <c r="C339" s="47"/>
      <c r="D339" s="48">
        <v>0.59499999999999997</v>
      </c>
      <c r="E339" s="48">
        <v>0.59499999999999997</v>
      </c>
      <c r="F339" s="49">
        <v>45437</v>
      </c>
      <c r="G339" s="125">
        <v>45383</v>
      </c>
      <c r="H339" s="28" t="str">
        <f t="shared" si="15"/>
        <v>11340/202345383</v>
      </c>
      <c r="I339" s="38">
        <f>IFERROR(INDEX(Projetos!$M$2:$M$129,MATCH(Atualizações!A339,Projetos!$A$2:$A$129,0))," ")</f>
        <v>45688</v>
      </c>
      <c r="J339" s="61"/>
      <c r="K339" s="344">
        <f>IFERROR(Tb_Atualizações[[#This Row],[% EXECUTADO]]/Tb_Atualizações[[#This Row],[% PREVISTO]],"0%")</f>
        <v>1</v>
      </c>
      <c r="L339" s="31" t="str" cm="1">
        <f t="array" aca="1" ref="L3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39" s="50"/>
      <c r="N339" s="30"/>
      <c r="O339" s="42">
        <f t="shared" si="16"/>
        <v>2024</v>
      </c>
      <c r="P339" s="42" t="str">
        <f t="shared" si="17"/>
        <v>202411340/2023</v>
      </c>
      <c r="Q339" s="42">
        <v>1</v>
      </c>
    </row>
    <row r="340" spans="1:17" ht="15" hidden="1">
      <c r="A340" s="46" t="s">
        <v>209</v>
      </c>
      <c r="B340" s="312" t="str">
        <f>IFERROR(INDEX(Projetos!$B$3:$B$129,MATCH(A340,Projetos!$A$3:$A$129,0))," ")</f>
        <v>Capacitação técnica para desenvolvedores nas tecnologias da PDPJ - BR</v>
      </c>
      <c r="C340" s="47"/>
      <c r="D340" s="48">
        <v>0.55500000000000005</v>
      </c>
      <c r="E340" s="48">
        <v>0.53100000000000003</v>
      </c>
      <c r="F340" s="49">
        <v>45439</v>
      </c>
      <c r="G340" s="125">
        <v>45413</v>
      </c>
      <c r="H340" s="28" t="str">
        <f t="shared" si="15"/>
        <v>01945/202245413</v>
      </c>
      <c r="I340" s="38">
        <f>IFERROR(INDEX(Projetos!$M$2:$M$129,MATCH(Atualizações!A340,Projetos!$A$2:$A$129,0))," ")</f>
        <v>45866</v>
      </c>
      <c r="J340" s="61"/>
      <c r="K340" s="344">
        <f>IFERROR(Tb_Atualizações[[#This Row],[% EXECUTADO]]/Tb_Atualizações[[#This Row],[% PREVISTO]],"0%")</f>
        <v>0.95675675675675675</v>
      </c>
      <c r="L340" s="31" t="str" cm="1">
        <f t="array" aca="1" ref="L3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0" s="50"/>
      <c r="N340" s="30"/>
      <c r="O340" s="42">
        <f t="shared" si="16"/>
        <v>2024</v>
      </c>
      <c r="P340" s="42" t="str">
        <f t="shared" si="17"/>
        <v>202401945/2022</v>
      </c>
      <c r="Q340" s="42">
        <v>1</v>
      </c>
    </row>
    <row r="341" spans="1:17" ht="30" hidden="1">
      <c r="A341" s="46" t="s">
        <v>479</v>
      </c>
      <c r="B341" s="312" t="str">
        <f>IFERROR(INDEX(Projetos!$B$3:$B$129,MATCH(A341,Projetos!$A$3:$A$129,0))," ")</f>
        <v>Data Lake</v>
      </c>
      <c r="C341" s="47"/>
      <c r="D341" s="48">
        <v>0.97</v>
      </c>
      <c r="E341" s="48">
        <v>0.82199999999999995</v>
      </c>
      <c r="F341" s="49">
        <v>45439</v>
      </c>
      <c r="G341" s="125">
        <v>45413</v>
      </c>
      <c r="H341" s="28" t="str">
        <f t="shared" si="15"/>
        <v>08547/202145413</v>
      </c>
      <c r="I341" s="38" t="str">
        <f>IFERROR(INDEX(Projetos!$M$2:$M$129,MATCH(Atualizações!A341,Projetos!$A$2:$A$129,0))," ")</f>
        <v>31/12/2024</v>
      </c>
      <c r="J341" s="61"/>
      <c r="K341" s="344">
        <f>IFERROR(Tb_Atualizações[[#This Row],[% EXECUTADO]]/Tb_Atualizações[[#This Row],[% PREVISTO]],"0%")</f>
        <v>0.84742268041237112</v>
      </c>
      <c r="L341" s="31" t="str" cm="1">
        <f t="array" aca="1" ref="L3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41" s="50"/>
      <c r="N341" s="30"/>
      <c r="O341" s="42">
        <f t="shared" si="16"/>
        <v>2024</v>
      </c>
      <c r="P341" s="42" t="str">
        <f t="shared" si="17"/>
        <v>202408547/2021</v>
      </c>
      <c r="Q341" s="42">
        <v>1</v>
      </c>
    </row>
    <row r="342" spans="1:17" ht="15" hidden="1">
      <c r="A342" s="46" t="s">
        <v>471</v>
      </c>
      <c r="B342" s="312" t="str">
        <f>IFERROR(INDEX(Projetos!$B$3:$B$129,MATCH(A342,Projetos!$A$3:$A$129,0))," ")</f>
        <v>Sinapses 5 - Capacitação Cursos EaD IA</v>
      </c>
      <c r="C342" s="47"/>
      <c r="D342" s="48">
        <v>0.94799999999999995</v>
      </c>
      <c r="E342" s="48">
        <v>0.94099999999999995</v>
      </c>
      <c r="F342" s="49">
        <v>45439</v>
      </c>
      <c r="G342" s="125">
        <v>45413</v>
      </c>
      <c r="H342" s="28" t="str">
        <f t="shared" si="15"/>
        <v>08543/202145413</v>
      </c>
      <c r="I342" s="38">
        <f>IFERROR(INDEX(Projetos!$M$2:$M$129,MATCH(Atualizações!A342,Projetos!$A$2:$A$129,0))," ")</f>
        <v>45716</v>
      </c>
      <c r="J342" s="61"/>
      <c r="K342" s="344">
        <f>IFERROR(Tb_Atualizações[[#This Row],[% EXECUTADO]]/Tb_Atualizações[[#This Row],[% PREVISTO]],"0%")</f>
        <v>0.9926160337552743</v>
      </c>
      <c r="L342" s="31" t="str" cm="1">
        <f t="array" aca="1" ref="L3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2" s="50"/>
      <c r="N342" s="30"/>
      <c r="O342" s="42">
        <f t="shared" si="16"/>
        <v>2024</v>
      </c>
      <c r="P342" s="42" t="str">
        <f t="shared" si="17"/>
        <v>202408543/2021</v>
      </c>
      <c r="Q342" s="42">
        <v>1</v>
      </c>
    </row>
    <row r="343" spans="1:17" ht="15" hidden="1">
      <c r="A343" s="46" t="s">
        <v>358</v>
      </c>
      <c r="B343" s="312" t="str">
        <f>IFERROR(INDEX(Projetos!$B$3:$B$129,MATCH(A343,Projetos!$A$3:$A$129,0))," ")</f>
        <v>Prevjud - Automação de Processos Previdenciários - Justiça 4.0</v>
      </c>
      <c r="C343" s="47"/>
      <c r="D343" s="48">
        <v>0.92600000000000005</v>
      </c>
      <c r="E343" s="48">
        <v>0.92800000000000005</v>
      </c>
      <c r="F343" s="49">
        <v>45440</v>
      </c>
      <c r="G343" s="125">
        <v>45413</v>
      </c>
      <c r="H343" s="28" t="str">
        <f t="shared" si="15"/>
        <v>03558/202145413</v>
      </c>
      <c r="I343" s="38" t="str">
        <f>IFERROR(INDEX(Projetos!$M$2:$M$129,MATCH(Atualizações!A343,Projetos!$A$2:$A$129,0))," ")</f>
        <v>31/03/2026</v>
      </c>
      <c r="J343" s="61"/>
      <c r="K343" s="344">
        <f>IFERROR(Tb_Atualizações[[#This Row],[% EXECUTADO]]/Tb_Atualizações[[#This Row],[% PREVISTO]],"0%")</f>
        <v>1.0021598272138228</v>
      </c>
      <c r="L343" s="31" t="str" cm="1">
        <f t="array" aca="1" ref="L3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3" s="50"/>
      <c r="N343" s="30"/>
      <c r="O343" s="42">
        <f t="shared" si="16"/>
        <v>2024</v>
      </c>
      <c r="P343" s="42" t="str">
        <f t="shared" si="17"/>
        <v>202403558/2021</v>
      </c>
      <c r="Q343" s="42">
        <v>1</v>
      </c>
    </row>
    <row r="344" spans="1:17" ht="15" hidden="1">
      <c r="A344" s="46" t="s">
        <v>570</v>
      </c>
      <c r="B344" s="312" t="str">
        <f>IFERROR(INDEX(Projetos!$B$3:$B$129,MATCH(A344,Projetos!$A$3:$A$129,0))," ")</f>
        <v>Repositório Anticorrupção e Tecnologia do Poder Judiciário</v>
      </c>
      <c r="C344" s="47"/>
      <c r="D344" s="48">
        <v>0.98099999999999998</v>
      </c>
      <c r="E344" s="48">
        <v>0.96299999999999997</v>
      </c>
      <c r="F344" s="49">
        <v>45440</v>
      </c>
      <c r="G344" s="125">
        <v>45413</v>
      </c>
      <c r="H344" s="28" t="str">
        <f t="shared" si="15"/>
        <v>10157/202245413</v>
      </c>
      <c r="I344" s="38">
        <f>IFERROR(INDEX(Projetos!$M$2:$M$129,MATCH(Atualizações!A344,Projetos!$A$2:$A$129,0))," ")</f>
        <v>45565</v>
      </c>
      <c r="J344" s="61" t="s">
        <v>1299</v>
      </c>
      <c r="K344" s="344">
        <f>IFERROR(Tb_Atualizações[[#This Row],[% EXECUTADO]]/Tb_Atualizações[[#This Row],[% PREVISTO]],"0%")</f>
        <v>0.98165137614678899</v>
      </c>
      <c r="L344" s="31" t="str" cm="1">
        <f t="array" aca="1" ref="L3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4" s="50"/>
      <c r="N344" s="30"/>
      <c r="O344" s="42">
        <f t="shared" si="16"/>
        <v>2024</v>
      </c>
      <c r="P344" s="42" t="str">
        <f t="shared" si="17"/>
        <v>202410157/2022</v>
      </c>
      <c r="Q344" s="42">
        <v>1</v>
      </c>
    </row>
    <row r="345" spans="1:17" ht="15" hidden="1">
      <c r="A345" s="46" t="s">
        <v>609</v>
      </c>
      <c r="B345" s="312" t="str">
        <f>IFERROR(INDEX(Projetos!$B$3:$B$129,MATCH(A345,Projetos!$A$3:$A$129,0))," ")</f>
        <v>SPVATJUD</v>
      </c>
      <c r="C345" s="47"/>
      <c r="D345" s="48">
        <v>0.91900000000000004</v>
      </c>
      <c r="E345" s="48">
        <v>0.89600000000000002</v>
      </c>
      <c r="F345" s="49">
        <v>45440</v>
      </c>
      <c r="G345" s="125">
        <v>45413</v>
      </c>
      <c r="H345" s="28" t="str">
        <f t="shared" si="15"/>
        <v>11270/202245413</v>
      </c>
      <c r="I345" s="38">
        <f>IFERROR(INDEX(Projetos!$M$2:$M$129,MATCH(Atualizações!A345,Projetos!$A$2:$A$129,0))," ")</f>
        <v>45716</v>
      </c>
      <c r="J345" s="61" t="s">
        <v>1300</v>
      </c>
      <c r="K345" s="344">
        <f>IFERROR(Tb_Atualizações[[#This Row],[% EXECUTADO]]/Tb_Atualizações[[#This Row],[% PREVISTO]],"0%")</f>
        <v>0.97497279651795432</v>
      </c>
      <c r="L345" s="31" t="str" cm="1">
        <f t="array" aca="1" ref="L3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5" s="50"/>
      <c r="N345" s="30"/>
      <c r="O345" s="42">
        <f t="shared" si="16"/>
        <v>2024</v>
      </c>
      <c r="P345" s="42" t="str">
        <f t="shared" si="17"/>
        <v>202411270/2022</v>
      </c>
      <c r="Q345" s="42">
        <v>1</v>
      </c>
    </row>
    <row r="346" spans="1:17" ht="30" hidden="1">
      <c r="A346" s="46" t="s">
        <v>425</v>
      </c>
      <c r="B346" s="312" t="str">
        <f>IFERROR(INDEX(Projetos!$B$3:$B$129,MATCH(A346,Projetos!$A$3:$A$129,0))," ")</f>
        <v>Diagnóstico sobre a otimização dos processos de trabalho no Poder Judiciário em face da implementação das Políticas Tecnológicas do Programa Justiça 4.0.</v>
      </c>
      <c r="C346" s="47"/>
      <c r="D346" s="48">
        <v>0.79900000000000004</v>
      </c>
      <c r="E346" s="48">
        <v>0.70599999999999996</v>
      </c>
      <c r="F346" s="49">
        <v>45441</v>
      </c>
      <c r="G346" s="125">
        <v>45413</v>
      </c>
      <c r="H346" s="28" t="str">
        <f t="shared" si="15"/>
        <v>06767/202245413</v>
      </c>
      <c r="I346" s="38">
        <f>IFERROR(INDEX(Projetos!$M$2:$M$129,MATCH(Atualizações!A346,Projetos!$A$2:$A$129,0))," ")</f>
        <v>45605</v>
      </c>
      <c r="J346" s="61"/>
      <c r="K346" s="344">
        <f>IFERROR(Tb_Atualizações[[#This Row],[% EXECUTADO]]/Tb_Atualizações[[#This Row],[% PREVISTO]],"0%")</f>
        <v>0.88360450563203996</v>
      </c>
      <c r="L346" s="31" t="str" cm="1">
        <f t="array" aca="1" ref="L3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46" s="50"/>
      <c r="N346" s="30"/>
      <c r="O346" s="42">
        <f t="shared" si="16"/>
        <v>2024</v>
      </c>
      <c r="P346" s="42" t="str">
        <f t="shared" si="17"/>
        <v>202406767/2022</v>
      </c>
      <c r="Q346" s="42">
        <v>1</v>
      </c>
    </row>
    <row r="347" spans="1:17" ht="19.5" hidden="1" customHeight="1">
      <c r="A347" s="46" t="s">
        <v>322</v>
      </c>
      <c r="B347" s="312" t="str">
        <f>IFERROR(INDEX(Projetos!$B$3:$B$129,MATCH(A347,Projetos!$A$3:$A$129,0))," ")</f>
        <v>SNGB - Sistema Nacional de Gestão de Bens</v>
      </c>
      <c r="C347" s="47"/>
      <c r="D347" s="48">
        <v>1</v>
      </c>
      <c r="E347" s="48">
        <v>0.98099999999999998</v>
      </c>
      <c r="F347" s="49">
        <v>45443</v>
      </c>
      <c r="G347" s="125">
        <v>45413</v>
      </c>
      <c r="H347" s="28" t="str">
        <f t="shared" si="15"/>
        <v>02938/202145413</v>
      </c>
      <c r="I347" s="38">
        <f>IFERROR(INDEX(Projetos!$M$2:$M$129,MATCH(Atualizações!A347,Projetos!$A$2:$A$129,0))," ")</f>
        <v>45519</v>
      </c>
      <c r="J347" s="61"/>
      <c r="K347" s="344">
        <f>IFERROR(Tb_Atualizações[[#This Row],[% EXECUTADO]]/Tb_Atualizações[[#This Row],[% PREVISTO]],"0%")</f>
        <v>0.98099999999999998</v>
      </c>
      <c r="L347" s="31" t="str" cm="1">
        <f t="array" aca="1" ref="L3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47" s="50"/>
      <c r="N347" s="30"/>
      <c r="O347" s="42">
        <f t="shared" si="16"/>
        <v>2024</v>
      </c>
      <c r="P347" s="42" t="str">
        <f t="shared" si="17"/>
        <v>202402938/2021</v>
      </c>
      <c r="Q347" s="42">
        <v>1</v>
      </c>
    </row>
    <row r="348" spans="1:17" ht="15" hidden="1">
      <c r="A348" s="46" t="s">
        <v>160</v>
      </c>
      <c r="B348" s="312" t="str">
        <f>IFERROR(INDEX(Projetos!$B$3:$B$129,MATCH(A348,Projetos!$A$3:$A$129,0))," ")</f>
        <v>Domicílio Judicial Eletrônico</v>
      </c>
      <c r="C348" s="47"/>
      <c r="D348" s="48">
        <v>0.98199999999999998</v>
      </c>
      <c r="E348" s="48">
        <v>0.92600000000000005</v>
      </c>
      <c r="F348" s="49">
        <v>45446</v>
      </c>
      <c r="G348" s="125">
        <v>45413</v>
      </c>
      <c r="H348" s="28" t="str">
        <f t="shared" si="15"/>
        <v>01487/202245413</v>
      </c>
      <c r="I348" s="38">
        <f>IFERROR(INDEX(Projetos!$M$2:$M$129,MATCH(Atualizações!A348,Projetos!$A$2:$A$129,0))," ")</f>
        <v>45566</v>
      </c>
      <c r="J348" s="61"/>
      <c r="K348" s="344">
        <f>IFERROR(Tb_Atualizações[[#This Row],[% EXECUTADO]]/Tb_Atualizações[[#This Row],[% PREVISTO]],"0%")</f>
        <v>0.94297352342158869</v>
      </c>
      <c r="L348" s="31" t="str" cm="1">
        <f t="array" aca="1" ref="L3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48" s="50"/>
      <c r="N348" s="30"/>
      <c r="O348" s="42">
        <f t="shared" si="16"/>
        <v>2024</v>
      </c>
      <c r="P348" s="42" t="str">
        <f t="shared" si="17"/>
        <v>202401487/2022</v>
      </c>
      <c r="Q348" s="42">
        <v>1</v>
      </c>
    </row>
    <row r="349" spans="1:17" ht="15" hidden="1">
      <c r="A349" s="46" t="s">
        <v>160</v>
      </c>
      <c r="B349" s="312" t="str">
        <f>IFERROR(INDEX(Projetos!$B$3:$B$129,MATCH(A349,Projetos!$A$3:$A$129,0))," ")</f>
        <v>Domicílio Judicial Eletrônico</v>
      </c>
      <c r="C349" s="47"/>
      <c r="D349" s="48">
        <v>0.98199999999999998</v>
      </c>
      <c r="E349" s="48">
        <v>0.92600000000000005</v>
      </c>
      <c r="F349" s="49">
        <v>45446</v>
      </c>
      <c r="G349" s="125">
        <v>45413</v>
      </c>
      <c r="H349" s="46" t="str">
        <f t="shared" si="15"/>
        <v>01487/202245413</v>
      </c>
      <c r="I349" s="38">
        <f>IFERROR(INDEX(Projetos!$M$2:$M$129,MATCH(Atualizações!A349,Projetos!$A$2:$A$129,0))," ")</f>
        <v>45566</v>
      </c>
      <c r="J349" s="61"/>
      <c r="K349" s="344">
        <f>IFERROR(Tb_Atualizações[[#This Row],[% EXECUTADO]]/Tb_Atualizações[[#This Row],[% PREVISTO]],"0%")</f>
        <v>0.94297352342158869</v>
      </c>
      <c r="L349" s="31" t="str" cm="1">
        <f t="array" aca="1" ref="L3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49" s="50"/>
      <c r="N349" s="30"/>
      <c r="O349" s="42">
        <f t="shared" si="16"/>
        <v>2024</v>
      </c>
      <c r="P349" s="42" t="str">
        <f t="shared" si="17"/>
        <v>202401487/2022</v>
      </c>
      <c r="Q349" s="42">
        <v>1</v>
      </c>
    </row>
    <row r="350" spans="1:17" ht="30" hidden="1">
      <c r="A350" s="46" t="s">
        <v>376</v>
      </c>
      <c r="B350" s="312" t="str">
        <f>IFERROR(INDEX(Projetos!$B$3:$B$129,MATCH(A350,Projetos!$A$3:$A$129,0))," ")</f>
        <v>Nacionalização SAREF - Sistema de Apresentação Remota por Reconhecimento Facial</v>
      </c>
      <c r="C350" s="47"/>
      <c r="D350" s="48">
        <v>0.92500000000000004</v>
      </c>
      <c r="E350" s="48">
        <v>0.48</v>
      </c>
      <c r="F350" s="49">
        <v>45446</v>
      </c>
      <c r="G350" s="125">
        <v>45413</v>
      </c>
      <c r="H350" s="28" t="str">
        <f t="shared" si="15"/>
        <v>03924/202345413</v>
      </c>
      <c r="I350" s="38">
        <f>IFERROR(INDEX(Projetos!$M$2:$M$129,MATCH(Atualizações!A350,Projetos!$A$2:$A$129,0))," ")</f>
        <v>45565</v>
      </c>
      <c r="J350" s="61"/>
      <c r="K350" s="344">
        <f>IFERROR(Tb_Atualizações[[#This Row],[% EXECUTADO]]/Tb_Atualizações[[#This Row],[% PREVISTO]],"0%")</f>
        <v>0.51891891891891884</v>
      </c>
      <c r="L350" s="31" t="str" cm="1">
        <f t="array" aca="1" ref="L3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50" s="50"/>
      <c r="N350" s="30"/>
      <c r="O350" s="42">
        <f t="shared" si="16"/>
        <v>2024</v>
      </c>
      <c r="P350" s="42" t="str">
        <f t="shared" si="17"/>
        <v>202403924/2023</v>
      </c>
      <c r="Q350" s="42">
        <v>1</v>
      </c>
    </row>
    <row r="351" spans="1:17" ht="15" hidden="1">
      <c r="A351" s="46" t="s">
        <v>273</v>
      </c>
      <c r="B351" s="312" t="str">
        <f>IFERROR(INDEX(Projetos!$B$3:$B$129,MATCH(A351,Projetos!$A$3:$A$129,0))," ")</f>
        <v>SNA – Novo Sistema Nacional de Adoção e Acolhimento</v>
      </c>
      <c r="C351" s="47"/>
      <c r="D351" s="48">
        <v>0</v>
      </c>
      <c r="E351" s="48">
        <v>0</v>
      </c>
      <c r="F351" s="49">
        <v>45446</v>
      </c>
      <c r="G351" s="125">
        <v>45413</v>
      </c>
      <c r="H351" s="28" t="str">
        <f t="shared" si="15"/>
        <v>02483/202345413</v>
      </c>
      <c r="I351" s="38">
        <f>IFERROR(INDEX(Projetos!$M$2:$M$129,MATCH(Atualizações!A351,Projetos!$A$2:$A$129,0))," ")</f>
        <v>46022</v>
      </c>
      <c r="J351" s="61"/>
      <c r="K351" s="344" t="str">
        <f>IFERROR(Tb_Atualizações[[#This Row],[% EXECUTADO]]/Tb_Atualizações[[#This Row],[% PREVISTO]],"0%")</f>
        <v>0%</v>
      </c>
      <c r="L351" s="31" t="str" cm="1">
        <f t="array" aca="1" ref="L3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51" s="50"/>
      <c r="N351" s="30"/>
      <c r="O351" s="42">
        <f t="shared" si="16"/>
        <v>2024</v>
      </c>
      <c r="P351" s="42" t="str">
        <f t="shared" si="17"/>
        <v>202402483/2023</v>
      </c>
      <c r="Q351" s="42">
        <v>1</v>
      </c>
    </row>
    <row r="352" spans="1:17" ht="15" hidden="1">
      <c r="A352" s="46" t="s">
        <v>668</v>
      </c>
      <c r="B352" s="312" t="str">
        <f>IFERROR(INDEX(Projetos!$B$3:$B$129,MATCH(A352,Projetos!$A$3:$A$129,0))," ")</f>
        <v>Selo Linguagem Simples</v>
      </c>
      <c r="C352" s="50"/>
      <c r="D352" s="48">
        <v>0</v>
      </c>
      <c r="E352" s="48">
        <v>0</v>
      </c>
      <c r="F352" s="49">
        <v>45446</v>
      </c>
      <c r="G352" s="28">
        <v>45474</v>
      </c>
      <c r="H352" s="28" t="str">
        <f t="shared" si="15"/>
        <v>11821/202445474</v>
      </c>
      <c r="I352" s="38">
        <f>IFERROR(INDEX(Projetos!$M$2:$M$129,MATCH(Atualizações!A352,Projetos!$A$2:$A$129,0))," ")</f>
        <v>45581</v>
      </c>
      <c r="J352" s="61"/>
      <c r="K352" s="344" t="str">
        <f>IFERROR(Tb_Atualizações[[#This Row],[% EXECUTADO]]/Tb_Atualizações[[#This Row],[% PREVISTO]],"0%")</f>
        <v>0%</v>
      </c>
      <c r="L352" s="31" t="str" cm="1">
        <f t="array" aca="1" ref="L3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52" s="50"/>
      <c r="N352" s="30"/>
      <c r="O352" s="42">
        <f t="shared" si="16"/>
        <v>2024</v>
      </c>
      <c r="P352" s="42" t="str">
        <f t="shared" si="17"/>
        <v>202411821/2024</v>
      </c>
      <c r="Q352" s="42">
        <v>1</v>
      </c>
    </row>
    <row r="353" spans="1:17" ht="15" hidden="1">
      <c r="A353" s="49" t="s">
        <v>615</v>
      </c>
      <c r="B353" s="312" t="str">
        <f>IFERROR(INDEX(Projetos!$B$3:$B$129,MATCH(A353,Projetos!$A$3:$A$129,0))," ")</f>
        <v>Polícia Judicial Amiga dos Autistas</v>
      </c>
      <c r="C353" s="47"/>
      <c r="D353" s="48">
        <v>0.63600000000000001</v>
      </c>
      <c r="E353" s="48">
        <v>0.63100000000000001</v>
      </c>
      <c r="F353" s="49">
        <v>45448</v>
      </c>
      <c r="G353" s="125">
        <v>45413</v>
      </c>
      <c r="H353" s="28" t="str">
        <f t="shared" si="15"/>
        <v>11340/202345413</v>
      </c>
      <c r="I353" s="38">
        <f>IFERROR(INDEX(Projetos!$M$2:$M$129,MATCH(Atualizações!A353,Projetos!$A$2:$A$129,0))," ")</f>
        <v>45688</v>
      </c>
      <c r="J353" s="61"/>
      <c r="K353" s="344">
        <f>IFERROR(Tb_Atualizações[[#This Row],[% EXECUTADO]]/Tb_Atualizações[[#This Row],[% PREVISTO]],"0%")</f>
        <v>0.99213836477987416</v>
      </c>
      <c r="L353" s="31" t="str" cm="1">
        <f t="array" aca="1" ref="L3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53" s="50"/>
      <c r="N353" s="30"/>
      <c r="O353" s="42">
        <f t="shared" si="16"/>
        <v>2024</v>
      </c>
      <c r="P353" s="42" t="str">
        <f t="shared" si="17"/>
        <v>202411340/2023</v>
      </c>
      <c r="Q353" s="42">
        <v>1</v>
      </c>
    </row>
    <row r="354" spans="1:17" ht="30" hidden="1">
      <c r="A354" s="46" t="s">
        <v>495</v>
      </c>
      <c r="B354" s="312" t="str">
        <f>IFERROR(INDEX(Projetos!$B$3:$B$129,MATCH(A354,Projetos!$A$3:$A$129,0))," ")</f>
        <v>Pesquisa IA 2023 - Mapeamento dos projetos de Inteligência Artificial em desenvolvimento pelos tribunais brasileiros</v>
      </c>
      <c r="C354" s="47"/>
      <c r="D354" s="48">
        <v>0.98899999999999999</v>
      </c>
      <c r="E354" s="48">
        <v>0.93300000000000005</v>
      </c>
      <c r="F354" s="49">
        <v>45449</v>
      </c>
      <c r="G354" s="125">
        <v>45413</v>
      </c>
      <c r="H354" s="28" t="str">
        <f t="shared" si="15"/>
        <v>08690/202345413</v>
      </c>
      <c r="I354" s="38">
        <f>IFERROR(INDEX(Projetos!$M$2:$M$129,MATCH(Atualizações!A354,Projetos!$A$2:$A$129,0))," ")</f>
        <v>45487</v>
      </c>
      <c r="J354" s="61"/>
      <c r="K354" s="344">
        <f>IFERROR(Tb_Atualizações[[#This Row],[% EXECUTADO]]/Tb_Atualizações[[#This Row],[% PREVISTO]],"0%")</f>
        <v>0.9433771486349849</v>
      </c>
      <c r="L354" s="31" t="str" cm="1">
        <f t="array" aca="1" ref="L3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54" s="50"/>
      <c r="N354" s="30"/>
      <c r="O354" s="42">
        <f t="shared" si="16"/>
        <v>2024</v>
      </c>
      <c r="P354" s="42" t="str">
        <f t="shared" si="17"/>
        <v>202408690/2023</v>
      </c>
      <c r="Q354" s="42">
        <v>1</v>
      </c>
    </row>
    <row r="355" spans="1:17" ht="30" hidden="1">
      <c r="A355" s="46" t="s">
        <v>495</v>
      </c>
      <c r="B355" s="312" t="str">
        <f>IFERROR(INDEX(Projetos!$B$3:$B$129,MATCH(A355,Projetos!$A$3:$A$129,0))," ")</f>
        <v>Pesquisa IA 2023 - Mapeamento dos projetos de Inteligência Artificial em desenvolvimento pelos tribunais brasileiros</v>
      </c>
      <c r="C355" s="47"/>
      <c r="D355" s="48">
        <v>0.98899999999999999</v>
      </c>
      <c r="E355" s="48">
        <v>0.93300000000000005</v>
      </c>
      <c r="F355" s="49">
        <v>45449</v>
      </c>
      <c r="G355" s="125">
        <v>45413</v>
      </c>
      <c r="H355" s="28" t="str">
        <f t="shared" si="15"/>
        <v>08690/202345413</v>
      </c>
      <c r="I355" s="38">
        <f>IFERROR(INDEX(Projetos!$M$2:$M$129,MATCH(Atualizações!A355,Projetos!$A$2:$A$129,0))," ")</f>
        <v>45487</v>
      </c>
      <c r="J355" s="61"/>
      <c r="K355" s="344">
        <f>IFERROR(Tb_Atualizações[[#This Row],[% EXECUTADO]]/Tb_Atualizações[[#This Row],[% PREVISTO]],"0%")</f>
        <v>0.9433771486349849</v>
      </c>
      <c r="L355" s="31" t="str" cm="1">
        <f t="array" aca="1" ref="L3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55" s="50"/>
      <c r="N355" s="30"/>
      <c r="O355" s="42">
        <f t="shared" si="16"/>
        <v>2024</v>
      </c>
      <c r="P355" s="42" t="str">
        <f t="shared" si="17"/>
        <v>202408690/2023</v>
      </c>
      <c r="Q355" s="42">
        <v>1</v>
      </c>
    </row>
    <row r="356" spans="1:17" ht="15" hidden="1">
      <c r="A356" s="46" t="s">
        <v>141</v>
      </c>
      <c r="B356" s="312" t="str">
        <f>IFERROR(INDEX(Projetos!$B$3:$B$129,MATCH(A356,Projetos!$A$3:$A$129,0))," ")</f>
        <v>6ª edição da Série Justiça e pesquisa</v>
      </c>
      <c r="C356" s="47"/>
      <c r="D356" s="48">
        <v>0.88</v>
      </c>
      <c r="E356" s="48">
        <v>0.88</v>
      </c>
      <c r="F356" s="49">
        <v>45453</v>
      </c>
      <c r="G356" s="125">
        <v>45413</v>
      </c>
      <c r="H356" s="28" t="str">
        <f t="shared" si="15"/>
        <v>01179/202345413</v>
      </c>
      <c r="I356" s="38">
        <f>IFERROR(INDEX(Projetos!$M$2:$M$129,MATCH(Atualizações!A356,Projetos!$A$2:$A$129,0))," ")</f>
        <v>45597</v>
      </c>
      <c r="J356" s="61"/>
      <c r="K356" s="344">
        <f>IFERROR(Tb_Atualizações[[#This Row],[% EXECUTADO]]/Tb_Atualizações[[#This Row],[% PREVISTO]],"0%")</f>
        <v>1</v>
      </c>
      <c r="L356" s="31" t="str" cm="1">
        <f t="array" aca="1" ref="L3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56" s="50"/>
      <c r="N356" s="30"/>
      <c r="O356" s="42">
        <f t="shared" si="16"/>
        <v>2024</v>
      </c>
      <c r="P356" s="42" t="str">
        <f t="shared" si="17"/>
        <v>202401179/2023</v>
      </c>
      <c r="Q356" s="42">
        <v>1</v>
      </c>
    </row>
    <row r="357" spans="1:17" ht="15" hidden="1">
      <c r="A357" s="46" t="s">
        <v>384</v>
      </c>
      <c r="B357" s="312" t="str">
        <f>IFERROR(INDEX(Projetos!$B$3:$B$129,MATCH(A357,Projetos!$A$3:$A$129,0))," ")</f>
        <v>Integra - Serviço de Monitoramento de Atos do CNJ</v>
      </c>
      <c r="C357" s="47"/>
      <c r="D357" s="48">
        <v>0.21</v>
      </c>
      <c r="E357" s="48">
        <v>0.21</v>
      </c>
      <c r="F357" s="49">
        <v>45463</v>
      </c>
      <c r="G357" s="125">
        <v>45444</v>
      </c>
      <c r="H357" s="28" t="str">
        <f t="shared" si="15"/>
        <v>04137/202445444</v>
      </c>
      <c r="I357" s="38">
        <f>IFERROR(INDEX(Projetos!$M$2:$M$129,MATCH(Atualizações!A357,Projetos!$A$2:$A$129,0))," ")</f>
        <v>46285</v>
      </c>
      <c r="J357" s="61"/>
      <c r="K357" s="344">
        <f>IFERROR(Tb_Atualizações[[#This Row],[% EXECUTADO]]/Tb_Atualizações[[#This Row],[% PREVISTO]],"0%")</f>
        <v>1</v>
      </c>
      <c r="L357" s="31" t="str" cm="1">
        <f t="array" aca="1" ref="L3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57" s="50"/>
      <c r="N357" s="30"/>
      <c r="O357" s="42">
        <f t="shared" si="16"/>
        <v>2024</v>
      </c>
      <c r="P357" s="42" t="str">
        <f t="shared" si="17"/>
        <v>202404137/2024</v>
      </c>
      <c r="Q357" s="42">
        <v>1</v>
      </c>
    </row>
    <row r="358" spans="1:17" ht="15" hidden="1">
      <c r="A358" s="46" t="s">
        <v>479</v>
      </c>
      <c r="B358" s="312" t="str">
        <f>IFERROR(INDEX(Projetos!$B$3:$B$129,MATCH(A358,Projetos!$A$3:$A$129,0))," ")</f>
        <v>Data Lake</v>
      </c>
      <c r="C358" s="47"/>
      <c r="D358" s="48">
        <v>0.77900000000000003</v>
      </c>
      <c r="E358" s="48">
        <v>0.79600000000000004</v>
      </c>
      <c r="F358" s="49">
        <v>45464</v>
      </c>
      <c r="G358" s="125">
        <v>45444</v>
      </c>
      <c r="H358" s="28" t="str">
        <f t="shared" si="15"/>
        <v>08547/202145444</v>
      </c>
      <c r="I358" s="38" t="str">
        <f>IFERROR(INDEX(Projetos!$M$2:$M$129,MATCH(Atualizações!A358,Projetos!$A$2:$A$129,0))," ")</f>
        <v>31/12/2024</v>
      </c>
      <c r="J358" s="61"/>
      <c r="K358" s="344">
        <f>IFERROR(Tb_Atualizações[[#This Row],[% EXECUTADO]]/Tb_Atualizações[[#This Row],[% PREVISTO]],"0%")</f>
        <v>1.0218228498074455</v>
      </c>
      <c r="L358" s="31" t="str" cm="1">
        <f t="array" aca="1" ref="L3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58" s="50"/>
      <c r="N358" s="30"/>
      <c r="O358" s="42">
        <f t="shared" si="16"/>
        <v>2024</v>
      </c>
      <c r="P358" s="42" t="str">
        <f t="shared" si="17"/>
        <v>202408547/2021</v>
      </c>
      <c r="Q358" s="42">
        <v>1</v>
      </c>
    </row>
    <row r="359" spans="1:17" ht="15" hidden="1">
      <c r="A359" s="46" t="s">
        <v>70</v>
      </c>
      <c r="B359" s="312" t="str">
        <f>IFERROR(INDEX(Projetos!$B$3:$B$129,MATCH(A359,Projetos!$A$3:$A$129,0))," ")</f>
        <v>Mapa Nacional do Tribunal do Júri</v>
      </c>
      <c r="C359" s="47"/>
      <c r="D359" s="48">
        <v>0.41</v>
      </c>
      <c r="E359" s="48">
        <v>0.41</v>
      </c>
      <c r="F359" s="49">
        <v>45467</v>
      </c>
      <c r="G359" s="125">
        <v>45444</v>
      </c>
      <c r="H359" s="28" t="str">
        <f t="shared" si="15"/>
        <v>00139/202445444</v>
      </c>
      <c r="I359" s="38">
        <f>IFERROR(INDEX(Projetos!$M$2:$M$129,MATCH(Atualizações!A359,Projetos!$A$2:$A$129,0))," ")</f>
        <v>46658</v>
      </c>
      <c r="J359" s="61"/>
      <c r="K359" s="344">
        <f>IFERROR(Tb_Atualizações[[#This Row],[% EXECUTADO]]/Tb_Atualizações[[#This Row],[% PREVISTO]],"0%")</f>
        <v>1</v>
      </c>
      <c r="L359" s="31" t="str" cm="1">
        <f t="array" aca="1" ref="L3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59" s="50"/>
      <c r="N359" s="30"/>
      <c r="O359" s="42">
        <f t="shared" si="16"/>
        <v>2024</v>
      </c>
      <c r="P359" s="42" t="str">
        <f t="shared" si="17"/>
        <v>202400139/2024</v>
      </c>
      <c r="Q359" s="42">
        <v>1</v>
      </c>
    </row>
    <row r="360" spans="1:17" ht="15" hidden="1">
      <c r="A360" s="46" t="s">
        <v>209</v>
      </c>
      <c r="B360" s="312" t="str">
        <f>IFERROR(INDEX(Projetos!$B$3:$B$129,MATCH(A360,Projetos!$A$3:$A$129,0))," ")</f>
        <v>Capacitação técnica para desenvolvedores nas tecnologias da PDPJ - BR</v>
      </c>
      <c r="C360" s="47"/>
      <c r="D360" s="48">
        <v>0.60699999999999998</v>
      </c>
      <c r="E360" s="48">
        <v>0.60699999999999998</v>
      </c>
      <c r="F360" s="49">
        <v>45470</v>
      </c>
      <c r="G360" s="125">
        <v>45444</v>
      </c>
      <c r="H360" s="28" t="str">
        <f t="shared" si="15"/>
        <v>01945/202245444</v>
      </c>
      <c r="I360" s="38">
        <f>IFERROR(INDEX(Projetos!$M$2:$M$129,MATCH(Atualizações!A360,Projetos!$A$2:$A$129,0))," ")</f>
        <v>45866</v>
      </c>
      <c r="J360" s="61"/>
      <c r="K360" s="344">
        <f>IFERROR(Tb_Atualizações[[#This Row],[% EXECUTADO]]/Tb_Atualizações[[#This Row],[% PREVISTO]],"0%")</f>
        <v>1</v>
      </c>
      <c r="L360" s="31" t="str" cm="1">
        <f t="array" aca="1" ref="L3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60" s="50"/>
      <c r="N360" s="30"/>
      <c r="O360" s="42">
        <f t="shared" si="16"/>
        <v>2024</v>
      </c>
      <c r="P360" s="42" t="str">
        <f t="shared" si="17"/>
        <v>202401945/2022</v>
      </c>
      <c r="Q360" s="42">
        <v>1</v>
      </c>
    </row>
    <row r="361" spans="1:17" ht="15" hidden="1">
      <c r="A361" s="51" t="s">
        <v>358</v>
      </c>
      <c r="B361" s="312" t="str">
        <f>IFERROR(INDEX(Projetos!$B$3:$B$129,MATCH(A361,Projetos!$A$3:$A$129,0))," ")</f>
        <v>Prevjud - Automação de Processos Previdenciários - Justiça 4.0</v>
      </c>
      <c r="C361" s="47"/>
      <c r="D361" s="48">
        <v>0.93100000000000005</v>
      </c>
      <c r="E361" s="48">
        <v>0.92800000000000005</v>
      </c>
      <c r="F361" s="49">
        <v>45470</v>
      </c>
      <c r="G361" s="125">
        <v>45444</v>
      </c>
      <c r="H361" s="28" t="str">
        <f t="shared" si="15"/>
        <v>03558/202145444</v>
      </c>
      <c r="I361" s="38" t="str">
        <f>IFERROR(INDEX(Projetos!$M$2:$M$129,MATCH(Atualizações!A361,Projetos!$A$2:$A$129,0))," ")</f>
        <v>31/03/2026</v>
      </c>
      <c r="J361" s="61"/>
      <c r="K361" s="344">
        <f>IFERROR(Tb_Atualizações[[#This Row],[% EXECUTADO]]/Tb_Atualizações[[#This Row],[% PREVISTO]],"0%")</f>
        <v>0.99677765843179378</v>
      </c>
      <c r="L361" s="31" t="str" cm="1">
        <f t="array" aca="1" ref="L3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61" s="50"/>
      <c r="N361" s="30"/>
      <c r="O361" s="42">
        <f t="shared" si="16"/>
        <v>2024</v>
      </c>
      <c r="P361" s="42" t="str">
        <f t="shared" si="17"/>
        <v>202403558/2021</v>
      </c>
      <c r="Q361" s="42">
        <v>1</v>
      </c>
    </row>
    <row r="362" spans="1:17" ht="15" hidden="1">
      <c r="A362" s="46" t="s">
        <v>471</v>
      </c>
      <c r="B362" s="312" t="str">
        <f>IFERROR(INDEX(Projetos!$B$3:$B$129,MATCH(A362,Projetos!$A$3:$A$129,0))," ")</f>
        <v>Sinapses 5 - Capacitação Cursos EaD IA</v>
      </c>
      <c r="C362" s="47"/>
      <c r="D362" s="48">
        <v>0.89200000000000002</v>
      </c>
      <c r="E362" s="48">
        <v>0.88300000000000001</v>
      </c>
      <c r="F362" s="49">
        <v>45470</v>
      </c>
      <c r="G362" s="125">
        <v>45444</v>
      </c>
      <c r="H362" s="28" t="str">
        <f t="shared" si="15"/>
        <v>08543/202145444</v>
      </c>
      <c r="I362" s="38">
        <f>IFERROR(INDEX(Projetos!$M$2:$M$129,MATCH(Atualizações!A362,Projetos!$A$2:$A$129,0))," ")</f>
        <v>45716</v>
      </c>
      <c r="J362" s="61"/>
      <c r="K362" s="344">
        <f>IFERROR(Tb_Atualizações[[#This Row],[% EXECUTADO]]/Tb_Atualizações[[#This Row],[% PREVISTO]],"0%")</f>
        <v>0.98991031390134532</v>
      </c>
      <c r="L362" s="31" t="str" cm="1">
        <f t="array" aca="1" ref="L3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62" s="50"/>
      <c r="N362" s="30"/>
      <c r="O362" s="42">
        <f t="shared" si="16"/>
        <v>2024</v>
      </c>
      <c r="P362" s="42" t="str">
        <f t="shared" si="17"/>
        <v>202408543/2021</v>
      </c>
      <c r="Q362" s="42">
        <v>1</v>
      </c>
    </row>
    <row r="363" spans="1:17" ht="15" hidden="1">
      <c r="A363" s="46" t="s">
        <v>257</v>
      </c>
      <c r="B363" s="312" t="str">
        <f>IFERROR(INDEX(Projetos!$B$3:$B$129,MATCH(A363,Projetos!$A$3:$A$129,0))," ")</f>
        <v>SisPreq – Sistema de Precatórios e Requisições de Pequeno Valor</v>
      </c>
      <c r="C363" s="47"/>
      <c r="D363" s="48">
        <v>0.193</v>
      </c>
      <c r="E363" s="48">
        <v>0.17499999999999999</v>
      </c>
      <c r="F363" s="49">
        <v>45470</v>
      </c>
      <c r="G363" s="125">
        <v>45444</v>
      </c>
      <c r="H363" s="28" t="str">
        <f t="shared" si="15"/>
        <v>02465/202445444</v>
      </c>
      <c r="I363" s="38" t="str">
        <f>IFERROR(INDEX(Projetos!$M$2:$M$129,MATCH(Atualizações!A363,Projetos!$A$2:$A$129,0))," ")</f>
        <v>15/12/2026</v>
      </c>
      <c r="J363" s="61"/>
      <c r="K363" s="344">
        <f>IFERROR(Tb_Atualizações[[#This Row],[% EXECUTADO]]/Tb_Atualizações[[#This Row],[% PREVISTO]],"0%")</f>
        <v>0.90673575129533668</v>
      </c>
      <c r="L363" s="31" t="str" cm="1">
        <f t="array" aca="1" ref="L3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63" s="50"/>
      <c r="N363" s="30"/>
      <c r="O363" s="42">
        <f t="shared" si="16"/>
        <v>2024</v>
      </c>
      <c r="P363" s="42" t="str">
        <f t="shared" si="17"/>
        <v>202402465/2024</v>
      </c>
      <c r="Q363" s="42">
        <v>1</v>
      </c>
    </row>
    <row r="364" spans="1:17" ht="30" hidden="1">
      <c r="A364" s="46" t="s">
        <v>425</v>
      </c>
      <c r="B364" s="312" t="str">
        <f>IFERROR(INDEX(Projetos!$B$3:$B$129,MATCH(A364,Projetos!$A$3:$A$129,0))," ")</f>
        <v>Diagnóstico sobre a otimização dos processos de trabalho no Poder Judiciário em face da implementação das Políticas Tecnológicas do Programa Justiça 4.0.</v>
      </c>
      <c r="C364" s="47"/>
      <c r="D364" s="48">
        <v>0.84699999999999998</v>
      </c>
      <c r="E364" s="48">
        <v>0.70799999999999996</v>
      </c>
      <c r="F364" s="49">
        <v>45471</v>
      </c>
      <c r="G364" s="125">
        <v>45444</v>
      </c>
      <c r="H364" s="28" t="str">
        <f t="shared" si="15"/>
        <v>06767/202245444</v>
      </c>
      <c r="I364" s="38">
        <f>IFERROR(INDEX(Projetos!$M$2:$M$129,MATCH(Atualizações!A364,Projetos!$A$2:$A$129,0))," ")</f>
        <v>45605</v>
      </c>
      <c r="J364" s="61"/>
      <c r="K364" s="344">
        <f>IFERROR(Tb_Atualizações[[#This Row],[% EXECUTADO]]/Tb_Atualizações[[#This Row],[% PREVISTO]],"0%")</f>
        <v>0.83589138134592678</v>
      </c>
      <c r="L364" s="31" t="str" cm="1">
        <f t="array" aca="1" ref="L3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64" s="50"/>
      <c r="N364" s="30"/>
      <c r="O364" s="42">
        <f t="shared" si="16"/>
        <v>2024</v>
      </c>
      <c r="P364" s="42" t="str">
        <f t="shared" si="17"/>
        <v>202406767/2022</v>
      </c>
      <c r="Q364" s="42">
        <v>1</v>
      </c>
    </row>
    <row r="365" spans="1:17" ht="15" hidden="1">
      <c r="A365" s="46" t="s">
        <v>160</v>
      </c>
      <c r="B365" s="312" t="str">
        <f>IFERROR(INDEX(Projetos!$B$3:$B$129,MATCH(A365,Projetos!$A$3:$A$129,0))," ")</f>
        <v>Domicílio Judicial Eletrônico</v>
      </c>
      <c r="C365" s="47"/>
      <c r="D365" s="48">
        <v>0.98899999999999999</v>
      </c>
      <c r="E365" s="48">
        <v>0.92700000000000005</v>
      </c>
      <c r="F365" s="49">
        <v>45471</v>
      </c>
      <c r="G365" s="125">
        <v>45444</v>
      </c>
      <c r="H365" s="28" t="str">
        <f t="shared" si="15"/>
        <v>01487/202245444</v>
      </c>
      <c r="I365" s="38">
        <f>IFERROR(INDEX(Projetos!$M$2:$M$129,MATCH(Atualizações!A365,Projetos!$A$2:$A$129,0))," ")</f>
        <v>45566</v>
      </c>
      <c r="J365" s="61"/>
      <c r="K365" s="344">
        <f>IFERROR(Tb_Atualizações[[#This Row],[% EXECUTADO]]/Tb_Atualizações[[#This Row],[% PREVISTO]],"0%")</f>
        <v>0.93731041456016184</v>
      </c>
      <c r="L365" s="31" t="str" cm="1">
        <f t="array" aca="1" ref="L3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65" s="50"/>
      <c r="N365" s="30"/>
      <c r="O365" s="42">
        <f t="shared" si="16"/>
        <v>2024</v>
      </c>
      <c r="P365" s="42" t="str">
        <f t="shared" si="17"/>
        <v>202401487/2022</v>
      </c>
      <c r="Q365" s="42">
        <v>1</v>
      </c>
    </row>
    <row r="366" spans="1:17" ht="15" hidden="1">
      <c r="A366" s="385" t="s">
        <v>298</v>
      </c>
      <c r="B366" s="312" t="str">
        <f>IFERROR(INDEX(Projetos!$B$3:$B$129,MATCH(A366,Projetos!$A$3:$A$129,0))," ")</f>
        <v>Propagar - Inclusão, Acessibilidade, Justiça e Cidadania</v>
      </c>
      <c r="C366" s="47"/>
      <c r="D366" s="48">
        <v>0.96879999999999999</v>
      </c>
      <c r="E366" s="48">
        <v>0.96879999999999999</v>
      </c>
      <c r="F366" s="49">
        <v>45471</v>
      </c>
      <c r="G366" s="125">
        <v>45444</v>
      </c>
      <c r="H366" s="28" t="str">
        <f t="shared" si="15"/>
        <v>02660/202345444</v>
      </c>
      <c r="I366" s="38">
        <f>IFERROR(INDEX(Projetos!$M$2:$M$129,MATCH(Atualizações!A366,Projetos!$A$2:$A$129,0))," ")</f>
        <v>45485</v>
      </c>
      <c r="J366" s="61"/>
      <c r="K366" s="344">
        <f>IFERROR(Tb_Atualizações[[#This Row],[% EXECUTADO]]/Tb_Atualizações[[#This Row],[% PREVISTO]],"0%")</f>
        <v>1</v>
      </c>
      <c r="L366" s="31" t="str" cm="1">
        <f t="array" aca="1" ref="L3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66" s="50"/>
      <c r="N366" s="30"/>
      <c r="O366" s="42">
        <f t="shared" si="16"/>
        <v>2024</v>
      </c>
      <c r="P366" s="42" t="str">
        <f t="shared" si="17"/>
        <v>202402660/2023</v>
      </c>
      <c r="Q366" s="42">
        <v>1</v>
      </c>
    </row>
    <row r="367" spans="1:17" ht="15" hidden="1">
      <c r="A367" s="46" t="s">
        <v>257</v>
      </c>
      <c r="B367" s="312" t="str">
        <f>IFERROR(INDEX(Projetos!$B$3:$B$129,MATCH(A367,Projetos!$A$3:$A$129,0))," ")</f>
        <v>SisPreq – Sistema de Precatórios e Requisições de Pequeno Valor</v>
      </c>
      <c r="C367" s="50"/>
      <c r="D367" s="48">
        <v>0.316</v>
      </c>
      <c r="E367" s="48">
        <v>0.3</v>
      </c>
      <c r="F367" s="49">
        <v>45471</v>
      </c>
      <c r="G367" s="125">
        <v>45505</v>
      </c>
      <c r="H367" s="28" t="str">
        <f t="shared" si="15"/>
        <v>02465/202445505</v>
      </c>
      <c r="I367" s="38" t="str">
        <f>IFERROR(INDEX(Projetos!$M$2:$M$129,MATCH(Atualizações!A367,Projetos!$A$2:$A$129,0))," ")</f>
        <v>15/12/2026</v>
      </c>
      <c r="J367" s="61"/>
      <c r="K367" s="344">
        <f>IFERROR(Tb_Atualizações[[#This Row],[% EXECUTADO]]/Tb_Atualizações[[#This Row],[% PREVISTO]],"0%")</f>
        <v>0.94936708860759489</v>
      </c>
      <c r="L367" s="31" t="str" cm="1">
        <f t="array" aca="1" ref="L3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67" s="50"/>
      <c r="N367" s="30"/>
      <c r="O367" s="42">
        <f t="shared" si="16"/>
        <v>2024</v>
      </c>
      <c r="P367" s="42" t="str">
        <f t="shared" si="17"/>
        <v>202402465/2024</v>
      </c>
      <c r="Q367" s="42">
        <v>1</v>
      </c>
    </row>
    <row r="368" spans="1:17" ht="30" hidden="1">
      <c r="A368" s="46" t="s">
        <v>273</v>
      </c>
      <c r="B368" s="312" t="str">
        <f>IFERROR(INDEX(Projetos!$B$3:$B$129,MATCH(A368,Projetos!$A$3:$A$129,0))," ")</f>
        <v>SNA – Novo Sistema Nacional de Adoção e Acolhimento</v>
      </c>
      <c r="C368" s="47"/>
      <c r="D368" s="48">
        <v>0.23200000000000001</v>
      </c>
      <c r="E368" s="48">
        <v>0.16</v>
      </c>
      <c r="F368" s="49">
        <v>45473</v>
      </c>
      <c r="G368" s="125">
        <v>45413</v>
      </c>
      <c r="H368" s="28" t="str">
        <f t="shared" si="15"/>
        <v>02483/202345413</v>
      </c>
      <c r="I368" s="38">
        <f>IFERROR(INDEX(Projetos!$M$2:$M$129,MATCH(Atualizações!A368,Projetos!$A$2:$A$129,0))," ")</f>
        <v>46022</v>
      </c>
      <c r="J368" s="61"/>
      <c r="K368" s="344">
        <f>IFERROR(Tb_Atualizações[[#This Row],[% EXECUTADO]]/Tb_Atualizações[[#This Row],[% PREVISTO]],"0%")</f>
        <v>0.68965517241379304</v>
      </c>
      <c r="L368" s="31" t="str" cm="1">
        <f t="array" aca="1" ref="L3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68" s="50"/>
      <c r="N368" s="30"/>
      <c r="O368" s="42">
        <f t="shared" si="16"/>
        <v>2024</v>
      </c>
      <c r="P368" s="42" t="str">
        <f t="shared" si="17"/>
        <v>202402483/2023</v>
      </c>
      <c r="Q368" s="42">
        <v>1</v>
      </c>
    </row>
    <row r="369" spans="1:17" ht="15" hidden="1">
      <c r="A369" s="46" t="s">
        <v>416</v>
      </c>
      <c r="B369" s="312" t="str">
        <f>IFERROR(INDEX(Projetos!$B$3:$B$129,MATCH(A369,Projetos!$A$3:$A$129,0))," ")</f>
        <v>Conecta</v>
      </c>
      <c r="C369" s="47"/>
      <c r="D369" s="48">
        <v>0</v>
      </c>
      <c r="E369" s="48">
        <v>0</v>
      </c>
      <c r="F369" s="49">
        <v>45473</v>
      </c>
      <c r="G369" s="125"/>
      <c r="H369" s="28" t="str">
        <f t="shared" si="15"/>
        <v>05578/2024</v>
      </c>
      <c r="I369" s="38" t="str">
        <f>IFERROR(INDEX(Projetos!$M$2:$M$129,MATCH(Atualizações!A369,Projetos!$A$2:$A$129,0))," ")</f>
        <v>31/12/2026</v>
      </c>
      <c r="J369" s="61"/>
      <c r="K369" s="344" t="str">
        <f>IFERROR(Tb_Atualizações[[#This Row],[% EXECUTADO]]/Tb_Atualizações[[#This Row],[% PREVISTO]],"0%")</f>
        <v>0%</v>
      </c>
      <c r="L369" s="31" t="str" cm="1">
        <f t="array" aca="1" ref="L3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69" s="50"/>
      <c r="N369" s="30"/>
      <c r="O369" s="42">
        <f t="shared" si="16"/>
        <v>2024</v>
      </c>
      <c r="P369" s="42" t="str">
        <f t="shared" si="17"/>
        <v>202405578/2024</v>
      </c>
      <c r="Q369" s="42">
        <v>1</v>
      </c>
    </row>
    <row r="370" spans="1:17" ht="30" hidden="1">
      <c r="A370" s="46" t="s">
        <v>495</v>
      </c>
      <c r="B370" s="312" t="str">
        <f>IFERROR(INDEX(Projetos!$B$3:$B$129,MATCH(A370,Projetos!$A$3:$A$129,0))," ")</f>
        <v>Pesquisa IA 2023 - Mapeamento dos projetos de Inteligência Artificial em desenvolvimento pelos tribunais brasileiros</v>
      </c>
      <c r="C370" s="47"/>
      <c r="D370" s="48">
        <v>0</v>
      </c>
      <c r="E370" s="48">
        <v>0</v>
      </c>
      <c r="F370" s="49">
        <v>45473</v>
      </c>
      <c r="G370" s="125"/>
      <c r="H370" s="28" t="str">
        <f t="shared" si="15"/>
        <v>08690/2023</v>
      </c>
      <c r="I370" s="38">
        <f>IFERROR(INDEX(Projetos!$M$2:$M$129,MATCH(Atualizações!A370,Projetos!$A$2:$A$129,0))," ")</f>
        <v>45487</v>
      </c>
      <c r="J370" s="61"/>
      <c r="K370" s="344" t="str">
        <f>IFERROR(Tb_Atualizações[[#This Row],[% EXECUTADO]]/Tb_Atualizações[[#This Row],[% PREVISTO]],"0%")</f>
        <v>0%</v>
      </c>
      <c r="L370" s="31" t="str" cm="1">
        <f t="array" aca="1" ref="L3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70" s="50"/>
      <c r="N370" s="30"/>
      <c r="O370" s="42">
        <f t="shared" si="16"/>
        <v>2024</v>
      </c>
      <c r="P370" s="42" t="str">
        <f t="shared" si="17"/>
        <v>202408690/2023</v>
      </c>
      <c r="Q370" s="42">
        <v>1</v>
      </c>
    </row>
    <row r="371" spans="1:17" ht="30" hidden="1">
      <c r="A371" s="46" t="s">
        <v>376</v>
      </c>
      <c r="B371" s="312" t="str">
        <f>IFERROR(INDEX(Projetos!$B$3:$B$129,MATCH(A371,Projetos!$A$3:$A$129,0))," ")</f>
        <v>Nacionalização SAREF - Sistema de Apresentação Remota por Reconhecimento Facial</v>
      </c>
      <c r="C371" s="47"/>
      <c r="D371" s="48">
        <v>1</v>
      </c>
      <c r="E371" s="48">
        <v>0.49</v>
      </c>
      <c r="F371" s="49">
        <v>45474</v>
      </c>
      <c r="G371" s="125">
        <v>45444</v>
      </c>
      <c r="H371" s="28" t="str">
        <f t="shared" si="15"/>
        <v>03924/202345444</v>
      </c>
      <c r="I371" s="38">
        <f>IFERROR(INDEX(Projetos!$M$2:$M$129,MATCH(Atualizações!A371,Projetos!$A$2:$A$129,0))," ")</f>
        <v>45565</v>
      </c>
      <c r="J371" s="61"/>
      <c r="K371" s="344">
        <f>IFERROR(Tb_Atualizações[[#This Row],[% EXECUTADO]]/Tb_Atualizações[[#This Row],[% PREVISTO]],"0%")</f>
        <v>0.49</v>
      </c>
      <c r="L371" s="31" t="str" cm="1">
        <f t="array" aca="1" ref="L3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71" s="50"/>
      <c r="N371" s="30"/>
      <c r="O371" s="42">
        <f t="shared" si="16"/>
        <v>2024</v>
      </c>
      <c r="P371" s="42" t="str">
        <f t="shared" si="17"/>
        <v>202403924/2023</v>
      </c>
      <c r="Q371" s="42">
        <v>1</v>
      </c>
    </row>
    <row r="372" spans="1:17" ht="36.75" hidden="1" customHeight="1">
      <c r="A372" s="46" t="s">
        <v>615</v>
      </c>
      <c r="B372" s="312" t="str">
        <f>IFERROR(INDEX(Projetos!$B$3:$B$129,MATCH(A372,Projetos!$A$3:$A$129,0))," ")</f>
        <v>Polícia Judicial Amiga dos Autistas</v>
      </c>
      <c r="C372" s="47"/>
      <c r="D372" s="48">
        <v>0.65700000000000003</v>
      </c>
      <c r="E372" s="48">
        <v>0.67500000000000004</v>
      </c>
      <c r="F372" s="49">
        <v>45474</v>
      </c>
      <c r="G372" s="125">
        <v>45444</v>
      </c>
      <c r="H372" s="28" t="str">
        <f t="shared" si="15"/>
        <v>11340/202345444</v>
      </c>
      <c r="I372" s="38">
        <f>IFERROR(INDEX(Projetos!$M$2:$M$129,MATCH(Atualizações!A372,Projetos!$A$2:$A$129,0))," ")</f>
        <v>45688</v>
      </c>
      <c r="J372" s="61"/>
      <c r="K372" s="344">
        <f>IFERROR(Tb_Atualizações[[#This Row],[% EXECUTADO]]/Tb_Atualizações[[#This Row],[% PREVISTO]],"0%")</f>
        <v>1.0273972602739727</v>
      </c>
      <c r="L372" s="31" t="str" cm="1">
        <f t="array" aca="1" ref="L3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72" s="50"/>
      <c r="N372" s="30"/>
      <c r="O372" s="42">
        <f t="shared" si="16"/>
        <v>2024</v>
      </c>
      <c r="P372" s="42" t="str">
        <f t="shared" si="17"/>
        <v>202411340/2023</v>
      </c>
      <c r="Q372" s="42">
        <v>1</v>
      </c>
    </row>
    <row r="373" spans="1:17" ht="15" hidden="1">
      <c r="A373" s="46" t="s">
        <v>609</v>
      </c>
      <c r="B373" s="312" t="str">
        <f>IFERROR(INDEX(Projetos!$B$3:$B$129,MATCH(A373,Projetos!$A$3:$A$129,0))," ")</f>
        <v>SPVATJUD</v>
      </c>
      <c r="C373" s="47"/>
      <c r="D373" s="48">
        <v>0.91300000000000003</v>
      </c>
      <c r="E373" s="48">
        <v>0.90300000000000002</v>
      </c>
      <c r="F373" s="49">
        <v>45474</v>
      </c>
      <c r="G373" s="125">
        <v>45444</v>
      </c>
      <c r="H373" s="28" t="str">
        <f t="shared" si="15"/>
        <v>11270/202245444</v>
      </c>
      <c r="I373" s="38">
        <f>IFERROR(INDEX(Projetos!$M$2:$M$129,MATCH(Atualizações!A373,Projetos!$A$2:$A$129,0))," ")</f>
        <v>45716</v>
      </c>
      <c r="J373" s="61"/>
      <c r="K373" s="344">
        <f>IFERROR(Tb_Atualizações[[#This Row],[% EXECUTADO]]/Tb_Atualizações[[#This Row],[% PREVISTO]],"0%")</f>
        <v>0.98904709748083242</v>
      </c>
      <c r="L373" s="31" t="str" cm="1">
        <f t="array" aca="1" ref="L3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73" s="50"/>
      <c r="N373" s="30"/>
      <c r="O373" s="42">
        <f t="shared" si="16"/>
        <v>2024</v>
      </c>
      <c r="P373" s="42" t="str">
        <f t="shared" si="17"/>
        <v>202411270/2022</v>
      </c>
      <c r="Q373" s="42">
        <v>1</v>
      </c>
    </row>
    <row r="374" spans="1:17" ht="15" hidden="1">
      <c r="A374" s="46" t="s">
        <v>410</v>
      </c>
      <c r="B374" s="312" t="str">
        <f>IFERROR(INDEX(Projetos!$B$3:$B$129,MATCH(A374,Projetos!$A$3:$A$129,0))," ")</f>
        <v>7ª Edição da Série Justiça Pesquisa - Exercício 2024/2025</v>
      </c>
      <c r="C374" s="47"/>
      <c r="D374" s="48">
        <v>0</v>
      </c>
      <c r="E374" s="48">
        <v>0</v>
      </c>
      <c r="F374" s="636">
        <v>45475</v>
      </c>
      <c r="G374" s="636"/>
      <c r="H374" s="28" t="str">
        <f t="shared" si="15"/>
        <v>05150/2024</v>
      </c>
      <c r="I374" s="38">
        <f>IFERROR(INDEX(Projetos!$M$2:$M$129,MATCH(Atualizações!A374,Projetos!$A$2:$A$129,0))," ")</f>
        <v>46011</v>
      </c>
      <c r="J374" s="61"/>
      <c r="K374" s="344" t="str">
        <f>IFERROR(Tb_Atualizações[[#This Row],[% EXECUTADO]]/Tb_Atualizações[[#This Row],[% PREVISTO]],"0%")</f>
        <v>0%</v>
      </c>
      <c r="L374" s="31" t="str" cm="1">
        <f t="array" aca="1" ref="L3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74" s="50"/>
      <c r="N374" s="30"/>
      <c r="O374" s="42">
        <f t="shared" si="16"/>
        <v>2024</v>
      </c>
      <c r="P374" s="42" t="str">
        <f t="shared" si="17"/>
        <v>202405150/2024</v>
      </c>
      <c r="Q374" s="42">
        <v>1</v>
      </c>
    </row>
    <row r="375" spans="1:17" ht="15" hidden="1">
      <c r="A375" s="46" t="s">
        <v>350</v>
      </c>
      <c r="B375" s="312" t="str">
        <f>IFERROR(INDEX(Projetos!$B$3:$B$129,MATCH(A375,Projetos!$A$3:$A$129,0))," ")</f>
        <v>Painel de Estatística   - Justiça 4.0</v>
      </c>
      <c r="C375" s="50"/>
      <c r="D375" s="48">
        <v>0.98299999999999998</v>
      </c>
      <c r="E375" s="48">
        <v>0.90500000000000003</v>
      </c>
      <c r="F375" s="49">
        <v>45476</v>
      </c>
      <c r="G375" s="125">
        <v>45444</v>
      </c>
      <c r="H375" s="28" t="str">
        <f t="shared" si="15"/>
        <v>03545/202145444</v>
      </c>
      <c r="I375" s="38">
        <f>IFERROR(INDEX(Projetos!$M$2:$M$129,MATCH(Atualizações!A375,Projetos!$A$2:$A$129,0))," ")</f>
        <v>46387</v>
      </c>
      <c r="J375" s="61"/>
      <c r="K375" s="344">
        <f>IFERROR(Tb_Atualizações[[#This Row],[% EXECUTADO]]/Tb_Atualizações[[#This Row],[% PREVISTO]],"0%")</f>
        <v>0.92065106815869791</v>
      </c>
      <c r="L375" s="31" t="str" cm="1">
        <f t="array" aca="1" ref="L3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375" s="50"/>
      <c r="N375" s="30"/>
      <c r="O375" s="42">
        <f t="shared" si="16"/>
        <v>2024</v>
      </c>
      <c r="P375" s="42" t="str">
        <f t="shared" si="17"/>
        <v>202403545/2021</v>
      </c>
      <c r="Q375" s="42">
        <v>1</v>
      </c>
    </row>
    <row r="376" spans="1:17" ht="15" hidden="1">
      <c r="A376" s="46" t="s">
        <v>570</v>
      </c>
      <c r="B376" s="312" t="str">
        <f>IFERROR(INDEX(Projetos!$B$3:$B$129,MATCH(A376,Projetos!$A$3:$A$129,0))," ")</f>
        <v>Repositório Anticorrupção e Tecnologia do Poder Judiciário</v>
      </c>
      <c r="C376" s="47"/>
      <c r="D376" s="48">
        <v>0.99299999999999999</v>
      </c>
      <c r="E376" s="48">
        <v>0.97499999999999998</v>
      </c>
      <c r="F376" s="49">
        <v>45478</v>
      </c>
      <c r="G376" s="125">
        <v>45444</v>
      </c>
      <c r="H376" s="28" t="str">
        <f t="shared" si="15"/>
        <v>10157/202245444</v>
      </c>
      <c r="I376" s="38">
        <f>IFERROR(INDEX(Projetos!$M$2:$M$129,MATCH(Atualizações!A376,Projetos!$A$2:$A$129,0))," ")</f>
        <v>45565</v>
      </c>
      <c r="J376" s="61"/>
      <c r="K376" s="344">
        <f>IFERROR(Tb_Atualizações[[#This Row],[% EXECUTADO]]/Tb_Atualizações[[#This Row],[% PREVISTO]],"0%")</f>
        <v>0.98187311178247727</v>
      </c>
      <c r="L376" s="31" t="str" cm="1">
        <f t="array" aca="1" ref="L3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76" s="50"/>
      <c r="N376" s="30"/>
      <c r="O376" s="42">
        <f t="shared" si="16"/>
        <v>2024</v>
      </c>
      <c r="P376" s="42" t="str">
        <f t="shared" si="17"/>
        <v>202410157/2022</v>
      </c>
      <c r="Q376" s="42">
        <v>1</v>
      </c>
    </row>
    <row r="377" spans="1:17" ht="30" hidden="1">
      <c r="A377" s="46" t="s">
        <v>495</v>
      </c>
      <c r="B377" s="312" t="str">
        <f>IFERROR(INDEX(Projetos!$B$3:$B$129,MATCH(A377,Projetos!$A$3:$A$129,0))," ")</f>
        <v>Pesquisa IA 2023 - Mapeamento dos projetos de Inteligência Artificial em desenvolvimento pelos tribunais brasileiros</v>
      </c>
      <c r="C377" s="47"/>
      <c r="D377" s="48">
        <v>0.998</v>
      </c>
      <c r="E377" s="48">
        <v>0.998</v>
      </c>
      <c r="F377" s="49">
        <v>45481</v>
      </c>
      <c r="G377" s="125">
        <v>45444</v>
      </c>
      <c r="H377" s="28" t="str">
        <f t="shared" si="15"/>
        <v>08690/202345444</v>
      </c>
      <c r="I377" s="38">
        <f>IFERROR(INDEX(Projetos!$M$2:$M$129,MATCH(Atualizações!A377,Projetos!$A$2:$A$129,0))," ")</f>
        <v>45487</v>
      </c>
      <c r="J377" s="61"/>
      <c r="K377" s="344">
        <f>IFERROR(Tb_Atualizações[[#This Row],[% EXECUTADO]]/Tb_Atualizações[[#This Row],[% PREVISTO]],"0%")</f>
        <v>1</v>
      </c>
      <c r="L377" s="31" t="str" cm="1">
        <f t="array" aca="1" ref="L3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77" s="50"/>
      <c r="N377" s="30"/>
      <c r="O377" s="42">
        <f t="shared" si="16"/>
        <v>2024</v>
      </c>
      <c r="P377" s="42" t="str">
        <f t="shared" si="17"/>
        <v>202408690/2023</v>
      </c>
      <c r="Q377" s="42">
        <v>1</v>
      </c>
    </row>
    <row r="378" spans="1:17" ht="15" hidden="1">
      <c r="A378" s="46" t="s">
        <v>322</v>
      </c>
      <c r="B378" s="312" t="str">
        <f>IFERROR(INDEX(Projetos!$B$3:$B$129,MATCH(A378,Projetos!$A$3:$A$129,0))," ")</f>
        <v>SNGB - Sistema Nacional de Gestão de Bens</v>
      </c>
      <c r="C378" s="47"/>
      <c r="D378" s="48">
        <v>1</v>
      </c>
      <c r="E378" s="48">
        <v>0.99</v>
      </c>
      <c r="F378" s="49">
        <v>45481</v>
      </c>
      <c r="G378" s="125">
        <v>45444</v>
      </c>
      <c r="H378" s="28" t="str">
        <f t="shared" si="15"/>
        <v>02938/202145444</v>
      </c>
      <c r="I378" s="38">
        <f>IFERROR(INDEX(Projetos!$M$2:$M$129,MATCH(Atualizações!A378,Projetos!$A$2:$A$129,0))," ")</f>
        <v>45519</v>
      </c>
      <c r="J378" s="61"/>
      <c r="K378" s="344">
        <f>IFERROR(Tb_Atualizações[[#This Row],[% EXECUTADO]]/Tb_Atualizações[[#This Row],[% PREVISTO]],"0%")</f>
        <v>0.99</v>
      </c>
      <c r="L378" s="31" t="str" cm="1">
        <f t="array" aca="1" ref="L3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78" s="50"/>
      <c r="N378" s="30"/>
      <c r="O378" s="42">
        <f t="shared" si="16"/>
        <v>2024</v>
      </c>
      <c r="P378" s="42" t="str">
        <f t="shared" si="17"/>
        <v>202402938/2021</v>
      </c>
      <c r="Q378" s="42">
        <v>1</v>
      </c>
    </row>
    <row r="379" spans="1:17" ht="30" hidden="1">
      <c r="A379" s="46" t="s">
        <v>266</v>
      </c>
      <c r="B379" s="312" t="str">
        <f>IFERROR(INDEX(Projetos!$B$3:$B$129,MATCH(A379,Projetos!$A$3:$A$129,0))," ")</f>
        <v>Itinerância Cooperativa na Amazônia Legal – 1ª Edição de 2024 – Humaitá e Lábrea/AM</v>
      </c>
      <c r="C379" s="47"/>
      <c r="D379" s="48">
        <v>0</v>
      </c>
      <c r="E379" s="48">
        <v>0</v>
      </c>
      <c r="F379" s="49">
        <v>45481</v>
      </c>
      <c r="G379" s="125"/>
      <c r="H379" s="28" t="str">
        <f t="shared" si="15"/>
        <v>02476/2024</v>
      </c>
      <c r="I379" s="38">
        <f>IFERROR(INDEX(Projetos!$M$2:$M$129,MATCH(Atualizações!A379,Projetos!$A$2:$A$129,0))," ")</f>
        <v>45590</v>
      </c>
      <c r="J379" s="61"/>
      <c r="K379" s="344" t="str">
        <f>IFERROR(Tb_Atualizações[[#This Row],[% EXECUTADO]]/Tb_Atualizações[[#This Row],[% PREVISTO]],"0%")</f>
        <v>0%</v>
      </c>
      <c r="L379" s="31" t="str" cm="1">
        <f t="array" aca="1" ref="L3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79" s="50"/>
      <c r="N379" s="30"/>
      <c r="O379" s="42">
        <f t="shared" si="16"/>
        <v>2024</v>
      </c>
      <c r="P379" s="42" t="str">
        <f t="shared" si="17"/>
        <v>202402476/2024</v>
      </c>
      <c r="Q379" s="42">
        <v>1</v>
      </c>
    </row>
    <row r="380" spans="1:17" ht="15" hidden="1">
      <c r="A380" s="46" t="s">
        <v>479</v>
      </c>
      <c r="B380" s="312" t="str">
        <f>IFERROR(INDEX(Projetos!$B$3:$B$129,MATCH(A380,Projetos!$A$3:$A$129,0))," ")</f>
        <v>Data Lake</v>
      </c>
      <c r="C380" s="47"/>
      <c r="D380" s="48">
        <v>0.86499999999999999</v>
      </c>
      <c r="E380" s="48">
        <v>0.88800000000000001</v>
      </c>
      <c r="F380" s="49">
        <v>45495</v>
      </c>
      <c r="G380" s="125">
        <v>45474</v>
      </c>
      <c r="H380" s="28" t="str">
        <f t="shared" si="15"/>
        <v>08547/202145474</v>
      </c>
      <c r="I380" s="38" t="str">
        <f>IFERROR(INDEX(Projetos!$M$2:$M$129,MATCH(Atualizações!A380,Projetos!$A$2:$A$129,0))," ")</f>
        <v>31/12/2024</v>
      </c>
      <c r="J380" s="61"/>
      <c r="K380" s="344">
        <f>IFERROR(Tb_Atualizações[[#This Row],[% EXECUTADO]]/Tb_Atualizações[[#This Row],[% PREVISTO]],"0%")</f>
        <v>1.0265895953757225</v>
      </c>
      <c r="L380" s="31" t="str" cm="1">
        <f t="array" aca="1" ref="L3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0" s="50"/>
      <c r="N380" s="30"/>
      <c r="O380" s="42">
        <f t="shared" si="16"/>
        <v>2024</v>
      </c>
      <c r="P380" s="42" t="str">
        <f t="shared" si="17"/>
        <v>202408547/2021</v>
      </c>
      <c r="Q380" s="42">
        <v>1</v>
      </c>
    </row>
    <row r="381" spans="1:17" ht="30" hidden="1">
      <c r="A381" s="46" t="s">
        <v>416</v>
      </c>
      <c r="B381" s="312" t="str">
        <f>IFERROR(INDEX(Projetos!$B$3:$B$129,MATCH(A381,Projetos!$A$3:$A$129,0))," ")</f>
        <v>Conecta</v>
      </c>
      <c r="C381" s="47"/>
      <c r="D381" s="48">
        <v>0.111</v>
      </c>
      <c r="E381" s="48">
        <v>0.06</v>
      </c>
      <c r="F381" s="49">
        <v>45496</v>
      </c>
      <c r="G381" s="125">
        <v>45474</v>
      </c>
      <c r="H381" s="28" t="str">
        <f t="shared" si="15"/>
        <v>05578/202445474</v>
      </c>
      <c r="I381" s="38" t="str">
        <f>IFERROR(INDEX(Projetos!$M$2:$M$129,MATCH(Atualizações!A381,Projetos!$A$2:$A$129,0))," ")</f>
        <v>31/12/2026</v>
      </c>
      <c r="J381" s="61"/>
      <c r="K381" s="344">
        <f>IFERROR(Tb_Atualizações[[#This Row],[% EXECUTADO]]/Tb_Atualizações[[#This Row],[% PREVISTO]],"0%")</f>
        <v>0.54054054054054046</v>
      </c>
      <c r="L381" s="31" t="str" cm="1">
        <f t="array" aca="1" ref="L3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81" s="50"/>
      <c r="N381" s="30"/>
      <c r="O381" s="42">
        <f t="shared" si="16"/>
        <v>2024</v>
      </c>
      <c r="P381" s="42" t="str">
        <f t="shared" si="17"/>
        <v>202405578/2024</v>
      </c>
      <c r="Q381" s="42">
        <v>1</v>
      </c>
    </row>
    <row r="382" spans="1:17" ht="15" hidden="1">
      <c r="A382" s="74" t="s">
        <v>638</v>
      </c>
      <c r="B382" s="312" t="str">
        <f>IFERROR(INDEX(Projetos!$B$3:$B$129,MATCH(A382,Projetos!$A$3:$A$129,0))," ")</f>
        <v>Sisperjud</v>
      </c>
      <c r="C382" s="47"/>
      <c r="D382" s="48">
        <v>0</v>
      </c>
      <c r="E382" s="48">
        <v>0</v>
      </c>
      <c r="F382" s="49">
        <v>45497</v>
      </c>
      <c r="G382" s="125">
        <v>45474</v>
      </c>
      <c r="H382" s="28" t="str">
        <f t="shared" si="15"/>
        <v>11644/202245474</v>
      </c>
      <c r="I382" s="38">
        <f>IFERROR(INDEX(Projetos!$M$2:$M$129,MATCH(Atualizações!A382,Projetos!$A$2:$A$129,0))," ")</f>
        <v>46352</v>
      </c>
      <c r="J382" s="61"/>
      <c r="K382" s="344" t="str">
        <f>IFERROR(Tb_Atualizações[[#This Row],[% EXECUTADO]]/Tb_Atualizações[[#This Row],[% PREVISTO]],"0%")</f>
        <v>0%</v>
      </c>
      <c r="L382" s="31" t="str" cm="1">
        <f t="array" aca="1" ref="L3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82" s="50"/>
      <c r="N382" s="30"/>
      <c r="O382" s="42">
        <f t="shared" si="16"/>
        <v>2024</v>
      </c>
      <c r="P382" s="42" t="str">
        <f t="shared" si="17"/>
        <v>202411644/2022</v>
      </c>
      <c r="Q382" s="42">
        <v>1</v>
      </c>
    </row>
    <row r="383" spans="1:17" ht="15" hidden="1">
      <c r="A383" s="46" t="s">
        <v>209</v>
      </c>
      <c r="B383" s="312" t="str">
        <f>IFERROR(INDEX(Projetos!$B$3:$B$129,MATCH(A383,Projetos!$A$3:$A$129,0))," ")</f>
        <v>Capacitação técnica para desenvolvedores nas tecnologias da PDPJ - BR</v>
      </c>
      <c r="C383" s="47"/>
      <c r="D383" s="48">
        <v>0.69499999999999995</v>
      </c>
      <c r="E383" s="48">
        <v>0.69499999999999995</v>
      </c>
      <c r="F383" s="49">
        <v>45502</v>
      </c>
      <c r="G383" s="125">
        <v>45474</v>
      </c>
      <c r="H383" s="28" t="str">
        <f t="shared" si="15"/>
        <v>01945/202245474</v>
      </c>
      <c r="I383" s="38">
        <f>IFERROR(INDEX(Projetos!$M$2:$M$129,MATCH(Atualizações!A383,Projetos!$A$2:$A$129,0))," ")</f>
        <v>45866</v>
      </c>
      <c r="J383" s="61"/>
      <c r="K383" s="344">
        <f>IFERROR(Tb_Atualizações[[#This Row],[% EXECUTADO]]/Tb_Atualizações[[#This Row],[% PREVISTO]],"0%")</f>
        <v>1</v>
      </c>
      <c r="L383" s="31" t="str" cm="1">
        <f t="array" aca="1" ref="L3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3" s="50"/>
      <c r="N383" s="30"/>
      <c r="O383" s="42">
        <f t="shared" si="16"/>
        <v>2024</v>
      </c>
      <c r="P383" s="42" t="str">
        <f t="shared" si="17"/>
        <v>202401945/2022</v>
      </c>
      <c r="Q383" s="42">
        <v>1</v>
      </c>
    </row>
    <row r="384" spans="1:17" ht="30" hidden="1">
      <c r="A384" s="46" t="s">
        <v>471</v>
      </c>
      <c r="B384" s="312" t="str">
        <f>IFERROR(INDEX(Projetos!$B$3:$B$129,MATCH(A384,Projetos!$A$3:$A$129,0))," ")</f>
        <v>Sinapses 5 - Capacitação Cursos EaD IA</v>
      </c>
      <c r="C384" s="47"/>
      <c r="D384" s="48">
        <v>0.90200000000000002</v>
      </c>
      <c r="E384" s="48">
        <v>0.9</v>
      </c>
      <c r="F384" s="49">
        <v>45502</v>
      </c>
      <c r="G384" s="125">
        <v>45474</v>
      </c>
      <c r="H384" s="28" t="str">
        <f t="shared" si="15"/>
        <v>08543/202145474</v>
      </c>
      <c r="I384" s="38">
        <f>IFERROR(INDEX(Projetos!$M$2:$M$129,MATCH(Atualizações!A384,Projetos!$A$2:$A$129,0))," ")</f>
        <v>45716</v>
      </c>
      <c r="J384" s="61" t="s">
        <v>1301</v>
      </c>
      <c r="K384" s="344">
        <f>IFERROR(Tb_Atualizações[[#This Row],[% EXECUTADO]]/Tb_Atualizações[[#This Row],[% PREVISTO]],"0%")</f>
        <v>0.99778270509977829</v>
      </c>
      <c r="L384" s="31" t="str" cm="1">
        <f t="array" aca="1" ref="L3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4" s="50"/>
      <c r="N384" s="30"/>
      <c r="O384" s="42">
        <f t="shared" si="16"/>
        <v>2024</v>
      </c>
      <c r="P384" s="42" t="str">
        <f t="shared" si="17"/>
        <v>202408543/2021</v>
      </c>
      <c r="Q384" s="42">
        <v>1</v>
      </c>
    </row>
    <row r="385" spans="1:17" ht="30" hidden="1">
      <c r="A385" s="46" t="s">
        <v>376</v>
      </c>
      <c r="B385" s="312" t="str">
        <f>IFERROR(INDEX(Projetos!$B$3:$B$129,MATCH(A385,Projetos!$A$3:$A$129,0))," ")</f>
        <v>Nacionalização SAREF - Sistema de Apresentação Remota por Reconhecimento Facial</v>
      </c>
      <c r="C385" s="47"/>
      <c r="D385" s="48">
        <v>0.57999999999999996</v>
      </c>
      <c r="E385" s="48">
        <v>0.49</v>
      </c>
      <c r="F385" s="49">
        <v>45504</v>
      </c>
      <c r="G385" s="125">
        <v>45474</v>
      </c>
      <c r="H385" s="28" t="str">
        <f t="shared" si="15"/>
        <v>03924/202345474</v>
      </c>
      <c r="I385" s="38">
        <f>IFERROR(INDEX(Projetos!$M$2:$M$129,MATCH(Atualizações!A385,Projetos!$A$2:$A$129,0))," ")</f>
        <v>45565</v>
      </c>
      <c r="J385" s="61" t="s">
        <v>1302</v>
      </c>
      <c r="K385" s="344">
        <f>IFERROR(Tb_Atualizações[[#This Row],[% EXECUTADO]]/Tb_Atualizações[[#This Row],[% PREVISTO]],"0%")</f>
        <v>0.84482758620689657</v>
      </c>
      <c r="L385" s="31" t="str" cm="1">
        <f t="array" aca="1" ref="L3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85" s="50"/>
      <c r="N385" s="30"/>
      <c r="O385" s="42">
        <f t="shared" si="16"/>
        <v>2024</v>
      </c>
      <c r="P385" s="42" t="str">
        <f t="shared" si="17"/>
        <v>202403924/2023</v>
      </c>
      <c r="Q385" s="42">
        <v>1</v>
      </c>
    </row>
    <row r="386" spans="1:17" ht="31.5" hidden="1" customHeight="1">
      <c r="A386" s="46" t="s">
        <v>358</v>
      </c>
      <c r="B386" s="312" t="str">
        <f>IFERROR(INDEX(Projetos!$B$3:$B$129,MATCH(A386,Projetos!$A$3:$A$129,0))," ")</f>
        <v>Prevjud - Automação de Processos Previdenciários - Justiça 4.0</v>
      </c>
      <c r="C386" s="47"/>
      <c r="D386" s="48">
        <v>0.93899999999999995</v>
      </c>
      <c r="E386" s="48">
        <v>0.92800000000000005</v>
      </c>
      <c r="F386" s="49">
        <v>45504</v>
      </c>
      <c r="G386" s="125">
        <v>45474</v>
      </c>
      <c r="H386" s="28" t="str">
        <f t="shared" ref="H386:H449" si="18">A386&amp;G386</f>
        <v>03558/202145474</v>
      </c>
      <c r="I386" s="38" t="str">
        <f>IFERROR(INDEX(Projetos!$M$2:$M$129,MATCH(Atualizações!A386,Projetos!$A$2:$A$129,0))," ")</f>
        <v>31/03/2026</v>
      </c>
      <c r="J386" s="61"/>
      <c r="K386" s="344">
        <f>IFERROR(Tb_Atualizações[[#This Row],[% EXECUTADO]]/Tb_Atualizações[[#This Row],[% PREVISTO]],"0%")</f>
        <v>0.98828541001064973</v>
      </c>
      <c r="L386" s="31" t="str" cm="1">
        <f t="array" aca="1" ref="L3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6" s="50"/>
      <c r="N386" s="30"/>
      <c r="O386" s="42">
        <f t="shared" ref="O386:O449" si="19">YEAR(F386)</f>
        <v>2024</v>
      </c>
      <c r="P386" s="42" t="str">
        <f t="shared" ref="P386:P449" si="20">O386&amp;A386</f>
        <v>202403558/2021</v>
      </c>
      <c r="Q386" s="42">
        <v>1</v>
      </c>
    </row>
    <row r="387" spans="1:17" ht="15" hidden="1">
      <c r="A387" s="51" t="s">
        <v>570</v>
      </c>
      <c r="B387" s="312" t="str">
        <f>IFERROR(INDEX(Projetos!$B$3:$B$129,MATCH(A387,Projetos!$A$3:$A$129,0))," ")</f>
        <v>Repositório Anticorrupção e Tecnologia do Poder Judiciário</v>
      </c>
      <c r="C387" s="47"/>
      <c r="D387" s="48">
        <v>1</v>
      </c>
      <c r="E387" s="48">
        <v>0.97499999999999998</v>
      </c>
      <c r="F387" s="49">
        <v>45504</v>
      </c>
      <c r="G387" s="125">
        <v>45474</v>
      </c>
      <c r="H387" s="28" t="str">
        <f t="shared" si="18"/>
        <v>10157/202245474</v>
      </c>
      <c r="I387" s="38">
        <f>IFERROR(INDEX(Projetos!$M$2:$M$129,MATCH(Atualizações!A387,Projetos!$A$2:$A$129,0))," ")</f>
        <v>45565</v>
      </c>
      <c r="J387" s="61"/>
      <c r="K387" s="344">
        <f>IFERROR(Tb_Atualizações[[#This Row],[% EXECUTADO]]/Tb_Atualizações[[#This Row],[% PREVISTO]],"0%")</f>
        <v>0.97499999999999998</v>
      </c>
      <c r="L387" s="31" t="str" cm="1">
        <f t="array" aca="1" ref="L3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7" s="50"/>
      <c r="N387" s="30"/>
      <c r="O387" s="42">
        <f t="shared" si="19"/>
        <v>2024</v>
      </c>
      <c r="P387" s="42" t="str">
        <f t="shared" si="20"/>
        <v>202410157/2022</v>
      </c>
      <c r="Q387" s="42">
        <v>1</v>
      </c>
    </row>
    <row r="388" spans="1:17" ht="15" hidden="1">
      <c r="A388" s="46" t="s">
        <v>638</v>
      </c>
      <c r="B388" s="312" t="str">
        <f>IFERROR(INDEX(Projetos!$B$3:$B$129,MATCH(A388,Projetos!$A$3:$A$129,0))," ")</f>
        <v>Sisperjud</v>
      </c>
      <c r="C388" s="50"/>
      <c r="D388" s="48">
        <v>0.72</v>
      </c>
      <c r="E388" s="48">
        <v>0.71499999999999997</v>
      </c>
      <c r="F388" s="49">
        <v>45504</v>
      </c>
      <c r="G388" s="125">
        <v>45474</v>
      </c>
      <c r="H388" s="28" t="str">
        <f t="shared" si="18"/>
        <v>11644/202245474</v>
      </c>
      <c r="I388" s="38">
        <f>IFERROR(INDEX(Projetos!$M$2:$M$129,MATCH(Atualizações!A388,Projetos!$A$2:$A$129,0))," ")</f>
        <v>46352</v>
      </c>
      <c r="J388" s="61"/>
      <c r="K388" s="344">
        <f>IFERROR(Tb_Atualizações[[#This Row],[% EXECUTADO]]/Tb_Atualizações[[#This Row],[% PREVISTO]],"0%")</f>
        <v>0.99305555555555558</v>
      </c>
      <c r="L388" s="31" t="str" cm="1">
        <f t="array" aca="1" ref="L3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8" s="50"/>
      <c r="N388" s="30"/>
      <c r="O388" s="42">
        <f t="shared" si="19"/>
        <v>2024</v>
      </c>
      <c r="P388" s="42" t="str">
        <f t="shared" si="20"/>
        <v>202411644/2022</v>
      </c>
      <c r="Q388" s="42">
        <v>1</v>
      </c>
    </row>
    <row r="389" spans="1:17" ht="15" hidden="1">
      <c r="A389" s="51" t="s">
        <v>257</v>
      </c>
      <c r="B389" s="312" t="str">
        <f>IFERROR(INDEX(Projetos!$B$3:$B$129,MATCH(A389,Projetos!$A$3:$A$129,0))," ")</f>
        <v>SisPreq – Sistema de Precatórios e Requisições de Pequeno Valor</v>
      </c>
      <c r="C389" s="47"/>
      <c r="D389" s="48">
        <v>0.27600000000000002</v>
      </c>
      <c r="E389" s="48">
        <v>0.27400000000000002</v>
      </c>
      <c r="F389" s="49">
        <v>45504</v>
      </c>
      <c r="G389" s="125">
        <v>45474</v>
      </c>
      <c r="H389" s="28" t="str">
        <f t="shared" si="18"/>
        <v>02465/202445474</v>
      </c>
      <c r="I389" s="38" t="str">
        <f>IFERROR(INDEX(Projetos!$M$2:$M$129,MATCH(Atualizações!A389,Projetos!$A$2:$A$129,0))," ")</f>
        <v>15/12/2026</v>
      </c>
      <c r="J389" s="61"/>
      <c r="K389" s="344">
        <f>IFERROR(Tb_Atualizações[[#This Row],[% EXECUTADO]]/Tb_Atualizações[[#This Row],[% PREVISTO]],"0%")</f>
        <v>0.99275362318840576</v>
      </c>
      <c r="L389" s="31" t="str" cm="1">
        <f t="array" aca="1" ref="L3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89" s="50"/>
      <c r="N389" s="30"/>
      <c r="O389" s="42">
        <f t="shared" si="19"/>
        <v>2024</v>
      </c>
      <c r="P389" s="42" t="str">
        <f t="shared" si="20"/>
        <v>202402465/2024</v>
      </c>
      <c r="Q389" s="42">
        <v>1</v>
      </c>
    </row>
    <row r="390" spans="1:17" ht="15" hidden="1">
      <c r="A390" s="46" t="s">
        <v>322</v>
      </c>
      <c r="B390" s="312" t="str">
        <f>IFERROR(INDEX(Projetos!$B$3:$B$129,MATCH(A390,Projetos!$A$3:$A$129,0))," ")</f>
        <v>SNGB - Sistema Nacional de Gestão de Bens</v>
      </c>
      <c r="C390" s="47"/>
      <c r="D390" s="48">
        <v>1</v>
      </c>
      <c r="E390" s="48">
        <v>0.99299999999999999</v>
      </c>
      <c r="F390" s="49">
        <v>45504</v>
      </c>
      <c r="G390" s="125">
        <v>45474</v>
      </c>
      <c r="H390" s="28" t="str">
        <f t="shared" si="18"/>
        <v>02938/202145474</v>
      </c>
      <c r="I390" s="38">
        <f>IFERROR(INDEX(Projetos!$M$2:$M$129,MATCH(Atualizações!A390,Projetos!$A$2:$A$129,0))," ")</f>
        <v>45519</v>
      </c>
      <c r="J390" s="61"/>
      <c r="K390" s="344">
        <f>IFERROR(Tb_Atualizações[[#This Row],[% EXECUTADO]]/Tb_Atualizações[[#This Row],[% PREVISTO]],"0%")</f>
        <v>0.99299999999999999</v>
      </c>
      <c r="L390" s="31" t="str" cm="1">
        <f t="array" aca="1" ref="L3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90" s="50"/>
      <c r="N390" s="30"/>
      <c r="O390" s="42">
        <f t="shared" si="19"/>
        <v>2024</v>
      </c>
      <c r="P390" s="42" t="str">
        <f t="shared" si="20"/>
        <v>202402938/2021</v>
      </c>
      <c r="Q390" s="42">
        <v>1</v>
      </c>
    </row>
    <row r="391" spans="1:17" ht="15" hidden="1">
      <c r="A391" s="46" t="s">
        <v>609</v>
      </c>
      <c r="B391" s="312" t="str">
        <f>IFERROR(INDEX(Projetos!$B$3:$B$129,MATCH(A391,Projetos!$A$3:$A$129,0))," ")</f>
        <v>SPVATJUD</v>
      </c>
      <c r="C391" s="47"/>
      <c r="D391" s="48">
        <v>0.93500000000000005</v>
      </c>
      <c r="E391" s="48">
        <v>0.90300000000000002</v>
      </c>
      <c r="F391" s="49">
        <v>45504</v>
      </c>
      <c r="G391" s="125">
        <v>45474</v>
      </c>
      <c r="H391" s="28" t="str">
        <f t="shared" si="18"/>
        <v>11270/202245474</v>
      </c>
      <c r="I391" s="38">
        <f>IFERROR(INDEX(Projetos!$M$2:$M$129,MATCH(Atualizações!A391,Projetos!$A$2:$A$129,0))," ")</f>
        <v>45716</v>
      </c>
      <c r="J391" s="61"/>
      <c r="K391" s="344">
        <f>IFERROR(Tb_Atualizações[[#This Row],[% EXECUTADO]]/Tb_Atualizações[[#This Row],[% PREVISTO]],"0%")</f>
        <v>0.96577540106951865</v>
      </c>
      <c r="L391" s="31" t="str" cm="1">
        <f t="array" aca="1" ref="L3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91" s="50"/>
      <c r="N391" s="30"/>
      <c r="O391" s="42">
        <f t="shared" si="19"/>
        <v>2024</v>
      </c>
      <c r="P391" s="42" t="str">
        <f t="shared" si="20"/>
        <v>202411270/2022</v>
      </c>
      <c r="Q391" s="42">
        <v>1</v>
      </c>
    </row>
    <row r="392" spans="1:17" ht="15" hidden="1">
      <c r="A392" s="175" t="s">
        <v>431</v>
      </c>
      <c r="B392" s="312" t="str">
        <f>IFERROR(INDEX(Projetos!$B$3:$B$129,MATCH(A392,Projetos!$A$3:$A$129,0))," ")</f>
        <v>Sniper BC</v>
      </c>
      <c r="C392" s="50"/>
      <c r="D392" s="48">
        <v>0</v>
      </c>
      <c r="E392" s="48">
        <v>0</v>
      </c>
      <c r="F392" s="49">
        <v>45504</v>
      </c>
      <c r="G392" s="28">
        <v>45505</v>
      </c>
      <c r="H392" s="28" t="str">
        <f t="shared" si="18"/>
        <v>06826/202445505</v>
      </c>
      <c r="I392" s="38">
        <f>IFERROR(INDEX(Projetos!$M$2:$M$129,MATCH(Atualizações!A392,Projetos!$A$2:$A$129,0))," ")</f>
        <v>46281</v>
      </c>
      <c r="J392" s="61"/>
      <c r="K392" s="344" t="str">
        <f>IFERROR(Tb_Atualizações[[#This Row],[% EXECUTADO]]/Tb_Atualizações[[#This Row],[% PREVISTO]],"0%")</f>
        <v>0%</v>
      </c>
      <c r="L392" s="31" t="str" cm="1">
        <f t="array" aca="1" ref="L3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392" s="50"/>
      <c r="N392" s="30"/>
      <c r="O392" s="42">
        <f t="shared" si="19"/>
        <v>2024</v>
      </c>
      <c r="P392" s="42" t="str">
        <f t="shared" si="20"/>
        <v>202406826/2024</v>
      </c>
      <c r="Q392" s="42">
        <v>1</v>
      </c>
    </row>
    <row r="393" spans="1:17" ht="30" hidden="1">
      <c r="A393" s="46" t="s">
        <v>425</v>
      </c>
      <c r="B393" s="312" t="str">
        <f>IFERROR(INDEX(Projetos!$B$3:$B$129,MATCH(A393,Projetos!$A$3:$A$129,0))," ")</f>
        <v>Diagnóstico sobre a otimização dos processos de trabalho no Poder Judiciário em face da implementação das Políticas Tecnológicas do Programa Justiça 4.0.</v>
      </c>
      <c r="C393" s="47"/>
      <c r="D393" s="48">
        <v>0.72599999999999998</v>
      </c>
      <c r="E393" s="48">
        <v>0.71099999999999997</v>
      </c>
      <c r="F393" s="49">
        <v>45505</v>
      </c>
      <c r="G393" s="125">
        <v>45474</v>
      </c>
      <c r="H393" s="28" t="str">
        <f t="shared" si="18"/>
        <v>06767/202245474</v>
      </c>
      <c r="I393" s="38">
        <f>IFERROR(INDEX(Projetos!$M$2:$M$129,MATCH(Atualizações!A393,Projetos!$A$2:$A$129,0))," ")</f>
        <v>45605</v>
      </c>
      <c r="J393" s="61"/>
      <c r="K393" s="344">
        <f>IFERROR(Tb_Atualizações[[#This Row],[% EXECUTADO]]/Tb_Atualizações[[#This Row],[% PREVISTO]],"0%")</f>
        <v>0.97933884297520657</v>
      </c>
      <c r="L393" s="31" t="str" cm="1">
        <f t="array" aca="1" ref="L3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93" s="50"/>
      <c r="N393" s="30"/>
      <c r="O393" s="42">
        <f t="shared" si="19"/>
        <v>2024</v>
      </c>
      <c r="P393" s="42" t="str">
        <f t="shared" si="20"/>
        <v>202406767/2022</v>
      </c>
      <c r="Q393" s="42">
        <v>1</v>
      </c>
    </row>
    <row r="394" spans="1:17" ht="30" hidden="1">
      <c r="A394" s="46" t="s">
        <v>416</v>
      </c>
      <c r="B394" s="312" t="str">
        <f>IFERROR(INDEX(Projetos!$B$3:$B$129,MATCH(A394,Projetos!$A$3:$A$129,0))," ")</f>
        <v>Conecta</v>
      </c>
      <c r="C394" s="50"/>
      <c r="D394" s="48">
        <v>0.111</v>
      </c>
      <c r="E394" s="48">
        <v>0.06</v>
      </c>
      <c r="F394" s="49">
        <v>45510</v>
      </c>
      <c r="G394" s="125">
        <v>45505</v>
      </c>
      <c r="H394" s="28" t="str">
        <f t="shared" si="18"/>
        <v>05578/202445505</v>
      </c>
      <c r="I394" s="38" t="str">
        <f>IFERROR(INDEX(Projetos!$M$2:$M$129,MATCH(Atualizações!A394,Projetos!$A$2:$A$129,0))," ")</f>
        <v>31/12/2026</v>
      </c>
      <c r="J394" s="61"/>
      <c r="K394" s="344">
        <f>IFERROR(Tb_Atualizações[[#This Row],[% EXECUTADO]]/Tb_Atualizações[[#This Row],[% PREVISTO]],"0%")</f>
        <v>0.54054054054054046</v>
      </c>
      <c r="L394" s="31" t="str" cm="1">
        <f t="array" aca="1" ref="L3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394" s="50"/>
      <c r="N394" s="30"/>
      <c r="O394" s="42">
        <f t="shared" si="19"/>
        <v>2024</v>
      </c>
      <c r="P394" s="42" t="str">
        <f t="shared" si="20"/>
        <v>202405578/2024</v>
      </c>
      <c r="Q394" s="42">
        <v>1</v>
      </c>
    </row>
    <row r="395" spans="1:17" ht="15" hidden="1">
      <c r="A395" s="46" t="s">
        <v>341</v>
      </c>
      <c r="B395" s="312" t="str">
        <f>IFERROR(INDEX(Projetos!$B$3:$B$129,MATCH(A395,Projetos!$A$3:$A$129,0))," ")</f>
        <v>PMO Jud -Redesenho dos processos do Escritório de Projetos do CNJ</v>
      </c>
      <c r="C395" s="50"/>
      <c r="D395" s="48">
        <v>1</v>
      </c>
      <c r="E395" s="48">
        <v>1</v>
      </c>
      <c r="F395" s="49">
        <v>45512</v>
      </c>
      <c r="G395" s="125">
        <v>45474</v>
      </c>
      <c r="H395" s="28" t="str">
        <f t="shared" si="18"/>
        <v>03096/202145474</v>
      </c>
      <c r="I395" s="38">
        <f>IFERROR(INDEX(Projetos!$M$2:$M$129,MATCH(Atualizações!A395,Projetos!$A$2:$A$129,0))," ")</f>
        <v>45291</v>
      </c>
      <c r="J395" s="61"/>
      <c r="K395" s="344">
        <f>IFERROR(Tb_Atualizações[[#This Row],[% EXECUTADO]]/Tb_Atualizações[[#This Row],[% PREVISTO]],"0%")</f>
        <v>1</v>
      </c>
      <c r="L395" s="31" t="str" cm="1">
        <f t="array" aca="1" ref="L3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95" s="50"/>
      <c r="N395" s="30"/>
      <c r="O395" s="42">
        <f t="shared" si="19"/>
        <v>2024</v>
      </c>
      <c r="P395" s="42" t="str">
        <f t="shared" si="20"/>
        <v>202403096/2021</v>
      </c>
      <c r="Q395" s="42">
        <v>1</v>
      </c>
    </row>
    <row r="396" spans="1:17" ht="30" hidden="1">
      <c r="A396" s="46" t="s">
        <v>495</v>
      </c>
      <c r="B396" s="312" t="str">
        <f>IFERROR(INDEX(Projetos!$B$3:$B$129,MATCH(A396,Projetos!$A$3:$A$129,0))," ")</f>
        <v>Pesquisa IA 2023 - Mapeamento dos projetos de Inteligência Artificial em desenvolvimento pelos tribunais brasileiros</v>
      </c>
      <c r="C396" s="50"/>
      <c r="D396" s="48">
        <v>1</v>
      </c>
      <c r="E396" s="48">
        <v>1</v>
      </c>
      <c r="F396" s="49">
        <v>45518</v>
      </c>
      <c r="G396" s="125">
        <v>45474</v>
      </c>
      <c r="H396" s="28" t="str">
        <f t="shared" si="18"/>
        <v>08690/202345474</v>
      </c>
      <c r="I396" s="38">
        <f>IFERROR(INDEX(Projetos!$M$2:$M$129,MATCH(Atualizações!A396,Projetos!$A$2:$A$129,0))," ")</f>
        <v>45487</v>
      </c>
      <c r="J396" s="61"/>
      <c r="K396" s="344">
        <f>IFERROR(Tb_Atualizações[[#This Row],[% EXECUTADO]]/Tb_Atualizações[[#This Row],[% PREVISTO]],"0%")</f>
        <v>1</v>
      </c>
      <c r="L396" s="31" t="str" cm="1">
        <f t="array" aca="1" ref="L3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96" s="50"/>
      <c r="N396" s="30"/>
      <c r="O396" s="42">
        <f t="shared" si="19"/>
        <v>2024</v>
      </c>
      <c r="P396" s="42" t="str">
        <f t="shared" si="20"/>
        <v>202408690/2023</v>
      </c>
      <c r="Q396" s="42">
        <v>1</v>
      </c>
    </row>
    <row r="397" spans="1:17" ht="15" hidden="1">
      <c r="A397" s="385" t="s">
        <v>322</v>
      </c>
      <c r="B397" s="312" t="str">
        <f>IFERROR(INDEX(Projetos!$B$3:$B$129,MATCH(A397,Projetos!$A$3:$A$129,0))," ")</f>
        <v>SNGB - Sistema Nacional de Gestão de Bens</v>
      </c>
      <c r="C397" s="50"/>
      <c r="D397" s="48">
        <v>1</v>
      </c>
      <c r="E397" s="48">
        <v>1</v>
      </c>
      <c r="F397" s="49">
        <v>45519</v>
      </c>
      <c r="G397" s="125">
        <v>45474</v>
      </c>
      <c r="H397" s="28" t="str">
        <f t="shared" si="18"/>
        <v>02938/202145474</v>
      </c>
      <c r="I397" s="38">
        <f>IFERROR(INDEX(Projetos!$M$2:$M$129,MATCH(Atualizações!A397,Projetos!$A$2:$A$129,0))," ")</f>
        <v>45519</v>
      </c>
      <c r="J397" s="61"/>
      <c r="K397" s="344">
        <f>IFERROR(Tb_Atualizações[[#This Row],[% EXECUTADO]]/Tb_Atualizações[[#This Row],[% PREVISTO]],"0%")</f>
        <v>1</v>
      </c>
      <c r="L397" s="31" t="str" cm="1">
        <f t="array" aca="1" ref="L3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397" s="50"/>
      <c r="N397" s="30"/>
      <c r="O397" s="42">
        <f t="shared" si="19"/>
        <v>2024</v>
      </c>
      <c r="P397" s="42" t="str">
        <f t="shared" si="20"/>
        <v>202402938/2021</v>
      </c>
      <c r="Q397" s="42">
        <v>1</v>
      </c>
    </row>
    <row r="398" spans="1:17" ht="15" hidden="1">
      <c r="A398" s="46" t="s">
        <v>141</v>
      </c>
      <c r="B398" s="312" t="str">
        <f>IFERROR(INDEX(Projetos!$B$3:$B$129,MATCH(A398,Projetos!$A$3:$A$129,0))," ")</f>
        <v>6ª edição da Série Justiça e pesquisa</v>
      </c>
      <c r="C398" s="50"/>
      <c r="D398" s="48">
        <v>0.96</v>
      </c>
      <c r="E398" s="48">
        <v>0.96</v>
      </c>
      <c r="F398" s="49">
        <v>45520</v>
      </c>
      <c r="G398" s="125">
        <v>45505</v>
      </c>
      <c r="H398" s="28" t="str">
        <f t="shared" si="18"/>
        <v>01179/202345505</v>
      </c>
      <c r="I398" s="38">
        <f>IFERROR(INDEX(Projetos!$M$2:$M$129,MATCH(Atualizações!A398,Projetos!$A$2:$A$129,0))," ")</f>
        <v>45597</v>
      </c>
      <c r="J398" s="61"/>
      <c r="K398" s="344">
        <f>IFERROR(Tb_Atualizações[[#This Row],[% EXECUTADO]]/Tb_Atualizações[[#This Row],[% PREVISTO]],"0%")</f>
        <v>1</v>
      </c>
      <c r="L398" s="31" t="str" cm="1">
        <f t="array" aca="1" ref="L3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98" s="50"/>
      <c r="N398" s="30"/>
      <c r="O398" s="42">
        <f t="shared" si="19"/>
        <v>2024</v>
      </c>
      <c r="P398" s="42" t="str">
        <f t="shared" si="20"/>
        <v>202401179/2023</v>
      </c>
      <c r="Q398" s="42">
        <v>1</v>
      </c>
    </row>
    <row r="399" spans="1:17" ht="15" hidden="1">
      <c r="A399" s="46" t="s">
        <v>615</v>
      </c>
      <c r="B399" s="312" t="str">
        <f>IFERROR(INDEX(Projetos!$B$3:$B$129,MATCH(A399,Projetos!$A$3:$A$129,0))," ")</f>
        <v>Polícia Judicial Amiga dos Autistas</v>
      </c>
      <c r="C399" s="47"/>
      <c r="D399" s="48">
        <v>0.78100000000000003</v>
      </c>
      <c r="E399" s="48">
        <v>0.76300000000000001</v>
      </c>
      <c r="F399" s="49">
        <v>45521</v>
      </c>
      <c r="G399" s="125">
        <v>45474</v>
      </c>
      <c r="H399" s="28" t="str">
        <f t="shared" si="18"/>
        <v>11340/202345474</v>
      </c>
      <c r="I399" s="38">
        <f>IFERROR(INDEX(Projetos!$M$2:$M$129,MATCH(Atualizações!A399,Projetos!$A$2:$A$129,0))," ")</f>
        <v>45688</v>
      </c>
      <c r="J399" s="61"/>
      <c r="K399" s="344">
        <f>IFERROR(Tb_Atualizações[[#This Row],[% EXECUTADO]]/Tb_Atualizações[[#This Row],[% PREVISTO]],"0%")</f>
        <v>0.97695262483994871</v>
      </c>
      <c r="L399" s="31" t="str" cm="1">
        <f t="array" aca="1" ref="L3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399" s="50"/>
      <c r="N399" s="30"/>
      <c r="O399" s="42">
        <f t="shared" si="19"/>
        <v>2024</v>
      </c>
      <c r="P399" s="42" t="str">
        <f t="shared" si="20"/>
        <v>202411340/2023</v>
      </c>
      <c r="Q399" s="42">
        <v>1</v>
      </c>
    </row>
    <row r="400" spans="1:17" ht="30" hidden="1">
      <c r="A400" s="46" t="s">
        <v>479</v>
      </c>
      <c r="B400" s="312" t="str">
        <f>IFERROR(INDEX(Projetos!$B$3:$B$129,MATCH(A400,Projetos!$A$3:$A$129,0))," ")</f>
        <v>Data Lake</v>
      </c>
      <c r="C400" s="50"/>
      <c r="D400" s="48">
        <v>0.89200000000000002</v>
      </c>
      <c r="E400" s="48">
        <v>0.90600000000000003</v>
      </c>
      <c r="F400" s="49">
        <v>45523</v>
      </c>
      <c r="G400" s="125">
        <v>45505</v>
      </c>
      <c r="H400" s="28" t="str">
        <f t="shared" si="18"/>
        <v>08547/202145505</v>
      </c>
      <c r="I400" s="38" t="str">
        <f>IFERROR(INDEX(Projetos!$M$2:$M$129,MATCH(Atualizações!A400,Projetos!$A$2:$A$129,0))," ")</f>
        <v>31/12/2024</v>
      </c>
      <c r="J400" s="61" t="s">
        <v>1303</v>
      </c>
      <c r="K400" s="344">
        <f>IFERROR(Tb_Atualizações[[#This Row],[% EXECUTADO]]/Tb_Atualizações[[#This Row],[% PREVISTO]],"0%")</f>
        <v>1.0156950672645739</v>
      </c>
      <c r="L400" s="31" t="str" cm="1">
        <f t="array" aca="1" ref="L4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0" s="50"/>
      <c r="N400" s="30"/>
      <c r="O400" s="42">
        <f t="shared" si="19"/>
        <v>2024</v>
      </c>
      <c r="P400" s="42" t="str">
        <f t="shared" si="20"/>
        <v>202408547/2021</v>
      </c>
      <c r="Q400" s="42">
        <v>1</v>
      </c>
    </row>
    <row r="401" spans="1:17" ht="15" hidden="1">
      <c r="A401" s="46" t="s">
        <v>350</v>
      </c>
      <c r="B401" s="312" t="str">
        <f>IFERROR(INDEX(Projetos!$B$3:$B$129,MATCH(A401,Projetos!$A$3:$A$129,0))," ")</f>
        <v>Painel de Estatística   - Justiça 4.0</v>
      </c>
      <c r="C401" s="50"/>
      <c r="D401" s="48">
        <v>0.99199999999999999</v>
      </c>
      <c r="E401" s="48">
        <v>0.93300000000000005</v>
      </c>
      <c r="F401" s="49">
        <v>45525</v>
      </c>
      <c r="G401" s="125">
        <v>45505</v>
      </c>
      <c r="H401" s="28" t="str">
        <f t="shared" si="18"/>
        <v>03545/202145505</v>
      </c>
      <c r="I401" s="38">
        <f>IFERROR(INDEX(Projetos!$M$2:$M$129,MATCH(Atualizações!A401,Projetos!$A$2:$A$129,0))," ")</f>
        <v>46387</v>
      </c>
      <c r="J401" s="61"/>
      <c r="K401" s="344">
        <f>IFERROR(Tb_Atualizações[[#This Row],[% EXECUTADO]]/Tb_Atualizações[[#This Row],[% PREVISTO]],"0%")</f>
        <v>0.94052419354838712</v>
      </c>
      <c r="L401" s="31" t="str" cm="1">
        <f t="array" aca="1" ref="L4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01" s="50"/>
      <c r="N401" s="30"/>
      <c r="O401" s="42">
        <f t="shared" si="19"/>
        <v>2024</v>
      </c>
      <c r="P401" s="42" t="str">
        <f t="shared" si="20"/>
        <v>202403545/2021</v>
      </c>
      <c r="Q401" s="42">
        <v>1</v>
      </c>
    </row>
    <row r="402" spans="1:17" ht="15" hidden="1">
      <c r="A402" s="46" t="s">
        <v>684</v>
      </c>
      <c r="B402" s="312" t="str">
        <f>IFERROR(INDEX(Projetos!$B$3:$B$129,MATCH(A402,Projetos!$A$3:$A$129,0))," ")</f>
        <v>Painel dos Grandes Litigantes</v>
      </c>
      <c r="C402" s="50"/>
      <c r="D402" s="48">
        <v>0.98599999999999999</v>
      </c>
      <c r="E402" s="48">
        <v>0.96699999999999997</v>
      </c>
      <c r="F402" s="49">
        <v>45525</v>
      </c>
      <c r="G402" s="125">
        <v>45505</v>
      </c>
      <c r="H402" s="28" t="str">
        <f t="shared" si="18"/>
        <v>12135/202245505</v>
      </c>
      <c r="I402" s="38" t="str">
        <f>IFERROR(INDEX(Projetos!$M$2:$M$129,MATCH(Atualizações!A402,Projetos!$A$2:$A$129,0))," ")</f>
        <v>30/06/26</v>
      </c>
      <c r="J402" s="61"/>
      <c r="K402" s="344">
        <f>IFERROR(Tb_Atualizações[[#This Row],[% EXECUTADO]]/Tb_Atualizações[[#This Row],[% PREVISTO]],"0%")</f>
        <v>0.98073022312373226</v>
      </c>
      <c r="L402" s="31" t="str" cm="1">
        <f t="array" aca="1" ref="L4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2" s="50"/>
      <c r="N402" s="30"/>
      <c r="O402" s="42">
        <f t="shared" si="19"/>
        <v>2024</v>
      </c>
      <c r="P402" s="42" t="str">
        <f t="shared" si="20"/>
        <v>202412135/2022</v>
      </c>
      <c r="Q402" s="42">
        <v>1</v>
      </c>
    </row>
    <row r="403" spans="1:17" ht="30" hidden="1">
      <c r="A403" s="46" t="s">
        <v>266</v>
      </c>
      <c r="B403" s="312" t="str">
        <f>IFERROR(INDEX(Projetos!$B$3:$B$129,MATCH(A403,Projetos!$A$3:$A$129,0))," ")</f>
        <v>Itinerância Cooperativa na Amazônia Legal – 1ª Edição de 2024 – Humaitá e Lábrea/AM</v>
      </c>
      <c r="C403" s="50"/>
      <c r="D403" s="48">
        <v>0.75</v>
      </c>
      <c r="E403" s="48">
        <v>0.75</v>
      </c>
      <c r="F403" s="49">
        <v>45526</v>
      </c>
      <c r="G403" s="125">
        <v>45505</v>
      </c>
      <c r="H403" s="28" t="str">
        <f t="shared" si="18"/>
        <v>02476/202445505</v>
      </c>
      <c r="I403" s="38">
        <f>IFERROR(INDEX(Projetos!$M$2:$M$129,MATCH(Atualizações!A403,Projetos!$A$2:$A$129,0))," ")</f>
        <v>45590</v>
      </c>
      <c r="J403" s="61"/>
      <c r="K403" s="344">
        <f>IFERROR(Tb_Atualizações[[#This Row],[% EXECUTADO]]/Tb_Atualizações[[#This Row],[% PREVISTO]],"0%")</f>
        <v>1</v>
      </c>
      <c r="L403" s="31" t="str" cm="1">
        <f t="array" aca="1" ref="L4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3" s="50"/>
      <c r="N403" s="30"/>
      <c r="O403" s="42">
        <f t="shared" si="19"/>
        <v>2024</v>
      </c>
      <c r="P403" s="42" t="str">
        <f t="shared" si="20"/>
        <v>202402476/2024</v>
      </c>
      <c r="Q403" s="42">
        <v>1</v>
      </c>
    </row>
    <row r="404" spans="1:17" ht="15" hidden="1">
      <c r="A404" s="133" t="s">
        <v>559</v>
      </c>
      <c r="B404" s="312" t="str">
        <f>IFERROR(INDEX(Projetos!$B$3:$B$129,MATCH(A404,Projetos!$A$3:$A$129,0))," ")</f>
        <v>Fonajus itinerante</v>
      </c>
      <c r="C404" s="50"/>
      <c r="D404" s="48">
        <v>0</v>
      </c>
      <c r="E404" s="48">
        <v>0</v>
      </c>
      <c r="F404" s="49">
        <v>45526</v>
      </c>
      <c r="G404" s="125"/>
      <c r="H404" s="28" t="str">
        <f t="shared" si="18"/>
        <v>10101/2024</v>
      </c>
      <c r="I404" s="38" t="str">
        <f>IFERROR(INDEX(Projetos!$M$2:$M$129,MATCH(Atualizações!A404,Projetos!$A$2:$A$129,0))," ")</f>
        <v>30/4/2026</v>
      </c>
      <c r="J404" s="61"/>
      <c r="K404" s="344" t="str">
        <f>IFERROR(Tb_Atualizações[[#This Row],[% EXECUTADO]]/Tb_Atualizações[[#This Row],[% PREVISTO]],"0%")</f>
        <v>0%</v>
      </c>
      <c r="L404" s="31" t="str" cm="1">
        <f t="array" aca="1" ref="L4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04" s="50"/>
      <c r="N404" s="30"/>
      <c r="O404" s="42">
        <f t="shared" si="19"/>
        <v>2024</v>
      </c>
      <c r="P404" s="42" t="str">
        <f t="shared" si="20"/>
        <v>202410101/2024</v>
      </c>
      <c r="Q404" s="42">
        <v>1</v>
      </c>
    </row>
    <row r="405" spans="1:17" ht="15" hidden="1">
      <c r="A405" s="46" t="s">
        <v>384</v>
      </c>
      <c r="B405" s="312" t="str">
        <f>IFERROR(INDEX(Projetos!$B$3:$B$129,MATCH(A405,Projetos!$A$3:$A$129,0))," ")</f>
        <v>Integra - Serviço de Monitoramento de Atos do CNJ</v>
      </c>
      <c r="C405" s="50"/>
      <c r="D405" s="48">
        <v>0.23</v>
      </c>
      <c r="E405" s="48">
        <v>0.28999999999999998</v>
      </c>
      <c r="F405" s="49">
        <v>45530</v>
      </c>
      <c r="G405" s="125">
        <v>45505</v>
      </c>
      <c r="H405" s="28" t="str">
        <f t="shared" si="18"/>
        <v>04137/202445505</v>
      </c>
      <c r="I405" s="38">
        <f>IFERROR(INDEX(Projetos!$M$2:$M$129,MATCH(Atualizações!A405,Projetos!$A$2:$A$129,0))," ")</f>
        <v>46285</v>
      </c>
      <c r="J405" s="61"/>
      <c r="K405" s="344">
        <f>IFERROR(Tb_Atualizações[[#This Row],[% EXECUTADO]]/Tb_Atualizações[[#This Row],[% PREVISTO]],"0%")</f>
        <v>1.2608695652173911</v>
      </c>
      <c r="L405" s="31" t="str" cm="1">
        <f t="array" aca="1" ref="L4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5" s="50"/>
      <c r="N405" s="30"/>
      <c r="O405" s="42">
        <f t="shared" si="19"/>
        <v>2024</v>
      </c>
      <c r="P405" s="42" t="str">
        <f t="shared" si="20"/>
        <v>202404137/2024</v>
      </c>
      <c r="Q405" s="42">
        <v>1</v>
      </c>
    </row>
    <row r="406" spans="1:17" ht="15" hidden="1">
      <c r="A406" s="46" t="s">
        <v>182</v>
      </c>
      <c r="B406" s="312" t="str">
        <f>IFERROR(INDEX(Projetos!$B$3:$B$129,MATCH(A406,Projetos!$A$3:$A$129,0))," ")</f>
        <v xml:space="preserve">Mineração de Processos do Pje </v>
      </c>
      <c r="C406" s="50"/>
      <c r="D406" s="48">
        <v>0.97</v>
      </c>
      <c r="E406" s="48">
        <v>0.97</v>
      </c>
      <c r="F406" s="49">
        <v>45531</v>
      </c>
      <c r="G406" s="125">
        <v>45505</v>
      </c>
      <c r="H406" s="28" t="str">
        <f t="shared" si="18"/>
        <v>01764/202045505</v>
      </c>
      <c r="I406" s="38">
        <f>IFERROR(INDEX(Projetos!$M$2:$M$129,MATCH(Atualizações!A406,Projetos!$A$2:$A$129,0))," ")</f>
        <v>46630</v>
      </c>
      <c r="J406" s="61"/>
      <c r="K406" s="344">
        <f>IFERROR(Tb_Atualizações[[#This Row],[% EXECUTADO]]/Tb_Atualizações[[#This Row],[% PREVISTO]],"0%")</f>
        <v>1</v>
      </c>
      <c r="L406" s="31" t="str" cm="1">
        <f t="array" aca="1" ref="L4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6" s="50"/>
      <c r="N406" s="30"/>
      <c r="O406" s="42">
        <f t="shared" si="19"/>
        <v>2024</v>
      </c>
      <c r="P406" s="42" t="str">
        <f t="shared" si="20"/>
        <v>202401764/2020</v>
      </c>
      <c r="Q406" s="42">
        <v>1</v>
      </c>
    </row>
    <row r="407" spans="1:17" ht="15" hidden="1">
      <c r="A407" s="385" t="s">
        <v>570</v>
      </c>
      <c r="B407" s="312" t="str">
        <f>IFERROR(INDEX(Projetos!$B$3:$B$129,MATCH(A407,Projetos!$A$3:$A$129,0))," ")</f>
        <v>Repositório Anticorrupção e Tecnologia do Poder Judiciário</v>
      </c>
      <c r="C407" s="50"/>
      <c r="D407" s="48">
        <v>0.99199999999999999</v>
      </c>
      <c r="E407" s="48">
        <v>0.97499999999999998</v>
      </c>
      <c r="F407" s="49">
        <v>45531</v>
      </c>
      <c r="G407" s="125">
        <v>45505</v>
      </c>
      <c r="H407" s="28" t="str">
        <f t="shared" si="18"/>
        <v>10157/202245505</v>
      </c>
      <c r="I407" s="38">
        <f>IFERROR(INDEX(Projetos!$M$2:$M$129,MATCH(Atualizações!A407,Projetos!$A$2:$A$129,0))," ")</f>
        <v>45565</v>
      </c>
      <c r="J407" s="61"/>
      <c r="K407" s="344">
        <f>IFERROR(Tb_Atualizações[[#This Row],[% EXECUTADO]]/Tb_Atualizações[[#This Row],[% PREVISTO]],"0%")</f>
        <v>0.98286290322580638</v>
      </c>
      <c r="L407" s="31" t="str" cm="1">
        <f t="array" aca="1" ref="L4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7" s="50"/>
      <c r="N407" s="30"/>
      <c r="O407" s="42">
        <f t="shared" si="19"/>
        <v>2024</v>
      </c>
      <c r="P407" s="42" t="str">
        <f t="shared" si="20"/>
        <v>202410157/2022</v>
      </c>
      <c r="Q407" s="42">
        <v>1</v>
      </c>
    </row>
    <row r="408" spans="1:17" ht="15" hidden="1">
      <c r="A408" s="46" t="s">
        <v>471</v>
      </c>
      <c r="B408" s="312" t="str">
        <f>IFERROR(INDEX(Projetos!$B$3:$B$129,MATCH(A408,Projetos!$A$3:$A$129,0))," ")</f>
        <v>Sinapses 5 - Capacitação Cursos EaD IA</v>
      </c>
      <c r="C408" s="50"/>
      <c r="D408" s="48">
        <v>0.92700000000000005</v>
      </c>
      <c r="E408" s="48">
        <v>0.91100000000000003</v>
      </c>
      <c r="F408" s="49">
        <v>45531</v>
      </c>
      <c r="G408" s="125">
        <v>45505</v>
      </c>
      <c r="H408" s="28" t="str">
        <f t="shared" si="18"/>
        <v>08543/202145505</v>
      </c>
      <c r="I408" s="38">
        <f>IFERROR(INDEX(Projetos!$M$2:$M$129,MATCH(Atualizações!A408,Projetos!$A$2:$A$129,0))," ")</f>
        <v>45716</v>
      </c>
      <c r="J408" s="61"/>
      <c r="K408" s="344">
        <f>IFERROR(Tb_Atualizações[[#This Row],[% EXECUTADO]]/Tb_Atualizações[[#This Row],[% PREVISTO]],"0%")</f>
        <v>0.98274002157497298</v>
      </c>
      <c r="L408" s="31" t="str" cm="1">
        <f t="array" aca="1" ref="L4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8" s="50"/>
      <c r="N408" s="30"/>
      <c r="O408" s="42">
        <f t="shared" si="19"/>
        <v>2024</v>
      </c>
      <c r="P408" s="42" t="str">
        <f t="shared" si="20"/>
        <v>202408543/2021</v>
      </c>
      <c r="Q408" s="42">
        <v>1</v>
      </c>
    </row>
    <row r="409" spans="1:17" ht="15" hidden="1">
      <c r="A409" s="385" t="s">
        <v>523</v>
      </c>
      <c r="B409" s="312" t="str">
        <f>IFERROR(INDEX(Projetos!$B$3:$B$129,MATCH(A409,Projetos!$A$3:$A$129,0))," ")</f>
        <v>Portal Jus BR</v>
      </c>
      <c r="C409" s="50"/>
      <c r="D409" s="48">
        <v>0.251</v>
      </c>
      <c r="E409" s="48">
        <v>0.34300000000000003</v>
      </c>
      <c r="F409" s="49">
        <v>45532</v>
      </c>
      <c r="G409" s="28">
        <v>45474</v>
      </c>
      <c r="H409" s="46" t="str">
        <f t="shared" si="18"/>
        <v>09536/202445474</v>
      </c>
      <c r="I409" s="38" t="str">
        <f>IFERROR(INDEX(Projetos!$M$2:$M$129,MATCH(Atualizações!A409,Projetos!$A$2:$A$129,0))," ")</f>
        <v>30/10/2025</v>
      </c>
      <c r="J409" s="61"/>
      <c r="K409" s="344">
        <f>IFERROR(Tb_Atualizações[[#This Row],[% EXECUTADO]]/Tb_Atualizações[[#This Row],[% PREVISTO]],"0%")</f>
        <v>1.3665338645418328</v>
      </c>
      <c r="L409" s="31" t="str" cm="1">
        <f t="array" aca="1" ref="L4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09" s="50"/>
      <c r="N409" s="30"/>
      <c r="O409" s="42">
        <f t="shared" si="19"/>
        <v>2024</v>
      </c>
      <c r="P409" s="42" t="str">
        <f t="shared" si="20"/>
        <v>202409536/2024</v>
      </c>
      <c r="Q409" s="42">
        <v>1</v>
      </c>
    </row>
    <row r="410" spans="1:17" ht="15" hidden="1">
      <c r="A410" s="46" t="s">
        <v>229</v>
      </c>
      <c r="B410" s="312" t="str">
        <f>IFERROR(INDEX(Projetos!$B$3:$B$129,MATCH(A410,Projetos!$A$3:$A$129,0))," ")</f>
        <v>Gabinete do Juízo</v>
      </c>
      <c r="C410" s="50"/>
      <c r="D410" s="48">
        <v>0.626</v>
      </c>
      <c r="E410" s="48">
        <v>0.625</v>
      </c>
      <c r="F410" s="49">
        <v>45532</v>
      </c>
      <c r="G410" s="125">
        <v>45505</v>
      </c>
      <c r="H410" s="28" t="str">
        <f t="shared" si="18"/>
        <v>02080/202345505</v>
      </c>
      <c r="I410" s="38">
        <f>IFERROR(INDEX(Projetos!$M$2:$M$129,MATCH(Atualizações!A410,Projetos!$A$2:$A$129,0))," ")</f>
        <v>46379</v>
      </c>
      <c r="J410" s="61"/>
      <c r="K410" s="344">
        <f>IFERROR(Tb_Atualizações[[#This Row],[% EXECUTADO]]/Tb_Atualizações[[#This Row],[% PREVISTO]],"0%")</f>
        <v>0.99840255591054317</v>
      </c>
      <c r="L410" s="31" t="str" cm="1">
        <f t="array" aca="1" ref="L4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0" s="50"/>
      <c r="N410" s="30"/>
      <c r="O410" s="42">
        <f t="shared" si="19"/>
        <v>2024</v>
      </c>
      <c r="P410" s="42" t="str">
        <f t="shared" si="20"/>
        <v>202402080/2023</v>
      </c>
      <c r="Q410" s="42">
        <v>1</v>
      </c>
    </row>
    <row r="411" spans="1:17" ht="30" hidden="1">
      <c r="A411" s="46" t="s">
        <v>376</v>
      </c>
      <c r="B411" s="312" t="str">
        <f>IFERROR(INDEX(Projetos!$B$3:$B$129,MATCH(A411,Projetos!$A$3:$A$129,0))," ")</f>
        <v>Nacionalização SAREF - Sistema de Apresentação Remota por Reconhecimento Facial</v>
      </c>
      <c r="C411" s="50"/>
      <c r="D411" s="48">
        <v>0.69399999999999995</v>
      </c>
      <c r="E411" s="48">
        <v>0.49</v>
      </c>
      <c r="F411" s="49">
        <v>45532</v>
      </c>
      <c r="G411" s="125">
        <v>45505</v>
      </c>
      <c r="H411" s="28" t="str">
        <f t="shared" si="18"/>
        <v>03924/202345505</v>
      </c>
      <c r="I411" s="38">
        <f>IFERROR(INDEX(Projetos!$M$2:$M$129,MATCH(Atualizações!A411,Projetos!$A$2:$A$129,0))," ")</f>
        <v>45565</v>
      </c>
      <c r="J411" s="61"/>
      <c r="K411" s="344">
        <f>IFERROR(Tb_Atualizações[[#This Row],[% EXECUTADO]]/Tb_Atualizações[[#This Row],[% PREVISTO]],"0%")</f>
        <v>0.70605187319884732</v>
      </c>
      <c r="L411" s="31" t="str" cm="1">
        <f t="array" aca="1" ref="L4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11" s="50"/>
      <c r="N411" s="30"/>
      <c r="O411" s="42">
        <f t="shared" si="19"/>
        <v>2024</v>
      </c>
      <c r="P411" s="42" t="str">
        <f t="shared" si="20"/>
        <v>202403924/2023</v>
      </c>
      <c r="Q411" s="42">
        <v>1</v>
      </c>
    </row>
    <row r="412" spans="1:17" ht="15" hidden="1">
      <c r="A412" s="46" t="s">
        <v>638</v>
      </c>
      <c r="B412" s="312" t="str">
        <f>IFERROR(INDEX(Projetos!$B$3:$B$129,MATCH(A412,Projetos!$A$3:$A$129,0))," ")</f>
        <v>Sisperjud</v>
      </c>
      <c r="C412" s="50"/>
      <c r="D412" s="48">
        <v>0.77200000000000002</v>
      </c>
      <c r="E412" s="48">
        <v>0.78500000000000003</v>
      </c>
      <c r="F412" s="49">
        <v>45532</v>
      </c>
      <c r="G412" s="125">
        <v>45505</v>
      </c>
      <c r="H412" s="28" t="str">
        <f t="shared" si="18"/>
        <v>11644/202245505</v>
      </c>
      <c r="I412" s="38">
        <f>IFERROR(INDEX(Projetos!$M$2:$M$129,MATCH(Atualizações!A412,Projetos!$A$2:$A$129,0))," ")</f>
        <v>46352</v>
      </c>
      <c r="J412" s="61"/>
      <c r="K412" s="344">
        <f>IFERROR(Tb_Atualizações[[#This Row],[% EXECUTADO]]/Tb_Atualizações[[#This Row],[% PREVISTO]],"0%")</f>
        <v>1.016839378238342</v>
      </c>
      <c r="L412" s="31" t="str" cm="1">
        <f t="array" aca="1" ref="L4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2" s="50"/>
      <c r="N412" s="30"/>
      <c r="O412" s="42">
        <f t="shared" si="19"/>
        <v>2024</v>
      </c>
      <c r="P412" s="42" t="str">
        <f t="shared" si="20"/>
        <v>202411644/2022</v>
      </c>
      <c r="Q412" s="42">
        <v>1</v>
      </c>
    </row>
    <row r="413" spans="1:17" ht="15" hidden="1">
      <c r="A413" s="46" t="s">
        <v>609</v>
      </c>
      <c r="B413" s="312" t="str">
        <f>IFERROR(INDEX(Projetos!$B$3:$B$129,MATCH(A413,Projetos!$A$3:$A$129,0))," ")</f>
        <v>SPVATJUD</v>
      </c>
      <c r="C413" s="50"/>
      <c r="D413" s="48">
        <v>0.90400000000000003</v>
      </c>
      <c r="E413" s="48">
        <v>0.94799999999999995</v>
      </c>
      <c r="F413" s="49">
        <v>45533</v>
      </c>
      <c r="G413" s="125">
        <v>45505</v>
      </c>
      <c r="H413" s="28" t="str">
        <f t="shared" si="18"/>
        <v>11270/202245505</v>
      </c>
      <c r="I413" s="38">
        <f>IFERROR(INDEX(Projetos!$M$2:$M$129,MATCH(Atualizações!A413,Projetos!$A$2:$A$129,0))," ")</f>
        <v>45716</v>
      </c>
      <c r="J413" s="61"/>
      <c r="K413" s="344">
        <f>IFERROR(Tb_Atualizações[[#This Row],[% EXECUTADO]]/Tb_Atualizações[[#This Row],[% PREVISTO]],"0%")</f>
        <v>1.0486725663716814</v>
      </c>
      <c r="L413" s="31" t="str" cm="1">
        <f t="array" aca="1" ref="L4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3" s="50"/>
      <c r="N413" s="30"/>
      <c r="O413" s="42">
        <f t="shared" si="19"/>
        <v>2024</v>
      </c>
      <c r="P413" s="42" t="str">
        <f t="shared" si="20"/>
        <v>202411270/2022</v>
      </c>
      <c r="Q413" s="42">
        <v>1</v>
      </c>
    </row>
    <row r="414" spans="1:17" ht="105" hidden="1">
      <c r="A414" s="46" t="s">
        <v>599</v>
      </c>
      <c r="B414" s="312" t="str">
        <f>IFERROR(INDEX(Projetos!$B$3:$B$129,MATCH(A414,Projetos!$A$3:$A$129,0))," ")</f>
        <v>BNMP 3.0 – Banco Nacional de Medidas Penais e Prisões – Fase 2</v>
      </c>
      <c r="C414" s="50"/>
      <c r="D414" s="48">
        <v>1</v>
      </c>
      <c r="E414" s="48">
        <v>1</v>
      </c>
      <c r="F414" s="49">
        <v>45534</v>
      </c>
      <c r="G414" s="28">
        <v>45505</v>
      </c>
      <c r="H414" s="46" t="str">
        <f t="shared" si="18"/>
        <v>10965/202345505</v>
      </c>
      <c r="I414" s="38">
        <f>IFERROR(INDEX(Projetos!$M$2:$M$129,MATCH(Atualizações!A414,Projetos!$A$2:$A$129,0))," ")</f>
        <v>45517</v>
      </c>
      <c r="J414" s="8" t="s">
        <v>1304</v>
      </c>
      <c r="K414" s="344">
        <f>IFERROR(Tb_Atualizações[[#This Row],[% EXECUTADO]]/Tb_Atualizações[[#This Row],[% PREVISTO]],"0%")</f>
        <v>1</v>
      </c>
      <c r="L414" s="31" t="str" cm="1">
        <f t="array" aca="1" ref="L4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14" s="50"/>
      <c r="N414" s="30"/>
      <c r="O414" s="42">
        <f t="shared" si="19"/>
        <v>2024</v>
      </c>
      <c r="P414" s="42" t="str">
        <f t="shared" si="20"/>
        <v>202410965/2023</v>
      </c>
      <c r="Q414" s="42">
        <v>1</v>
      </c>
    </row>
    <row r="415" spans="1:17" ht="15" hidden="1">
      <c r="A415" s="46" t="s">
        <v>644</v>
      </c>
      <c r="B415" s="312" t="str">
        <f>IFERROR(INDEX(Projetos!$B$3:$B$129,MATCH(A415,Projetos!$A$3:$A$129,0))," ")</f>
        <v>BNP/Pangea</v>
      </c>
      <c r="C415" s="50"/>
      <c r="D415" s="48">
        <v>0.63200000000000001</v>
      </c>
      <c r="E415" s="48">
        <v>0.64</v>
      </c>
      <c r="F415" s="49">
        <v>45534</v>
      </c>
      <c r="G415" s="125">
        <v>45505</v>
      </c>
      <c r="H415" s="28" t="str">
        <f t="shared" si="18"/>
        <v>11645/202245505</v>
      </c>
      <c r="I415" s="38" t="str">
        <f>IFERROR(INDEX(Projetos!$M$2:$M$129,MATCH(Atualizações!A415,Projetos!$A$2:$A$129,0))," ")</f>
        <v>23/12/2026</v>
      </c>
      <c r="J415" s="61"/>
      <c r="K415" s="344">
        <f>IFERROR(Tb_Atualizações[[#This Row],[% EXECUTADO]]/Tb_Atualizações[[#This Row],[% PREVISTO]],"0%")</f>
        <v>1.0126582278481013</v>
      </c>
      <c r="L415" s="31" t="str" cm="1">
        <f t="array" aca="1" ref="L4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5" s="50"/>
      <c r="N415" s="30"/>
      <c r="O415" s="42">
        <f t="shared" si="19"/>
        <v>2024</v>
      </c>
      <c r="P415" s="42" t="str">
        <f t="shared" si="20"/>
        <v>202411645/2022</v>
      </c>
      <c r="Q415" s="42">
        <v>1</v>
      </c>
    </row>
    <row r="416" spans="1:17" ht="30" hidden="1">
      <c r="A416" s="46" t="s">
        <v>425</v>
      </c>
      <c r="B416" s="312" t="str">
        <f>IFERROR(INDEX(Projetos!$B$3:$B$129,MATCH(A416,Projetos!$A$3:$A$129,0))," ")</f>
        <v>Diagnóstico sobre a otimização dos processos de trabalho no Poder Judiciário em face da implementação das Políticas Tecnológicas do Programa Justiça 4.0.</v>
      </c>
      <c r="C416" s="50"/>
      <c r="D416" s="48">
        <v>0.73399999999999999</v>
      </c>
      <c r="E416" s="48">
        <v>0.71599999999999997</v>
      </c>
      <c r="F416" s="49">
        <v>45534</v>
      </c>
      <c r="G416" s="125">
        <v>45505</v>
      </c>
      <c r="H416" s="28" t="str">
        <f t="shared" si="18"/>
        <v>06767/202245505</v>
      </c>
      <c r="I416" s="38">
        <f>IFERROR(INDEX(Projetos!$M$2:$M$129,MATCH(Atualizações!A416,Projetos!$A$2:$A$129,0))," ")</f>
        <v>45605</v>
      </c>
      <c r="J416" s="61"/>
      <c r="K416" s="344">
        <f>IFERROR(Tb_Atualizações[[#This Row],[% EXECUTADO]]/Tb_Atualizações[[#This Row],[% PREVISTO]],"0%")</f>
        <v>0.97547683923705719</v>
      </c>
      <c r="L416" s="31" t="str" cm="1">
        <f t="array" aca="1" ref="L4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6" s="50"/>
      <c r="N416" s="30"/>
      <c r="O416" s="42">
        <f t="shared" si="19"/>
        <v>2024</v>
      </c>
      <c r="P416" s="42" t="str">
        <f t="shared" si="20"/>
        <v>202406767/2022</v>
      </c>
      <c r="Q416" s="42">
        <v>1</v>
      </c>
    </row>
    <row r="417" spans="1:17" ht="15" hidden="1">
      <c r="A417" s="46" t="s">
        <v>358</v>
      </c>
      <c r="B417" s="312" t="str">
        <f>IFERROR(INDEX(Projetos!$B$3:$B$129,MATCH(A417,Projetos!$A$3:$A$129,0))," ")</f>
        <v>Prevjud - Automação de Processos Previdenciários - Justiça 4.0</v>
      </c>
      <c r="C417" s="50"/>
      <c r="D417" s="48">
        <v>0.92900000000000005</v>
      </c>
      <c r="E417" s="48">
        <v>0.92700000000000005</v>
      </c>
      <c r="F417" s="49">
        <v>45535</v>
      </c>
      <c r="G417" s="125">
        <v>45505</v>
      </c>
      <c r="H417" s="28" t="str">
        <f t="shared" si="18"/>
        <v>03558/202145505</v>
      </c>
      <c r="I417" s="38" t="str">
        <f>IFERROR(INDEX(Projetos!$M$2:$M$129,MATCH(Atualizações!A417,Projetos!$A$2:$A$129,0))," ")</f>
        <v>31/03/2026</v>
      </c>
      <c r="J417" s="61"/>
      <c r="K417" s="344">
        <f>IFERROR(Tb_Atualizações[[#This Row],[% EXECUTADO]]/Tb_Atualizações[[#This Row],[% PREVISTO]],"0%")</f>
        <v>0.99784714747039827</v>
      </c>
      <c r="L417" s="31" t="str" cm="1">
        <f t="array" aca="1" ref="L4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7" s="50"/>
      <c r="N417" s="30"/>
      <c r="O417" s="42">
        <f t="shared" si="19"/>
        <v>2024</v>
      </c>
      <c r="P417" s="42" t="str">
        <f t="shared" si="20"/>
        <v>202403558/2021</v>
      </c>
      <c r="Q417" s="42">
        <v>1</v>
      </c>
    </row>
    <row r="418" spans="1:17" ht="15" hidden="1">
      <c r="A418" s="46" t="s">
        <v>209</v>
      </c>
      <c r="B418" s="312" t="str">
        <f>IFERROR(INDEX(Projetos!$B$3:$B$129,MATCH(A418,Projetos!$A$3:$A$129,0))," ")</f>
        <v>Capacitação técnica para desenvolvedores nas tecnologias da PDPJ - BR</v>
      </c>
      <c r="C418" s="50"/>
      <c r="D418" s="48">
        <v>0.751</v>
      </c>
      <c r="E418" s="48">
        <v>0.72299999999999998</v>
      </c>
      <c r="F418" s="49">
        <v>45537</v>
      </c>
      <c r="G418" s="125">
        <v>45505</v>
      </c>
      <c r="H418" s="28" t="str">
        <f t="shared" si="18"/>
        <v>01945/202245505</v>
      </c>
      <c r="I418" s="38">
        <f>IFERROR(INDEX(Projetos!$M$2:$M$129,MATCH(Atualizações!A418,Projetos!$A$2:$A$129,0))," ")</f>
        <v>45866</v>
      </c>
      <c r="J418" s="61"/>
      <c r="K418" s="344">
        <f>IFERROR(Tb_Atualizações[[#This Row],[% EXECUTADO]]/Tb_Atualizações[[#This Row],[% PREVISTO]],"0%")</f>
        <v>0.96271637816245004</v>
      </c>
      <c r="L418" s="31" t="str" cm="1">
        <f t="array" aca="1" ref="L4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18" s="50"/>
      <c r="N418" s="30"/>
      <c r="O418" s="42">
        <f t="shared" si="19"/>
        <v>2024</v>
      </c>
      <c r="P418" s="42" t="str">
        <f t="shared" si="20"/>
        <v>202401945/2022</v>
      </c>
      <c r="Q418" s="42">
        <v>1</v>
      </c>
    </row>
    <row r="419" spans="1:17" ht="15" hidden="1">
      <c r="A419" s="385" t="s">
        <v>629</v>
      </c>
      <c r="B419" s="312" t="str">
        <f>IFERROR(INDEX(Projetos!$B$3:$B$129,MATCH(A419,Projetos!$A$3:$A$129,0))," ")</f>
        <v>2º Edital da 7ª Edição da Série Justiça Pesquisa - Exercício 2024/2025</v>
      </c>
      <c r="C419" s="50"/>
      <c r="D419" s="48">
        <v>0</v>
      </c>
      <c r="E419" s="48">
        <v>0</v>
      </c>
      <c r="F419" s="636">
        <v>45541</v>
      </c>
      <c r="G419" s="636"/>
      <c r="H419" s="28" t="str">
        <f t="shared" si="18"/>
        <v>11449/2024</v>
      </c>
      <c r="I419" s="38" t="str">
        <f>IFERROR(INDEX(Projetos!$M$2:$M$129,MATCH(Atualizações!A419,Projetos!$A$2:$A$129,0))," ")</f>
        <v>27/8/2026</v>
      </c>
      <c r="J419" s="61"/>
      <c r="K419" s="344" t="str">
        <f>IFERROR(Tb_Atualizações[[#This Row],[% EXECUTADO]]/Tb_Atualizações[[#This Row],[% PREVISTO]],"0%")</f>
        <v>0%</v>
      </c>
      <c r="L419" s="31" t="str" cm="1">
        <f t="array" aca="1" ref="L4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19" s="50"/>
      <c r="N419" s="30"/>
      <c r="O419" s="42">
        <f t="shared" si="19"/>
        <v>2024</v>
      </c>
      <c r="P419" s="42" t="str">
        <f t="shared" si="20"/>
        <v>202411449/2024</v>
      </c>
      <c r="Q419" s="42">
        <v>1</v>
      </c>
    </row>
    <row r="420" spans="1:17" ht="15" hidden="1">
      <c r="A420" s="46" t="s">
        <v>160</v>
      </c>
      <c r="B420" s="312" t="str">
        <f>IFERROR(INDEX(Projetos!$B$3:$B$129,MATCH(A420,Projetos!$A$3:$A$129,0))," ")</f>
        <v>Domicílio Judicial Eletrônico</v>
      </c>
      <c r="C420" s="50"/>
      <c r="D420" s="48">
        <v>1</v>
      </c>
      <c r="E420" s="48">
        <v>1</v>
      </c>
      <c r="F420" s="49">
        <v>45544</v>
      </c>
      <c r="G420" s="125">
        <v>45505</v>
      </c>
      <c r="H420" s="28" t="str">
        <f t="shared" si="18"/>
        <v>01487/202245505</v>
      </c>
      <c r="I420" s="38">
        <f>IFERROR(INDEX(Projetos!$M$2:$M$129,MATCH(Atualizações!A420,Projetos!$A$2:$A$129,0))," ")</f>
        <v>45566</v>
      </c>
      <c r="J420" s="61"/>
      <c r="K420" s="344">
        <f>IFERROR(Tb_Atualizações[[#This Row],[% EXECUTADO]]/Tb_Atualizações[[#This Row],[% PREVISTO]],"0%")</f>
        <v>1</v>
      </c>
      <c r="L420" s="31" t="str" cm="1">
        <f t="array" aca="1" ref="L4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20" s="50"/>
      <c r="N420" s="30"/>
      <c r="O420" s="42">
        <f t="shared" si="19"/>
        <v>2024</v>
      </c>
      <c r="P420" s="42" t="str">
        <f t="shared" si="20"/>
        <v>202401487/2022</v>
      </c>
      <c r="Q420" s="42">
        <v>1</v>
      </c>
    </row>
    <row r="421" spans="1:17" ht="30" hidden="1">
      <c r="A421" s="46" t="s">
        <v>273</v>
      </c>
      <c r="B421" s="312" t="str">
        <f>IFERROR(INDEX(Projetos!$B$3:$B$129,MATCH(A421,Projetos!$A$3:$A$129,0))," ")</f>
        <v>SNA – Novo Sistema Nacional de Adoção e Acolhimento</v>
      </c>
      <c r="C421" s="50"/>
      <c r="D421" s="48">
        <v>0.38300000000000001</v>
      </c>
      <c r="E421" s="48">
        <v>0.189</v>
      </c>
      <c r="F421" s="49">
        <v>45544</v>
      </c>
      <c r="G421" s="125">
        <v>45505</v>
      </c>
      <c r="H421" s="28" t="str">
        <f t="shared" si="18"/>
        <v>02483/202345505</v>
      </c>
      <c r="I421" s="38">
        <f>IFERROR(INDEX(Projetos!$M$2:$M$129,MATCH(Atualizações!A421,Projetos!$A$2:$A$129,0))," ")</f>
        <v>46022</v>
      </c>
      <c r="J421" s="61"/>
      <c r="K421" s="344">
        <f>IFERROR(Tb_Atualizações[[#This Row],[% EXECUTADO]]/Tb_Atualizações[[#This Row],[% PREVISTO]],"0%")</f>
        <v>0.49347258485639683</v>
      </c>
      <c r="L421" s="31" t="str" cm="1">
        <f t="array" aca="1" ref="L4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21" s="50"/>
      <c r="N421" s="30"/>
      <c r="O421" s="42">
        <f t="shared" si="19"/>
        <v>2024</v>
      </c>
      <c r="P421" s="42" t="str">
        <f t="shared" si="20"/>
        <v>202402483/2023</v>
      </c>
      <c r="Q421" s="42">
        <v>1</v>
      </c>
    </row>
    <row r="422" spans="1:17" ht="15" hidden="1">
      <c r="A422" s="46" t="s">
        <v>570</v>
      </c>
      <c r="B422" s="312" t="str">
        <f>IFERROR(INDEX(Projetos!$B$3:$B$129,MATCH(A422,Projetos!$A$3:$A$129,0))," ")</f>
        <v>Repositório Anticorrupção e Tecnologia do Poder Judiciário</v>
      </c>
      <c r="C422" s="50"/>
      <c r="D422" s="48">
        <v>1</v>
      </c>
      <c r="E422" s="48">
        <v>1</v>
      </c>
      <c r="F422" s="49">
        <v>45544</v>
      </c>
      <c r="G422" s="28">
        <v>45536</v>
      </c>
      <c r="H422" s="28" t="str">
        <f t="shared" si="18"/>
        <v>10157/202245536</v>
      </c>
      <c r="I422" s="38">
        <f>IFERROR(INDEX(Projetos!$M$2:$M$129,MATCH(Atualizações!A422,Projetos!$A$2:$A$129,0))," ")</f>
        <v>45565</v>
      </c>
      <c r="J422" s="61"/>
      <c r="K422" s="344">
        <f>IFERROR(Tb_Atualizações[[#This Row],[% EXECUTADO]]/Tb_Atualizações[[#This Row],[% PREVISTO]],"0%")</f>
        <v>1</v>
      </c>
      <c r="L422" s="31" t="str" cm="1">
        <f t="array" aca="1" ref="L4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22" s="50"/>
      <c r="N422" s="30"/>
      <c r="O422" s="42">
        <f t="shared" si="19"/>
        <v>2024</v>
      </c>
      <c r="P422" s="42" t="str">
        <f t="shared" si="20"/>
        <v>202410157/2022</v>
      </c>
      <c r="Q422" s="42">
        <v>1</v>
      </c>
    </row>
    <row r="423" spans="1:17" ht="15" hidden="1">
      <c r="A423" s="46" t="s">
        <v>404</v>
      </c>
      <c r="B423" s="312" t="str">
        <f>IFERROR(INDEX(Projetos!$B$3:$B$129,MATCH(A423,Projetos!$A$3:$A$129,0))," ")</f>
        <v>Consulta Nacional de Pessoas (FAC Nacional)</v>
      </c>
      <c r="C423" s="50"/>
      <c r="D423" s="48">
        <v>0.23</v>
      </c>
      <c r="E423" s="48">
        <v>0.23</v>
      </c>
      <c r="F423" s="49">
        <v>45545</v>
      </c>
      <c r="G423" s="125">
        <v>45505</v>
      </c>
      <c r="H423" s="28" t="str">
        <f t="shared" si="18"/>
        <v>05138/202445505</v>
      </c>
      <c r="I423" s="38">
        <f>IFERROR(INDEX(Projetos!$M$2:$M$129,MATCH(Atualizações!A423,Projetos!$A$2:$A$129,0))," ")</f>
        <v>45993</v>
      </c>
      <c r="J423" s="61"/>
      <c r="K423" s="344">
        <f>IFERROR(Tb_Atualizações[[#This Row],[% EXECUTADO]]/Tb_Atualizações[[#This Row],[% PREVISTO]],"0%")</f>
        <v>1</v>
      </c>
      <c r="L423" s="31" t="str" cm="1">
        <f t="array" aca="1" ref="L4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23" s="50"/>
      <c r="N423" s="30"/>
      <c r="O423" s="42">
        <f t="shared" si="19"/>
        <v>2024</v>
      </c>
      <c r="P423" s="42" t="str">
        <f t="shared" si="20"/>
        <v>202405138/2024</v>
      </c>
      <c r="Q423" s="42">
        <v>1</v>
      </c>
    </row>
    <row r="424" spans="1:17" ht="15" hidden="1">
      <c r="A424" s="46" t="s">
        <v>615</v>
      </c>
      <c r="B424" s="312" t="str">
        <f>IFERROR(INDEX(Projetos!$B$3:$B$129,MATCH(A424,Projetos!$A$3:$A$129,0))," ")</f>
        <v>Polícia Judicial Amiga dos Autistas</v>
      </c>
      <c r="C424" s="50"/>
      <c r="D424" s="48">
        <v>0.8</v>
      </c>
      <c r="E424" s="48">
        <v>0.78800000000000003</v>
      </c>
      <c r="F424" s="49">
        <v>45545</v>
      </c>
      <c r="G424" s="125">
        <v>45505</v>
      </c>
      <c r="H424" s="28" t="str">
        <f t="shared" si="18"/>
        <v>11340/202345505</v>
      </c>
      <c r="I424" s="38">
        <f>IFERROR(INDEX(Projetos!$M$2:$M$129,MATCH(Atualizações!A424,Projetos!$A$2:$A$129,0))," ")</f>
        <v>45688</v>
      </c>
      <c r="J424" s="61"/>
      <c r="K424" s="344">
        <f>IFERROR(Tb_Atualizações[[#This Row],[% EXECUTADO]]/Tb_Atualizações[[#This Row],[% PREVISTO]],"0%")</f>
        <v>0.98499999999999999</v>
      </c>
      <c r="L424" s="31" t="str" cm="1">
        <f t="array" aca="1" ref="L4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24" s="50"/>
      <c r="N424" s="30"/>
      <c r="O424" s="42">
        <f t="shared" si="19"/>
        <v>2024</v>
      </c>
      <c r="P424" s="42" t="str">
        <f t="shared" si="20"/>
        <v>202411340/2023</v>
      </c>
      <c r="Q424" s="42">
        <v>1</v>
      </c>
    </row>
    <row r="425" spans="1:17" ht="30" hidden="1">
      <c r="A425" s="385" t="s">
        <v>533</v>
      </c>
      <c r="B425" s="312" t="str">
        <f>IFERROR(INDEX(Projetos!$B$3:$B$129,MATCH(A425,Projetos!$A$3:$A$129,0))," ")</f>
        <v>Qualificação de Dados</v>
      </c>
      <c r="C425" s="50"/>
      <c r="D425" s="48">
        <v>0.113</v>
      </c>
      <c r="E425" s="48">
        <v>8.3000000000000004E-2</v>
      </c>
      <c r="F425" s="49">
        <v>45551</v>
      </c>
      <c r="G425" s="28">
        <v>45505</v>
      </c>
      <c r="H425" s="28" t="str">
        <f t="shared" si="18"/>
        <v>09613/202445505</v>
      </c>
      <c r="I425" s="473">
        <f>IFERROR(INDEX(Projetos!$M$2:$M$129,MATCH(Atualizações!A425,Projetos!$A$2:$A$129,0))," ")</f>
        <v>46386</v>
      </c>
      <c r="J425" s="61"/>
      <c r="K425" s="344">
        <f>IFERROR(Tb_Atualizações[[#This Row],[% EXECUTADO]]/Tb_Atualizações[[#This Row],[% PREVISTO]],"0%")</f>
        <v>0.73451327433628322</v>
      </c>
      <c r="L425" s="31" t="str" cm="1">
        <f t="array" aca="1" ref="L4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25" s="50"/>
      <c r="N425" s="30"/>
      <c r="O425" s="42">
        <f t="shared" si="19"/>
        <v>2024</v>
      </c>
      <c r="P425" s="42" t="str">
        <f t="shared" si="20"/>
        <v>202409613/2024</v>
      </c>
      <c r="Q425" s="42">
        <v>1</v>
      </c>
    </row>
    <row r="426" spans="1:17" ht="15" hidden="1">
      <c r="A426" s="385" t="s">
        <v>523</v>
      </c>
      <c r="B426" s="312" t="str">
        <f>IFERROR(INDEX(Projetos!$B$3:$B$129,MATCH(A426,Projetos!$A$3:$A$129,0))," ")</f>
        <v>Portal Jus BR</v>
      </c>
      <c r="C426" s="50"/>
      <c r="D426" s="48">
        <v>0.376</v>
      </c>
      <c r="E426" s="48">
        <v>0.42299999999999999</v>
      </c>
      <c r="F426" s="49">
        <v>45555</v>
      </c>
      <c r="G426" s="28">
        <v>45536</v>
      </c>
      <c r="H426" s="46" t="str">
        <f t="shared" si="18"/>
        <v>09536/202445536</v>
      </c>
      <c r="I426" s="38" t="str">
        <f>IFERROR(INDEX(Projetos!$M$2:$M$129,MATCH(Atualizações!A426,Projetos!$A$2:$A$129,0))," ")</f>
        <v>30/10/2025</v>
      </c>
      <c r="J426" s="61"/>
      <c r="K426" s="344">
        <f>IFERROR(Tb_Atualizações[[#This Row],[% EXECUTADO]]/Tb_Atualizações[[#This Row],[% PREVISTO]],"0%")</f>
        <v>1.125</v>
      </c>
      <c r="L426" s="31" t="str" cm="1">
        <f t="array" aca="1" ref="L4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26" s="50"/>
      <c r="N426" s="30"/>
      <c r="O426" s="42">
        <f t="shared" si="19"/>
        <v>2024</v>
      </c>
      <c r="P426" s="42" t="str">
        <f t="shared" si="20"/>
        <v>202409536/2024</v>
      </c>
      <c r="Q426" s="42">
        <v>1</v>
      </c>
    </row>
    <row r="427" spans="1:17" ht="15" hidden="1">
      <c r="A427" s="46" t="s">
        <v>209</v>
      </c>
      <c r="B427" s="312" t="str">
        <f>IFERROR(INDEX(Projetos!$B$3:$B$129,MATCH(A427,Projetos!$A$3:$A$129,0))," ")</f>
        <v>Capacitação técnica para desenvolvedores nas tecnologias da PDPJ - BR</v>
      </c>
      <c r="C427" s="50"/>
      <c r="D427" s="48">
        <v>0.78800000000000003</v>
      </c>
      <c r="E427" s="48">
        <v>0.77300000000000002</v>
      </c>
      <c r="F427" s="49">
        <v>45558</v>
      </c>
      <c r="G427" s="28">
        <v>45536</v>
      </c>
      <c r="H427" s="28" t="str">
        <f t="shared" si="18"/>
        <v>01945/202245536</v>
      </c>
      <c r="I427" s="38">
        <f>IFERROR(INDEX(Projetos!$M$2:$M$129,MATCH(Atualizações!A427,Projetos!$A$2:$A$129,0))," ")</f>
        <v>45866</v>
      </c>
      <c r="J427" s="61"/>
      <c r="K427" s="344">
        <f>IFERROR(Tb_Atualizações[[#This Row],[% EXECUTADO]]/Tb_Atualizações[[#This Row],[% PREVISTO]],"0%")</f>
        <v>0.98096446700507611</v>
      </c>
      <c r="L427" s="31" t="str" cm="1">
        <f t="array" aca="1" ref="L4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27" s="50"/>
      <c r="N427" s="30"/>
      <c r="O427" s="42">
        <f t="shared" si="19"/>
        <v>2024</v>
      </c>
      <c r="P427" s="42" t="str">
        <f t="shared" si="20"/>
        <v>202401945/2022</v>
      </c>
      <c r="Q427" s="42">
        <v>1</v>
      </c>
    </row>
    <row r="428" spans="1:17" ht="15" hidden="1">
      <c r="A428" s="46" t="s">
        <v>471</v>
      </c>
      <c r="B428" s="312" t="str">
        <f>IFERROR(INDEX(Projetos!$B$3:$B$129,MATCH(A428,Projetos!$A$3:$A$129,0))," ")</f>
        <v>Sinapses 5 - Capacitação Cursos EaD IA</v>
      </c>
      <c r="C428" s="50"/>
      <c r="D428" s="48">
        <v>0.94199999999999995</v>
      </c>
      <c r="E428" s="48">
        <v>0.92500000000000004</v>
      </c>
      <c r="F428" s="49">
        <v>45558</v>
      </c>
      <c r="G428" s="28">
        <v>45536</v>
      </c>
      <c r="H428" s="28" t="str">
        <f t="shared" si="18"/>
        <v>08543/202145536</v>
      </c>
      <c r="I428" s="38">
        <f>IFERROR(INDEX(Projetos!$M$2:$M$129,MATCH(Atualizações!A428,Projetos!$A$2:$A$129,0))," ")</f>
        <v>45716</v>
      </c>
      <c r="J428" s="61"/>
      <c r="K428" s="344">
        <f>IFERROR(Tb_Atualizações[[#This Row],[% EXECUTADO]]/Tb_Atualizações[[#This Row],[% PREVISTO]],"0%")</f>
        <v>0.98195329087048844</v>
      </c>
      <c r="L428" s="31" t="str" cm="1">
        <f t="array" aca="1" ref="L4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28" s="50"/>
      <c r="N428" s="30"/>
      <c r="O428" s="42">
        <f t="shared" si="19"/>
        <v>2024</v>
      </c>
      <c r="P428" s="42" t="str">
        <f t="shared" si="20"/>
        <v>202408543/2021</v>
      </c>
      <c r="Q428" s="42">
        <v>1</v>
      </c>
    </row>
    <row r="429" spans="1:17" ht="15" hidden="1">
      <c r="A429" s="46" t="s">
        <v>638</v>
      </c>
      <c r="B429" s="312" t="str">
        <f>IFERROR(INDEX(Projetos!$B$3:$B$129,MATCH(A429,Projetos!$A$3:$A$129,0))," ")</f>
        <v>Sisperjud</v>
      </c>
      <c r="C429" s="50"/>
      <c r="D429" s="48">
        <v>0.87</v>
      </c>
      <c r="E429" s="48">
        <v>0.86</v>
      </c>
      <c r="F429" s="49">
        <v>45560</v>
      </c>
      <c r="G429" s="125">
        <v>45536</v>
      </c>
      <c r="H429" s="28" t="str">
        <f t="shared" si="18"/>
        <v>11644/202245536</v>
      </c>
      <c r="I429" s="38">
        <f>IFERROR(INDEX(Projetos!$M$2:$M$129,MATCH(Atualizações!A429,Projetos!$A$2:$A$129,0))," ")</f>
        <v>46352</v>
      </c>
      <c r="J429" s="61"/>
      <c r="K429" s="344">
        <f>IFERROR(Tb_Atualizações[[#This Row],[% EXECUTADO]]/Tb_Atualizações[[#This Row],[% PREVISTO]],"0%")</f>
        <v>0.9885057471264368</v>
      </c>
      <c r="L429" s="31" t="str" cm="1">
        <f t="array" aca="1" ref="L4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29" s="50"/>
      <c r="N429" s="30"/>
      <c r="O429" s="42">
        <f t="shared" si="19"/>
        <v>2024</v>
      </c>
      <c r="P429" s="42" t="str">
        <f t="shared" si="20"/>
        <v>202411644/2022</v>
      </c>
      <c r="Q429" s="42">
        <v>1</v>
      </c>
    </row>
    <row r="430" spans="1:17" ht="15" hidden="1">
      <c r="A430" s="46" t="s">
        <v>609</v>
      </c>
      <c r="B430" s="312" t="str">
        <f>IFERROR(INDEX(Projetos!$B$3:$B$129,MATCH(A430,Projetos!$A$3:$A$129,0))," ")</f>
        <v>SPVATJUD</v>
      </c>
      <c r="C430" s="50"/>
      <c r="D430" s="48">
        <v>0.94</v>
      </c>
      <c r="E430" s="48">
        <v>0.94799999999999995</v>
      </c>
      <c r="F430" s="49">
        <v>45560</v>
      </c>
      <c r="G430" s="28">
        <v>45536</v>
      </c>
      <c r="H430" s="28" t="str">
        <f t="shared" si="18"/>
        <v>11270/202245536</v>
      </c>
      <c r="I430" s="38">
        <f>IFERROR(INDEX(Projetos!$M$2:$M$129,MATCH(Atualizações!A430,Projetos!$A$2:$A$129,0))," ")</f>
        <v>45716</v>
      </c>
      <c r="J430" s="61"/>
      <c r="K430" s="344">
        <f>IFERROR(Tb_Atualizações[[#This Row],[% EXECUTADO]]/Tb_Atualizações[[#This Row],[% PREVISTO]],"0%")</f>
        <v>1.0085106382978724</v>
      </c>
      <c r="L430" s="31" t="str" cm="1">
        <f t="array" aca="1" ref="L4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0" s="50"/>
      <c r="N430" s="30"/>
      <c r="O430" s="42">
        <f t="shared" si="19"/>
        <v>2024</v>
      </c>
      <c r="P430" s="42" t="str">
        <f t="shared" si="20"/>
        <v>202411270/2022</v>
      </c>
      <c r="Q430" s="42">
        <v>1</v>
      </c>
    </row>
    <row r="431" spans="1:17" ht="15" hidden="1">
      <c r="A431" s="46" t="s">
        <v>229</v>
      </c>
      <c r="B431" s="312" t="str">
        <f>IFERROR(INDEX(Projetos!$B$3:$B$129,MATCH(A431,Projetos!$A$3:$A$129,0))," ")</f>
        <v>Gabinete do Juízo</v>
      </c>
      <c r="C431" s="50"/>
      <c r="D431" s="48">
        <v>0.66900000000000004</v>
      </c>
      <c r="E431" s="48">
        <v>0.65200000000000002</v>
      </c>
      <c r="F431" s="49">
        <v>45561</v>
      </c>
      <c r="G431" s="125">
        <v>45536</v>
      </c>
      <c r="H431" s="28" t="str">
        <f t="shared" si="18"/>
        <v>02080/202345536</v>
      </c>
      <c r="I431" s="38">
        <f>IFERROR(INDEX(Projetos!$M$2:$M$129,MATCH(Atualizações!A431,Projetos!$A$2:$A$129,0))," ")</f>
        <v>46379</v>
      </c>
      <c r="J431" s="61"/>
      <c r="K431" s="344">
        <f>IFERROR(Tb_Atualizações[[#This Row],[% EXECUTADO]]/Tb_Atualizações[[#This Row],[% PREVISTO]],"0%")</f>
        <v>0.97458893871449925</v>
      </c>
      <c r="L431" s="31" t="str" cm="1">
        <f t="array" aca="1" ref="L4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1" s="50"/>
      <c r="N431" s="30"/>
      <c r="O431" s="42">
        <f t="shared" si="19"/>
        <v>2024</v>
      </c>
      <c r="P431" s="42" t="str">
        <f t="shared" si="20"/>
        <v>202402080/2023</v>
      </c>
      <c r="Q431" s="42">
        <v>1</v>
      </c>
    </row>
    <row r="432" spans="1:17" ht="15" hidden="1">
      <c r="A432" s="51" t="s">
        <v>358</v>
      </c>
      <c r="B432" s="312" t="str">
        <f>IFERROR(INDEX(Projetos!$B$3:$B$129,MATCH(A432,Projetos!$A$3:$A$129,0))," ")</f>
        <v>Prevjud - Automação de Processos Previdenciários - Justiça 4.0</v>
      </c>
      <c r="C432" s="50"/>
      <c r="D432" s="48">
        <v>0.93799999999999994</v>
      </c>
      <c r="E432" s="48">
        <v>0.92700000000000005</v>
      </c>
      <c r="F432" s="49">
        <v>45561</v>
      </c>
      <c r="G432" s="28">
        <v>45536</v>
      </c>
      <c r="H432" s="28" t="str">
        <f t="shared" si="18"/>
        <v>03558/202145536</v>
      </c>
      <c r="I432" s="38" t="str">
        <f>IFERROR(INDEX(Projetos!$M$2:$M$129,MATCH(Atualizações!A432,Projetos!$A$2:$A$129,0))," ")</f>
        <v>31/03/2026</v>
      </c>
      <c r="J432" s="61"/>
      <c r="K432" s="344">
        <f>IFERROR(Tb_Atualizações[[#This Row],[% EXECUTADO]]/Tb_Atualizações[[#This Row],[% PREVISTO]],"0%")</f>
        <v>0.9882729211087421</v>
      </c>
      <c r="L432" s="31" t="str" cm="1">
        <f t="array" aca="1" ref="L4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2" s="50"/>
      <c r="N432" s="30"/>
      <c r="O432" s="42">
        <f t="shared" si="19"/>
        <v>2024</v>
      </c>
      <c r="P432" s="42" t="str">
        <f t="shared" si="20"/>
        <v>202403558/2021</v>
      </c>
      <c r="Q432" s="42">
        <v>1</v>
      </c>
    </row>
    <row r="433" spans="1:17" ht="30" hidden="1">
      <c r="A433" s="51" t="s">
        <v>425</v>
      </c>
      <c r="B433" s="312" t="str">
        <f>IFERROR(INDEX(Projetos!$B$3:$B$129,MATCH(A433,Projetos!$A$3:$A$129,0))," ")</f>
        <v>Diagnóstico sobre a otimização dos processos de trabalho no Poder Judiciário em face da implementação das Políticas Tecnológicas do Programa Justiça 4.0.</v>
      </c>
      <c r="C433" s="50"/>
      <c r="D433" s="48">
        <v>0.72499999999999998</v>
      </c>
      <c r="E433" s="48">
        <v>0.74099999999999999</v>
      </c>
      <c r="F433" s="49">
        <v>45562</v>
      </c>
      <c r="G433" s="28">
        <v>45536</v>
      </c>
      <c r="H433" s="28" t="str">
        <f t="shared" si="18"/>
        <v>06767/202245536</v>
      </c>
      <c r="I433" s="38">
        <f>IFERROR(INDEX(Projetos!$M$2:$M$129,MATCH(Atualizações!A433,Projetos!$A$2:$A$129,0))," ")</f>
        <v>45605</v>
      </c>
      <c r="J433" s="61"/>
      <c r="K433" s="344">
        <f>IFERROR(Tb_Atualizações[[#This Row],[% EXECUTADO]]/Tb_Atualizações[[#This Row],[% PREVISTO]],"0%")</f>
        <v>1.0220689655172415</v>
      </c>
      <c r="L433" s="31" t="str" cm="1">
        <f t="array" aca="1" ref="L4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3" s="50"/>
      <c r="N433" s="30"/>
      <c r="O433" s="42">
        <f t="shared" si="19"/>
        <v>2024</v>
      </c>
      <c r="P433" s="42" t="str">
        <f t="shared" si="20"/>
        <v>202406767/2022</v>
      </c>
      <c r="Q433" s="42">
        <v>1</v>
      </c>
    </row>
    <row r="434" spans="1:17" ht="15" hidden="1">
      <c r="A434" s="46" t="s">
        <v>172</v>
      </c>
      <c r="B434" s="312" t="str">
        <f>IFERROR(INDEX(Projetos!$B$3:$B$129,MATCH(A434,Projetos!$A$3:$A$129,0))," ")</f>
        <v>Monitoramento: soluções da PDPJ-Br</v>
      </c>
      <c r="C434" s="50"/>
      <c r="D434" s="48">
        <v>0.81899999999999995</v>
      </c>
      <c r="E434" s="48">
        <v>0.8</v>
      </c>
      <c r="F434" s="49">
        <v>45562</v>
      </c>
      <c r="G434" s="125">
        <v>45536</v>
      </c>
      <c r="H434" s="28" t="str">
        <f t="shared" si="18"/>
        <v>01703/202445536</v>
      </c>
      <c r="I434" s="38">
        <f>IFERROR(INDEX(Projetos!$M$2:$M$129,MATCH(Atualizações!A434,Projetos!$A$2:$A$129,0))," ")</f>
        <v>45639</v>
      </c>
      <c r="J434" s="61"/>
      <c r="K434" s="344">
        <f>IFERROR(Tb_Atualizações[[#This Row],[% EXECUTADO]]/Tb_Atualizações[[#This Row],[% PREVISTO]],"0%")</f>
        <v>0.97680097680097688</v>
      </c>
      <c r="L434" s="31" t="str" cm="1">
        <f t="array" aca="1" ref="L4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4" s="50"/>
      <c r="N434" s="30"/>
      <c r="O434" s="42">
        <f t="shared" si="19"/>
        <v>2024</v>
      </c>
      <c r="P434" s="42" t="str">
        <f t="shared" si="20"/>
        <v>202401703/2024</v>
      </c>
      <c r="Q434" s="42">
        <v>1</v>
      </c>
    </row>
    <row r="435" spans="1:17" ht="15" hidden="1">
      <c r="A435" s="46" t="s">
        <v>589</v>
      </c>
      <c r="B435" s="312" t="str">
        <f>IFERROR(INDEX(Projetos!$B$3:$B$129,MATCH(A435,Projetos!$A$3:$A$129,0))," ")</f>
        <v>Pacto Nacional do Judiciário pelos Direitos Humanos - 2ª Fase</v>
      </c>
      <c r="C435" s="50"/>
      <c r="D435" s="48">
        <v>0.18</v>
      </c>
      <c r="E435" s="48">
        <v>0.2</v>
      </c>
      <c r="F435" s="49">
        <v>45562</v>
      </c>
      <c r="G435" s="125">
        <v>45536</v>
      </c>
      <c r="H435" s="28" t="str">
        <f t="shared" si="18"/>
        <v>10926/202445536</v>
      </c>
      <c r="I435" s="38">
        <f>IFERROR(INDEX(Projetos!$M$2:$M$129,MATCH(Atualizações!A435,Projetos!$A$2:$A$129,0))," ")</f>
        <v>46233</v>
      </c>
      <c r="J435" s="61"/>
      <c r="K435" s="344">
        <f>IFERROR(Tb_Atualizações[[#This Row],[% EXECUTADO]]/Tb_Atualizações[[#This Row],[% PREVISTO]],"0%")</f>
        <v>1.1111111111111112</v>
      </c>
      <c r="L435" s="31" t="str" cm="1">
        <f t="array" aca="1" ref="L4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5" s="50"/>
      <c r="N435" s="30"/>
      <c r="O435" s="42">
        <f t="shared" si="19"/>
        <v>2024</v>
      </c>
      <c r="P435" s="42" t="str">
        <f t="shared" si="20"/>
        <v>202410926/2024</v>
      </c>
      <c r="Q435" s="42">
        <v>1</v>
      </c>
    </row>
    <row r="436" spans="1:17" ht="15" hidden="1">
      <c r="A436" s="51" t="s">
        <v>644</v>
      </c>
      <c r="B436" s="312" t="str">
        <f>IFERROR(INDEX(Projetos!$B$3:$B$129,MATCH(A436,Projetos!$A$3:$A$129,0))," ")</f>
        <v>BNP/Pangea</v>
      </c>
      <c r="C436" s="50"/>
      <c r="D436" s="48">
        <v>0.71</v>
      </c>
      <c r="E436" s="48">
        <v>0.67200000000000004</v>
      </c>
      <c r="F436" s="49">
        <v>45565</v>
      </c>
      <c r="G436" s="125">
        <v>45536</v>
      </c>
      <c r="H436" s="28" t="str">
        <f t="shared" si="18"/>
        <v>11645/202245536</v>
      </c>
      <c r="I436" s="38" t="str">
        <f>IFERROR(INDEX(Projetos!$M$2:$M$129,MATCH(Atualizações!A436,Projetos!$A$2:$A$129,0))," ")</f>
        <v>23/12/2026</v>
      </c>
      <c r="J436" s="61"/>
      <c r="K436" s="344">
        <f>IFERROR(Tb_Atualizações[[#This Row],[% EXECUTADO]]/Tb_Atualizações[[#This Row],[% PREVISTO]],"0%")</f>
        <v>0.94647887323943669</v>
      </c>
      <c r="L436" s="31" t="str" cm="1">
        <f t="array" aca="1" ref="L4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36" s="50"/>
      <c r="N436" s="30"/>
      <c r="O436" s="42">
        <f t="shared" si="19"/>
        <v>2024</v>
      </c>
      <c r="P436" s="42" t="str">
        <f t="shared" si="20"/>
        <v>202411645/2022</v>
      </c>
      <c r="Q436" s="42">
        <v>1</v>
      </c>
    </row>
    <row r="437" spans="1:17" ht="15" hidden="1">
      <c r="A437" s="46" t="s">
        <v>257</v>
      </c>
      <c r="B437" s="312" t="str">
        <f>IFERROR(INDEX(Projetos!$B$3:$B$129,MATCH(A437,Projetos!$A$3:$A$129,0))," ")</f>
        <v>SisPreq – Sistema de Precatórios e Requisições de Pequeno Valor</v>
      </c>
      <c r="C437" s="50"/>
      <c r="D437" s="48">
        <v>0.372</v>
      </c>
      <c r="E437" s="48">
        <v>0.35699999999999998</v>
      </c>
      <c r="F437" s="49">
        <v>45565</v>
      </c>
      <c r="G437" s="125">
        <v>45536</v>
      </c>
      <c r="H437" s="28" t="str">
        <f t="shared" si="18"/>
        <v>02465/202445536</v>
      </c>
      <c r="I437" s="38" t="str">
        <f>IFERROR(INDEX(Projetos!$M$2:$M$129,MATCH(Atualizações!A437,Projetos!$A$2:$A$129,0))," ")</f>
        <v>15/12/2026</v>
      </c>
      <c r="J437" s="61"/>
      <c r="K437" s="344">
        <f>IFERROR(Tb_Atualizações[[#This Row],[% EXECUTADO]]/Tb_Atualizações[[#This Row],[% PREVISTO]],"0%")</f>
        <v>0.95967741935483863</v>
      </c>
      <c r="L437" s="31" t="str" cm="1">
        <f t="array" aca="1" ref="L4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7" s="50"/>
      <c r="N437" s="30"/>
      <c r="O437" s="42">
        <f t="shared" si="19"/>
        <v>2024</v>
      </c>
      <c r="P437" s="42" t="str">
        <f t="shared" si="20"/>
        <v>202402465/2024</v>
      </c>
      <c r="Q437" s="42">
        <v>1</v>
      </c>
    </row>
    <row r="438" spans="1:17" ht="30" hidden="1">
      <c r="A438" s="46" t="s">
        <v>416</v>
      </c>
      <c r="B438" s="312" t="str">
        <f>IFERROR(INDEX(Projetos!$B$3:$B$129,MATCH(A438,Projetos!$A$3:$A$129,0))," ")</f>
        <v>Conecta</v>
      </c>
      <c r="C438" s="50"/>
      <c r="D438" s="48">
        <v>0.254</v>
      </c>
      <c r="E438" s="48">
        <v>0.19700000000000001</v>
      </c>
      <c r="F438" s="49">
        <v>45566</v>
      </c>
      <c r="G438" s="125">
        <v>45536</v>
      </c>
      <c r="H438" s="28" t="str">
        <f t="shared" si="18"/>
        <v>05578/202445536</v>
      </c>
      <c r="I438" s="38" t="str">
        <f>IFERROR(INDEX(Projetos!$M$2:$M$129,MATCH(Atualizações!A438,Projetos!$A$2:$A$129,0))," ")</f>
        <v>31/12/2026</v>
      </c>
      <c r="J438" s="61"/>
      <c r="K438" s="344">
        <f>IFERROR(Tb_Atualizações[[#This Row],[% EXECUTADO]]/Tb_Atualizações[[#This Row],[% PREVISTO]],"0%")</f>
        <v>0.77559055118110243</v>
      </c>
      <c r="L438" s="31" t="str" cm="1">
        <f t="array" aca="1" ref="L4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38" s="50"/>
      <c r="N438" s="30"/>
      <c r="O438" s="42">
        <f t="shared" si="19"/>
        <v>2024</v>
      </c>
      <c r="P438" s="42" t="str">
        <f t="shared" si="20"/>
        <v>202405578/2024</v>
      </c>
      <c r="Q438" s="42">
        <v>1</v>
      </c>
    </row>
    <row r="439" spans="1:17" ht="15" hidden="1">
      <c r="A439" s="386" t="s">
        <v>549</v>
      </c>
      <c r="B439" s="312" t="str">
        <f>IFERROR(INDEX(Projetos!$B$3:$B$129,MATCH(A439,Projetos!$A$3:$A$129,0))," ")</f>
        <v>Fluxo Nacional Automatizado das Execuções Fiscais (EFIN)</v>
      </c>
      <c r="C439" s="50"/>
      <c r="D439" s="48">
        <v>0.438</v>
      </c>
      <c r="E439" s="48">
        <v>0.441</v>
      </c>
      <c r="F439" s="49">
        <v>45566</v>
      </c>
      <c r="G439" s="28">
        <v>45536</v>
      </c>
      <c r="H439" s="28" t="str">
        <f t="shared" si="18"/>
        <v>09796/202445536</v>
      </c>
      <c r="I439" s="38">
        <f>IFERROR(INDEX(Projetos!$M$2:$M$129,MATCH(Atualizações!A439,Projetos!$A$2:$A$129,0))," ")</f>
        <v>46226</v>
      </c>
      <c r="J439" s="61"/>
      <c r="K439" s="344">
        <f>IFERROR(Tb_Atualizações[[#This Row],[% EXECUTADO]]/Tb_Atualizações[[#This Row],[% PREVISTO]],"0%")</f>
        <v>1.0068493150684932</v>
      </c>
      <c r="L439" s="31" t="str" cm="1">
        <f t="array" aca="1" ref="L4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39" s="50"/>
      <c r="N439" s="30"/>
      <c r="O439" s="42">
        <f t="shared" si="19"/>
        <v>2024</v>
      </c>
      <c r="P439" s="42" t="str">
        <f t="shared" si="20"/>
        <v>202409796/2024</v>
      </c>
      <c r="Q439" s="42">
        <v>1</v>
      </c>
    </row>
    <row r="440" spans="1:17" ht="30" hidden="1">
      <c r="A440" s="46" t="s">
        <v>273</v>
      </c>
      <c r="B440" s="312" t="str">
        <f>IFERROR(INDEX(Projetos!$B$3:$B$129,MATCH(A440,Projetos!$A$3:$A$129,0))," ")</f>
        <v>SNA – Novo Sistema Nacional de Adoção e Acolhimento</v>
      </c>
      <c r="C440" s="50"/>
      <c r="D440" s="48">
        <v>0.41099999999999998</v>
      </c>
      <c r="E440" s="48">
        <v>0.2</v>
      </c>
      <c r="F440" s="49">
        <v>45566</v>
      </c>
      <c r="G440" s="28">
        <v>45536</v>
      </c>
      <c r="H440" s="28" t="str">
        <f t="shared" si="18"/>
        <v>02483/202345536</v>
      </c>
      <c r="I440" s="38">
        <f>IFERROR(INDEX(Projetos!$M$2:$M$129,MATCH(Atualizações!A440,Projetos!$A$2:$A$129,0))," ")</f>
        <v>46022</v>
      </c>
      <c r="J440" s="61"/>
      <c r="K440" s="344">
        <f>IFERROR(Tb_Atualizações[[#This Row],[% EXECUTADO]]/Tb_Atualizações[[#This Row],[% PREVISTO]],"0%")</f>
        <v>0.48661800486618012</v>
      </c>
      <c r="L440" s="31" t="str" cm="1">
        <f t="array" aca="1" ref="L4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40" s="50"/>
      <c r="N440" s="30"/>
      <c r="O440" s="42">
        <f t="shared" si="19"/>
        <v>2024</v>
      </c>
      <c r="P440" s="42" t="str">
        <f t="shared" si="20"/>
        <v>202402483/2023</v>
      </c>
      <c r="Q440" s="42">
        <v>1</v>
      </c>
    </row>
    <row r="441" spans="1:17" ht="30" hidden="1">
      <c r="A441" s="46" t="s">
        <v>70</v>
      </c>
      <c r="B441" s="312" t="str">
        <f>IFERROR(INDEX(Projetos!$B$3:$B$129,MATCH(A441,Projetos!$A$3:$A$129,0))," ")</f>
        <v>Mapa Nacional do Tribunal do Júri</v>
      </c>
      <c r="C441" s="50"/>
      <c r="D441" s="48">
        <v>0.5</v>
      </c>
      <c r="E441" s="48">
        <v>0.49</v>
      </c>
      <c r="F441" s="49">
        <v>45567</v>
      </c>
      <c r="G441" s="28">
        <v>45536</v>
      </c>
      <c r="H441" s="28" t="str">
        <f t="shared" si="18"/>
        <v>00139/202445536</v>
      </c>
      <c r="I441" s="38">
        <f>IFERROR(INDEX(Projetos!$M$2:$M$129,MATCH(Atualizações!A441,Projetos!$A$2:$A$129,0))," ")</f>
        <v>46658</v>
      </c>
      <c r="J441" s="61" t="s">
        <v>1305</v>
      </c>
      <c r="K441" s="344">
        <f>IFERROR(Tb_Atualizações[[#This Row],[% EXECUTADO]]/Tb_Atualizações[[#This Row],[% PREVISTO]],"0%")</f>
        <v>0.98</v>
      </c>
      <c r="L441" s="31" t="str" cm="1">
        <f t="array" aca="1" ref="L4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41" s="50"/>
      <c r="N441" s="30"/>
      <c r="O441" s="42">
        <f t="shared" si="19"/>
        <v>2024</v>
      </c>
      <c r="P441" s="42" t="str">
        <f t="shared" si="20"/>
        <v>202400139/2024</v>
      </c>
      <c r="Q441" s="42">
        <v>1</v>
      </c>
    </row>
    <row r="442" spans="1:17" ht="15" hidden="1">
      <c r="A442" s="398" t="s">
        <v>698</v>
      </c>
      <c r="B442" s="312" t="str">
        <f>IFERROR(INDEX(Projetos!$B$3:$B$129,MATCH(A442,Projetos!$A$3:$A$129,0))," ")</f>
        <v>Escola Virtual do Poder Judiciário</v>
      </c>
      <c r="C442" s="50"/>
      <c r="D442" s="48">
        <v>0</v>
      </c>
      <c r="E442" s="48">
        <v>0</v>
      </c>
      <c r="F442" s="49">
        <v>45568</v>
      </c>
      <c r="G442" s="28">
        <v>45536</v>
      </c>
      <c r="H442" s="28" t="str">
        <f t="shared" si="18"/>
        <v>13898/202445536</v>
      </c>
      <c r="I442" s="38">
        <f>IFERROR(INDEX(Projetos!$M$2:$M$129,MATCH(Atualizações!A442,Projetos!$A$2:$A$129,0))," ")</f>
        <v>45930</v>
      </c>
      <c r="J442" s="61"/>
      <c r="K442" s="344" t="str">
        <f>IFERROR(Tb_Atualizações[[#This Row],[% EXECUTADO]]/Tb_Atualizações[[#This Row],[% PREVISTO]],"0%")</f>
        <v>0%</v>
      </c>
      <c r="L442" s="31" t="str" cm="1">
        <f t="array" aca="1" ref="L4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42" s="50"/>
      <c r="N442" s="30"/>
      <c r="O442" s="42">
        <f t="shared" si="19"/>
        <v>2024</v>
      </c>
      <c r="P442" s="42" t="str">
        <f t="shared" si="20"/>
        <v>202413898/2024</v>
      </c>
      <c r="Q442" s="42">
        <v>1</v>
      </c>
    </row>
    <row r="443" spans="1:17" ht="30" hidden="1">
      <c r="A443" s="51" t="s">
        <v>376</v>
      </c>
      <c r="B443" s="312" t="str">
        <f>IFERROR(INDEX(Projetos!$B$3:$B$129,MATCH(A443,Projetos!$A$3:$A$129,0))," ")</f>
        <v>Nacionalização SAREF - Sistema de Apresentação Remota por Reconhecimento Facial</v>
      </c>
      <c r="C443" s="50"/>
      <c r="D443" s="48">
        <v>1</v>
      </c>
      <c r="E443" s="48">
        <v>0.49</v>
      </c>
      <c r="F443" s="49">
        <v>45572</v>
      </c>
      <c r="G443" s="28">
        <v>45536</v>
      </c>
      <c r="H443" s="28" t="str">
        <f t="shared" si="18"/>
        <v>03924/202345536</v>
      </c>
      <c r="I443" s="38">
        <f>IFERROR(INDEX(Projetos!$M$2:$M$129,MATCH(Atualizações!A443,Projetos!$A$2:$A$129,0))," ")</f>
        <v>45565</v>
      </c>
      <c r="J443" s="61"/>
      <c r="K443" s="344">
        <f>IFERROR(Tb_Atualizações[[#This Row],[% EXECUTADO]]/Tb_Atualizações[[#This Row],[% PREVISTO]],"0%")</f>
        <v>0.49</v>
      </c>
      <c r="L443" s="31" t="str" cm="1">
        <f t="array" aca="1" ref="L4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43" s="50"/>
      <c r="N443" s="30"/>
      <c r="O443" s="42">
        <f t="shared" si="19"/>
        <v>2024</v>
      </c>
      <c r="P443" s="42" t="str">
        <f t="shared" si="20"/>
        <v>202403924/2023</v>
      </c>
      <c r="Q443" s="42">
        <v>1</v>
      </c>
    </row>
    <row r="444" spans="1:17" ht="45" hidden="1">
      <c r="A444" s="51" t="s">
        <v>182</v>
      </c>
      <c r="B444" s="312" t="str">
        <f>IFERROR(INDEX(Projetos!$B$3:$B$129,MATCH(A444,Projetos!$A$3:$A$129,0))," ")</f>
        <v xml:space="preserve">Mineração de Processos do Pje </v>
      </c>
      <c r="C444" s="50"/>
      <c r="D444" s="48">
        <v>0.93</v>
      </c>
      <c r="E444" s="48">
        <v>0.93</v>
      </c>
      <c r="F444" s="49">
        <v>45573</v>
      </c>
      <c r="G444" s="28">
        <v>45536</v>
      </c>
      <c r="H444" s="28" t="str">
        <f t="shared" si="18"/>
        <v>01764/202045536</v>
      </c>
      <c r="I444" s="38">
        <f>IFERROR(INDEX(Projetos!$M$2:$M$129,MATCH(Atualizações!A444,Projetos!$A$2:$A$129,0))," ")</f>
        <v>46630</v>
      </c>
      <c r="J444" s="61" t="s">
        <v>1306</v>
      </c>
      <c r="K444" s="344">
        <f>IFERROR(Tb_Atualizações[[#This Row],[% EXECUTADO]]/Tb_Atualizações[[#This Row],[% PREVISTO]],"0%")</f>
        <v>1</v>
      </c>
      <c r="L444" s="31" t="str" cm="1">
        <f t="array" aca="1" ref="L4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44" s="50"/>
      <c r="N444" s="30"/>
      <c r="O444" s="42">
        <f t="shared" si="19"/>
        <v>2024</v>
      </c>
      <c r="P444" s="42" t="str">
        <f t="shared" si="20"/>
        <v>202401764/2020</v>
      </c>
      <c r="Q444" s="42">
        <v>1</v>
      </c>
    </row>
    <row r="445" spans="1:17" ht="15" hidden="1">
      <c r="A445" s="51" t="s">
        <v>350</v>
      </c>
      <c r="B445" s="312" t="str">
        <f>IFERROR(INDEX(Projetos!$B$3:$B$129,MATCH(A445,Projetos!$A$3:$A$129,0))," ")</f>
        <v>Painel de Estatística   - Justiça 4.0</v>
      </c>
      <c r="C445" s="50"/>
      <c r="D445" s="48">
        <v>0.98699999999999999</v>
      </c>
      <c r="E445" s="48">
        <v>0.93899999999999995</v>
      </c>
      <c r="F445" s="49">
        <v>45574</v>
      </c>
      <c r="G445" s="28">
        <v>45536</v>
      </c>
      <c r="H445" s="28" t="str">
        <f t="shared" si="18"/>
        <v>03545/202145536</v>
      </c>
      <c r="I445" s="38">
        <f>IFERROR(INDEX(Projetos!$M$2:$M$129,MATCH(Atualizações!A445,Projetos!$A$2:$A$129,0))," ")</f>
        <v>46387</v>
      </c>
      <c r="J445" s="61"/>
      <c r="K445" s="344">
        <f>IFERROR(Tb_Atualizações[[#This Row],[% EXECUTADO]]/Tb_Atualizações[[#This Row],[% PREVISTO]],"0%")</f>
        <v>0.95136778115501519</v>
      </c>
      <c r="L445" s="31" t="str" cm="1">
        <f t="array" aca="1" ref="L4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45" s="50"/>
      <c r="N445" s="30"/>
      <c r="O445" s="42">
        <f t="shared" si="19"/>
        <v>2024</v>
      </c>
      <c r="P445" s="42" t="str">
        <f t="shared" si="20"/>
        <v>202403545/2021</v>
      </c>
      <c r="Q445" s="42">
        <v>1</v>
      </c>
    </row>
    <row r="446" spans="1:17" ht="15" hidden="1">
      <c r="A446" s="51" t="s">
        <v>684</v>
      </c>
      <c r="B446" s="312" t="str">
        <f>IFERROR(INDEX(Projetos!$B$3:$B$129,MATCH(A446,Projetos!$A$3:$A$129,0))," ")</f>
        <v>Painel dos Grandes Litigantes</v>
      </c>
      <c r="C446" s="50"/>
      <c r="D446" s="48">
        <v>0.97</v>
      </c>
      <c r="E446" s="48">
        <v>0.96699999999999997</v>
      </c>
      <c r="F446" s="49">
        <v>45574</v>
      </c>
      <c r="G446" s="28">
        <v>45536</v>
      </c>
      <c r="H446" s="28" t="str">
        <f t="shared" si="18"/>
        <v>12135/202245536</v>
      </c>
      <c r="I446" s="38" t="str">
        <f>IFERROR(INDEX(Projetos!$M$2:$M$129,MATCH(Atualizações!A446,Projetos!$A$2:$A$129,0))," ")</f>
        <v>30/06/26</v>
      </c>
      <c r="J446" s="61"/>
      <c r="K446" s="344">
        <f>IFERROR(Tb_Atualizações[[#This Row],[% EXECUTADO]]/Tb_Atualizações[[#This Row],[% PREVISTO]],"0%")</f>
        <v>0.99690721649484537</v>
      </c>
      <c r="L446" s="31" t="str" cm="1">
        <f t="array" aca="1" ref="L4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46" s="50"/>
      <c r="N446" s="30"/>
      <c r="O446" s="42">
        <f t="shared" si="19"/>
        <v>2024</v>
      </c>
      <c r="P446" s="42" t="str">
        <f t="shared" si="20"/>
        <v>202412135/2022</v>
      </c>
      <c r="Q446" s="42">
        <v>1</v>
      </c>
    </row>
    <row r="447" spans="1:17" ht="30" hidden="1">
      <c r="A447" s="133" t="s">
        <v>533</v>
      </c>
      <c r="B447" s="312" t="str">
        <f>IFERROR(INDEX(Projetos!$B$3:$B$129,MATCH(A447,Projetos!$A$3:$A$129,0))," ")</f>
        <v>Qualificação de Dados</v>
      </c>
      <c r="C447" s="50"/>
      <c r="D447" s="48">
        <v>0.17699999999999999</v>
      </c>
      <c r="E447" s="48">
        <v>0.13500000000000001</v>
      </c>
      <c r="F447" s="49">
        <v>45575</v>
      </c>
      <c r="G447" s="28">
        <v>45536</v>
      </c>
      <c r="H447" s="28" t="str">
        <f t="shared" si="18"/>
        <v>09613/202445536</v>
      </c>
      <c r="I447" s="473">
        <f>IFERROR(INDEX(Projetos!$M$2:$M$129,MATCH(Atualizações!A447,Projetos!$A$2:$A$129,0))," ")</f>
        <v>46386</v>
      </c>
      <c r="J447" s="61"/>
      <c r="K447" s="344">
        <f>IFERROR(Tb_Atualizações[[#This Row],[% EXECUTADO]]/Tb_Atualizações[[#This Row],[% PREVISTO]],"0%")</f>
        <v>0.76271186440677974</v>
      </c>
      <c r="L447" s="31" t="str" cm="1">
        <f t="array" aca="1" ref="L4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47" s="50"/>
      <c r="N447" s="30"/>
      <c r="O447" s="42">
        <f t="shared" si="19"/>
        <v>2024</v>
      </c>
      <c r="P447" s="42" t="str">
        <f t="shared" si="20"/>
        <v>202409613/2024</v>
      </c>
      <c r="Q447" s="42">
        <v>1</v>
      </c>
    </row>
    <row r="448" spans="1:17" ht="15" hidden="1">
      <c r="A448" s="51" t="s">
        <v>318</v>
      </c>
      <c r="B448" s="312" t="str">
        <f>IFERROR(INDEX(Projetos!$B$3:$B$129,MATCH(A448,Projetos!$A$3:$A$129,0))," ")</f>
        <v>Delegação de Perfis</v>
      </c>
      <c r="C448" s="50"/>
      <c r="D448" s="48">
        <v>1</v>
      </c>
      <c r="E448" s="48">
        <v>1</v>
      </c>
      <c r="F448" s="49">
        <v>45576</v>
      </c>
      <c r="G448" s="28">
        <v>45536</v>
      </c>
      <c r="H448" s="28" t="str">
        <f t="shared" si="18"/>
        <v>02888/202445536</v>
      </c>
      <c r="I448" s="38">
        <f>IFERROR(INDEX(Projetos!$M$2:$M$129,MATCH(Atualizações!A448,Projetos!$A$2:$A$129,0))," ")</f>
        <v>45473</v>
      </c>
      <c r="J448" s="61"/>
      <c r="K448" s="344">
        <f>IFERROR(Tb_Atualizações[[#This Row],[% EXECUTADO]]/Tb_Atualizações[[#This Row],[% PREVISTO]],"0%")</f>
        <v>1</v>
      </c>
      <c r="L448" s="31" t="str" cm="1">
        <f t="array" aca="1" ref="L4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48" s="50"/>
      <c r="N448" s="30"/>
      <c r="O448" s="42">
        <f t="shared" si="19"/>
        <v>2024</v>
      </c>
      <c r="P448" s="42" t="str">
        <f t="shared" si="20"/>
        <v>202402888/2024</v>
      </c>
      <c r="Q448" s="42">
        <v>1</v>
      </c>
    </row>
    <row r="449" spans="1:17" ht="15" hidden="1">
      <c r="A449" s="133" t="s">
        <v>209</v>
      </c>
      <c r="B449" s="312" t="str">
        <f>IFERROR(INDEX(Projetos!$B$3:$B$129,MATCH(A449,Projetos!$A$3:$A$129,0))," ")</f>
        <v>Capacitação técnica para desenvolvedores nas tecnologias da PDPJ - BR</v>
      </c>
      <c r="C449" s="50"/>
      <c r="D449" s="48" t="s">
        <v>1307</v>
      </c>
      <c r="E449" s="48" t="s">
        <v>1308</v>
      </c>
      <c r="F449" s="49">
        <v>45588</v>
      </c>
      <c r="G449" s="28">
        <v>45566</v>
      </c>
      <c r="H449" s="28" t="str">
        <f t="shared" si="18"/>
        <v>01945/202245566</v>
      </c>
      <c r="I449" s="38">
        <f>IFERROR(INDEX(Projetos!$M$2:$M$129,MATCH(Atualizações!A449,Projetos!$A$2:$A$129,0))," ")</f>
        <v>45866</v>
      </c>
      <c r="J449" s="61"/>
      <c r="K449" s="344" t="str">
        <f>IFERROR(Tb_Atualizações[[#This Row],[% EXECUTADO]]/Tb_Atualizações[[#This Row],[% PREVISTO]],"0%")</f>
        <v>0%</v>
      </c>
      <c r="L449" s="31" t="str" cm="1">
        <f t="array" aca="1" ref="L4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49" s="50"/>
      <c r="N449" s="30"/>
      <c r="O449" s="42">
        <f t="shared" si="19"/>
        <v>2024</v>
      </c>
      <c r="P449" s="42" t="str">
        <f t="shared" si="20"/>
        <v>202401945/2022</v>
      </c>
      <c r="Q449" s="42">
        <v>1</v>
      </c>
    </row>
    <row r="450" spans="1:17" ht="15" hidden="1">
      <c r="A450" s="133" t="s">
        <v>471</v>
      </c>
      <c r="B450" s="312" t="str">
        <f>IFERROR(INDEX(Projetos!$B$3:$B$129,MATCH(A450,Projetos!$A$3:$A$129,0))," ")</f>
        <v>Sinapses 5 - Capacitação Cursos EaD IA</v>
      </c>
      <c r="C450" s="50"/>
      <c r="D450" s="48">
        <v>0.95799999999999996</v>
      </c>
      <c r="E450" s="48">
        <v>0.92500000000000004</v>
      </c>
      <c r="F450" s="49">
        <v>45588</v>
      </c>
      <c r="G450" s="28">
        <v>45566</v>
      </c>
      <c r="H450" s="28" t="str">
        <f t="shared" ref="H450:H513" si="21">A450&amp;G450</f>
        <v>08543/202145566</v>
      </c>
      <c r="I450" s="38">
        <f>IFERROR(INDEX(Projetos!$M$2:$M$129,MATCH(Atualizações!A450,Projetos!$A$2:$A$129,0))," ")</f>
        <v>45716</v>
      </c>
      <c r="J450" s="61"/>
      <c r="K450" s="344">
        <f>IFERROR(Tb_Atualizações[[#This Row],[% EXECUTADO]]/Tb_Atualizações[[#This Row],[% PREVISTO]],"0%")</f>
        <v>0.96555323590814202</v>
      </c>
      <c r="L450" s="31" t="str" cm="1">
        <f t="array" aca="1" ref="L4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50" s="50"/>
      <c r="N450" s="30"/>
      <c r="O450" s="42">
        <f t="shared" ref="O450:O513" si="22">YEAR(F450)</f>
        <v>2024</v>
      </c>
      <c r="P450" s="42" t="str">
        <f t="shared" ref="P450:P513" si="23">O450&amp;A450</f>
        <v>202408543/2021</v>
      </c>
      <c r="Q450" s="42">
        <v>1</v>
      </c>
    </row>
    <row r="451" spans="1:17" ht="30" hidden="1">
      <c r="A451" s="133" t="s">
        <v>425</v>
      </c>
      <c r="B451" s="312" t="str">
        <f>IFERROR(INDEX(Projetos!$B$3:$B$129,MATCH(A451,Projetos!$A$3:$A$129,0))," ")</f>
        <v>Diagnóstico sobre a otimização dos processos de trabalho no Poder Judiciário em face da implementação das Políticas Tecnológicas do Programa Justiça 4.0.</v>
      </c>
      <c r="C451" s="50"/>
      <c r="D451" s="48" t="s">
        <v>1309</v>
      </c>
      <c r="E451" s="48">
        <v>0.75</v>
      </c>
      <c r="F451" s="49">
        <v>45589</v>
      </c>
      <c r="G451" s="125">
        <v>45566</v>
      </c>
      <c r="H451" s="28" t="str">
        <f t="shared" si="21"/>
        <v>06767/202245566</v>
      </c>
      <c r="I451" s="38">
        <f>IFERROR(INDEX(Projetos!$M$2:$M$129,MATCH(Atualizações!A451,Projetos!$A$2:$A$129,0))," ")</f>
        <v>45605</v>
      </c>
      <c r="J451" s="61"/>
      <c r="K451" s="344" t="str">
        <f>IFERROR(Tb_Atualizações[[#This Row],[% EXECUTADO]]/Tb_Atualizações[[#This Row],[% PREVISTO]],"0%")</f>
        <v>0%</v>
      </c>
      <c r="L451" s="31" t="str" cm="1">
        <f t="array" aca="1" ref="L4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51" s="50"/>
      <c r="N451" s="30"/>
      <c r="O451" s="42">
        <f t="shared" si="22"/>
        <v>2024</v>
      </c>
      <c r="P451" s="42" t="str">
        <f t="shared" si="23"/>
        <v>202406767/2022</v>
      </c>
      <c r="Q451" s="42">
        <v>1</v>
      </c>
    </row>
    <row r="452" spans="1:17" ht="15" hidden="1">
      <c r="A452" s="133" t="s">
        <v>172</v>
      </c>
      <c r="B452" s="312" t="str">
        <f>IFERROR(INDEX(Projetos!$B$3:$B$129,MATCH(A452,Projetos!$A$3:$A$129,0))," ")</f>
        <v>Monitoramento: soluções da PDPJ-Br</v>
      </c>
      <c r="C452" s="50"/>
      <c r="D452" s="48">
        <v>0.95</v>
      </c>
      <c r="E452" s="48">
        <v>0.81499999999999995</v>
      </c>
      <c r="F452" s="49">
        <v>45593</v>
      </c>
      <c r="G452" s="28">
        <v>45566</v>
      </c>
      <c r="H452" s="28" t="str">
        <f t="shared" si="21"/>
        <v>01703/202445566</v>
      </c>
      <c r="I452" s="38">
        <f>IFERROR(INDEX(Projetos!$M$2:$M$129,MATCH(Atualizações!A452,Projetos!$A$2:$A$129,0))," ")</f>
        <v>45639</v>
      </c>
      <c r="J452" s="61"/>
      <c r="K452" s="344">
        <f>IFERROR(Tb_Atualizações[[#This Row],[% EXECUTADO]]/Tb_Atualizações[[#This Row],[% PREVISTO]],"0%")</f>
        <v>0.85789473684210527</v>
      </c>
      <c r="L452" s="31" t="str" cm="1">
        <f t="array" aca="1" ref="L4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52" s="50"/>
      <c r="N452" s="30"/>
      <c r="O452" s="42">
        <f t="shared" si="22"/>
        <v>2024</v>
      </c>
      <c r="P452" s="42" t="str">
        <f t="shared" si="23"/>
        <v>202401703/2024</v>
      </c>
      <c r="Q452" s="42">
        <v>1</v>
      </c>
    </row>
    <row r="453" spans="1:17" ht="15" hidden="1">
      <c r="A453" s="51" t="s">
        <v>615</v>
      </c>
      <c r="B453" s="312" t="str">
        <f>IFERROR(INDEX(Projetos!$B$3:$B$129,MATCH(A453,Projetos!$A$3:$A$129,0))," ")</f>
        <v>Polícia Judicial Amiga dos Autistas</v>
      </c>
      <c r="C453" s="50"/>
      <c r="D453" s="48">
        <v>0.8</v>
      </c>
      <c r="E453" s="48">
        <v>0.89500000000000002</v>
      </c>
      <c r="F453" s="49">
        <v>45594</v>
      </c>
      <c r="G453" s="28">
        <v>45536</v>
      </c>
      <c r="H453" s="28" t="str">
        <f t="shared" si="21"/>
        <v>11340/202345536</v>
      </c>
      <c r="I453" s="38">
        <f>IFERROR(INDEX(Projetos!$M$2:$M$129,MATCH(Atualizações!A453,Projetos!$A$2:$A$129,0))," ")</f>
        <v>45688</v>
      </c>
      <c r="J453" s="61"/>
      <c r="K453" s="344">
        <f>IFERROR(Tb_Atualizações[[#This Row],[% EXECUTADO]]/Tb_Atualizações[[#This Row],[% PREVISTO]],"0%")</f>
        <v>1.1187499999999999</v>
      </c>
      <c r="L453" s="31" t="str" cm="1">
        <f t="array" aca="1" ref="L4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53" s="50"/>
      <c r="N453" s="30"/>
      <c r="O453" s="42">
        <f t="shared" si="22"/>
        <v>2024</v>
      </c>
      <c r="P453" s="42" t="str">
        <f t="shared" si="23"/>
        <v>202411340/2023</v>
      </c>
      <c r="Q453" s="42">
        <v>1</v>
      </c>
    </row>
    <row r="454" spans="1:17" ht="15" hidden="1">
      <c r="A454" s="133" t="s">
        <v>644</v>
      </c>
      <c r="B454" s="312" t="str">
        <f>IFERROR(INDEX(Projetos!$B$3:$B$129,MATCH(A454,Projetos!$A$3:$A$129,0))," ")</f>
        <v>BNP/Pangea</v>
      </c>
      <c r="C454" s="50"/>
      <c r="D454" s="48">
        <v>0.70599999999999996</v>
      </c>
      <c r="E454" s="48">
        <v>0.65300000000000002</v>
      </c>
      <c r="F454" s="49">
        <v>45594</v>
      </c>
      <c r="G454" s="28">
        <v>45566</v>
      </c>
      <c r="H454" s="28" t="str">
        <f t="shared" si="21"/>
        <v>11645/202245566</v>
      </c>
      <c r="I454" s="38" t="str">
        <f>IFERROR(INDEX(Projetos!$M$2:$M$129,MATCH(Atualizações!A454,Projetos!$A$2:$A$129,0))," ")</f>
        <v>23/12/2026</v>
      </c>
      <c r="J454" s="61"/>
      <c r="K454" s="344">
        <f>IFERROR(Tb_Atualizações[[#This Row],[% EXECUTADO]]/Tb_Atualizações[[#This Row],[% PREVISTO]],"0%")</f>
        <v>0.92492917847025502</v>
      </c>
      <c r="L454" s="31" t="str" cm="1">
        <f t="array" aca="1" ref="L4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54" s="50"/>
      <c r="N454" s="30"/>
      <c r="O454" s="42">
        <f t="shared" si="22"/>
        <v>2024</v>
      </c>
      <c r="P454" s="42" t="str">
        <f t="shared" si="23"/>
        <v>202411645/2022</v>
      </c>
      <c r="Q454" s="42">
        <v>1</v>
      </c>
    </row>
    <row r="455" spans="1:17" ht="15" hidden="1">
      <c r="A455" s="385" t="s">
        <v>141</v>
      </c>
      <c r="B455" s="312" t="str">
        <f>IFERROR(INDEX(Projetos!$B$3:$B$129,MATCH(A455,Projetos!$A$3:$A$129,0))," ")</f>
        <v>6ª edição da Série Justiça e pesquisa</v>
      </c>
      <c r="C455" s="50"/>
      <c r="D455" s="48">
        <v>0.97</v>
      </c>
      <c r="E455" s="48">
        <v>0.97</v>
      </c>
      <c r="F455" s="49">
        <v>45595</v>
      </c>
      <c r="G455" s="28">
        <v>45536</v>
      </c>
      <c r="H455" s="28" t="str">
        <f t="shared" si="21"/>
        <v>01179/202345536</v>
      </c>
      <c r="I455" s="38">
        <f>IFERROR(INDEX(Projetos!$M$2:$M$129,MATCH(Atualizações!A455,Projetos!$A$2:$A$129,0))," ")</f>
        <v>45597</v>
      </c>
      <c r="J455" s="61"/>
      <c r="K455" s="344">
        <f>IFERROR(Tb_Atualizações[[#This Row],[% EXECUTADO]]/Tb_Atualizações[[#This Row],[% PREVISTO]],"0%")</f>
        <v>1</v>
      </c>
      <c r="L455" s="31" t="str" cm="1">
        <f t="array" aca="1" ref="L4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55" s="50"/>
      <c r="N455" s="30"/>
      <c r="O455" s="42">
        <f t="shared" si="22"/>
        <v>2024</v>
      </c>
      <c r="P455" s="42" t="str">
        <f t="shared" si="23"/>
        <v>202401179/2023</v>
      </c>
      <c r="Q455" s="42">
        <v>1</v>
      </c>
    </row>
    <row r="456" spans="1:17" ht="30" hidden="1">
      <c r="A456" s="133" t="s">
        <v>416</v>
      </c>
      <c r="B456" s="312" t="str">
        <f>IFERROR(INDEX(Projetos!$B$3:$B$129,MATCH(A456,Projetos!$A$3:$A$129,0))," ")</f>
        <v>Conecta</v>
      </c>
      <c r="C456" s="50"/>
      <c r="D456" s="48">
        <v>0.30599999999999999</v>
      </c>
      <c r="E456" s="48">
        <v>0.23300000000000001</v>
      </c>
      <c r="F456" s="49">
        <v>45595</v>
      </c>
      <c r="G456" s="28">
        <v>45566</v>
      </c>
      <c r="H456" s="28" t="str">
        <f t="shared" si="21"/>
        <v>05578/202445566</v>
      </c>
      <c r="I456" s="38" t="str">
        <f>IFERROR(INDEX(Projetos!$M$2:$M$129,MATCH(Atualizações!A456,Projetos!$A$2:$A$129,0))," ")</f>
        <v>31/12/2026</v>
      </c>
      <c r="J456" s="61"/>
      <c r="K456" s="344">
        <f>IFERROR(Tb_Atualizações[[#This Row],[% EXECUTADO]]/Tb_Atualizações[[#This Row],[% PREVISTO]],"0%")</f>
        <v>0.7614379084967321</v>
      </c>
      <c r="L456" s="31" t="str" cm="1">
        <f t="array" aca="1" ref="L4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56" s="50"/>
      <c r="N456" s="30"/>
      <c r="O456" s="42">
        <f t="shared" si="22"/>
        <v>2024</v>
      </c>
      <c r="P456" s="42" t="str">
        <f t="shared" si="23"/>
        <v>202405578/2024</v>
      </c>
      <c r="Q456" s="42">
        <v>1</v>
      </c>
    </row>
    <row r="457" spans="1:17" ht="15" hidden="1">
      <c r="A457" s="385" t="s">
        <v>549</v>
      </c>
      <c r="B457" s="312" t="str">
        <f>IFERROR(INDEX(Projetos!$B$3:$B$129,MATCH(A457,Projetos!$A$3:$A$129,0))," ")</f>
        <v>Fluxo Nacional Automatizado das Execuções Fiscais (EFIN)</v>
      </c>
      <c r="C457" s="50"/>
      <c r="D457" s="48">
        <v>0.51600000000000001</v>
      </c>
      <c r="E457" s="48">
        <v>0.53400000000000003</v>
      </c>
      <c r="F457" s="49">
        <v>45595</v>
      </c>
      <c r="G457" s="28">
        <v>45566</v>
      </c>
      <c r="H457" s="28" t="str">
        <f t="shared" si="21"/>
        <v>09796/202445566</v>
      </c>
      <c r="I457" s="38">
        <f>IFERROR(INDEX(Projetos!$M$2:$M$129,MATCH(Atualizações!A457,Projetos!$A$2:$A$129,0))," ")</f>
        <v>46226</v>
      </c>
      <c r="J457" s="61"/>
      <c r="K457" s="344">
        <f>IFERROR(Tb_Atualizações[[#This Row],[% EXECUTADO]]/Tb_Atualizações[[#This Row],[% PREVISTO]],"0%")</f>
        <v>1.0348837209302326</v>
      </c>
      <c r="L457" s="31" t="str" cm="1">
        <f t="array" aca="1" ref="L4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57" s="50"/>
      <c r="N457" s="30"/>
      <c r="O457" s="42">
        <f t="shared" si="22"/>
        <v>2024</v>
      </c>
      <c r="P457" s="42" t="str">
        <f t="shared" si="23"/>
        <v>202409796/2024</v>
      </c>
      <c r="Q457" s="42">
        <v>1</v>
      </c>
    </row>
    <row r="458" spans="1:17" ht="15" hidden="1">
      <c r="A458" s="385" t="s">
        <v>229</v>
      </c>
      <c r="B458" s="312" t="str">
        <f>IFERROR(INDEX(Projetos!$B$3:$B$129,MATCH(A458,Projetos!$A$3:$A$129,0))," ")</f>
        <v>Gabinete do Juízo</v>
      </c>
      <c r="C458" s="50"/>
      <c r="D458" s="48" t="s">
        <v>1310</v>
      </c>
      <c r="E458" s="48" t="s">
        <v>1311</v>
      </c>
      <c r="F458" s="49">
        <v>45595</v>
      </c>
      <c r="G458" s="28">
        <v>45566</v>
      </c>
      <c r="H458" s="28" t="str">
        <f t="shared" si="21"/>
        <v>02080/202345566</v>
      </c>
      <c r="I458" s="38">
        <f>IFERROR(INDEX(Projetos!$M$2:$M$129,MATCH(Atualizações!A458,Projetos!$A$2:$A$129,0))," ")</f>
        <v>46379</v>
      </c>
      <c r="K458" s="344" t="str">
        <f>IFERROR(Tb_Atualizações[[#This Row],[% EXECUTADO]]/Tb_Atualizações[[#This Row],[% PREVISTO]],"0%")</f>
        <v>0%</v>
      </c>
      <c r="L458" s="31" t="str" cm="1">
        <f t="array" aca="1" ref="L4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58" s="50"/>
      <c r="N458" s="30"/>
      <c r="O458" s="42">
        <f t="shared" si="22"/>
        <v>2024</v>
      </c>
      <c r="P458" s="42" t="str">
        <f t="shared" si="23"/>
        <v>202402080/2023</v>
      </c>
      <c r="Q458" s="42">
        <v>1</v>
      </c>
    </row>
    <row r="459" spans="1:17" ht="30" hidden="1">
      <c r="A459" s="385" t="s">
        <v>257</v>
      </c>
      <c r="B459" s="312" t="str">
        <f>IFERROR(INDEX(Projetos!$B$3:$B$129,MATCH(A459,Projetos!$A$3:$A$129,0))," ")</f>
        <v>SisPreq – Sistema de Precatórios e Requisições de Pequeno Valor</v>
      </c>
      <c r="C459" s="50"/>
      <c r="D459" s="48">
        <v>0.48599999999999999</v>
      </c>
      <c r="E459" s="48">
        <v>0.39600000000000002</v>
      </c>
      <c r="F459" s="49">
        <v>45595</v>
      </c>
      <c r="G459" s="28">
        <v>45566</v>
      </c>
      <c r="H459" s="28" t="str">
        <f t="shared" si="21"/>
        <v>02465/202445566</v>
      </c>
      <c r="I459" s="38" t="str">
        <f>IFERROR(INDEX(Projetos!$M$2:$M$129,MATCH(Atualizações!A459,Projetos!$A$2:$A$129,0))," ")</f>
        <v>15/12/2026</v>
      </c>
      <c r="J459" s="61"/>
      <c r="K459" s="344">
        <f>IFERROR(Tb_Atualizações[[#This Row],[% EXECUTADO]]/Tb_Atualizações[[#This Row],[% PREVISTO]],"0%")</f>
        <v>0.81481481481481488</v>
      </c>
      <c r="L459" s="31" t="str" cm="1">
        <f t="array" aca="1" ref="L4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59" s="50"/>
      <c r="N459" s="30"/>
      <c r="O459" s="42">
        <f t="shared" si="22"/>
        <v>2024</v>
      </c>
      <c r="P459" s="42" t="str">
        <f t="shared" si="23"/>
        <v>202402465/2024</v>
      </c>
      <c r="Q459" s="42">
        <v>1</v>
      </c>
    </row>
    <row r="460" spans="1:17" ht="15" hidden="1">
      <c r="A460" s="385" t="s">
        <v>609</v>
      </c>
      <c r="B460" s="312" t="str">
        <f>IFERROR(INDEX(Projetos!$B$3:$B$129,MATCH(A460,Projetos!$A$3:$A$129,0))," ")</f>
        <v>SPVATJUD</v>
      </c>
      <c r="C460" s="50"/>
      <c r="D460" s="48" t="s">
        <v>1312</v>
      </c>
      <c r="E460" s="48" t="s">
        <v>1313</v>
      </c>
      <c r="F460" s="49">
        <v>45595</v>
      </c>
      <c r="G460" s="125">
        <v>45566</v>
      </c>
      <c r="H460" s="28" t="str">
        <f t="shared" si="21"/>
        <v>11270/202245566</v>
      </c>
      <c r="I460" s="38">
        <f>IFERROR(INDEX(Projetos!$M$2:$M$129,MATCH(Atualizações!A460,Projetos!$A$2:$A$129,0))," ")</f>
        <v>45716</v>
      </c>
      <c r="J460" s="61"/>
      <c r="K460" s="344" t="str">
        <f>IFERROR(Tb_Atualizações[[#This Row],[% EXECUTADO]]/Tb_Atualizações[[#This Row],[% PREVISTO]],"0%")</f>
        <v>0%</v>
      </c>
      <c r="L460" s="31" t="str" cm="1">
        <f t="array" aca="1" ref="L4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60" s="50"/>
      <c r="N460" s="30"/>
      <c r="O460" s="42">
        <f t="shared" si="22"/>
        <v>2024</v>
      </c>
      <c r="P460" s="42" t="str">
        <f t="shared" si="23"/>
        <v>202411270/2022</v>
      </c>
      <c r="Q460" s="42">
        <v>1</v>
      </c>
    </row>
    <row r="461" spans="1:17" ht="30" hidden="1">
      <c r="A461" s="385" t="s">
        <v>533</v>
      </c>
      <c r="B461" s="312" t="str">
        <f>IFERROR(INDEX(Projetos!$B$3:$B$129,MATCH(A461,Projetos!$A$3:$A$129,0))," ")</f>
        <v>Qualificação de Dados</v>
      </c>
      <c r="C461" s="50"/>
      <c r="D461" s="48">
        <v>0.19600000000000001</v>
      </c>
      <c r="E461" s="48">
        <v>0.16200000000000001</v>
      </c>
      <c r="F461" s="49">
        <v>45600</v>
      </c>
      <c r="G461" s="28">
        <v>45566</v>
      </c>
      <c r="H461" s="28" t="str">
        <f t="shared" si="21"/>
        <v>09613/202445566</v>
      </c>
      <c r="I461" s="473">
        <f>IFERROR(INDEX(Projetos!$M$2:$M$129,MATCH(Atualizações!A461,Projetos!$A$2:$A$129,0))," ")</f>
        <v>46386</v>
      </c>
      <c r="J461" s="61"/>
      <c r="K461" s="344">
        <f>IFERROR(Tb_Atualizações[[#This Row],[% EXECUTADO]]/Tb_Atualizações[[#This Row],[% PREVISTO]],"0%")</f>
        <v>0.82653061224489799</v>
      </c>
      <c r="L461" s="31" t="str" cm="1">
        <f t="array" aca="1" ref="L4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61" s="50"/>
      <c r="N461" s="30"/>
      <c r="O461" s="42">
        <f t="shared" si="22"/>
        <v>2024</v>
      </c>
      <c r="P461" s="42" t="str">
        <f t="shared" si="23"/>
        <v>202409613/2024</v>
      </c>
      <c r="Q461" s="42">
        <v>1</v>
      </c>
    </row>
    <row r="462" spans="1:17" ht="15" hidden="1">
      <c r="A462" s="385" t="s">
        <v>638</v>
      </c>
      <c r="B462" s="312" t="str">
        <f>IFERROR(INDEX(Projetos!$B$3:$B$129,MATCH(A462,Projetos!$A$3:$A$129,0))," ")</f>
        <v>Sisperjud</v>
      </c>
      <c r="C462" s="50"/>
      <c r="D462" s="48">
        <v>0.89</v>
      </c>
      <c r="E462" s="48">
        <v>0.85499999999999998</v>
      </c>
      <c r="F462" s="49">
        <v>45600</v>
      </c>
      <c r="G462" s="28">
        <v>45566</v>
      </c>
      <c r="H462" s="28" t="str">
        <f t="shared" si="21"/>
        <v>11644/202245566</v>
      </c>
      <c r="I462" s="38">
        <f>IFERROR(INDEX(Projetos!$M$2:$M$129,MATCH(Atualizações!A462,Projetos!$A$2:$A$129,0))," ")</f>
        <v>46352</v>
      </c>
      <c r="J462" s="61"/>
      <c r="K462" s="344">
        <f>IFERROR(Tb_Atualizações[[#This Row],[% EXECUTADO]]/Tb_Atualizações[[#This Row],[% PREVISTO]],"0%")</f>
        <v>0.9606741573033708</v>
      </c>
      <c r="L462" s="31" t="str" cm="1">
        <f t="array" aca="1" ref="L4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62" s="50"/>
      <c r="N462" s="30"/>
      <c r="O462" s="42">
        <f t="shared" si="22"/>
        <v>2024</v>
      </c>
      <c r="P462" s="42" t="str">
        <f t="shared" si="23"/>
        <v>202411644/2022</v>
      </c>
      <c r="Q462" s="42">
        <v>1</v>
      </c>
    </row>
    <row r="463" spans="1:17" ht="15" hidden="1">
      <c r="A463" s="385" t="s">
        <v>358</v>
      </c>
      <c r="B463" s="312" t="str">
        <f>IFERROR(INDEX(Projetos!$B$3:$B$129,MATCH(A463,Projetos!$A$3:$A$129,0))," ")</f>
        <v>Prevjud - Automação de Processos Previdenciários - Justiça 4.0</v>
      </c>
      <c r="C463" s="50"/>
      <c r="D463" s="48">
        <v>0.92200000000000004</v>
      </c>
      <c r="E463" s="48">
        <v>0.92</v>
      </c>
      <c r="F463" s="49">
        <v>45601</v>
      </c>
      <c r="G463" s="28">
        <v>45566</v>
      </c>
      <c r="H463" s="28" t="str">
        <f t="shared" si="21"/>
        <v>03558/202145566</v>
      </c>
      <c r="I463" s="38" t="str">
        <f>IFERROR(INDEX(Projetos!$M$2:$M$129,MATCH(Atualizações!A463,Projetos!$A$2:$A$129,0))," ")</f>
        <v>31/03/2026</v>
      </c>
      <c r="J463" s="61"/>
      <c r="K463" s="344">
        <f>IFERROR(Tb_Atualizações[[#This Row],[% EXECUTADO]]/Tb_Atualizações[[#This Row],[% PREVISTO]],"0%")</f>
        <v>0.99783080260303691</v>
      </c>
      <c r="L463" s="31" t="str" cm="1">
        <f t="array" aca="1" ref="L4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63" s="50"/>
      <c r="N463" s="30"/>
      <c r="O463" s="42">
        <f t="shared" si="22"/>
        <v>2024</v>
      </c>
      <c r="P463" s="42" t="str">
        <f t="shared" si="23"/>
        <v>202403558/2021</v>
      </c>
      <c r="Q463" s="42">
        <v>1</v>
      </c>
    </row>
    <row r="464" spans="1:17" ht="30" hidden="1">
      <c r="A464" s="385" t="s">
        <v>310</v>
      </c>
      <c r="B464" s="312" t="str">
        <f>IFERROR(INDEX(Projetos!$B$3:$B$129,MATCH(A464,Projetos!$A$3:$A$129,0))," ")</f>
        <v>Apoio a implantação de soluções da PDPJ-Br</v>
      </c>
      <c r="C464" s="50"/>
      <c r="D464" s="48">
        <v>0.52900000000000003</v>
      </c>
      <c r="E464" s="48">
        <v>0.41099999999999998</v>
      </c>
      <c r="F464" s="49">
        <v>45602</v>
      </c>
      <c r="G464" s="28">
        <v>45566</v>
      </c>
      <c r="H464" s="28" t="str">
        <f t="shared" si="21"/>
        <v>02887/202445566</v>
      </c>
      <c r="I464" s="473">
        <f>IFERROR(INDEX(Projetos!$M$2:$M$129,MATCH(Atualizações!A464,Projetos!$A$2:$A$129,0))," ")</f>
        <v>46387</v>
      </c>
      <c r="J464" s="61"/>
      <c r="K464" s="344">
        <f>IFERROR(Tb_Atualizações[[#This Row],[% EXECUTADO]]/Tb_Atualizações[[#This Row],[% PREVISTO]],"0%")</f>
        <v>0.77693761814744788</v>
      </c>
      <c r="L464" s="31" t="str" cm="1">
        <f t="array" aca="1" ref="L4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64" s="50"/>
      <c r="N464" s="30"/>
      <c r="O464" s="42">
        <f t="shared" si="22"/>
        <v>2024</v>
      </c>
      <c r="P464" s="42" t="str">
        <f t="shared" si="23"/>
        <v>202402887/2024</v>
      </c>
      <c r="Q464" s="42">
        <v>1</v>
      </c>
    </row>
    <row r="465" spans="1:17" ht="15" hidden="1">
      <c r="A465" s="46" t="s">
        <v>350</v>
      </c>
      <c r="B465" s="312" t="str">
        <f>IFERROR(INDEX(Projetos!$B$3:$B$129,MATCH(A465,Projetos!$A$3:$A$129,0))," ")</f>
        <v>Painel de Estatística   - Justiça 4.0</v>
      </c>
      <c r="C465" s="50"/>
      <c r="D465" s="48">
        <v>0.98799999999999999</v>
      </c>
      <c r="E465" s="48">
        <v>0.93899999999999995</v>
      </c>
      <c r="F465" s="49">
        <v>45602</v>
      </c>
      <c r="G465" s="28">
        <v>45566</v>
      </c>
      <c r="H465" s="28" t="str">
        <f t="shared" si="21"/>
        <v>03545/202145566</v>
      </c>
      <c r="I465" s="38">
        <f>IFERROR(INDEX(Projetos!$M$2:$M$129,MATCH(Atualizações!A465,Projetos!$A$2:$A$129,0))," ")</f>
        <v>46387</v>
      </c>
      <c r="J465" s="61"/>
      <c r="K465" s="344">
        <f>IFERROR(Tb_Atualizações[[#This Row],[% EXECUTADO]]/Tb_Atualizações[[#This Row],[% PREVISTO]],"0%")</f>
        <v>0.95040485829959509</v>
      </c>
      <c r="L465" s="31" t="str" cm="1">
        <f t="array" aca="1" ref="L4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65" s="50"/>
      <c r="N465" s="30"/>
      <c r="O465" s="42">
        <f t="shared" si="22"/>
        <v>2024</v>
      </c>
      <c r="P465" s="42" t="str">
        <f t="shared" si="23"/>
        <v>202403545/2021</v>
      </c>
      <c r="Q465" s="42">
        <v>1</v>
      </c>
    </row>
    <row r="466" spans="1:17" ht="15" hidden="1">
      <c r="A466" s="46" t="s">
        <v>684</v>
      </c>
      <c r="B466" s="312" t="str">
        <f>IFERROR(INDEX(Projetos!$B$3:$B$129,MATCH(A466,Projetos!$A$3:$A$129,0))," ")</f>
        <v>Painel dos Grandes Litigantes</v>
      </c>
      <c r="C466" s="50"/>
      <c r="D466" s="48">
        <v>0.97299999999999998</v>
      </c>
      <c r="E466" s="48">
        <v>0.96699999999999997</v>
      </c>
      <c r="F466" s="49">
        <v>45602</v>
      </c>
      <c r="G466" s="28">
        <v>45566</v>
      </c>
      <c r="H466" s="28" t="str">
        <f t="shared" si="21"/>
        <v>12135/202245566</v>
      </c>
      <c r="I466" s="38" t="str">
        <f>IFERROR(INDEX(Projetos!$M$2:$M$129,MATCH(Atualizações!A466,Projetos!$A$2:$A$129,0))," ")</f>
        <v>30/06/26</v>
      </c>
      <c r="J466" s="61"/>
      <c r="K466" s="344">
        <f>IFERROR(Tb_Atualizações[[#This Row],[% EXECUTADO]]/Tb_Atualizações[[#This Row],[% PREVISTO]],"0%")</f>
        <v>0.99383350462487152</v>
      </c>
      <c r="L466" s="31" t="str" cm="1">
        <f t="array" aca="1" ref="L4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66" s="50"/>
      <c r="N466" s="30"/>
      <c r="O466" s="42">
        <f t="shared" si="22"/>
        <v>2024</v>
      </c>
      <c r="P466" s="42" t="str">
        <f t="shared" si="23"/>
        <v>202412135/2022</v>
      </c>
      <c r="Q466" s="42">
        <v>1</v>
      </c>
    </row>
    <row r="467" spans="1:17" ht="15" hidden="1">
      <c r="A467" s="46" t="s">
        <v>479</v>
      </c>
      <c r="B467" s="312" t="str">
        <f>IFERROR(INDEX(Projetos!$B$3:$B$129,MATCH(A467,Projetos!$A$3:$A$129,0))," ")</f>
        <v>Data Lake</v>
      </c>
      <c r="C467" s="50"/>
      <c r="D467" s="48">
        <v>0.96099999999999997</v>
      </c>
      <c r="E467" s="48">
        <v>0.88200000000000001</v>
      </c>
      <c r="F467" s="49">
        <v>45603</v>
      </c>
      <c r="G467" s="28">
        <v>45566</v>
      </c>
      <c r="H467" s="28" t="str">
        <f t="shared" si="21"/>
        <v>08547/202145566</v>
      </c>
      <c r="I467" s="38" t="str">
        <f>IFERROR(INDEX(Projetos!$M$2:$M$129,MATCH(Atualizações!A467,Projetos!$A$2:$A$129,0))," ")</f>
        <v>31/12/2024</v>
      </c>
      <c r="J467" s="61"/>
      <c r="K467" s="344">
        <f>IFERROR(Tb_Atualizações[[#This Row],[% EXECUTADO]]/Tb_Atualizações[[#This Row],[% PREVISTO]],"0%")</f>
        <v>0.91779396462018736</v>
      </c>
      <c r="L467" s="31" t="str" cm="1">
        <f t="array" aca="1" ref="L4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67" s="50"/>
      <c r="N467" s="30"/>
      <c r="O467" s="42">
        <f t="shared" si="22"/>
        <v>2024</v>
      </c>
      <c r="P467" s="42" t="str">
        <f t="shared" si="23"/>
        <v>202408547/2021</v>
      </c>
      <c r="Q467" s="42">
        <v>1</v>
      </c>
    </row>
    <row r="468" spans="1:17" ht="15" hidden="1">
      <c r="A468" s="46" t="s">
        <v>559</v>
      </c>
      <c r="B468" s="312" t="str">
        <f>IFERROR(INDEX(Projetos!$B$3:$B$129,MATCH(A468,Projetos!$A$3:$A$129,0))," ")</f>
        <v>Fonajus itinerante</v>
      </c>
      <c r="C468" s="50"/>
      <c r="D468" s="48">
        <v>0.75</v>
      </c>
      <c r="E468" s="48">
        <v>0.75</v>
      </c>
      <c r="F468" s="49">
        <v>45604</v>
      </c>
      <c r="G468" s="28">
        <v>45566</v>
      </c>
      <c r="H468" s="28" t="str">
        <f t="shared" si="21"/>
        <v>10101/202445566</v>
      </c>
      <c r="I468" s="38" t="str">
        <f>IFERROR(INDEX(Projetos!$M$2:$M$129,MATCH(Atualizações!A468,Projetos!$A$2:$A$129,0))," ")</f>
        <v>30/4/2026</v>
      </c>
      <c r="J468" s="61"/>
      <c r="K468" s="344">
        <f>IFERROR(Tb_Atualizações[[#This Row],[% EXECUTADO]]/Tb_Atualizações[[#This Row],[% PREVISTO]],"0%")</f>
        <v>1</v>
      </c>
      <c r="L468" s="31" t="str" cm="1">
        <f t="array" aca="1" ref="L4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68" s="50"/>
      <c r="N468" s="30"/>
      <c r="O468" s="42">
        <f t="shared" si="22"/>
        <v>2024</v>
      </c>
      <c r="P468" s="42" t="str">
        <f t="shared" si="23"/>
        <v>202410101/2024</v>
      </c>
      <c r="Q468" s="42">
        <v>1</v>
      </c>
    </row>
    <row r="469" spans="1:17" ht="30" hidden="1">
      <c r="A469" s="46" t="s">
        <v>376</v>
      </c>
      <c r="B469" s="312" t="str">
        <f>IFERROR(INDEX(Projetos!$B$3:$B$129,MATCH(A469,Projetos!$A$3:$A$129,0))," ")</f>
        <v>Nacionalização SAREF - Sistema de Apresentação Remota por Reconhecimento Facial</v>
      </c>
      <c r="C469" s="50"/>
      <c r="D469" s="48">
        <v>1</v>
      </c>
      <c r="E469" s="48">
        <v>0.49</v>
      </c>
      <c r="F469" s="49">
        <v>45604</v>
      </c>
      <c r="G469" s="28">
        <v>45566</v>
      </c>
      <c r="H469" s="28" t="str">
        <f t="shared" si="21"/>
        <v>03924/202345566</v>
      </c>
      <c r="I469" s="38">
        <f>IFERROR(INDEX(Projetos!$M$2:$M$129,MATCH(Atualizações!A469,Projetos!$A$2:$A$129,0))," ")</f>
        <v>45565</v>
      </c>
      <c r="J469" s="61"/>
      <c r="K469" s="344">
        <f>IFERROR(Tb_Atualizações[[#This Row],[% EXECUTADO]]/Tb_Atualizações[[#This Row],[% PREVISTO]],"0%")</f>
        <v>0.49</v>
      </c>
      <c r="L469" s="31" t="str" cm="1">
        <f t="array" aca="1" ref="L4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69" s="50"/>
      <c r="N469" s="30"/>
      <c r="O469" s="42">
        <f t="shared" si="22"/>
        <v>2024</v>
      </c>
      <c r="P469" s="42" t="str">
        <f t="shared" si="23"/>
        <v>202403924/2023</v>
      </c>
      <c r="Q469" s="42">
        <v>1</v>
      </c>
    </row>
    <row r="470" spans="1:17" ht="15" hidden="1">
      <c r="A470" s="51" t="s">
        <v>668</v>
      </c>
      <c r="B470" s="312" t="str">
        <f>IFERROR(INDEX(Projetos!$B$3:$B$129,MATCH(A470,Projetos!$A$3:$A$129,0))," ")</f>
        <v>Selo Linguagem Simples</v>
      </c>
      <c r="C470" s="50"/>
      <c r="D470" s="48">
        <v>1</v>
      </c>
      <c r="E470" s="48">
        <v>1</v>
      </c>
      <c r="F470" s="49">
        <v>45604</v>
      </c>
      <c r="G470" s="28">
        <v>45566</v>
      </c>
      <c r="H470" s="28" t="str">
        <f t="shared" si="21"/>
        <v>11821/202445566</v>
      </c>
      <c r="I470" s="38">
        <f>IFERROR(INDEX(Projetos!$M$2:$M$129,MATCH(Atualizações!A470,Projetos!$A$2:$A$129,0))," ")</f>
        <v>45581</v>
      </c>
      <c r="J470" s="61"/>
      <c r="K470" s="344">
        <f>IFERROR(Tb_Atualizações[[#This Row],[% EXECUTADO]]/Tb_Atualizações[[#This Row],[% PREVISTO]],"0%")</f>
        <v>1</v>
      </c>
      <c r="L470" s="31" t="str" cm="1">
        <f t="array" aca="1" ref="L4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70" s="50"/>
      <c r="N470" s="30"/>
      <c r="O470" s="42">
        <f t="shared" si="22"/>
        <v>2024</v>
      </c>
      <c r="P470" s="42" t="str">
        <f t="shared" si="23"/>
        <v>202411821/2024</v>
      </c>
      <c r="Q470" s="42">
        <v>1</v>
      </c>
    </row>
    <row r="471" spans="1:17" ht="30" hidden="1">
      <c r="A471" s="51" t="s">
        <v>273</v>
      </c>
      <c r="B471" s="312" t="str">
        <f>IFERROR(INDEX(Projetos!$B$3:$B$129,MATCH(A471,Projetos!$A$3:$A$129,0))," ")</f>
        <v>SNA – Novo Sistema Nacional de Adoção e Acolhimento</v>
      </c>
      <c r="C471" s="50"/>
      <c r="D471" s="48">
        <v>0.46</v>
      </c>
      <c r="E471" s="48">
        <v>0.20699999999999999</v>
      </c>
      <c r="F471" s="49">
        <v>45604</v>
      </c>
      <c r="G471" s="28">
        <v>45566</v>
      </c>
      <c r="H471" s="28" t="str">
        <f t="shared" si="21"/>
        <v>02483/202345566</v>
      </c>
      <c r="I471" s="38">
        <f>IFERROR(INDEX(Projetos!$M$2:$M$129,MATCH(Atualizações!A471,Projetos!$A$2:$A$129,0))," ")</f>
        <v>46022</v>
      </c>
      <c r="J471" s="61"/>
      <c r="K471" s="344">
        <f>IFERROR(Tb_Atualizações[[#This Row],[% EXECUTADO]]/Tb_Atualizações[[#This Row],[% PREVISTO]],"0%")</f>
        <v>0.44999999999999996</v>
      </c>
      <c r="L471" s="31" t="str" cm="1">
        <f t="array" aca="1" ref="L4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71" s="50"/>
      <c r="N471" s="30"/>
      <c r="O471" s="42">
        <f t="shared" si="22"/>
        <v>2024</v>
      </c>
      <c r="P471" s="42" t="str">
        <f t="shared" si="23"/>
        <v>202402483/2023</v>
      </c>
      <c r="Q471" s="42">
        <v>1</v>
      </c>
    </row>
    <row r="472" spans="1:17" ht="30" hidden="1">
      <c r="A472" s="133" t="s">
        <v>425</v>
      </c>
      <c r="B472" s="312" t="str">
        <f>IFERROR(INDEX(Projetos!$B$3:$B$129,MATCH(A472,Projetos!$A$3:$A$129,0))," ")</f>
        <v>Diagnóstico sobre a otimização dos processos de trabalho no Poder Judiciário em face da implementação das Políticas Tecnológicas do Programa Justiça 4.0.</v>
      </c>
      <c r="C472" s="50"/>
      <c r="D472" s="48">
        <v>1</v>
      </c>
      <c r="E472" s="48">
        <v>1</v>
      </c>
      <c r="F472" s="49">
        <v>45608</v>
      </c>
      <c r="G472" s="28">
        <v>45597</v>
      </c>
      <c r="H472" s="28" t="str">
        <f t="shared" si="21"/>
        <v>06767/202245597</v>
      </c>
      <c r="I472" s="38">
        <f>IFERROR(INDEX(Projetos!$M$2:$M$129,MATCH(Atualizações!A472,Projetos!$A$2:$A$129,0))," ")</f>
        <v>45605</v>
      </c>
      <c r="J472" s="61"/>
      <c r="K472" s="344">
        <f>IFERROR(Tb_Atualizações[[#This Row],[% EXECUTADO]]/Tb_Atualizações[[#This Row],[% PREVISTO]],"0%")</f>
        <v>1</v>
      </c>
      <c r="L472" s="31" t="str" cm="1">
        <f t="array" aca="1" ref="L4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72" s="50"/>
      <c r="N472" s="30"/>
      <c r="O472" s="42">
        <f t="shared" si="22"/>
        <v>2024</v>
      </c>
      <c r="P472" s="42" t="str">
        <f t="shared" si="23"/>
        <v>202406767/2022</v>
      </c>
      <c r="Q472" s="42">
        <v>1</v>
      </c>
    </row>
    <row r="473" spans="1:17" ht="30" hidden="1">
      <c r="A473" s="51" t="s">
        <v>698</v>
      </c>
      <c r="B473" s="312" t="str">
        <f>IFERROR(INDEX(Projetos!$B$3:$B$129,MATCH(A473,Projetos!$A$3:$A$129,0))," ")</f>
        <v>Escola Virtual do Poder Judiciário</v>
      </c>
      <c r="C473" s="50"/>
      <c r="D473" s="48">
        <v>0.4</v>
      </c>
      <c r="E473" s="48">
        <v>0.3</v>
      </c>
      <c r="F473" s="49">
        <v>45614</v>
      </c>
      <c r="G473" s="28">
        <v>45566</v>
      </c>
      <c r="H473" s="28" t="str">
        <f t="shared" si="21"/>
        <v>13898/202445566</v>
      </c>
      <c r="I473" s="38">
        <f>IFERROR(INDEX(Projetos!$M$2:$M$129,MATCH(Atualizações!A473,Projetos!$A$2:$A$129,0))," ")</f>
        <v>45930</v>
      </c>
      <c r="J473" s="61"/>
      <c r="K473" s="344">
        <f>IFERROR(Tb_Atualizações[[#This Row],[% EXECUTADO]]/Tb_Atualizações[[#This Row],[% PREVISTO]],"0%")</f>
        <v>0.74999999999999989</v>
      </c>
      <c r="L473" s="31" t="str" cm="1">
        <f t="array" aca="1" ref="L4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73" s="50"/>
      <c r="N473" s="30"/>
      <c r="O473" s="42">
        <f t="shared" si="22"/>
        <v>2024</v>
      </c>
      <c r="P473" s="42" t="str">
        <f t="shared" si="23"/>
        <v>202413898/2024</v>
      </c>
      <c r="Q473" s="42">
        <v>1</v>
      </c>
    </row>
    <row r="474" spans="1:17" ht="30" hidden="1">
      <c r="A474" s="398" t="s">
        <v>690</v>
      </c>
      <c r="B474" s="312" t="str">
        <f>IFERROR(INDEX(Projetos!$B$3:$B$129,MATCH(A474,Projetos!$A$3:$A$129,0))," ")</f>
        <v>Painel “Justiça Criminal e Sistema Prisional”</v>
      </c>
      <c r="C474" s="50"/>
      <c r="D474" s="48">
        <v>0</v>
      </c>
      <c r="E474" s="48">
        <v>0</v>
      </c>
      <c r="F474" s="49">
        <v>45614</v>
      </c>
      <c r="G474" s="28">
        <v>45566</v>
      </c>
      <c r="H474" s="28" t="str">
        <f t="shared" si="21"/>
        <v>12215/202345566</v>
      </c>
      <c r="I474" s="473">
        <f>IFERROR(INDEX(Projetos!$M$2:$M$129,MATCH(Atualizações!A474,Projetos!$A$2:$A$129,0))," ")</f>
        <v>46387</v>
      </c>
      <c r="J474" s="61" t="s">
        <v>1314</v>
      </c>
      <c r="K474" s="344" t="str">
        <f>IFERROR(Tb_Atualizações[[#This Row],[% EXECUTADO]]/Tb_Atualizações[[#This Row],[% PREVISTO]],"0%")</f>
        <v>0%</v>
      </c>
      <c r="L474" s="31" t="str" cm="1">
        <f t="array" aca="1" ref="L4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74" s="50"/>
      <c r="N474" s="30"/>
      <c r="O474" s="42">
        <f t="shared" si="22"/>
        <v>2024</v>
      </c>
      <c r="P474" s="42" t="str">
        <f t="shared" si="23"/>
        <v>202412215/2023</v>
      </c>
      <c r="Q474" s="42">
        <v>1</v>
      </c>
    </row>
    <row r="475" spans="1:17" ht="150" hidden="1">
      <c r="A475" s="51" t="s">
        <v>615</v>
      </c>
      <c r="B475" s="312" t="str">
        <f>IFERROR(INDEX(Projetos!$B$3:$B$129,MATCH(A475,Projetos!$A$3:$A$129,0))," ")</f>
        <v>Polícia Judicial Amiga dos Autistas</v>
      </c>
      <c r="C475" s="50"/>
      <c r="D475" s="48">
        <v>1</v>
      </c>
      <c r="E475" s="48">
        <v>0.93569999999999998</v>
      </c>
      <c r="F475" s="49">
        <v>45622</v>
      </c>
      <c r="G475" s="28">
        <v>45566</v>
      </c>
      <c r="H475" s="28" t="str">
        <f t="shared" si="21"/>
        <v>11340/202345566</v>
      </c>
      <c r="I475" s="38">
        <f>IFERROR(INDEX(Projetos!$M$2:$M$129,MATCH(Atualizações!A475,Projetos!$A$2:$A$129,0))," ")</f>
        <v>45688</v>
      </c>
      <c r="J475" s="61" t="s">
        <v>1315</v>
      </c>
      <c r="K475" s="344">
        <f>IFERROR(Tb_Atualizações[[#This Row],[% EXECUTADO]]/Tb_Atualizações[[#This Row],[% PREVISTO]],"0%")</f>
        <v>0.93569999999999998</v>
      </c>
      <c r="L475" s="31" t="str" cm="1">
        <f t="array" aca="1" ref="L4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75" s="50"/>
      <c r="N475" s="30"/>
      <c r="O475" s="42">
        <f t="shared" si="22"/>
        <v>2024</v>
      </c>
      <c r="P475" s="42" t="str">
        <f t="shared" si="23"/>
        <v>202411340/2023</v>
      </c>
      <c r="Q475" s="42">
        <v>1</v>
      </c>
    </row>
    <row r="476" spans="1:17" ht="15" hidden="1">
      <c r="A476" s="51" t="s">
        <v>209</v>
      </c>
      <c r="B476" s="312" t="str">
        <f>IFERROR(INDEX(Projetos!$B$3:$B$129,MATCH(A476,Projetos!$A$3:$A$129,0))," ")</f>
        <v>Capacitação técnica para desenvolvedores nas tecnologias da PDPJ - BR</v>
      </c>
      <c r="C476" s="50"/>
      <c r="D476" s="48">
        <v>0.89200000000000002</v>
      </c>
      <c r="E476" s="48">
        <v>0.86299999999999999</v>
      </c>
      <c r="F476" s="49">
        <v>45623</v>
      </c>
      <c r="G476" s="28">
        <v>45597</v>
      </c>
      <c r="H476" s="28" t="str">
        <f t="shared" si="21"/>
        <v>01945/202245597</v>
      </c>
      <c r="I476" s="38">
        <f>IFERROR(INDEX(Projetos!$M$2:$M$129,MATCH(Atualizações!A476,Projetos!$A$2:$A$129,0))," ")</f>
        <v>45866</v>
      </c>
      <c r="J476" s="61"/>
      <c r="K476" s="344">
        <f>IFERROR(Tb_Atualizações[[#This Row],[% EXECUTADO]]/Tb_Atualizações[[#This Row],[% PREVISTO]],"0%")</f>
        <v>0.96748878923766812</v>
      </c>
      <c r="L476" s="31" t="str" cm="1">
        <f t="array" aca="1" ref="L4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76" s="50"/>
      <c r="N476" s="30"/>
      <c r="O476" s="42">
        <f t="shared" si="22"/>
        <v>2024</v>
      </c>
      <c r="P476" s="42" t="str">
        <f t="shared" si="23"/>
        <v>202401945/2022</v>
      </c>
      <c r="Q476" s="42">
        <v>1</v>
      </c>
    </row>
    <row r="477" spans="1:17" ht="15" hidden="1">
      <c r="A477" s="133" t="s">
        <v>549</v>
      </c>
      <c r="B477" s="312" t="str">
        <f>IFERROR(INDEX(Projetos!$B$3:$B$129,MATCH(A477,Projetos!$A$3:$A$129,0))," ")</f>
        <v>Fluxo Nacional Automatizado das Execuções Fiscais (EFIN)</v>
      </c>
      <c r="C477" s="50"/>
      <c r="D477" s="48">
        <v>0.59599999999999997</v>
      </c>
      <c r="E477" s="48">
        <v>0.59</v>
      </c>
      <c r="F477" s="49">
        <v>45623</v>
      </c>
      <c r="G477" s="28">
        <v>45597</v>
      </c>
      <c r="H477" s="28" t="str">
        <f t="shared" si="21"/>
        <v>09796/202445597</v>
      </c>
      <c r="I477" s="38">
        <f>IFERROR(INDEX(Projetos!$M$2:$M$129,MATCH(Atualizações!A477,Projetos!$A$2:$A$129,0))," ")</f>
        <v>46226</v>
      </c>
      <c r="J477" s="61"/>
      <c r="K477" s="344">
        <f>IFERROR(Tb_Atualizações[[#This Row],[% EXECUTADO]]/Tb_Atualizações[[#This Row],[% PREVISTO]],"0%")</f>
        <v>0.98993288590604023</v>
      </c>
      <c r="L477" s="31" t="str" cm="1">
        <f t="array" aca="1" ref="L4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77" s="50"/>
      <c r="N477" s="30"/>
      <c r="O477" s="42">
        <f t="shared" si="22"/>
        <v>2024</v>
      </c>
      <c r="P477" s="42" t="str">
        <f t="shared" si="23"/>
        <v>202409796/2024</v>
      </c>
      <c r="Q477" s="42">
        <v>1</v>
      </c>
    </row>
    <row r="478" spans="1:17" ht="15" hidden="1">
      <c r="A478" s="133" t="s">
        <v>229</v>
      </c>
      <c r="B478" s="312" t="str">
        <f>IFERROR(INDEX(Projetos!$B$3:$B$129,MATCH(A478,Projetos!$A$3:$A$129,0))," ")</f>
        <v>Gabinete do Juízo</v>
      </c>
      <c r="C478" s="50"/>
      <c r="D478" s="48">
        <v>0.70499999999999996</v>
      </c>
      <c r="E478" s="48">
        <v>0.70499999999999996</v>
      </c>
      <c r="F478" s="49">
        <v>45623</v>
      </c>
      <c r="G478" s="28">
        <v>45597</v>
      </c>
      <c r="H478" s="28" t="str">
        <f t="shared" si="21"/>
        <v>02080/202345597</v>
      </c>
      <c r="I478" s="38">
        <f>IFERROR(INDEX(Projetos!$M$2:$M$129,MATCH(Atualizações!A478,Projetos!$A$2:$A$129,0))," ")</f>
        <v>46379</v>
      </c>
      <c r="K478" s="344">
        <f>IFERROR(Tb_Atualizações[[#This Row],[% EXECUTADO]]/Tb_Atualizações[[#This Row],[% PREVISTO]],"0%")</f>
        <v>1</v>
      </c>
      <c r="L478" s="31" t="str" cm="1">
        <f t="array" aca="1" ref="L4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78" s="50"/>
      <c r="N478" s="30"/>
      <c r="O478" s="42">
        <f t="shared" si="22"/>
        <v>2024</v>
      </c>
      <c r="P478" s="42" t="str">
        <f t="shared" si="23"/>
        <v>202402080/2023</v>
      </c>
      <c r="Q478" s="42">
        <v>1</v>
      </c>
    </row>
    <row r="479" spans="1:17" ht="15" hidden="1">
      <c r="A479" s="133" t="s">
        <v>350</v>
      </c>
      <c r="B479" s="312" t="str">
        <f>IFERROR(INDEX(Projetos!$B$3:$B$129,MATCH(A479,Projetos!$A$3:$A$129,0))," ")</f>
        <v>Painel de Estatística   - Justiça 4.0</v>
      </c>
      <c r="C479" s="50"/>
      <c r="D479" s="48">
        <v>0.98899999999999999</v>
      </c>
      <c r="E479" s="48">
        <v>0.93899999999999995</v>
      </c>
      <c r="F479" s="49">
        <v>45623</v>
      </c>
      <c r="G479" s="28">
        <v>45597</v>
      </c>
      <c r="H479" s="28" t="str">
        <f t="shared" si="21"/>
        <v>03545/202145597</v>
      </c>
      <c r="I479" s="38">
        <f>IFERROR(INDEX(Projetos!$M$2:$M$129,MATCH(Atualizações!A479,Projetos!$A$2:$A$129,0))," ")</f>
        <v>46387</v>
      </c>
      <c r="J479" s="61"/>
      <c r="K479" s="344">
        <f>IFERROR(Tb_Atualizações[[#This Row],[% EXECUTADO]]/Tb_Atualizações[[#This Row],[% PREVISTO]],"0%")</f>
        <v>0.94944388270980784</v>
      </c>
      <c r="L479" s="31" t="str" cm="1">
        <f t="array" aca="1" ref="L4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79" s="50"/>
      <c r="N479" s="30"/>
      <c r="O479" s="42">
        <f t="shared" si="22"/>
        <v>2024</v>
      </c>
      <c r="P479" s="42" t="str">
        <f t="shared" si="23"/>
        <v>202403545/2021</v>
      </c>
      <c r="Q479" s="42">
        <v>1</v>
      </c>
    </row>
    <row r="480" spans="1:17" ht="15" hidden="1">
      <c r="A480" s="133" t="s">
        <v>684</v>
      </c>
      <c r="B480" s="312" t="str">
        <f>IFERROR(INDEX(Projetos!$B$3:$B$129,MATCH(A480,Projetos!$A$3:$A$129,0))," ")</f>
        <v>Painel dos Grandes Litigantes</v>
      </c>
      <c r="D480" s="48">
        <v>0.96899999999999997</v>
      </c>
      <c r="E480" s="48">
        <v>0.96699999999999997</v>
      </c>
      <c r="F480" s="49">
        <v>45623</v>
      </c>
      <c r="G480" s="28">
        <v>45597</v>
      </c>
      <c r="H480" s="28" t="str">
        <f t="shared" si="21"/>
        <v>12135/202245597</v>
      </c>
      <c r="I480" s="38" t="str">
        <f>IFERROR(INDEX(Projetos!$M$2:$M$129,MATCH(Atualizações!A480,Projetos!$A$2:$A$129,0))," ")</f>
        <v>30/06/26</v>
      </c>
      <c r="J480" s="61"/>
      <c r="K480" s="344">
        <f>IFERROR(Tb_Atualizações[[#This Row],[% EXECUTADO]]/Tb_Atualizações[[#This Row],[% PREVISTO]],"0%")</f>
        <v>0.99793601651186792</v>
      </c>
      <c r="L480" s="31" t="str" cm="1">
        <f t="array" aca="1" ref="L4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80" s="50"/>
      <c r="N480" s="30"/>
      <c r="O480" s="42">
        <f t="shared" si="22"/>
        <v>2024</v>
      </c>
      <c r="P480" s="42" t="str">
        <f t="shared" si="23"/>
        <v>202412135/2022</v>
      </c>
      <c r="Q480" s="42">
        <v>1</v>
      </c>
    </row>
    <row r="481" spans="1:17" ht="15" hidden="1">
      <c r="A481" s="51" t="s">
        <v>112</v>
      </c>
      <c r="B481" s="312" t="str">
        <f>IFERROR(INDEX(Projetos!$B$3:$B$129,MATCH(A481,Projetos!$A$3:$A$129,0))," ")</f>
        <v>Programa Nacional de Promoção da Equidade Racial no Poder Judiciário - 2024</v>
      </c>
      <c r="D481" s="48">
        <v>0.47</v>
      </c>
      <c r="E481" s="48">
        <v>0.47</v>
      </c>
      <c r="F481" s="49">
        <v>45623</v>
      </c>
      <c r="G481" s="28">
        <v>45597</v>
      </c>
      <c r="H481" s="46" t="str">
        <f t="shared" si="21"/>
        <v>00600/202345597</v>
      </c>
      <c r="I481" s="38">
        <f>IFERROR(INDEX(Projetos!$M$2:$M$129,MATCH(Atualizações!A481,Projetos!$A$2:$A$129,0))," ")</f>
        <v>46022</v>
      </c>
      <c r="J481" s="61" t="s">
        <v>1291</v>
      </c>
      <c r="K481" s="344">
        <f>IFERROR(Tb_Atualizações[[#This Row],[% EXECUTADO]]/Tb_Atualizações[[#This Row],[% PREVISTO]],"0%")</f>
        <v>1</v>
      </c>
      <c r="L481" s="31" t="str" cm="1">
        <f t="array" aca="1" ref="L4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81" s="50"/>
      <c r="N481" s="30"/>
      <c r="O481" s="42">
        <f t="shared" si="22"/>
        <v>2024</v>
      </c>
      <c r="P481" s="42" t="str">
        <f t="shared" si="23"/>
        <v>202400600/2023</v>
      </c>
      <c r="Q481" s="42">
        <v>1</v>
      </c>
    </row>
    <row r="482" spans="1:17" ht="15" hidden="1">
      <c r="A482" s="133" t="s">
        <v>471</v>
      </c>
      <c r="B482" s="312" t="str">
        <f>IFERROR(INDEX(Projetos!$B$3:$B$129,MATCH(A482,Projetos!$A$3:$A$129,0))," ")</f>
        <v>Sinapses 5 - Capacitação Cursos EaD IA</v>
      </c>
      <c r="D482" s="48">
        <v>1</v>
      </c>
      <c r="E482" s="48">
        <v>1</v>
      </c>
      <c r="F482" s="49">
        <v>45623</v>
      </c>
      <c r="G482" s="28">
        <v>45597</v>
      </c>
      <c r="H482" s="28" t="str">
        <f t="shared" si="21"/>
        <v>08543/202145597</v>
      </c>
      <c r="I482" s="38">
        <f>IFERROR(INDEX(Projetos!$M$2:$M$129,MATCH(Atualizações!A482,Projetos!$A$2:$A$129,0))," ")</f>
        <v>45716</v>
      </c>
      <c r="J482" s="61"/>
      <c r="K482" s="344">
        <f>IFERROR(Tb_Atualizações[[#This Row],[% EXECUTADO]]/Tb_Atualizações[[#This Row],[% PREVISTO]],"0%")</f>
        <v>1</v>
      </c>
      <c r="L482" s="31" t="str" cm="1">
        <f t="array" aca="1" ref="L4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82" s="50"/>
      <c r="N482" s="30"/>
      <c r="O482" s="42">
        <f t="shared" si="22"/>
        <v>2024</v>
      </c>
      <c r="P482" s="42" t="str">
        <f t="shared" si="23"/>
        <v>202408543/2021</v>
      </c>
      <c r="Q482" s="42">
        <v>1</v>
      </c>
    </row>
    <row r="483" spans="1:17" ht="30" hidden="1">
      <c r="A483" s="133" t="s">
        <v>257</v>
      </c>
      <c r="B483" s="312" t="str">
        <f>IFERROR(INDEX(Projetos!$B$3:$B$129,MATCH(A483,Projetos!$A$3:$A$129,0))," ")</f>
        <v>SisPreq – Sistema de Precatórios e Requisições de Pequeno Valor</v>
      </c>
      <c r="D483" s="48">
        <v>0.54500000000000004</v>
      </c>
      <c r="E483" s="48">
        <v>0.45200000000000001</v>
      </c>
      <c r="F483" s="49">
        <v>45623</v>
      </c>
      <c r="G483" s="28">
        <v>45597</v>
      </c>
      <c r="H483" s="28" t="str">
        <f t="shared" si="21"/>
        <v>02465/202445597</v>
      </c>
      <c r="I483" s="38" t="str">
        <f>IFERROR(INDEX(Projetos!$M$2:$M$129,MATCH(Atualizações!A483,Projetos!$A$2:$A$129,0))," ")</f>
        <v>15/12/2026</v>
      </c>
      <c r="J483" s="61"/>
      <c r="K483" s="344">
        <f>IFERROR(Tb_Atualizações[[#This Row],[% EXECUTADO]]/Tb_Atualizações[[#This Row],[% PREVISTO]],"0%")</f>
        <v>0.82935779816513755</v>
      </c>
      <c r="L483" s="31" t="str" cm="1">
        <f t="array" aca="1" ref="L4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83" s="50"/>
      <c r="N483" s="30"/>
      <c r="O483" s="42">
        <f t="shared" si="22"/>
        <v>2024</v>
      </c>
      <c r="P483" s="42" t="str">
        <f t="shared" si="23"/>
        <v>202402465/2024</v>
      </c>
      <c r="Q483" s="42">
        <v>1</v>
      </c>
    </row>
    <row r="484" spans="1:17" ht="15" hidden="1">
      <c r="A484" s="133" t="s">
        <v>644</v>
      </c>
      <c r="B484" s="312" t="str">
        <f>IFERROR(INDEX(Projetos!$B$3:$B$129,MATCH(A484,Projetos!$A$3:$A$129,0))," ")</f>
        <v>BNP/Pangea</v>
      </c>
      <c r="D484" s="48">
        <v>0.73399999999999999</v>
      </c>
      <c r="E484" s="48">
        <v>0.67400000000000004</v>
      </c>
      <c r="F484" s="49">
        <v>45624</v>
      </c>
      <c r="G484" s="28">
        <v>45597</v>
      </c>
      <c r="H484" s="28" t="str">
        <f t="shared" si="21"/>
        <v>11645/202245597</v>
      </c>
      <c r="I484" s="38" t="str">
        <f>IFERROR(INDEX(Projetos!$M$2:$M$129,MATCH(Atualizações!A484,Projetos!$A$2:$A$129,0))," ")</f>
        <v>23/12/2026</v>
      </c>
      <c r="J484" s="61"/>
      <c r="K484" s="344">
        <f>IFERROR(Tb_Atualizações[[#This Row],[% EXECUTADO]]/Tb_Atualizações[[#This Row],[% PREVISTO]],"0%")</f>
        <v>0.91825613079019086</v>
      </c>
      <c r="L484" s="31" t="str" cm="1">
        <f t="array" aca="1" ref="L4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484" s="50"/>
      <c r="N484" s="30"/>
      <c r="O484" s="42">
        <f t="shared" si="22"/>
        <v>2024</v>
      </c>
      <c r="P484" s="42" t="str">
        <f t="shared" si="23"/>
        <v>202411645/2022</v>
      </c>
      <c r="Q484" s="42">
        <v>1</v>
      </c>
    </row>
    <row r="485" spans="1:17" ht="60" hidden="1">
      <c r="A485" s="133" t="s">
        <v>97</v>
      </c>
      <c r="B485" s="312" t="str">
        <f>IFERROR(INDEX(Projetos!$B$3:$B$129,MATCH(A485,Projetos!$A$3:$A$129,0))," ")</f>
        <v>Execução Fiscal - Automação e Governança</v>
      </c>
      <c r="D485" s="48">
        <v>1</v>
      </c>
      <c r="E485" s="48">
        <v>1</v>
      </c>
      <c r="F485" s="49">
        <v>45624</v>
      </c>
      <c r="G485" s="28">
        <v>45597</v>
      </c>
      <c r="H485" s="28" t="str">
        <f t="shared" si="21"/>
        <v>00535/201945597</v>
      </c>
      <c r="I485" s="38">
        <f>IFERROR(INDEX(Projetos!$M$2:$M$129,MATCH(Atualizações!A485,Projetos!$A$2:$A$129,0))," ")</f>
        <v>45930</v>
      </c>
      <c r="J485" s="61" t="s">
        <v>1316</v>
      </c>
      <c r="K485" s="344">
        <f>IFERROR(Tb_Atualizações[[#This Row],[% EXECUTADO]]/Tb_Atualizações[[#This Row],[% PREVISTO]],"0%")</f>
        <v>1</v>
      </c>
      <c r="L485" s="31" t="str" cm="1">
        <f t="array" aca="1" ref="L4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85" s="50"/>
      <c r="N485" s="30"/>
      <c r="O485" s="42">
        <f t="shared" si="22"/>
        <v>2024</v>
      </c>
      <c r="P485" s="42" t="str">
        <f t="shared" si="23"/>
        <v>202400535/2019</v>
      </c>
      <c r="Q485" s="42">
        <v>1</v>
      </c>
    </row>
    <row r="486" spans="1:17" ht="120" hidden="1">
      <c r="A486" s="133" t="s">
        <v>358</v>
      </c>
      <c r="B486" s="312" t="str">
        <f>IFERROR(INDEX(Projetos!$B$3:$B$129,MATCH(A486,Projetos!$A$3:$A$129,0))," ")</f>
        <v>Prevjud - Automação de Processos Previdenciários - Justiça 4.0</v>
      </c>
      <c r="D486" s="48">
        <v>0.92700000000000005</v>
      </c>
      <c r="E486" s="48">
        <v>0.92</v>
      </c>
      <c r="F486" s="49">
        <v>45624</v>
      </c>
      <c r="G486" s="28">
        <v>45597</v>
      </c>
      <c r="H486" s="28" t="str">
        <f t="shared" si="21"/>
        <v>03558/202145597</v>
      </c>
      <c r="I486" s="38" t="str">
        <f>IFERROR(INDEX(Projetos!$M$2:$M$129,MATCH(Atualizações!A486,Projetos!$A$2:$A$129,0))," ")</f>
        <v>31/03/2026</v>
      </c>
      <c r="J486" s="61" t="s">
        <v>1317</v>
      </c>
      <c r="K486" s="344">
        <f>IFERROR(Tb_Atualizações[[#This Row],[% EXECUTADO]]/Tb_Atualizações[[#This Row],[% PREVISTO]],"0%")</f>
        <v>0.99244875943905064</v>
      </c>
      <c r="L486" s="31" t="str" cm="1">
        <f t="array" aca="1" ref="L4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86" s="50"/>
      <c r="N486" s="30"/>
      <c r="O486" s="42">
        <f t="shared" si="22"/>
        <v>2024</v>
      </c>
      <c r="P486" s="42" t="str">
        <f t="shared" si="23"/>
        <v>202403558/2021</v>
      </c>
      <c r="Q486" s="42">
        <v>1</v>
      </c>
    </row>
    <row r="487" spans="1:17" ht="30" hidden="1">
      <c r="A487" s="133" t="s">
        <v>638</v>
      </c>
      <c r="B487" s="312" t="str">
        <f>IFERROR(INDEX(Projetos!$B$3:$B$129,MATCH(A487,Projetos!$A$3:$A$129,0))," ")</f>
        <v>Sisperjud</v>
      </c>
      <c r="D487" s="48">
        <v>0.88600000000000001</v>
      </c>
      <c r="E487" s="48">
        <v>0.88900000000000001</v>
      </c>
      <c r="F487" s="49">
        <v>45624</v>
      </c>
      <c r="G487" s="28">
        <v>45597</v>
      </c>
      <c r="H487" s="28" t="str">
        <f t="shared" si="21"/>
        <v>11644/202245597</v>
      </c>
      <c r="I487" s="38">
        <f>IFERROR(INDEX(Projetos!$M$2:$M$129,MATCH(Atualizações!A487,Projetos!$A$2:$A$129,0))," ")</f>
        <v>46352</v>
      </c>
      <c r="J487" s="61" t="s">
        <v>1318</v>
      </c>
      <c r="K487" s="344">
        <f>IFERROR(Tb_Atualizações[[#This Row],[% EXECUTADO]]/Tb_Atualizações[[#This Row],[% PREVISTO]],"0%")</f>
        <v>1.0033860045146727</v>
      </c>
      <c r="L487" s="31" t="str" cm="1">
        <f t="array" aca="1" ref="L4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87" s="50"/>
      <c r="N487" s="30"/>
      <c r="O487" s="42">
        <f t="shared" si="22"/>
        <v>2024</v>
      </c>
      <c r="P487" s="42" t="str">
        <f t="shared" si="23"/>
        <v>202411644/2022</v>
      </c>
      <c r="Q487" s="42">
        <v>1</v>
      </c>
    </row>
    <row r="488" spans="1:17" ht="120" hidden="1">
      <c r="A488" s="133" t="s">
        <v>609</v>
      </c>
      <c r="B488" s="312" t="str">
        <f>IFERROR(INDEX(Projetos!$B$3:$B$129,MATCH(A488,Projetos!$A$3:$A$129,0))," ")</f>
        <v>SPVATJUD</v>
      </c>
      <c r="D488" s="48">
        <v>0.97399999999999998</v>
      </c>
      <c r="E488" s="48">
        <v>0.94799999999999995</v>
      </c>
      <c r="F488" s="49">
        <v>45624</v>
      </c>
      <c r="G488" s="28">
        <v>45597</v>
      </c>
      <c r="H488" s="28" t="str">
        <f t="shared" si="21"/>
        <v>11270/202245597</v>
      </c>
      <c r="I488" s="38">
        <f>IFERROR(INDEX(Projetos!$M$2:$M$129,MATCH(Atualizações!A488,Projetos!$A$2:$A$129,0))," ")</f>
        <v>45716</v>
      </c>
      <c r="J488" s="61" t="s">
        <v>1319</v>
      </c>
      <c r="K488" s="344">
        <f>IFERROR(Tb_Atualizações[[#This Row],[% EXECUTADO]]/Tb_Atualizações[[#This Row],[% PREVISTO]],"0%")</f>
        <v>0.97330595482546201</v>
      </c>
      <c r="L488" s="31" t="str" cm="1">
        <f t="array" aca="1" ref="L4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88" s="50"/>
      <c r="N488" s="30"/>
      <c r="O488" s="42">
        <f t="shared" si="22"/>
        <v>2024</v>
      </c>
      <c r="P488" s="42" t="str">
        <f t="shared" si="23"/>
        <v>202411270/2022</v>
      </c>
      <c r="Q488" s="42">
        <v>1</v>
      </c>
    </row>
    <row r="489" spans="1:17" ht="15" hidden="1">
      <c r="A489" s="133" t="s">
        <v>589</v>
      </c>
      <c r="B489" s="312" t="str">
        <f>IFERROR(INDEX(Projetos!$B$3:$B$129,MATCH(A489,Projetos!$A$3:$A$129,0))," ")</f>
        <v>Pacto Nacional do Judiciário pelos Direitos Humanos - 2ª Fase</v>
      </c>
      <c r="D489" s="48">
        <v>0.31</v>
      </c>
      <c r="E489" s="48">
        <v>0.34</v>
      </c>
      <c r="F489" s="49">
        <v>45625</v>
      </c>
      <c r="G489" s="28">
        <v>45597</v>
      </c>
      <c r="H489" s="124" t="str">
        <f t="shared" si="21"/>
        <v>10926/202445597</v>
      </c>
      <c r="I489" s="38">
        <f>IFERROR(INDEX(Projetos!$M$2:$M$129,MATCH(Atualizações!A489,Projetos!$A$2:$A$129,0))," ")</f>
        <v>46233</v>
      </c>
      <c r="J489" s="61"/>
      <c r="K489" s="344">
        <f>IFERROR(Tb_Atualizações[[#This Row],[% EXECUTADO]]/Tb_Atualizações[[#This Row],[% PREVISTO]],"0%")</f>
        <v>1.0967741935483872</v>
      </c>
      <c r="L489" s="31" t="str" cm="1">
        <f t="array" aca="1" ref="L4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89" s="50"/>
      <c r="N489" s="30"/>
      <c r="O489" s="42">
        <f t="shared" si="22"/>
        <v>2024</v>
      </c>
      <c r="P489" s="42" t="str">
        <f t="shared" si="23"/>
        <v>202410926/2024</v>
      </c>
      <c r="Q489" s="42">
        <v>1</v>
      </c>
    </row>
    <row r="490" spans="1:17" ht="15" hidden="1">
      <c r="A490" s="133" t="s">
        <v>533</v>
      </c>
      <c r="B490" s="312" t="str">
        <f>IFERROR(INDEX(Projetos!$B$3:$B$129,MATCH(A490,Projetos!$A$3:$A$129,0))," ")</f>
        <v>Qualificação de Dados</v>
      </c>
      <c r="D490" s="48">
        <v>0.20899999999999999</v>
      </c>
      <c r="E490" s="48">
        <v>0.20499999999999999</v>
      </c>
      <c r="F490" s="49">
        <v>45625</v>
      </c>
      <c r="G490" s="28">
        <v>45597</v>
      </c>
      <c r="H490" s="124" t="str">
        <f t="shared" si="21"/>
        <v>09613/202445597</v>
      </c>
      <c r="I490" s="473">
        <f>IFERROR(INDEX(Projetos!$M$2:$M$129,MATCH(Atualizações!A490,Projetos!$A$2:$A$129,0))," ")</f>
        <v>46386</v>
      </c>
      <c r="J490" s="61"/>
      <c r="K490" s="344">
        <f>IFERROR(Tb_Atualizações[[#This Row],[% EXECUTADO]]/Tb_Atualizações[[#This Row],[% PREVISTO]],"0%")</f>
        <v>0.98086124401913877</v>
      </c>
      <c r="L490" s="31" t="str" cm="1">
        <f t="array" aca="1" ref="L4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90" s="50"/>
      <c r="N490" s="30"/>
      <c r="O490" s="42">
        <f t="shared" si="22"/>
        <v>2024</v>
      </c>
      <c r="P490" s="42" t="str">
        <f t="shared" si="23"/>
        <v>202409613/2024</v>
      </c>
      <c r="Q490" s="42">
        <v>1</v>
      </c>
    </row>
    <row r="491" spans="1:17" ht="30" hidden="1">
      <c r="A491" s="133" t="s">
        <v>310</v>
      </c>
      <c r="B491" s="312" t="str">
        <f>IFERROR(INDEX(Projetos!$B$3:$B$129,MATCH(A491,Projetos!$A$3:$A$129,0))," ")</f>
        <v>Apoio a implantação de soluções da PDPJ-Br</v>
      </c>
      <c r="D491" s="48">
        <v>0.58099999999999996</v>
      </c>
      <c r="E491" s="48">
        <v>0.48</v>
      </c>
      <c r="F491" s="49">
        <v>45629</v>
      </c>
      <c r="G491" s="28">
        <v>45597</v>
      </c>
      <c r="H491" s="124" t="str">
        <f t="shared" si="21"/>
        <v>02887/202445597</v>
      </c>
      <c r="I491" s="473">
        <f>IFERROR(INDEX(Projetos!$M$2:$M$129,MATCH(Atualizações!A491,Projetos!$A$2:$A$129,0))," ")</f>
        <v>46387</v>
      </c>
      <c r="J491" s="61"/>
      <c r="K491" s="344">
        <f>IFERROR(Tb_Atualizações[[#This Row],[% EXECUTADO]]/Tb_Atualizações[[#This Row],[% PREVISTO]],"0%")</f>
        <v>0.82616179001721168</v>
      </c>
      <c r="L491" s="31" t="str" cm="1">
        <f t="array" aca="1" ref="L4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91" s="50"/>
      <c r="N491" s="30"/>
      <c r="O491" s="42">
        <f t="shared" si="22"/>
        <v>2024</v>
      </c>
      <c r="P491" s="42" t="str">
        <f t="shared" si="23"/>
        <v>202402887/2024</v>
      </c>
      <c r="Q491" s="42">
        <v>1</v>
      </c>
    </row>
    <row r="492" spans="1:17" ht="15" hidden="1">
      <c r="A492" s="385" t="s">
        <v>172</v>
      </c>
      <c r="B492" s="312" t="str">
        <f>IFERROR(INDEX(Projetos!$B$3:$B$129,MATCH(A492,Projetos!$A$3:$A$129,0))," ")</f>
        <v>Monitoramento: soluções da PDPJ-Br</v>
      </c>
      <c r="D492" s="48">
        <v>0.99</v>
      </c>
      <c r="E492" s="48">
        <v>0.95</v>
      </c>
      <c r="F492" s="49">
        <v>45629</v>
      </c>
      <c r="G492" s="28">
        <v>45597</v>
      </c>
      <c r="H492" s="124" t="str">
        <f t="shared" si="21"/>
        <v>01703/202445597</v>
      </c>
      <c r="I492" s="38">
        <f>IFERROR(INDEX(Projetos!$M$2:$M$129,MATCH(Atualizações!A492,Projetos!$A$2:$A$129,0))," ")</f>
        <v>45639</v>
      </c>
      <c r="J492" s="61"/>
      <c r="K492" s="344">
        <f>IFERROR(Tb_Atualizações[[#This Row],[% EXECUTADO]]/Tb_Atualizações[[#This Row],[% PREVISTO]],"0%")</f>
        <v>0.95959595959595956</v>
      </c>
      <c r="L492" s="31" t="str" cm="1">
        <f t="array" aca="1" ref="L4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92" s="50"/>
      <c r="N492" s="30"/>
      <c r="O492" s="42">
        <f t="shared" si="22"/>
        <v>2024</v>
      </c>
      <c r="P492" s="42" t="str">
        <f t="shared" si="23"/>
        <v>202401703/2024</v>
      </c>
      <c r="Q492" s="42">
        <v>1</v>
      </c>
    </row>
    <row r="493" spans="1:17" ht="315" hidden="1">
      <c r="A493" s="400" t="s">
        <v>273</v>
      </c>
      <c r="B493" s="312" t="str">
        <f>IFERROR(INDEX(Projetos!$B$3:$B$129,MATCH(A493,Projetos!$A$3:$A$129,0))," ")</f>
        <v>SNA – Novo Sistema Nacional de Adoção e Acolhimento</v>
      </c>
      <c r="D493" s="48">
        <v>0.505</v>
      </c>
      <c r="E493" s="48">
        <v>0.22800000000000001</v>
      </c>
      <c r="F493" s="49">
        <v>45629</v>
      </c>
      <c r="G493" s="28">
        <v>45597</v>
      </c>
      <c r="H493" s="124" t="str">
        <f t="shared" si="21"/>
        <v>02483/202345597</v>
      </c>
      <c r="I493" s="38">
        <f>IFERROR(INDEX(Projetos!$M$2:$M$129,MATCH(Atualizações!A493,Projetos!$A$2:$A$129,0))," ")</f>
        <v>46022</v>
      </c>
      <c r="J493" s="61" t="s">
        <v>1320</v>
      </c>
      <c r="K493" s="344">
        <f>IFERROR(Tb_Atualizações[[#This Row],[% EXECUTADO]]/Tb_Atualizações[[#This Row],[% PREVISTO]],"0%")</f>
        <v>0.4514851485148515</v>
      </c>
      <c r="L493" s="31" t="str" cm="1">
        <f t="array" aca="1" ref="L4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93" s="50"/>
      <c r="N493" s="30"/>
      <c r="O493" s="42">
        <f t="shared" si="22"/>
        <v>2024</v>
      </c>
      <c r="P493" s="42" t="str">
        <f t="shared" si="23"/>
        <v>202402483/2023</v>
      </c>
      <c r="Q493" s="42">
        <v>1</v>
      </c>
    </row>
    <row r="494" spans="1:17" ht="30" hidden="1">
      <c r="A494" s="385" t="s">
        <v>416</v>
      </c>
      <c r="B494" s="312" t="str">
        <f>IFERROR(INDEX(Projetos!$B$3:$B$129,MATCH(A494,Projetos!$A$3:$A$129,0))," ")</f>
        <v>Conecta</v>
      </c>
      <c r="D494" s="48">
        <v>0.35399999999999998</v>
      </c>
      <c r="E494" s="48">
        <v>0.24099999999999999</v>
      </c>
      <c r="F494" s="49">
        <v>45631</v>
      </c>
      <c r="G494" s="28">
        <v>45597</v>
      </c>
      <c r="H494" s="124" t="str">
        <f t="shared" si="21"/>
        <v>05578/202445597</v>
      </c>
      <c r="I494" s="38" t="str">
        <f>IFERROR(INDEX(Projetos!$M$2:$M$129,MATCH(Atualizações!A494,Projetos!$A$2:$A$129,0))," ")</f>
        <v>31/12/2026</v>
      </c>
      <c r="J494" s="61"/>
      <c r="K494" s="344">
        <f>IFERROR(Tb_Atualizações[[#This Row],[% EXECUTADO]]/Tb_Atualizações[[#This Row],[% PREVISTO]],"0%")</f>
        <v>0.6807909604519774</v>
      </c>
      <c r="L494" s="31" t="str" cm="1">
        <f t="array" aca="1" ref="L4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494" s="50"/>
      <c r="N494" s="30"/>
      <c r="O494" s="42">
        <f t="shared" si="22"/>
        <v>2024</v>
      </c>
      <c r="P494" s="42" t="str">
        <f t="shared" si="23"/>
        <v>202405578/2024</v>
      </c>
      <c r="Q494" s="42">
        <v>1</v>
      </c>
    </row>
    <row r="495" spans="1:17" ht="15" hidden="1">
      <c r="A495" s="235" t="s">
        <v>83</v>
      </c>
      <c r="B495" s="312" t="str">
        <f>IFERROR(INDEX(Projetos!$B$3:$B$129,MATCH(A495,Projetos!$A$3:$A$129,0))," ")</f>
        <v>Painel do Programa Desjudicializa</v>
      </c>
      <c r="D495" s="48">
        <v>0</v>
      </c>
      <c r="E495" s="48">
        <v>0</v>
      </c>
      <c r="F495" s="49">
        <v>45632</v>
      </c>
      <c r="G495" s="28">
        <v>45627</v>
      </c>
      <c r="H495" s="51" t="str">
        <f t="shared" si="21"/>
        <v>00484/202445627</v>
      </c>
      <c r="I495" s="473">
        <f>IFERROR(INDEX(Projetos!$M$2:$M$129,MATCH(Atualizações!A495,Projetos!$A$2:$A$129,0))," ")</f>
        <v>46387</v>
      </c>
      <c r="J495" s="61" t="s">
        <v>1321</v>
      </c>
      <c r="K495" s="344" t="str">
        <f>IFERROR(Tb_Atualizações[[#This Row],[% EXECUTADO]]/Tb_Atualizações[[#This Row],[% PREVISTO]],"0%")</f>
        <v>0%</v>
      </c>
      <c r="L495" s="31" t="str" cm="1">
        <f t="array" aca="1" ref="L4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495" s="50"/>
      <c r="N495" s="30"/>
      <c r="O495" s="42">
        <f t="shared" si="22"/>
        <v>2024</v>
      </c>
      <c r="P495" s="42" t="str">
        <f t="shared" si="23"/>
        <v>202400484/2024</v>
      </c>
      <c r="Q495" s="42">
        <v>1</v>
      </c>
    </row>
    <row r="496" spans="1:17" ht="30" hidden="1">
      <c r="A496" s="44" t="s">
        <v>714</v>
      </c>
      <c r="B496" s="312" t="str">
        <f>IFERROR(INDEX(Projetos!$B$3:$B$129,MATCH(A496,Projetos!$A$3:$A$129,0))," ")</f>
        <v>Programa Novos Caminhos</v>
      </c>
      <c r="D496" s="48">
        <v>0.38</v>
      </c>
      <c r="E496" s="48">
        <v>0.38</v>
      </c>
      <c r="F496" s="49">
        <v>45637</v>
      </c>
      <c r="G496" s="28">
        <v>45627</v>
      </c>
      <c r="H496" s="51" t="str">
        <f t="shared" si="21"/>
        <v>14204/202445627</v>
      </c>
      <c r="I496" s="38">
        <f>IFERROR(INDEX(Projetos!$M$2:$M$129,MATCH(Atualizações!A496,Projetos!$A$2:$A$129,0))," ")</f>
        <v>46293</v>
      </c>
      <c r="J496" s="61" t="s">
        <v>1322</v>
      </c>
      <c r="K496" s="344">
        <f>IFERROR(Tb_Atualizações[[#This Row],[% EXECUTADO]]/Tb_Atualizações[[#This Row],[% PREVISTO]],"0%")</f>
        <v>1</v>
      </c>
      <c r="L496" s="31" t="str" cm="1">
        <f t="array" aca="1" ref="L4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96" s="50"/>
      <c r="N496" s="30"/>
      <c r="O496" s="42">
        <f t="shared" si="22"/>
        <v>2024</v>
      </c>
      <c r="P496" s="42" t="str">
        <f t="shared" si="23"/>
        <v>202414204/2024</v>
      </c>
      <c r="Q496" s="42">
        <v>1</v>
      </c>
    </row>
    <row r="497" spans="1:17" ht="15" hidden="1">
      <c r="A497" s="385" t="s">
        <v>458</v>
      </c>
      <c r="B497" s="312" t="str">
        <f>IFERROR(INDEX(Projetos!$B$3:$B$129,MATCH(A497,Projetos!$A$3:$A$129,0))," ")</f>
        <v>SNGB - Melhorias evolutivas</v>
      </c>
      <c r="D497" s="48">
        <v>0.27700000000000002</v>
      </c>
      <c r="E497" s="48">
        <v>0.26800000000000002</v>
      </c>
      <c r="F497" s="49">
        <v>45638</v>
      </c>
      <c r="G497" s="28">
        <v>45597</v>
      </c>
      <c r="H497" s="51" t="str">
        <f t="shared" si="21"/>
        <v>08370/202445597</v>
      </c>
      <c r="I497" s="473">
        <f>IFERROR(INDEX(Projetos!$M$2:$M$129,MATCH(Atualizações!A497,Projetos!$A$2:$A$129,0))," ")</f>
        <v>46101</v>
      </c>
      <c r="J497" s="61"/>
      <c r="K497" s="344">
        <f>IFERROR(Tb_Atualizações[[#This Row],[% EXECUTADO]]/Tb_Atualizações[[#This Row],[% PREVISTO]],"0%")</f>
        <v>0.96750902527075811</v>
      </c>
      <c r="L497" s="31" t="str" cm="1">
        <f t="array" aca="1" ref="L4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97" s="50"/>
      <c r="N497" s="30"/>
      <c r="O497" s="42">
        <f t="shared" si="22"/>
        <v>2024</v>
      </c>
      <c r="P497" s="42" t="str">
        <f t="shared" si="23"/>
        <v>202408370/2024</v>
      </c>
      <c r="Q497" s="42">
        <v>1</v>
      </c>
    </row>
    <row r="498" spans="1:17" ht="15" hidden="1">
      <c r="A498" s="46" t="s">
        <v>822</v>
      </c>
      <c r="B498" s="312" t="str">
        <f>IFERROR(INDEX(Projetos!$B$3:$B$129,MATCH(A498,Projetos!$A$3:$A$129,0))," ")</f>
        <v>Ação Nacional de Cultura (sistema socioeducativo)</v>
      </c>
      <c r="D498" s="48">
        <v>1</v>
      </c>
      <c r="E498" s="48">
        <v>1</v>
      </c>
      <c r="F498" s="49">
        <v>45642</v>
      </c>
      <c r="G498" s="28">
        <v>45627</v>
      </c>
      <c r="H498" s="51" t="str">
        <f t="shared" si="21"/>
        <v>1746616/202445627</v>
      </c>
      <c r="I498" s="38">
        <f>IFERROR(INDEX(Projetos!$M$2:$M$129,MATCH(Atualizações!A498,Projetos!$A$2:$A$129,0))," ")</f>
        <v>45657</v>
      </c>
      <c r="J498" s="61"/>
      <c r="K498" s="344">
        <f>IFERROR(Tb_Atualizações[[#This Row],[% EXECUTADO]]/Tb_Atualizações[[#This Row],[% PREVISTO]],"0%")</f>
        <v>1</v>
      </c>
      <c r="L498" s="31" t="str" cm="1">
        <f t="array" aca="1" ref="L4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498" s="50"/>
      <c r="N498" s="30"/>
      <c r="O498" s="42">
        <f t="shared" si="22"/>
        <v>2024</v>
      </c>
      <c r="P498" s="42" t="str">
        <f t="shared" si="23"/>
        <v>20241746616/2024</v>
      </c>
      <c r="Q498" s="42">
        <v>1</v>
      </c>
    </row>
    <row r="499" spans="1:17" ht="15" hidden="1">
      <c r="A499" s="46" t="s">
        <v>893</v>
      </c>
      <c r="B499" s="312" t="str">
        <f>IFERROR(INDEX(Projetos!$B$3:$B$129,MATCH(A499,Projetos!$A$3:$A$129,0))," ")</f>
        <v>Ação Nacional de Trabalho e Renda (sistema penal)</v>
      </c>
      <c r="D499" s="48">
        <v>0.5</v>
      </c>
      <c r="E499" s="48">
        <v>0.5</v>
      </c>
      <c r="F499" s="49">
        <v>45642</v>
      </c>
      <c r="G499" s="28">
        <v>45627</v>
      </c>
      <c r="H499" s="51" t="str">
        <f t="shared" si="21"/>
        <v>174664/202445627</v>
      </c>
      <c r="I499" s="38">
        <f>IFERROR(INDEX(Projetos!$M$2:$M$129,MATCH(Atualizações!A499,Projetos!$A$2:$A$129,0))," ")</f>
        <v>45900</v>
      </c>
      <c r="J499" s="61"/>
      <c r="K499" s="344">
        <f>IFERROR(Tb_Atualizações[[#This Row],[% EXECUTADO]]/Tb_Atualizações[[#This Row],[% PREVISTO]],"0%")</f>
        <v>1</v>
      </c>
      <c r="L499" s="31" t="str" cm="1">
        <f t="array" aca="1" ref="L4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499" s="50"/>
      <c r="N499" s="30"/>
      <c r="O499" s="42">
        <f t="shared" si="22"/>
        <v>2024</v>
      </c>
      <c r="P499" s="42" t="str">
        <f t="shared" si="23"/>
        <v>2024174664/2024</v>
      </c>
      <c r="Q499" s="42">
        <v>1</v>
      </c>
    </row>
    <row r="500" spans="1:17" ht="15" hidden="1">
      <c r="A500" s="46" t="s">
        <v>878</v>
      </c>
      <c r="B500" s="312" t="str">
        <f>IFERROR(INDEX(Projetos!$B$3:$B$129,MATCH(A500,Projetos!$A$3:$A$129,0))," ")</f>
        <v>Adequação à Lei Geral de Proteção de Dados Pessoais</v>
      </c>
      <c r="D500" s="48">
        <v>0.5</v>
      </c>
      <c r="E500" s="48">
        <v>0.5</v>
      </c>
      <c r="F500" s="49">
        <v>45642</v>
      </c>
      <c r="G500" s="28">
        <v>45627</v>
      </c>
      <c r="H500" s="51" t="str">
        <f t="shared" si="21"/>
        <v>1746628/202445627</v>
      </c>
      <c r="I500" s="38">
        <f>IFERROR(INDEX(Projetos!$M$2:$M$129,MATCH(Atualizações!A500,Projetos!$A$2:$A$129,0))," ")</f>
        <v>46022</v>
      </c>
      <c r="J500" s="61"/>
      <c r="K500" s="344">
        <f>IFERROR(Tb_Atualizações[[#This Row],[% EXECUTADO]]/Tb_Atualizações[[#This Row],[% PREVISTO]],"0%")</f>
        <v>1</v>
      </c>
      <c r="L500" s="31" t="str" cm="1">
        <f t="array" aca="1" ref="L5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00" s="50"/>
      <c r="N500" s="30"/>
      <c r="O500" s="42">
        <f t="shared" si="22"/>
        <v>2024</v>
      </c>
      <c r="P500" s="42" t="str">
        <f t="shared" si="23"/>
        <v>20241746628/2024</v>
      </c>
      <c r="Q500" s="42">
        <v>1</v>
      </c>
    </row>
    <row r="501" spans="1:17" ht="15" hidden="1">
      <c r="A501" s="46" t="s">
        <v>792</v>
      </c>
      <c r="B501" s="312" t="str">
        <f>IFERROR(INDEX(Projetos!$B$3:$B$129,MATCH(A501,Projetos!$A$3:$A$129,0))," ")</f>
        <v>Alternativas Penais (sistema penal)</v>
      </c>
      <c r="D501" s="48">
        <v>1</v>
      </c>
      <c r="E501" s="48">
        <v>1</v>
      </c>
      <c r="F501" s="49">
        <v>45642</v>
      </c>
      <c r="G501" s="28">
        <v>45627</v>
      </c>
      <c r="H501" s="51" t="str">
        <f t="shared" si="21"/>
        <v>174661/202445627</v>
      </c>
      <c r="I501" s="38">
        <f>IFERROR(INDEX(Projetos!$M$2:$M$129,MATCH(Atualizações!A501,Projetos!$A$2:$A$129,0))," ")</f>
        <v>45657</v>
      </c>
      <c r="J501" s="61"/>
      <c r="K501" s="344">
        <f>IFERROR(Tb_Atualizações[[#This Row],[% EXECUTADO]]/Tb_Atualizações[[#This Row],[% PREVISTO]],"0%")</f>
        <v>1</v>
      </c>
      <c r="L501" s="31" t="str" cm="1">
        <f t="array" aca="1" ref="L5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1" s="50"/>
      <c r="N501" s="30"/>
      <c r="O501" s="42">
        <f t="shared" si="22"/>
        <v>2024</v>
      </c>
      <c r="P501" s="42" t="str">
        <f t="shared" si="23"/>
        <v>2024174661/2024</v>
      </c>
      <c r="Q501" s="42">
        <v>1</v>
      </c>
    </row>
    <row r="502" spans="1:17" ht="15" hidden="1">
      <c r="A502" s="46" t="s">
        <v>826</v>
      </c>
      <c r="B502" s="312" t="str">
        <f>IFERROR(INDEX(Projetos!$B$3:$B$129,MATCH(A502,Projetos!$A$3:$A$129,0))," ")</f>
        <v>Aprendizagem (sistema socioeducativo)</v>
      </c>
      <c r="D502" s="48">
        <v>1</v>
      </c>
      <c r="E502" s="48">
        <v>1</v>
      </c>
      <c r="F502" s="49">
        <v>45642</v>
      </c>
      <c r="G502" s="28">
        <v>45627</v>
      </c>
      <c r="H502" s="51" t="str">
        <f t="shared" si="21"/>
        <v>1746617/202445627</v>
      </c>
      <c r="I502" s="38">
        <f>IFERROR(INDEX(Projetos!$M$2:$M$129,MATCH(Atualizações!A502,Projetos!$A$2:$A$129,0))," ")</f>
        <v>45657</v>
      </c>
      <c r="J502" s="61"/>
      <c r="K502" s="344">
        <f>IFERROR(Tb_Atualizações[[#This Row],[% EXECUTADO]]/Tb_Atualizações[[#This Row],[% PREVISTO]],"0%")</f>
        <v>1</v>
      </c>
      <c r="L502" s="31" t="str" cm="1">
        <f t="array" aca="1" ref="L5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2" s="50"/>
      <c r="N502" s="30"/>
      <c r="O502" s="42">
        <f t="shared" si="22"/>
        <v>2024</v>
      </c>
      <c r="P502" s="42" t="str">
        <f t="shared" si="23"/>
        <v>20241746617/2024</v>
      </c>
      <c r="Q502" s="42">
        <v>1</v>
      </c>
    </row>
    <row r="503" spans="1:17" ht="15" hidden="1">
      <c r="A503" s="46" t="s">
        <v>865</v>
      </c>
      <c r="B503" s="312" t="str">
        <f>IFERROR(INDEX(Projetos!$B$3:$B$129,MATCH(A503,Projetos!$A$3:$A$129,0))," ")</f>
        <v>Articulação Internacional e Proteção dos Direitos Humanos</v>
      </c>
      <c r="D503" s="48">
        <v>0.75</v>
      </c>
      <c r="E503" s="48">
        <v>0.75</v>
      </c>
      <c r="F503" s="49">
        <v>45642</v>
      </c>
      <c r="G503" s="28">
        <v>45627</v>
      </c>
      <c r="H503" s="51" t="str">
        <f t="shared" si="21"/>
        <v>1746625/202445627</v>
      </c>
      <c r="I503" s="38">
        <f>IFERROR(INDEX(Projetos!$M$2:$M$129,MATCH(Atualizações!A503,Projetos!$A$2:$A$129,0))," ")</f>
        <v>46233</v>
      </c>
      <c r="J503" s="61"/>
      <c r="K503" s="344">
        <f>IFERROR(Tb_Atualizações[[#This Row],[% EXECUTADO]]/Tb_Atualizações[[#This Row],[% PREVISTO]],"0%")</f>
        <v>1</v>
      </c>
      <c r="L503" s="31" t="str" cm="1">
        <f t="array" aca="1" ref="L5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03" s="50"/>
      <c r="N503" s="30"/>
      <c r="O503" s="42">
        <f t="shared" si="22"/>
        <v>2024</v>
      </c>
      <c r="P503" s="42" t="str">
        <f t="shared" si="23"/>
        <v>20241746625/2024</v>
      </c>
      <c r="Q503" s="42">
        <v>1</v>
      </c>
    </row>
    <row r="504" spans="1:17" ht="15" hidden="1">
      <c r="A504" s="46" t="s">
        <v>905</v>
      </c>
      <c r="B504" s="312" t="str">
        <f>IFERROR(INDEX(Projetos!$B$3:$B$129,MATCH(A504,Projetos!$A$3:$A$129,0))," ")</f>
        <v>Atenção às Pessoas Egressas e Escritório Social (sistema penal)</v>
      </c>
      <c r="D504" s="48">
        <v>1</v>
      </c>
      <c r="E504" s="48">
        <v>1</v>
      </c>
      <c r="F504" s="49">
        <v>45642</v>
      </c>
      <c r="G504" s="28">
        <v>45627</v>
      </c>
      <c r="H504" s="51" t="str">
        <f t="shared" si="21"/>
        <v>174667/202445627</v>
      </c>
      <c r="I504" s="38">
        <f>IFERROR(INDEX(Projetos!$M$2:$M$129,MATCH(Atualizações!A504,Projetos!$A$2:$A$129,0))," ")</f>
        <v>45657</v>
      </c>
      <c r="J504" s="61"/>
      <c r="K504" s="344">
        <f>IFERROR(Tb_Atualizações[[#This Row],[% EXECUTADO]]/Tb_Atualizações[[#This Row],[% PREVISTO]],"0%")</f>
        <v>1</v>
      </c>
      <c r="L504" s="31" t="str" cm="1">
        <f t="array" aca="1" ref="L5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4" s="50"/>
      <c r="N504" s="30"/>
      <c r="O504" s="42">
        <f t="shared" si="22"/>
        <v>2024</v>
      </c>
      <c r="P504" s="42" t="str">
        <f t="shared" si="23"/>
        <v>2024174667/2024</v>
      </c>
      <c r="Q504" s="42">
        <v>1</v>
      </c>
    </row>
    <row r="505" spans="1:17" ht="30" hidden="1">
      <c r="A505" s="46" t="s">
        <v>805</v>
      </c>
      <c r="B505" s="312" t="str">
        <f>IFERROR(INDEX(Projetos!$B$3:$B$129,MATCH(A505,Projetos!$A$3:$A$129,0))," ")</f>
        <v>Atendimento Inicial e Núcleo de Atendimento Integrado (sistema socioeducativo)</v>
      </c>
      <c r="D505" s="48">
        <v>1</v>
      </c>
      <c r="E505" s="48">
        <v>1</v>
      </c>
      <c r="F505" s="49">
        <v>45642</v>
      </c>
      <c r="G505" s="28">
        <v>45627</v>
      </c>
      <c r="H505" s="51" t="str">
        <f t="shared" si="21"/>
        <v>1746612/202445627</v>
      </c>
      <c r="I505" s="38">
        <f>IFERROR(INDEX(Projetos!$M$2:$M$129,MATCH(Atualizações!A505,Projetos!$A$2:$A$129,0))," ")</f>
        <v>45657</v>
      </c>
      <c r="J505" s="61"/>
      <c r="K505" s="344">
        <f>IFERROR(Tb_Atualizações[[#This Row],[% EXECUTADO]]/Tb_Atualizações[[#This Row],[% PREVISTO]],"0%")</f>
        <v>1</v>
      </c>
      <c r="L505" s="31" t="str" cm="1">
        <f t="array" aca="1" ref="L5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5" s="50"/>
      <c r="N505" s="30"/>
      <c r="O505" s="42">
        <f t="shared" si="22"/>
        <v>2024</v>
      </c>
      <c r="P505" s="42" t="str">
        <f t="shared" si="23"/>
        <v>20241746612/2024</v>
      </c>
      <c r="Q505" s="42">
        <v>1</v>
      </c>
    </row>
    <row r="506" spans="1:17" ht="15" hidden="1">
      <c r="A506" s="46" t="s">
        <v>814</v>
      </c>
      <c r="B506" s="312" t="str">
        <f>IFERROR(INDEX(Projetos!$B$3:$B$129,MATCH(A506,Projetos!$A$3:$A$129,0))," ")</f>
        <v>Audiência Concentrada (sistema socioeducativo)</v>
      </c>
      <c r="D506" s="48">
        <v>1</v>
      </c>
      <c r="E506" s="48">
        <v>1</v>
      </c>
      <c r="F506" s="49">
        <v>45642</v>
      </c>
      <c r="G506" s="28">
        <v>45627</v>
      </c>
      <c r="H506" s="51" t="str">
        <f t="shared" si="21"/>
        <v>1746614/202445627</v>
      </c>
      <c r="I506" s="38">
        <f>IFERROR(INDEX(Projetos!$M$2:$M$129,MATCH(Atualizações!A506,Projetos!$A$2:$A$129,0))," ")</f>
        <v>45657</v>
      </c>
      <c r="J506" s="61"/>
      <c r="K506" s="344">
        <f>IFERROR(Tb_Atualizações[[#This Row],[% EXECUTADO]]/Tb_Atualizações[[#This Row],[% PREVISTO]],"0%")</f>
        <v>1</v>
      </c>
      <c r="L506" s="31" t="str" cm="1">
        <f t="array" aca="1" ref="L5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6" s="50"/>
      <c r="N506" s="30"/>
      <c r="O506" s="42">
        <f t="shared" si="22"/>
        <v>2024</v>
      </c>
      <c r="P506" s="42" t="str">
        <f t="shared" si="23"/>
        <v>20241746614/2024</v>
      </c>
      <c r="Q506" s="42">
        <v>1</v>
      </c>
    </row>
    <row r="507" spans="1:17" ht="15" hidden="1">
      <c r="A507" s="46" t="s">
        <v>781</v>
      </c>
      <c r="B507" s="312" t="str">
        <f>IFERROR(INDEX(Projetos!$B$3:$B$129,MATCH(A507,Projetos!$A$3:$A$129,0))," ")</f>
        <v>Audiência de Custódia (sistema penal)</v>
      </c>
      <c r="D507" s="48">
        <v>1</v>
      </c>
      <c r="E507" s="48">
        <v>1</v>
      </c>
      <c r="F507" s="49">
        <v>45642</v>
      </c>
      <c r="G507" s="28">
        <v>45627</v>
      </c>
      <c r="H507" s="51" t="str">
        <f t="shared" si="21"/>
        <v>17466/202445627</v>
      </c>
      <c r="I507" s="38">
        <f>IFERROR(INDEX(Projetos!$M$2:$M$129,MATCH(Atualizações!A507,Projetos!$A$2:$A$129,0))," ")</f>
        <v>45657</v>
      </c>
      <c r="J507" s="61"/>
      <c r="K507" s="344">
        <f>IFERROR(Tb_Atualizações[[#This Row],[% EXECUTADO]]/Tb_Atualizações[[#This Row],[% PREVISTO]],"0%")</f>
        <v>1</v>
      </c>
      <c r="L507" s="31" t="str" cm="1">
        <f t="array" aca="1" ref="L5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7" s="50"/>
      <c r="N507" s="30"/>
      <c r="O507" s="42">
        <f t="shared" si="22"/>
        <v>2024</v>
      </c>
      <c r="P507" s="42" t="str">
        <f t="shared" si="23"/>
        <v>202417466/2024</v>
      </c>
      <c r="Q507" s="42">
        <v>1</v>
      </c>
    </row>
    <row r="508" spans="1:17" ht="105" hidden="1" customHeight="1">
      <c r="A508" s="46" t="s">
        <v>888</v>
      </c>
      <c r="B508" s="312" t="str">
        <f>IFERROR(INDEX(Projetos!$B$3:$B$129,MATCH(A508,Projetos!$A$3:$A$129,0))," ")</f>
        <v>Central de Regulação de Vagas (sistema penal)</v>
      </c>
      <c r="D508" s="48">
        <v>0.75</v>
      </c>
      <c r="E508" s="48">
        <v>0.75</v>
      </c>
      <c r="F508" s="49">
        <v>45642</v>
      </c>
      <c r="G508" s="28">
        <v>45627</v>
      </c>
      <c r="H508" s="51" t="str">
        <f t="shared" si="21"/>
        <v>174663/202445627</v>
      </c>
      <c r="I508" s="38">
        <f>IFERROR(INDEX(Projetos!$M$2:$M$129,MATCH(Atualizações!A508,Projetos!$A$2:$A$129,0))," ")</f>
        <v>45962</v>
      </c>
      <c r="J508" s="61"/>
      <c r="K508" s="344">
        <f>IFERROR(Tb_Atualizações[[#This Row],[% EXECUTADO]]/Tb_Atualizações[[#This Row],[% PREVISTO]],"0%")</f>
        <v>1</v>
      </c>
      <c r="L508" s="31" t="str" cm="1">
        <f t="array" aca="1" ref="L5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08" s="50"/>
      <c r="N508" s="30"/>
      <c r="O508" s="42">
        <f t="shared" si="22"/>
        <v>2024</v>
      </c>
      <c r="P508" s="42" t="str">
        <f t="shared" si="23"/>
        <v>2024174663/2024</v>
      </c>
      <c r="Q508" s="42">
        <v>1</v>
      </c>
    </row>
    <row r="509" spans="1:17" ht="15" hidden="1">
      <c r="A509" s="46" t="s">
        <v>810</v>
      </c>
      <c r="B509" s="312" t="str">
        <f>IFERROR(INDEX(Projetos!$B$3:$B$129,MATCH(A509,Projetos!$A$3:$A$129,0))," ")</f>
        <v>Central de Vagas (sistema socioeducativo)</v>
      </c>
      <c r="D509" s="48">
        <v>1</v>
      </c>
      <c r="E509" s="48">
        <v>1</v>
      </c>
      <c r="F509" s="49">
        <v>45642</v>
      </c>
      <c r="G509" s="28">
        <v>45627</v>
      </c>
      <c r="H509" s="51" t="str">
        <f t="shared" si="21"/>
        <v>1746613/202445627</v>
      </c>
      <c r="I509" s="38">
        <f>IFERROR(INDEX(Projetos!$M$2:$M$129,MATCH(Atualizações!A509,Projetos!$A$2:$A$129,0))," ")</f>
        <v>45657</v>
      </c>
      <c r="J509" s="61"/>
      <c r="K509" s="344">
        <f>IFERROR(Tb_Atualizações[[#This Row],[% EXECUTADO]]/Tb_Atualizações[[#This Row],[% PREVISTO]],"0%")</f>
        <v>1</v>
      </c>
      <c r="L509" s="31" t="str" cm="1">
        <f t="array" aca="1" ref="L5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09" s="50"/>
      <c r="N509" s="30"/>
      <c r="O509" s="42">
        <f t="shared" si="22"/>
        <v>2024</v>
      </c>
      <c r="P509" s="42" t="str">
        <f t="shared" si="23"/>
        <v>20241746613/2024</v>
      </c>
      <c r="Q509" s="42">
        <v>1</v>
      </c>
    </row>
    <row r="510" spans="1:17" ht="15" hidden="1">
      <c r="A510" s="46" t="s">
        <v>913</v>
      </c>
      <c r="B510" s="312" t="str">
        <f>IFERROR(INDEX(Projetos!$B$3:$B$129,MATCH(A510,Projetos!$A$3:$A$129,0))," ")</f>
        <v>Comitê de Políticas Penais (sistema penal)</v>
      </c>
      <c r="D510" s="48">
        <v>1</v>
      </c>
      <c r="E510" s="48">
        <v>1</v>
      </c>
      <c r="F510" s="49">
        <v>45642</v>
      </c>
      <c r="G510" s="28">
        <v>45627</v>
      </c>
      <c r="H510" s="51" t="str">
        <f t="shared" si="21"/>
        <v>174669/202445627</v>
      </c>
      <c r="I510" s="38">
        <f>IFERROR(INDEX(Projetos!$M$2:$M$129,MATCH(Atualizações!A510,Projetos!$A$2:$A$129,0))," ")</f>
        <v>45657</v>
      </c>
      <c r="J510" s="61"/>
      <c r="K510" s="344">
        <f>IFERROR(Tb_Atualizações[[#This Row],[% EXECUTADO]]/Tb_Atualizações[[#This Row],[% PREVISTO]],"0%")</f>
        <v>1</v>
      </c>
      <c r="L510" s="31" t="str" cm="1">
        <f t="array" aca="1" ref="L5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0" s="50"/>
      <c r="N510" s="30"/>
      <c r="O510" s="42">
        <f t="shared" si="22"/>
        <v>2024</v>
      </c>
      <c r="P510" s="42" t="str">
        <f t="shared" si="23"/>
        <v>2024174669/2024</v>
      </c>
      <c r="Q510" s="42">
        <v>1</v>
      </c>
    </row>
    <row r="511" spans="1:17" ht="15" hidden="1">
      <c r="A511" s="46" t="s">
        <v>861</v>
      </c>
      <c r="B511" s="312" t="str">
        <f>IFERROR(INDEX(Projetos!$B$3:$B$129,MATCH(A511,Projetos!$A$3:$A$129,0))," ")</f>
        <v>Documentação Civil</v>
      </c>
      <c r="D511" s="48">
        <v>1</v>
      </c>
      <c r="E511" s="48">
        <v>1</v>
      </c>
      <c r="F511" s="49">
        <v>45642</v>
      </c>
      <c r="G511" s="28">
        <v>45627</v>
      </c>
      <c r="H511" s="51" t="str">
        <f t="shared" si="21"/>
        <v>1746624/202445627</v>
      </c>
      <c r="I511" s="38">
        <f>IFERROR(INDEX(Projetos!$M$2:$M$129,MATCH(Atualizações!A511,Projetos!$A$2:$A$129,0))," ")</f>
        <v>45657</v>
      </c>
      <c r="J511" s="61"/>
      <c r="K511" s="344">
        <f>IFERROR(Tb_Atualizações[[#This Row],[% EXECUTADO]]/Tb_Atualizações[[#This Row],[% PREVISTO]],"0%")</f>
        <v>1</v>
      </c>
      <c r="L511" s="31" t="str" cm="1">
        <f t="array" aca="1" ref="L5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1" s="50"/>
      <c r="N511" s="30"/>
      <c r="O511" s="42">
        <f t="shared" si="22"/>
        <v>2024</v>
      </c>
      <c r="P511" s="42" t="str">
        <f t="shared" si="23"/>
        <v>20241746624/2024</v>
      </c>
      <c r="Q511" s="42">
        <v>1</v>
      </c>
    </row>
    <row r="512" spans="1:17" ht="15" hidden="1">
      <c r="A512" s="46" t="s">
        <v>844</v>
      </c>
      <c r="B512" s="312" t="str">
        <f>IFERROR(INDEX(Projetos!$B$3:$B$129,MATCH(A512,Projetos!$A$3:$A$129,0))," ")</f>
        <v>Enfrentamento da Tortura</v>
      </c>
      <c r="D512" s="48">
        <v>0.75</v>
      </c>
      <c r="E512" s="48">
        <v>0.75</v>
      </c>
      <c r="F512" s="49">
        <v>45642</v>
      </c>
      <c r="G512" s="28">
        <v>45627</v>
      </c>
      <c r="H512" s="51" t="str">
        <f t="shared" si="21"/>
        <v>1746620/202445627</v>
      </c>
      <c r="I512" s="38">
        <f>IFERROR(INDEX(Projetos!$M$2:$M$129,MATCH(Atualizações!A512,Projetos!$A$2:$A$129,0))," ")</f>
        <v>46387</v>
      </c>
      <c r="J512" s="61"/>
      <c r="K512" s="344">
        <f>IFERROR(Tb_Atualizações[[#This Row],[% EXECUTADO]]/Tb_Atualizações[[#This Row],[% PREVISTO]],"0%")</f>
        <v>1</v>
      </c>
      <c r="L512" s="31" t="str" cm="1">
        <f t="array" aca="1" ref="L5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12" s="50"/>
      <c r="N512" s="30"/>
      <c r="O512" s="42">
        <f t="shared" si="22"/>
        <v>2024</v>
      </c>
      <c r="P512" s="42" t="str">
        <f t="shared" si="23"/>
        <v>20241746620/2024</v>
      </c>
      <c r="Q512" s="42">
        <v>1</v>
      </c>
    </row>
    <row r="513" spans="1:17" ht="15" hidden="1">
      <c r="A513" s="46" t="s">
        <v>874</v>
      </c>
      <c r="B513" s="312" t="str">
        <f>IFERROR(INDEX(Projetos!$B$3:$B$129,MATCH(A513,Projetos!$A$3:$A$129,0))," ")</f>
        <v>Formação e Cultura Institucional</v>
      </c>
      <c r="D513" s="48">
        <v>1</v>
      </c>
      <c r="E513" s="48">
        <v>1</v>
      </c>
      <c r="F513" s="49">
        <v>45642</v>
      </c>
      <c r="G513" s="28">
        <v>45627</v>
      </c>
      <c r="H513" s="51" t="str">
        <f t="shared" si="21"/>
        <v>1746627/202445627</v>
      </c>
      <c r="I513" s="38">
        <f>IFERROR(INDEX(Projetos!$M$2:$M$129,MATCH(Atualizações!A513,Projetos!$A$2:$A$129,0))," ")</f>
        <v>45657</v>
      </c>
      <c r="J513" s="61"/>
      <c r="K513" s="344">
        <f>IFERROR(Tb_Atualizações[[#This Row],[% EXECUTADO]]/Tb_Atualizações[[#This Row],[% PREVISTO]],"0%")</f>
        <v>1</v>
      </c>
      <c r="L513" s="31" t="str" cm="1">
        <f t="array" aca="1" ref="L5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3" s="50"/>
      <c r="N513" s="30"/>
      <c r="O513" s="42">
        <f t="shared" si="22"/>
        <v>2024</v>
      </c>
      <c r="P513" s="42" t="str">
        <f t="shared" si="23"/>
        <v>20241746627/2024</v>
      </c>
      <c r="Q513" s="42">
        <v>1</v>
      </c>
    </row>
    <row r="514" spans="1:17" ht="15" hidden="1">
      <c r="A514" s="46" t="s">
        <v>909</v>
      </c>
      <c r="B514" s="312" t="str">
        <f>IFERROR(INDEX(Projetos!$B$3:$B$129,MATCH(A514,Projetos!$A$3:$A$129,0))," ")</f>
        <v>Fortalecimento da Participação Social (sistema penal)</v>
      </c>
      <c r="D514" s="48">
        <v>1</v>
      </c>
      <c r="E514" s="48">
        <v>1</v>
      </c>
      <c r="F514" s="49">
        <v>45642</v>
      </c>
      <c r="G514" s="28">
        <v>45627</v>
      </c>
      <c r="H514" s="51" t="str">
        <f t="shared" ref="H514:H530" si="24">A514&amp;G514</f>
        <v>174668/202445627</v>
      </c>
      <c r="I514" s="38">
        <f>IFERROR(INDEX(Projetos!$M$2:$M$129,MATCH(Atualizações!A514,Projetos!$A$2:$A$129,0))," ")</f>
        <v>45657</v>
      </c>
      <c r="J514" s="61"/>
      <c r="K514" s="344">
        <f>IFERROR(Tb_Atualizações[[#This Row],[% EXECUTADO]]/Tb_Atualizações[[#This Row],[% PREVISTO]],"0%")</f>
        <v>1</v>
      </c>
      <c r="L514" s="31" t="str" cm="1">
        <f t="array" aca="1" ref="L5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4" s="50"/>
      <c r="N514" s="30"/>
      <c r="O514" s="42">
        <f t="shared" ref="O514:O530" si="25">YEAR(F514)</f>
        <v>2024</v>
      </c>
      <c r="P514" s="42" t="str">
        <f t="shared" ref="P514:P530" si="26">O514&amp;A514</f>
        <v>2024174668/2024</v>
      </c>
      <c r="Q514" s="42">
        <v>1</v>
      </c>
    </row>
    <row r="515" spans="1:17" ht="15" hidden="1">
      <c r="A515" s="46" t="s">
        <v>870</v>
      </c>
      <c r="B515" s="312" t="str">
        <f>IFERROR(INDEX(Projetos!$B$3:$B$129,MATCH(A515,Projetos!$A$3:$A$129,0))," ")</f>
        <v>Grupo de Monitoramento e Fiscalização - GMF</v>
      </c>
      <c r="D515" s="48">
        <v>1</v>
      </c>
      <c r="E515" s="48">
        <v>1</v>
      </c>
      <c r="F515" s="49">
        <v>45642</v>
      </c>
      <c r="G515" s="28">
        <v>45627</v>
      </c>
      <c r="H515" s="51" t="str">
        <f t="shared" si="24"/>
        <v>1746626/202445627</v>
      </c>
      <c r="I515" s="38">
        <f>IFERROR(INDEX(Projetos!$M$2:$M$129,MATCH(Atualizações!A515,Projetos!$A$2:$A$129,0))," ")</f>
        <v>45657</v>
      </c>
      <c r="J515" s="61"/>
      <c r="K515" s="344">
        <f>IFERROR(Tb_Atualizações[[#This Row],[% EXECUTADO]]/Tb_Atualizações[[#This Row],[% PREVISTO]],"0%")</f>
        <v>1</v>
      </c>
      <c r="L515" s="31" t="str" cm="1">
        <f t="array" aca="1" ref="L5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5" s="50"/>
      <c r="N515" s="30"/>
      <c r="O515" s="42">
        <f t="shared" si="25"/>
        <v>2024</v>
      </c>
      <c r="P515" s="42" t="str">
        <f t="shared" si="26"/>
        <v>20241746626/2024</v>
      </c>
      <c r="Q515" s="42">
        <v>1</v>
      </c>
    </row>
    <row r="516" spans="1:17" ht="15" hidden="1">
      <c r="A516" s="46" t="s">
        <v>834</v>
      </c>
      <c r="B516" s="312" t="str">
        <f>IFERROR(INDEX(Projetos!$B$3:$B$129,MATCH(A516,Projetos!$A$3:$A$129,0))," ")</f>
        <v>Inspeção Judicial</v>
      </c>
      <c r="D516" s="48">
        <v>0.75</v>
      </c>
      <c r="E516" s="48">
        <v>0.75</v>
      </c>
      <c r="F516" s="49">
        <v>45642</v>
      </c>
      <c r="G516" s="28">
        <v>45627</v>
      </c>
      <c r="H516" s="51" t="str">
        <f t="shared" si="24"/>
        <v>1746619/202445627</v>
      </c>
      <c r="I516" s="38">
        <f>IFERROR(INDEX(Projetos!$M$2:$M$129,MATCH(Atualizações!A516,Projetos!$A$2:$A$129,0))," ")</f>
        <v>46011</v>
      </c>
      <c r="J516" s="61"/>
      <c r="K516" s="344">
        <f>IFERROR(Tb_Atualizações[[#This Row],[% EXECUTADO]]/Tb_Atualizações[[#This Row],[% PREVISTO]],"0%")</f>
        <v>1</v>
      </c>
      <c r="L516" s="31" t="str" cm="1">
        <f t="array" aca="1" ref="L5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16" s="50"/>
      <c r="N516" s="30"/>
      <c r="O516" s="42">
        <f t="shared" si="25"/>
        <v>2024</v>
      </c>
      <c r="P516" s="42" t="str">
        <f t="shared" si="26"/>
        <v>20241746619/2024</v>
      </c>
      <c r="Q516" s="42">
        <v>1</v>
      </c>
    </row>
    <row r="517" spans="1:17" ht="15" hidden="1">
      <c r="A517" s="51" t="s">
        <v>839</v>
      </c>
      <c r="B517" s="312" t="str">
        <f>IFERROR(INDEX(Projetos!$B$3:$B$129,MATCH(A517,Projetos!$A$3:$A$129,0))," ")</f>
        <v>Monitoração Eletrônica (sistema penal)</v>
      </c>
      <c r="D517" s="48">
        <v>1</v>
      </c>
      <c r="E517" s="48">
        <v>1</v>
      </c>
      <c r="F517" s="49">
        <v>45642</v>
      </c>
      <c r="G517" s="28">
        <v>45627</v>
      </c>
      <c r="H517" s="51" t="str">
        <f t="shared" si="24"/>
        <v>174662/202445627</v>
      </c>
      <c r="I517" s="38">
        <f>IFERROR(INDEX(Projetos!$M$2:$M$129,MATCH(Atualizações!A517,Projetos!$A$2:$A$129,0))," ")</f>
        <v>45657</v>
      </c>
      <c r="J517" s="61"/>
      <c r="K517" s="344">
        <f>IFERROR(Tb_Atualizações[[#This Row],[% EXECUTADO]]/Tb_Atualizações[[#This Row],[% PREVISTO]],"0%")</f>
        <v>1</v>
      </c>
      <c r="L517" s="31" t="str" cm="1">
        <f t="array" aca="1" ref="L5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7" s="50"/>
      <c r="N517" s="30"/>
      <c r="O517" s="42">
        <f t="shared" si="25"/>
        <v>2024</v>
      </c>
      <c r="P517" s="42" t="str">
        <f t="shared" si="26"/>
        <v>2024174662/2024</v>
      </c>
      <c r="Q517" s="42">
        <v>1</v>
      </c>
    </row>
    <row r="518" spans="1:17" ht="15" hidden="1">
      <c r="A518" s="51" t="s">
        <v>796</v>
      </c>
      <c r="B518" s="312" t="str">
        <f>IFERROR(INDEX(Projetos!$B$3:$B$129,MATCH(A518,Projetos!$A$3:$A$129,0))," ")</f>
        <v>Mutirão Processual Penal (sistema penal)</v>
      </c>
      <c r="D518" s="48">
        <v>1</v>
      </c>
      <c r="E518" s="48">
        <v>1</v>
      </c>
      <c r="F518" s="49">
        <v>45642</v>
      </c>
      <c r="G518" s="28">
        <v>45627</v>
      </c>
      <c r="H518" s="51" t="str">
        <f t="shared" si="24"/>
        <v>1746610/202445627</v>
      </c>
      <c r="I518" s="38">
        <f>IFERROR(INDEX(Projetos!$M$2:$M$129,MATCH(Atualizações!A518,Projetos!$A$2:$A$129,0))," ")</f>
        <v>45657</v>
      </c>
      <c r="J518" s="61"/>
      <c r="K518" s="344">
        <f>IFERROR(Tb_Atualizações[[#This Row],[% EXECUTADO]]/Tb_Atualizações[[#This Row],[% PREVISTO]],"0%")</f>
        <v>1</v>
      </c>
      <c r="L518" s="31" t="str" cm="1">
        <f t="array" aca="1" ref="L5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8" s="50"/>
      <c r="N518" s="30"/>
      <c r="O518" s="42">
        <f t="shared" si="25"/>
        <v>2024</v>
      </c>
      <c r="P518" s="42" t="str">
        <f t="shared" si="26"/>
        <v>20241746610/2024</v>
      </c>
      <c r="Q518" s="42">
        <v>1</v>
      </c>
    </row>
    <row r="519" spans="1:17" ht="15" hidden="1">
      <c r="A519" s="46" t="s">
        <v>897</v>
      </c>
      <c r="B519" s="312" t="str">
        <f>IFERROR(INDEX(Projetos!$B$3:$B$129,MATCH(A519,Projetos!$A$3:$A$129,0))," ")</f>
        <v>Plano Nacional de Fomento à Leitura (sistema penal)</v>
      </c>
      <c r="D519" s="48">
        <v>1</v>
      </c>
      <c r="E519" s="48">
        <v>1</v>
      </c>
      <c r="F519" s="49">
        <v>45642</v>
      </c>
      <c r="G519" s="28">
        <v>45627</v>
      </c>
      <c r="H519" s="51" t="str">
        <f t="shared" si="24"/>
        <v>174665/202445627</v>
      </c>
      <c r="I519" s="38">
        <f>IFERROR(INDEX(Projetos!$M$2:$M$129,MATCH(Atualizações!A519,Projetos!$A$2:$A$129,0))," ")</f>
        <v>45657</v>
      </c>
      <c r="J519" s="61"/>
      <c r="K519" s="344">
        <f>IFERROR(Tb_Atualizações[[#This Row],[% EXECUTADO]]/Tb_Atualizações[[#This Row],[% PREVISTO]],"0%")</f>
        <v>1</v>
      </c>
      <c r="L519" s="31" t="str" cm="1">
        <f t="array" aca="1" ref="L5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19" s="50"/>
      <c r="N519" s="30"/>
      <c r="O519" s="42">
        <f t="shared" si="25"/>
        <v>2024</v>
      </c>
      <c r="P519" s="42" t="str">
        <f t="shared" si="26"/>
        <v>2024174665/2024</v>
      </c>
      <c r="Q519" s="42">
        <v>1</v>
      </c>
    </row>
    <row r="520" spans="1:17" ht="15" hidden="1">
      <c r="A520" s="46" t="s">
        <v>901</v>
      </c>
      <c r="B520" s="312" t="str">
        <f>IFERROR(INDEX(Projetos!$B$3:$B$129,MATCH(A520,Projetos!$A$3:$A$129,0))," ")</f>
        <v>Plano Nacional de Fomento ao Esporte e Lazer (sistema penal)</v>
      </c>
      <c r="D520" s="48">
        <v>0.5</v>
      </c>
      <c r="E520" s="48">
        <v>0.5</v>
      </c>
      <c r="F520" s="49">
        <v>45642</v>
      </c>
      <c r="G520" s="28">
        <v>45627</v>
      </c>
      <c r="H520" s="51" t="str">
        <f t="shared" si="24"/>
        <v>174666/202445627</v>
      </c>
      <c r="I520" s="38">
        <f>IFERROR(INDEX(Projetos!$M$2:$M$129,MATCH(Atualizações!A520,Projetos!$A$2:$A$129,0))," ")</f>
        <v>46203</v>
      </c>
      <c r="J520" s="61"/>
      <c r="K520" s="344">
        <f>IFERROR(Tb_Atualizações[[#This Row],[% EXECUTADO]]/Tb_Atualizações[[#This Row],[% PREVISTO]],"0%")</f>
        <v>1</v>
      </c>
      <c r="L520" s="31" t="str" cm="1">
        <f t="array" aca="1" ref="L5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20" s="50"/>
      <c r="N520" s="30"/>
      <c r="O520" s="42">
        <f t="shared" si="25"/>
        <v>2024</v>
      </c>
      <c r="P520" s="42" t="str">
        <f t="shared" si="26"/>
        <v>2024174666/2024</v>
      </c>
      <c r="Q520" s="42">
        <v>1</v>
      </c>
    </row>
    <row r="521" spans="1:17" ht="15" hidden="1">
      <c r="A521" s="46" t="s">
        <v>830</v>
      </c>
      <c r="B521" s="312" t="str">
        <f>IFERROR(INDEX(Projetos!$B$3:$B$129,MATCH(A521,Projetos!$A$3:$A$129,0))," ")</f>
        <v>Plataforma Socioeducativa (sistema socioeducativo)</v>
      </c>
      <c r="D521" s="48">
        <v>1</v>
      </c>
      <c r="E521" s="48">
        <v>1</v>
      </c>
      <c r="F521" s="49">
        <v>45642</v>
      </c>
      <c r="G521" s="28">
        <v>45627</v>
      </c>
      <c r="H521" s="51" t="str">
        <f t="shared" si="24"/>
        <v>1746618/202445627</v>
      </c>
      <c r="I521" s="38">
        <f>IFERROR(INDEX(Projetos!$M$2:$M$129,MATCH(Atualizações!A521,Projetos!$A$2:$A$129,0))," ")</f>
        <v>45657</v>
      </c>
      <c r="J521" s="61"/>
      <c r="K521" s="344">
        <f>IFERROR(Tb_Atualizações[[#This Row],[% EXECUTADO]]/Tb_Atualizações[[#This Row],[% PREVISTO]],"0%")</f>
        <v>1</v>
      </c>
      <c r="L521" s="31" t="str" cm="1">
        <f t="array" aca="1" ref="L5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1" s="50"/>
      <c r="N521" s="30"/>
      <c r="O521" s="42">
        <f t="shared" si="25"/>
        <v>2024</v>
      </c>
      <c r="P521" s="42" t="str">
        <f t="shared" si="26"/>
        <v>20241746618/2024</v>
      </c>
      <c r="Q521" s="42">
        <v>1</v>
      </c>
    </row>
    <row r="522" spans="1:17" ht="15" hidden="1">
      <c r="A522" s="46" t="s">
        <v>857</v>
      </c>
      <c r="B522" s="312" t="str">
        <f>IFERROR(INDEX(Projetos!$B$3:$B$129,MATCH(A522,Projetos!$A$3:$A$129,0))," ")</f>
        <v>Políticas de Drogas</v>
      </c>
      <c r="D522" s="48">
        <v>1</v>
      </c>
      <c r="E522" s="48">
        <v>1</v>
      </c>
      <c r="F522" s="49">
        <v>45642</v>
      </c>
      <c r="G522" s="28">
        <v>45627</v>
      </c>
      <c r="H522" s="51" t="str">
        <f t="shared" si="24"/>
        <v>1746623/202445627</v>
      </c>
      <c r="I522" s="38">
        <f>IFERROR(INDEX(Projetos!$M$2:$M$129,MATCH(Atualizações!A522,Projetos!$A$2:$A$129,0))," ")</f>
        <v>45657</v>
      </c>
      <c r="J522" s="61"/>
      <c r="K522" s="344">
        <f>IFERROR(Tb_Atualizações[[#This Row],[% EXECUTADO]]/Tb_Atualizações[[#This Row],[% PREVISTO]],"0%")</f>
        <v>1</v>
      </c>
      <c r="L522" s="31" t="str" cm="1">
        <f t="array" aca="1" ref="L5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2" s="50"/>
      <c r="N522" s="30"/>
      <c r="O522" s="42">
        <f t="shared" si="25"/>
        <v>2024</v>
      </c>
      <c r="P522" s="42" t="str">
        <f t="shared" si="26"/>
        <v>20241746623/2024</v>
      </c>
      <c r="Q522" s="42">
        <v>1</v>
      </c>
    </row>
    <row r="523" spans="1:17" ht="15" hidden="1">
      <c r="A523" s="51" t="s">
        <v>849</v>
      </c>
      <c r="B523" s="312" t="str">
        <f>IFERROR(INDEX(Projetos!$B$3:$B$129,MATCH(A523,Projetos!$A$3:$A$129,0))," ")</f>
        <v>Populações com Vulnerabilidade Acrescida</v>
      </c>
      <c r="D523" s="48">
        <v>1</v>
      </c>
      <c r="E523" s="48">
        <v>1</v>
      </c>
      <c r="F523" s="49">
        <v>45642</v>
      </c>
      <c r="G523" s="28">
        <v>45627</v>
      </c>
      <c r="H523" s="51" t="str">
        <f t="shared" si="24"/>
        <v>1746621/202445627</v>
      </c>
      <c r="I523" s="38">
        <f>IFERROR(INDEX(Projetos!$M$2:$M$129,MATCH(Atualizações!A523,Projetos!$A$2:$A$129,0))," ")</f>
        <v>45657</v>
      </c>
      <c r="J523" s="61"/>
      <c r="K523" s="344">
        <f>IFERROR(Tb_Atualizações[[#This Row],[% EXECUTADO]]/Tb_Atualizações[[#This Row],[% PREVISTO]],"0%")</f>
        <v>1</v>
      </c>
      <c r="L523" s="31" t="str" cm="1">
        <f t="array" aca="1" ref="L5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3" s="50"/>
      <c r="N523" s="30"/>
      <c r="O523" s="42">
        <f t="shared" si="25"/>
        <v>2024</v>
      </c>
      <c r="P523" s="42" t="str">
        <f t="shared" si="26"/>
        <v>20241746621/2024</v>
      </c>
      <c r="Q523" s="42">
        <v>1</v>
      </c>
    </row>
    <row r="524" spans="1:17" ht="15" hidden="1">
      <c r="A524" s="51" t="s">
        <v>818</v>
      </c>
      <c r="B524" s="312" t="str">
        <f>IFERROR(INDEX(Projetos!$B$3:$B$129,MATCH(A524,Projetos!$A$3:$A$129,0))," ")</f>
        <v>Programa Pós-medida (sistema socioeducativo)</v>
      </c>
      <c r="D524" s="48">
        <v>1</v>
      </c>
      <c r="E524" s="48">
        <v>1</v>
      </c>
      <c r="F524" s="49">
        <v>45642</v>
      </c>
      <c r="G524" s="28">
        <v>45627</v>
      </c>
      <c r="H524" s="51" t="str">
        <f t="shared" si="24"/>
        <v>1746615/202445627</v>
      </c>
      <c r="I524" s="38">
        <f>IFERROR(INDEX(Projetos!$M$2:$M$129,MATCH(Atualizações!A524,Projetos!$A$2:$A$129,0))," ")</f>
        <v>45716</v>
      </c>
      <c r="J524" s="61"/>
      <c r="K524" s="344">
        <f>IFERROR(Tb_Atualizações[[#This Row],[% EXECUTADO]]/Tb_Atualizações[[#This Row],[% PREVISTO]],"0%")</f>
        <v>1</v>
      </c>
      <c r="L524" s="31" t="str" cm="1">
        <f t="array" aca="1" ref="L5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4" s="50"/>
      <c r="N524" s="30"/>
      <c r="O524" s="42">
        <f t="shared" si="25"/>
        <v>2024</v>
      </c>
      <c r="P524" s="42" t="str">
        <f t="shared" si="26"/>
        <v>20241746615/2024</v>
      </c>
      <c r="Q524" s="42">
        <v>1</v>
      </c>
    </row>
    <row r="525" spans="1:17" ht="15" hidden="1">
      <c r="A525" s="51" t="s">
        <v>853</v>
      </c>
      <c r="B525" s="312" t="str">
        <f>IFERROR(INDEX(Projetos!$B$3:$B$129,MATCH(A525,Projetos!$A$3:$A$129,0))," ")</f>
        <v>Saúde Mental</v>
      </c>
      <c r="D525" s="48">
        <v>1</v>
      </c>
      <c r="E525" s="48">
        <v>1</v>
      </c>
      <c r="F525" s="49">
        <v>45642</v>
      </c>
      <c r="G525" s="28">
        <v>45627</v>
      </c>
      <c r="H525" s="51" t="str">
        <f t="shared" si="24"/>
        <v>1746622/202445627</v>
      </c>
      <c r="I525" s="38">
        <f>IFERROR(INDEX(Projetos!$M$2:$M$129,MATCH(Atualizações!A525,Projetos!$A$2:$A$129,0))," ")</f>
        <v>45657</v>
      </c>
      <c r="J525" s="61"/>
      <c r="K525" s="344">
        <f>IFERROR(Tb_Atualizações[[#This Row],[% EXECUTADO]]/Tb_Atualizações[[#This Row],[% PREVISTO]],"0%")</f>
        <v>1</v>
      </c>
      <c r="L525" s="31" t="str" cm="1">
        <f t="array" aca="1" ref="L5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5" s="50"/>
      <c r="N525" s="30"/>
      <c r="O525" s="42">
        <f t="shared" si="25"/>
        <v>2024</v>
      </c>
      <c r="P525" s="42" t="str">
        <f t="shared" si="26"/>
        <v>20241746622/2024</v>
      </c>
      <c r="Q525" s="42">
        <v>1</v>
      </c>
    </row>
    <row r="526" spans="1:17" ht="15" hidden="1">
      <c r="A526" s="51" t="s">
        <v>800</v>
      </c>
      <c r="B526" s="312" t="str">
        <f>IFERROR(INDEX(Projetos!$B$3:$B$129,MATCH(A526,Projetos!$A$3:$A$129,0))," ")</f>
        <v>Sistema Eletrônico de Execução Unificado - SEEU (sistema penal)</v>
      </c>
      <c r="D526" s="234">
        <v>1</v>
      </c>
      <c r="E526" s="48">
        <v>1</v>
      </c>
      <c r="F526" s="49">
        <v>45642</v>
      </c>
      <c r="G526" s="28">
        <v>45627</v>
      </c>
      <c r="H526" s="51" t="str">
        <f t="shared" si="24"/>
        <v>1746611/202445627</v>
      </c>
      <c r="I526" s="38">
        <f>IFERROR(INDEX(Projetos!$M$2:$M$129,MATCH(Atualizações!A526,Projetos!$A$2:$A$129,0))," ")</f>
        <v>45657</v>
      </c>
      <c r="J526" s="61"/>
      <c r="K526" s="344">
        <f>IFERROR(Tb_Atualizações[[#This Row],[% EXECUTADO]]/Tb_Atualizações[[#This Row],[% PREVISTO]],"0%")</f>
        <v>1</v>
      </c>
      <c r="L526" s="31" t="str" cm="1">
        <f t="array" aca="1" ref="L5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6" s="50"/>
      <c r="N526" s="30"/>
      <c r="O526" s="42">
        <f t="shared" si="25"/>
        <v>2024</v>
      </c>
      <c r="P526" s="42" t="str">
        <f t="shared" si="26"/>
        <v>20241746611/2024</v>
      </c>
      <c r="Q526" s="42">
        <v>1</v>
      </c>
    </row>
    <row r="527" spans="1:17" ht="75" hidden="1">
      <c r="A527" s="51" t="s">
        <v>539</v>
      </c>
      <c r="B527" s="312" t="str">
        <f>IFERROR(INDEX(Projetos!$B$3:$B$129,MATCH(A527,Projetos!$A$3:$A$129,0))," ")</f>
        <v>Desenvolvimento do módulo de Sessão de Julgamento (PDPJ-Br)</v>
      </c>
      <c r="D527" s="48">
        <v>0.64300000000000002</v>
      </c>
      <c r="E527" s="48">
        <v>0.35899999999999999</v>
      </c>
      <c r="F527" s="49">
        <v>45644</v>
      </c>
      <c r="G527" s="28">
        <v>45627</v>
      </c>
      <c r="H527" s="51" t="str">
        <f t="shared" si="24"/>
        <v>09630/202445627</v>
      </c>
      <c r="I527" s="473">
        <f>IFERROR(INDEX(Projetos!$M$2:$M$129,MATCH(Atualizações!A527,Projetos!$A$2:$A$129,0))," ")</f>
        <v>46387</v>
      </c>
      <c r="J527" s="61" t="s">
        <v>1323</v>
      </c>
      <c r="K527" s="344">
        <f>IFERROR(Tb_Atualizações[[#This Row],[% EXECUTADO]]/Tb_Atualizações[[#This Row],[% PREVISTO]],"0%")</f>
        <v>0.55832037325038875</v>
      </c>
      <c r="L527" s="31" t="str" cm="1">
        <f t="array" aca="1" ref="L5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27" s="50"/>
      <c r="N527" s="30"/>
      <c r="O527" s="42">
        <f t="shared" si="25"/>
        <v>2024</v>
      </c>
      <c r="P527" s="42" t="str">
        <f t="shared" si="26"/>
        <v>202409630/2024</v>
      </c>
      <c r="Q527" s="42">
        <v>1</v>
      </c>
    </row>
    <row r="528" spans="1:17" ht="75" hidden="1">
      <c r="A528" s="51" t="s">
        <v>172</v>
      </c>
      <c r="B528" s="312" t="str">
        <f>IFERROR(INDEX(Projetos!$B$3:$B$129,MATCH(A528,Projetos!$A$3:$A$129,0))," ")</f>
        <v>Monitoramento: soluções da PDPJ-Br</v>
      </c>
      <c r="D528" s="48">
        <v>1</v>
      </c>
      <c r="E528" s="48">
        <v>1</v>
      </c>
      <c r="F528" s="49">
        <v>45645</v>
      </c>
      <c r="G528" s="28">
        <v>45627</v>
      </c>
      <c r="H528" s="51" t="str">
        <f t="shared" si="24"/>
        <v>01703/202445627</v>
      </c>
      <c r="I528" s="38">
        <f>IFERROR(INDEX(Projetos!$M$2:$M$129,MATCH(Atualizações!A528,Projetos!$A$2:$A$129,0))," ")</f>
        <v>45639</v>
      </c>
      <c r="J528" s="61" t="s">
        <v>1324</v>
      </c>
      <c r="K528" s="344">
        <f>IFERROR(Tb_Atualizações[[#This Row],[% EXECUTADO]]/Tb_Atualizações[[#This Row],[% PREVISTO]],"0%")</f>
        <v>1</v>
      </c>
      <c r="L528" s="31" t="str" cm="1">
        <f t="array" aca="1" ref="L5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8" s="50"/>
      <c r="N528" s="30"/>
      <c r="O528" s="42">
        <f t="shared" si="25"/>
        <v>2024</v>
      </c>
      <c r="P528" s="42" t="str">
        <f t="shared" si="26"/>
        <v>202401703/2024</v>
      </c>
      <c r="Q528" s="42">
        <v>1</v>
      </c>
    </row>
    <row r="529" spans="1:17" ht="15" hidden="1">
      <c r="A529" s="51" t="s">
        <v>298</v>
      </c>
      <c r="B529" s="312" t="str">
        <f>IFERROR(INDEX(Projetos!$B$3:$B$129,MATCH(A529,Projetos!$A$3:$A$129,0))," ")</f>
        <v>Propagar - Inclusão, Acessibilidade, Justiça e Cidadania</v>
      </c>
      <c r="D529" s="48">
        <v>1</v>
      </c>
      <c r="E529" s="48">
        <v>1</v>
      </c>
      <c r="F529" s="49">
        <v>45645</v>
      </c>
      <c r="G529" s="28">
        <v>45627</v>
      </c>
      <c r="H529" s="51" t="str">
        <f t="shared" si="24"/>
        <v>02660/202345627</v>
      </c>
      <c r="I529" s="38">
        <f>IFERROR(INDEX(Projetos!$M$2:$M$129,MATCH(Atualizações!A529,Projetos!$A$2:$A$129,0))," ")</f>
        <v>45485</v>
      </c>
      <c r="J529" s="61"/>
      <c r="K529" s="344">
        <f>IFERROR(Tb_Atualizações[[#This Row],[% EXECUTADO]]/Tb_Atualizações[[#This Row],[% PREVISTO]],"0%")</f>
        <v>1</v>
      </c>
      <c r="L529" s="31" t="str" cm="1">
        <f t="array" aca="1" ref="L5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29" s="50"/>
      <c r="N529" s="30"/>
      <c r="O529" s="42">
        <f t="shared" si="25"/>
        <v>2024</v>
      </c>
      <c r="P529" s="42" t="str">
        <f t="shared" si="26"/>
        <v>202402660/2023</v>
      </c>
      <c r="Q529" s="42">
        <v>1</v>
      </c>
    </row>
    <row r="530" spans="1:17" ht="60" hidden="1">
      <c r="A530" s="51" t="s">
        <v>479</v>
      </c>
      <c r="B530" s="312" t="str">
        <f>IFERROR(INDEX(Projetos!$B$3:$B$129,MATCH(A530,Projetos!$A$3:$A$129,0))," ")</f>
        <v>Data Lake</v>
      </c>
      <c r="D530" s="48">
        <v>0.997</v>
      </c>
      <c r="E530" s="48">
        <v>1</v>
      </c>
      <c r="F530" s="49">
        <v>45646</v>
      </c>
      <c r="G530" s="28">
        <v>45627</v>
      </c>
      <c r="H530" s="51" t="str">
        <f t="shared" si="24"/>
        <v>08547/202145627</v>
      </c>
      <c r="I530" s="38" t="str">
        <f>IFERROR(INDEX(Projetos!$M$2:$M$129,MATCH(Atualizações!A530,Projetos!$A$2:$A$129,0))," ")</f>
        <v>31/12/2024</v>
      </c>
      <c r="J530" s="61" t="s">
        <v>1325</v>
      </c>
      <c r="K530" s="344">
        <f>IFERROR(Tb_Atualizações[[#This Row],[% EXECUTADO]]/Tb_Atualizações[[#This Row],[% PREVISTO]],"0%")</f>
        <v>1.0030090270812437</v>
      </c>
      <c r="L530" s="31" t="str" cm="1">
        <f t="array" aca="1" ref="L5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530" s="50"/>
      <c r="N530" s="30"/>
      <c r="O530" s="42">
        <f t="shared" si="25"/>
        <v>2024</v>
      </c>
      <c r="P530" s="42" t="str">
        <f t="shared" si="26"/>
        <v>202408547/2021</v>
      </c>
      <c r="Q530" s="42">
        <v>1</v>
      </c>
    </row>
    <row r="531" spans="1:17" ht="15" hidden="1">
      <c r="A531" s="51" t="s">
        <v>247</v>
      </c>
      <c r="B531" s="312" t="str">
        <f>IFERROR(INDEX(Projetos!$B$3:$B$129,MATCH(A531,Projetos!$A$3:$A$129,0))," ")</f>
        <v>Portal de Serviços</v>
      </c>
      <c r="D531" s="48">
        <v>0.59399999999999997</v>
      </c>
      <c r="E531" s="48">
        <v>0.64100000000000001</v>
      </c>
      <c r="F531" s="49">
        <v>45646</v>
      </c>
      <c r="G531" s="28">
        <v>45627</v>
      </c>
      <c r="H531" s="51" t="str">
        <f t="shared" ref="H531:H594" si="27">A531&amp;G531</f>
        <v>02394/202445627</v>
      </c>
      <c r="I531" s="473">
        <f>IFERROR(INDEX(Projetos!$M$2:$M$129,MATCH(Atualizações!A531,Projetos!$A$2:$A$129,0))," ")</f>
        <v>46387</v>
      </c>
      <c r="J531" s="61"/>
      <c r="K531" s="344">
        <f>IFERROR(Tb_Atualizações[[#This Row],[% EXECUTADO]]/Tb_Atualizações[[#This Row],[% PREVISTO]],"0%")</f>
        <v>1.0791245791245792</v>
      </c>
      <c r="L531" s="31" t="str" cm="1">
        <f t="array" aca="1" ref="L5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1" s="50"/>
      <c r="N531" s="30"/>
      <c r="O531" s="42">
        <f t="shared" ref="O531:O594" si="28">YEAR(F531)</f>
        <v>2024</v>
      </c>
      <c r="P531" s="42" t="str">
        <f t="shared" ref="P531:P594" si="29">O531&amp;A531</f>
        <v>202402394/2024</v>
      </c>
      <c r="Q531" s="42">
        <v>1</v>
      </c>
    </row>
    <row r="532" spans="1:17" ht="15" hidden="1">
      <c r="A532" s="51" t="s">
        <v>523</v>
      </c>
      <c r="B532" s="312" t="str">
        <f>IFERROR(INDEX(Projetos!$B$3:$B$129,MATCH(A532,Projetos!$A$3:$A$129,0))," ")</f>
        <v>Portal Jus BR</v>
      </c>
      <c r="D532" s="48">
        <v>0.69599999999999995</v>
      </c>
      <c r="E532" s="48">
        <v>0.70499999999999996</v>
      </c>
      <c r="F532" s="49">
        <v>45646</v>
      </c>
      <c r="G532" s="28">
        <v>45627</v>
      </c>
      <c r="H532" s="51" t="str">
        <f t="shared" si="27"/>
        <v>09536/202445627</v>
      </c>
      <c r="I532" s="38" t="str">
        <f>IFERROR(INDEX(Projetos!$M$2:$M$129,MATCH(Atualizações!A532,Projetos!$A$2:$A$129,0))," ")</f>
        <v>30/10/2025</v>
      </c>
      <c r="J532" s="61"/>
      <c r="K532" s="344">
        <f>IFERROR(Tb_Atualizações[[#This Row],[% EXECUTADO]]/Tb_Atualizações[[#This Row],[% PREVISTO]],"0%")</f>
        <v>1.0129310344827587</v>
      </c>
      <c r="L532" s="31" t="str" cm="1">
        <f t="array" aca="1" ref="L5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2" s="50"/>
      <c r="N532" s="30"/>
      <c r="O532" s="42">
        <f t="shared" si="28"/>
        <v>2024</v>
      </c>
      <c r="P532" s="42" t="str">
        <f t="shared" si="29"/>
        <v>202409536/2024</v>
      </c>
      <c r="Q532" s="42">
        <v>1</v>
      </c>
    </row>
    <row r="533" spans="1:17" ht="15" hidden="1">
      <c r="A533" s="46" t="s">
        <v>209</v>
      </c>
      <c r="B533" s="312" t="str">
        <f>IFERROR(INDEX(Projetos!$B$3:$B$129,MATCH(A533,Projetos!$A$3:$A$129,0))," ")</f>
        <v>Capacitação técnica para desenvolvedores nas tecnologias da PDPJ - BR</v>
      </c>
      <c r="D533" s="48">
        <v>0.89500000000000002</v>
      </c>
      <c r="E533" s="48">
        <v>0.89500000000000002</v>
      </c>
      <c r="F533" s="49">
        <v>45650</v>
      </c>
      <c r="G533" s="28">
        <v>45627</v>
      </c>
      <c r="H533" s="51" t="str">
        <f t="shared" si="27"/>
        <v>01945/202245627</v>
      </c>
      <c r="I533" s="38">
        <f>IFERROR(INDEX(Projetos!$M$2:$M$129,MATCH(Atualizações!A533,Projetos!$A$2:$A$129,0))," ")</f>
        <v>45866</v>
      </c>
      <c r="J533" s="61"/>
      <c r="K533" s="344">
        <f>IFERROR(Tb_Atualizações[[#This Row],[% EXECUTADO]]/Tb_Atualizações[[#This Row],[% PREVISTO]],"0%")</f>
        <v>1</v>
      </c>
      <c r="L533" s="31" t="str" cm="1">
        <f t="array" aca="1" ref="L5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3" s="50"/>
      <c r="N533" s="30"/>
      <c r="O533" s="42">
        <f t="shared" si="28"/>
        <v>2024</v>
      </c>
      <c r="P533" s="42" t="str">
        <f t="shared" si="29"/>
        <v>202401945/2022</v>
      </c>
      <c r="Q533" s="42">
        <v>1</v>
      </c>
    </row>
    <row r="534" spans="1:17" ht="15" hidden="1">
      <c r="A534" s="46" t="s">
        <v>549</v>
      </c>
      <c r="B534" s="312" t="str">
        <f>IFERROR(INDEX(Projetos!$B$3:$B$129,MATCH(A534,Projetos!$A$3:$A$129,0))," ")</f>
        <v>Fluxo Nacional Automatizado das Execuções Fiscais (EFIN)</v>
      </c>
      <c r="D534" s="48">
        <v>0.66600000000000004</v>
      </c>
      <c r="E534" s="48">
        <v>0.628</v>
      </c>
      <c r="F534" s="49">
        <v>45652</v>
      </c>
      <c r="G534" s="28">
        <v>45627</v>
      </c>
      <c r="H534" s="51" t="str">
        <f t="shared" si="27"/>
        <v>09796/202445627</v>
      </c>
      <c r="I534" s="38">
        <f>IFERROR(INDEX(Projetos!$M$2:$M$129,MATCH(Atualizações!A534,Projetos!$A$2:$A$129,0))," ")</f>
        <v>46226</v>
      </c>
      <c r="J534" s="61"/>
      <c r="K534" s="344">
        <f>IFERROR(Tb_Atualizações[[#This Row],[% EXECUTADO]]/Tb_Atualizações[[#This Row],[% PREVISTO]],"0%")</f>
        <v>0.9429429429429429</v>
      </c>
      <c r="L534" s="31" t="str" cm="1">
        <f t="array" aca="1" ref="L5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34" s="50"/>
      <c r="N534" s="30"/>
      <c r="O534" s="42">
        <f t="shared" si="28"/>
        <v>2024</v>
      </c>
      <c r="P534" s="42" t="str">
        <f t="shared" si="29"/>
        <v>202409796/2024</v>
      </c>
      <c r="Q534" s="42">
        <v>1</v>
      </c>
    </row>
    <row r="535" spans="1:17" ht="15" hidden="1">
      <c r="A535" s="51" t="s">
        <v>229</v>
      </c>
      <c r="B535" s="312" t="str">
        <f>IFERROR(INDEX(Projetos!$B$3:$B$129,MATCH(A535,Projetos!$A$3:$A$129,0))," ")</f>
        <v>Gabinete do Juízo</v>
      </c>
      <c r="D535" s="48">
        <v>0.748</v>
      </c>
      <c r="E535" s="48">
        <v>0.73</v>
      </c>
      <c r="F535" s="49">
        <v>45652</v>
      </c>
      <c r="G535" s="28">
        <v>45627</v>
      </c>
      <c r="H535" s="51" t="str">
        <f t="shared" si="27"/>
        <v>02080/202345627</v>
      </c>
      <c r="I535" s="38">
        <f>IFERROR(INDEX(Projetos!$M$2:$M$129,MATCH(Atualizações!A535,Projetos!$A$2:$A$129,0))," ")</f>
        <v>46379</v>
      </c>
      <c r="J535" s="61"/>
      <c r="K535" s="344">
        <f>IFERROR(Tb_Atualizações[[#This Row],[% EXECUTADO]]/Tb_Atualizações[[#This Row],[% PREVISTO]],"0%")</f>
        <v>0.97593582887700536</v>
      </c>
      <c r="L535" s="31" t="str" cm="1">
        <f t="array" aca="1" ref="L5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5" s="50"/>
      <c r="N535" s="30"/>
      <c r="O535" s="42">
        <f t="shared" si="28"/>
        <v>2024</v>
      </c>
      <c r="P535" s="42" t="str">
        <f t="shared" si="29"/>
        <v>202402080/2023</v>
      </c>
      <c r="Q535" s="42">
        <v>1</v>
      </c>
    </row>
    <row r="536" spans="1:17" ht="45" hidden="1">
      <c r="A536" s="51" t="s">
        <v>533</v>
      </c>
      <c r="B536" s="312" t="str">
        <f>IFERROR(INDEX(Projetos!$B$3:$B$129,MATCH(A536,Projetos!$A$3:$A$129,0))," ")</f>
        <v>Qualificação de Dados</v>
      </c>
      <c r="D536" s="48">
        <v>0.26800000000000002</v>
      </c>
      <c r="E536" s="48">
        <v>0.26200000000000001</v>
      </c>
      <c r="F536" s="49">
        <v>45655</v>
      </c>
      <c r="G536" s="28">
        <v>45627</v>
      </c>
      <c r="H536" s="51" t="str">
        <f t="shared" si="27"/>
        <v>09613/202445627</v>
      </c>
      <c r="I536" s="473">
        <f>IFERROR(INDEX(Projetos!$M$2:$M$129,MATCH(Atualizações!A536,Projetos!$A$2:$A$129,0))," ")</f>
        <v>46386</v>
      </c>
      <c r="J536" s="61" t="s">
        <v>1326</v>
      </c>
      <c r="K536" s="344">
        <f>IFERROR(Tb_Atualizações[[#This Row],[% EXECUTADO]]/Tb_Atualizações[[#This Row],[% PREVISTO]],"0%")</f>
        <v>0.9776119402985074</v>
      </c>
      <c r="L536" s="31" t="str" cm="1">
        <f t="array" aca="1" ref="L5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6" s="50"/>
      <c r="N536" s="30"/>
      <c r="O536" s="42">
        <f t="shared" si="28"/>
        <v>2024</v>
      </c>
      <c r="P536" s="42" t="str">
        <f t="shared" si="29"/>
        <v>202409613/2024</v>
      </c>
      <c r="Q536" s="42">
        <v>1</v>
      </c>
    </row>
    <row r="537" spans="1:17" ht="15" hidden="1">
      <c r="A537" s="46" t="s">
        <v>358</v>
      </c>
      <c r="B537" s="312" t="str">
        <f>IFERROR(INDEX(Projetos!$B$3:$B$129,MATCH(A537,Projetos!$A$3:$A$129,0))," ")</f>
        <v>Prevjud - Automação de Processos Previdenciários - Justiça 4.0</v>
      </c>
      <c r="D537" s="48">
        <v>0.94199999999999995</v>
      </c>
      <c r="E537" s="48">
        <v>0.92200000000000004</v>
      </c>
      <c r="F537" s="49">
        <v>45656</v>
      </c>
      <c r="G537" s="28">
        <v>45627</v>
      </c>
      <c r="H537" s="51" t="str">
        <f t="shared" si="27"/>
        <v>03558/202145627</v>
      </c>
      <c r="I537" s="38" t="str">
        <f>IFERROR(INDEX(Projetos!$M$2:$M$129,MATCH(Atualizações!A537,Projetos!$A$2:$A$129,0))," ")</f>
        <v>31/03/2026</v>
      </c>
      <c r="J537" s="61"/>
      <c r="K537" s="344">
        <f>IFERROR(Tb_Atualizações[[#This Row],[% EXECUTADO]]/Tb_Atualizações[[#This Row],[% PREVISTO]],"0%")</f>
        <v>0.97876857749469226</v>
      </c>
      <c r="L537" s="31" t="str" cm="1">
        <f t="array" aca="1" ref="L5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7" s="50"/>
      <c r="N537" s="30"/>
      <c r="O537" s="42">
        <f t="shared" si="28"/>
        <v>2024</v>
      </c>
      <c r="P537" s="42" t="str">
        <f t="shared" si="29"/>
        <v>202403558/2021</v>
      </c>
      <c r="Q537" s="42">
        <v>1</v>
      </c>
    </row>
    <row r="538" spans="1:17" ht="105" hidden="1">
      <c r="A538" s="46" t="s">
        <v>638</v>
      </c>
      <c r="B538" s="312" t="str">
        <f>IFERROR(INDEX(Projetos!$B$3:$B$129,MATCH(A538,Projetos!$A$3:$A$129,0))," ")</f>
        <v>Sisperjud</v>
      </c>
      <c r="D538" s="48">
        <v>0.80300000000000005</v>
      </c>
      <c r="E538" s="48">
        <v>0.80600000000000005</v>
      </c>
      <c r="F538" s="49">
        <v>45656</v>
      </c>
      <c r="G538" s="28">
        <v>45627</v>
      </c>
      <c r="H538" s="51" t="str">
        <f t="shared" si="27"/>
        <v>11644/202245627</v>
      </c>
      <c r="I538" s="38">
        <f>IFERROR(INDEX(Projetos!$M$2:$M$129,MATCH(Atualizações!A538,Projetos!$A$2:$A$129,0))," ")</f>
        <v>46352</v>
      </c>
      <c r="J538" s="61" t="s">
        <v>1327</v>
      </c>
      <c r="K538" s="344">
        <f>IFERROR(Tb_Atualizações[[#This Row],[% EXECUTADO]]/Tb_Atualizações[[#This Row],[% PREVISTO]],"0%")</f>
        <v>1.0037359900373599</v>
      </c>
      <c r="L538" s="31" t="str" cm="1">
        <f t="array" aca="1" ref="L5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8" s="50"/>
      <c r="N538" s="30"/>
      <c r="O538" s="42">
        <f t="shared" si="28"/>
        <v>2024</v>
      </c>
      <c r="P538" s="42" t="str">
        <f t="shared" si="29"/>
        <v>202411644/2022</v>
      </c>
      <c r="Q538" s="42">
        <v>1</v>
      </c>
    </row>
    <row r="539" spans="1:17" ht="75" hidden="1">
      <c r="A539" s="46" t="s">
        <v>609</v>
      </c>
      <c r="B539" s="312" t="str">
        <f>IFERROR(INDEX(Projetos!$B$3:$B$129,MATCH(A539,Projetos!$A$3:$A$129,0))," ")</f>
        <v>SPVATJUD</v>
      </c>
      <c r="D539" s="48">
        <v>0.95699999999999996</v>
      </c>
      <c r="E539" s="48">
        <v>0.95799999999999996</v>
      </c>
      <c r="F539" s="49">
        <v>45656</v>
      </c>
      <c r="G539" s="28">
        <v>45627</v>
      </c>
      <c r="H539" s="51" t="str">
        <f t="shared" si="27"/>
        <v>11270/202245627</v>
      </c>
      <c r="I539" s="38">
        <f>IFERROR(INDEX(Projetos!$M$2:$M$129,MATCH(Atualizações!A539,Projetos!$A$2:$A$129,0))," ")</f>
        <v>45716</v>
      </c>
      <c r="J539" s="61" t="s">
        <v>1328</v>
      </c>
      <c r="K539" s="344">
        <f>IFERROR(Tb_Atualizações[[#This Row],[% EXECUTADO]]/Tb_Atualizações[[#This Row],[% PREVISTO]],"0%")</f>
        <v>1.0010449320794148</v>
      </c>
      <c r="L539" s="31" t="str" cm="1">
        <f t="array" aca="1" ref="L5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39" s="50"/>
      <c r="N539" s="30"/>
      <c r="O539" s="42">
        <f t="shared" si="28"/>
        <v>2024</v>
      </c>
      <c r="P539" s="42" t="str">
        <f t="shared" si="29"/>
        <v>202411270/2022</v>
      </c>
      <c r="Q539" s="42">
        <v>1</v>
      </c>
    </row>
    <row r="540" spans="1:17" ht="45" hidden="1">
      <c r="A540" s="399" t="s">
        <v>310</v>
      </c>
      <c r="B540" s="312" t="str">
        <f>IFERROR(INDEX(Projetos!$B$3:$B$129,MATCH(A540,Projetos!$A$3:$A$129,0))," ")</f>
        <v>Apoio a implantação de soluções da PDPJ-Br</v>
      </c>
      <c r="D540" s="48">
        <v>0.66100000000000003</v>
      </c>
      <c r="E540" s="48">
        <v>0.51900000000000002</v>
      </c>
      <c r="F540" s="49">
        <v>45657</v>
      </c>
      <c r="G540" s="28">
        <v>45627</v>
      </c>
      <c r="H540" s="51" t="str">
        <f t="shared" si="27"/>
        <v>02887/202445627</v>
      </c>
      <c r="I540" s="473">
        <f>IFERROR(INDEX(Projetos!$M$2:$M$129,MATCH(Atualizações!A540,Projetos!$A$2:$A$129,0))," ")</f>
        <v>46387</v>
      </c>
      <c r="J540" s="61" t="s">
        <v>1329</v>
      </c>
      <c r="K540" s="344">
        <f>IFERROR(Tb_Atualizações[[#This Row],[% EXECUTADO]]/Tb_Atualizações[[#This Row],[% PREVISTO]],"0%")</f>
        <v>0.78517397881996975</v>
      </c>
      <c r="L540" s="31" t="str" cm="1">
        <f t="array" aca="1" ref="L5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40" s="50"/>
      <c r="N540" s="30"/>
      <c r="O540" s="42">
        <f t="shared" si="28"/>
        <v>2024</v>
      </c>
      <c r="P540" s="42" t="str">
        <f t="shared" si="29"/>
        <v>202402887/2024</v>
      </c>
      <c r="Q540" s="42">
        <v>1</v>
      </c>
    </row>
    <row r="541" spans="1:17" ht="15" hidden="1">
      <c r="A541" s="46" t="s">
        <v>644</v>
      </c>
      <c r="B541" s="312" t="str">
        <f>IFERROR(INDEX(Projetos!$B$3:$B$129,MATCH(A541,Projetos!$A$3:$A$129,0))," ")</f>
        <v>BNP/Pangea</v>
      </c>
      <c r="D541" s="48">
        <v>0.8</v>
      </c>
      <c r="E541" s="48">
        <v>0.71199999999999997</v>
      </c>
      <c r="F541" s="49">
        <v>45657</v>
      </c>
      <c r="G541" s="28">
        <v>45627</v>
      </c>
      <c r="H541" s="51" t="str">
        <f t="shared" si="27"/>
        <v>11645/202245627</v>
      </c>
      <c r="I541" s="38" t="str">
        <f>IFERROR(INDEX(Projetos!$M$2:$M$129,MATCH(Atualizações!A541,Projetos!$A$2:$A$129,0))," ")</f>
        <v>23/12/2026</v>
      </c>
      <c r="J541" s="61"/>
      <c r="K541" s="344">
        <f>IFERROR(Tb_Atualizações[[#This Row],[% EXECUTADO]]/Tb_Atualizações[[#This Row],[% PREVISTO]],"0%")</f>
        <v>0.8899999999999999</v>
      </c>
      <c r="L541" s="31" t="str" cm="1">
        <f t="array" aca="1" ref="L5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41" s="50"/>
      <c r="N541" s="30"/>
      <c r="O541" s="42">
        <f t="shared" si="28"/>
        <v>2024</v>
      </c>
      <c r="P541" s="42" t="str">
        <f t="shared" si="29"/>
        <v>202411645/2022</v>
      </c>
      <c r="Q541" s="42">
        <v>1</v>
      </c>
    </row>
    <row r="542" spans="1:17" ht="45" hidden="1">
      <c r="A542" s="71" t="s">
        <v>416</v>
      </c>
      <c r="B542" s="312" t="str">
        <f>IFERROR(INDEX(Projetos!$B$3:$B$129,MATCH(A542,Projetos!$A$3:$A$129,0))," ")</f>
        <v>Conecta</v>
      </c>
      <c r="D542" s="48">
        <v>0.43</v>
      </c>
      <c r="E542" s="48">
        <v>0.222</v>
      </c>
      <c r="F542" s="49">
        <v>45657</v>
      </c>
      <c r="G542" s="28">
        <v>45627</v>
      </c>
      <c r="H542" s="51" t="str">
        <f t="shared" si="27"/>
        <v>05578/202445627</v>
      </c>
      <c r="I542" s="38" t="str">
        <f>IFERROR(INDEX(Projetos!$M$2:$M$129,MATCH(Atualizações!A542,Projetos!$A$2:$A$129,0))," ")</f>
        <v>31/12/2026</v>
      </c>
      <c r="J542" s="62" t="s">
        <v>1329</v>
      </c>
      <c r="K542" s="344">
        <f>IFERROR(Tb_Atualizações[[#This Row],[% EXECUTADO]]/Tb_Atualizações[[#This Row],[% PREVISTO]],"0%")</f>
        <v>0.51627906976744187</v>
      </c>
      <c r="L542" s="31" t="str" cm="1">
        <f t="array" aca="1" ref="L5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42" s="50"/>
      <c r="N542" s="30"/>
      <c r="O542" s="42">
        <f t="shared" si="28"/>
        <v>2024</v>
      </c>
      <c r="P542" s="42" t="str">
        <f t="shared" si="29"/>
        <v>202405578/2024</v>
      </c>
      <c r="Q542" s="42">
        <v>1</v>
      </c>
    </row>
    <row r="543" spans="1:17" ht="30" hidden="1">
      <c r="A543" s="46" t="s">
        <v>404</v>
      </c>
      <c r="B543" s="312" t="str">
        <f>IFERROR(INDEX(Projetos!$B$3:$B$129,MATCH(A543,Projetos!$A$3:$A$129,0))," ")</f>
        <v>Consulta Nacional de Pessoas (FAC Nacional)</v>
      </c>
      <c r="D543" s="48">
        <v>0.52</v>
      </c>
      <c r="E543" s="48">
        <v>0.28999999999999998</v>
      </c>
      <c r="F543" s="49">
        <v>45657</v>
      </c>
      <c r="G543" s="28">
        <v>45627</v>
      </c>
      <c r="H543" s="51" t="str">
        <f t="shared" si="27"/>
        <v>05138/202445627</v>
      </c>
      <c r="I543" s="38">
        <f>IFERROR(INDEX(Projetos!$M$2:$M$129,MATCH(Atualizações!A543,Projetos!$A$2:$A$129,0))," ")</f>
        <v>45993</v>
      </c>
      <c r="J543" s="61" t="s">
        <v>1330</v>
      </c>
      <c r="K543" s="344">
        <f>IFERROR(Tb_Atualizações[[#This Row],[% EXECUTADO]]/Tb_Atualizações[[#This Row],[% PREVISTO]],"0%")</f>
        <v>0.5576923076923076</v>
      </c>
      <c r="L543" s="31" t="str" cm="1">
        <f t="array" aca="1" ref="L5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43" s="50"/>
      <c r="N543" s="30"/>
      <c r="O543" s="42">
        <f t="shared" si="28"/>
        <v>2024</v>
      </c>
      <c r="P543" s="42" t="str">
        <f t="shared" si="29"/>
        <v>202405138/2024</v>
      </c>
      <c r="Q543" s="42">
        <v>1</v>
      </c>
    </row>
    <row r="544" spans="1:17" ht="45" hidden="1">
      <c r="A544" s="51" t="s">
        <v>559</v>
      </c>
      <c r="B544" s="312" t="str">
        <f>IFERROR(INDEX(Projetos!$B$3:$B$129,MATCH(A544,Projetos!$A$3:$A$129,0))," ")</f>
        <v>Fonajus itinerante</v>
      </c>
      <c r="D544" s="48">
        <v>0.83</v>
      </c>
      <c r="E544" s="48">
        <v>0.83</v>
      </c>
      <c r="F544" s="49">
        <v>45657</v>
      </c>
      <c r="G544" s="28">
        <v>45627</v>
      </c>
      <c r="H544" s="51" t="str">
        <f t="shared" si="27"/>
        <v>10101/202445627</v>
      </c>
      <c r="I544" s="38" t="str">
        <f>IFERROR(INDEX(Projetos!$M$2:$M$129,MATCH(Atualizações!A544,Projetos!$A$2:$A$129,0))," ")</f>
        <v>30/4/2026</v>
      </c>
      <c r="J544" s="61" t="s">
        <v>1329</v>
      </c>
      <c r="K544" s="344">
        <f>IFERROR(Tb_Atualizações[[#This Row],[% EXECUTADO]]/Tb_Atualizações[[#This Row],[% PREVISTO]],"0%")</f>
        <v>1</v>
      </c>
      <c r="L544" s="31" t="str" cm="1">
        <f t="array" aca="1" ref="L5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44" s="50"/>
      <c r="N544" s="30"/>
      <c r="O544" s="42">
        <f t="shared" si="28"/>
        <v>2024</v>
      </c>
      <c r="P544" s="42" t="str">
        <f t="shared" si="29"/>
        <v>202410101/2024</v>
      </c>
      <c r="Q544" s="42">
        <v>1</v>
      </c>
    </row>
    <row r="545" spans="1:17" ht="45" hidden="1">
      <c r="A545" s="387" t="s">
        <v>384</v>
      </c>
      <c r="B545" s="312" t="str">
        <f>IFERROR(INDEX(Projetos!$B$3:$B$129,MATCH(A545,Projetos!$A$3:$A$129,0))," ")</f>
        <v>Integra - Serviço de Monitoramento de Atos do CNJ</v>
      </c>
      <c r="D545" s="48">
        <v>0.68</v>
      </c>
      <c r="E545" s="48">
        <v>0.68</v>
      </c>
      <c r="F545" s="49">
        <v>45657</v>
      </c>
      <c r="G545" s="28">
        <v>45627</v>
      </c>
      <c r="H545" s="51" t="str">
        <f t="shared" si="27"/>
        <v>04137/202445627</v>
      </c>
      <c r="I545" s="38">
        <f>IFERROR(INDEX(Projetos!$M$2:$M$129,MATCH(Atualizações!A545,Projetos!$A$2:$A$129,0))," ")</f>
        <v>46285</v>
      </c>
      <c r="J545" s="61" t="s">
        <v>1329</v>
      </c>
      <c r="K545" s="344">
        <f>IFERROR(Tb_Atualizações[[#This Row],[% EXECUTADO]]/Tb_Atualizações[[#This Row],[% PREVISTO]],"0%")</f>
        <v>1</v>
      </c>
      <c r="L545" s="31" t="str" cm="1">
        <f t="array" aca="1" ref="L5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45" s="50"/>
      <c r="N545" s="30"/>
      <c r="O545" s="42">
        <f t="shared" si="28"/>
        <v>2024</v>
      </c>
      <c r="P545" s="42" t="str">
        <f t="shared" si="29"/>
        <v>202404137/2024</v>
      </c>
      <c r="Q545" s="42">
        <v>1</v>
      </c>
    </row>
    <row r="546" spans="1:17" ht="30" hidden="1">
      <c r="A546" s="46" t="s">
        <v>70</v>
      </c>
      <c r="B546" s="312" t="str">
        <f>IFERROR(INDEX(Projetos!$B$3:$B$129,MATCH(A546,Projetos!$A$3:$A$129,0))," ")</f>
        <v>Mapa Nacional do Tribunal do Júri</v>
      </c>
      <c r="D546" s="48">
        <v>0.53</v>
      </c>
      <c r="E546" s="48">
        <v>0.56000000000000005</v>
      </c>
      <c r="F546" s="49">
        <v>45657</v>
      </c>
      <c r="G546" s="28">
        <v>45627</v>
      </c>
      <c r="H546" s="51" t="str">
        <f t="shared" si="27"/>
        <v>00139/202445627</v>
      </c>
      <c r="I546" s="38">
        <f>IFERROR(INDEX(Projetos!$M$2:$M$129,MATCH(Atualizações!A546,Projetos!$A$2:$A$129,0))," ")</f>
        <v>46658</v>
      </c>
      <c r="J546" s="61" t="s">
        <v>1330</v>
      </c>
      <c r="K546" s="344">
        <f>IFERROR(Tb_Atualizações[[#This Row],[% EXECUTADO]]/Tb_Atualizações[[#This Row],[% PREVISTO]],"0%")</f>
        <v>1.0566037735849056</v>
      </c>
      <c r="L546" s="31" t="str" cm="1">
        <f t="array" aca="1" ref="L5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46" s="50"/>
      <c r="N546" s="30"/>
      <c r="O546" s="42">
        <f t="shared" si="28"/>
        <v>2024</v>
      </c>
      <c r="P546" s="42" t="str">
        <f t="shared" si="29"/>
        <v>202400139/2024</v>
      </c>
      <c r="Q546" s="42">
        <v>1</v>
      </c>
    </row>
    <row r="547" spans="1:17" ht="30" hidden="1">
      <c r="A547" s="46" t="s">
        <v>182</v>
      </c>
      <c r="B547" s="312" t="str">
        <f>IFERROR(INDEX(Projetos!$B$3:$B$129,MATCH(A547,Projetos!$A$3:$A$129,0))," ")</f>
        <v xml:space="preserve">Mineração de Processos do Pje </v>
      </c>
      <c r="D547" s="48">
        <v>0.95</v>
      </c>
      <c r="E547" s="48">
        <v>0.95</v>
      </c>
      <c r="F547" s="49">
        <v>45657</v>
      </c>
      <c r="G547" s="28">
        <v>45627</v>
      </c>
      <c r="H547" s="51" t="str">
        <f t="shared" si="27"/>
        <v>01764/202045627</v>
      </c>
      <c r="I547" s="38">
        <f>IFERROR(INDEX(Projetos!$M$2:$M$129,MATCH(Atualizações!A547,Projetos!$A$2:$A$129,0))," ")</f>
        <v>46630</v>
      </c>
      <c r="J547" s="61" t="s">
        <v>1330</v>
      </c>
      <c r="K547" s="344">
        <f>IFERROR(Tb_Atualizações[[#This Row],[% EXECUTADO]]/Tb_Atualizações[[#This Row],[% PREVISTO]],"0%")</f>
        <v>1</v>
      </c>
      <c r="L547" s="31" t="str" cm="1">
        <f t="array" aca="1" ref="L5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47" s="50"/>
      <c r="N547" s="30"/>
      <c r="O547" s="42">
        <f t="shared" si="28"/>
        <v>2024</v>
      </c>
      <c r="P547" s="42" t="str">
        <f t="shared" si="29"/>
        <v>202401764/2020</v>
      </c>
      <c r="Q547" s="42">
        <v>1</v>
      </c>
    </row>
    <row r="548" spans="1:17" ht="45" hidden="1">
      <c r="A548" s="46" t="s">
        <v>376</v>
      </c>
      <c r="B548" s="312" t="str">
        <f>IFERROR(INDEX(Projetos!$B$3:$B$129,MATCH(A548,Projetos!$A$3:$A$129,0))," ")</f>
        <v>Nacionalização SAREF - Sistema de Apresentação Remota por Reconhecimento Facial</v>
      </c>
      <c r="D548" s="48">
        <v>1</v>
      </c>
      <c r="E548" s="48">
        <v>0.49</v>
      </c>
      <c r="F548" s="49">
        <v>45657</v>
      </c>
      <c r="G548" s="28">
        <v>45627</v>
      </c>
      <c r="H548" s="51" t="str">
        <f t="shared" si="27"/>
        <v>03924/202345627</v>
      </c>
      <c r="I548" s="38">
        <f>IFERROR(INDEX(Projetos!$M$2:$M$129,MATCH(Atualizações!A548,Projetos!$A$2:$A$129,0))," ")</f>
        <v>45565</v>
      </c>
      <c r="J548" s="61" t="s">
        <v>1329</v>
      </c>
      <c r="K548" s="344">
        <f>IFERROR(Tb_Atualizações[[#This Row],[% EXECUTADO]]/Tb_Atualizações[[#This Row],[% PREVISTO]],"0%")</f>
        <v>0.49</v>
      </c>
      <c r="L548" s="31" t="str" cm="1">
        <f t="array" aca="1" ref="L5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48" s="50"/>
      <c r="N548" s="30"/>
      <c r="O548" s="42">
        <f t="shared" si="28"/>
        <v>2024</v>
      </c>
      <c r="P548" s="42" t="str">
        <f t="shared" si="29"/>
        <v>202403924/2023</v>
      </c>
      <c r="Q548" s="42">
        <v>1</v>
      </c>
    </row>
    <row r="549" spans="1:17" ht="45" hidden="1">
      <c r="A549" s="46" t="s">
        <v>589</v>
      </c>
      <c r="B549" s="312" t="str">
        <f>IFERROR(INDEX(Projetos!$B$3:$B$129,MATCH(A549,Projetos!$A$3:$A$129,0))," ")</f>
        <v>Pacto Nacional do Judiciário pelos Direitos Humanos - 2ª Fase</v>
      </c>
      <c r="D549" s="48">
        <v>0.46</v>
      </c>
      <c r="E549" s="48">
        <v>0.46</v>
      </c>
      <c r="F549" s="49">
        <v>45657</v>
      </c>
      <c r="G549" s="28">
        <v>45627</v>
      </c>
      <c r="H549" s="51" t="str">
        <f t="shared" si="27"/>
        <v>10926/202445627</v>
      </c>
      <c r="I549" s="38">
        <f>IFERROR(INDEX(Projetos!$M$2:$M$129,MATCH(Atualizações!A549,Projetos!$A$2:$A$129,0))," ")</f>
        <v>46233</v>
      </c>
      <c r="J549" s="61" t="s">
        <v>1329</v>
      </c>
      <c r="K549" s="344">
        <f>IFERROR(Tb_Atualizações[[#This Row],[% EXECUTADO]]/Tb_Atualizações[[#This Row],[% PREVISTO]],"0%")</f>
        <v>1</v>
      </c>
      <c r="L549" s="31" t="str" cm="1">
        <f t="array" aca="1" ref="L5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49" s="50"/>
      <c r="N549" s="30"/>
      <c r="O549" s="42">
        <f t="shared" si="28"/>
        <v>2024</v>
      </c>
      <c r="P549" s="42" t="str">
        <f t="shared" si="29"/>
        <v>202410926/2024</v>
      </c>
      <c r="Q549" s="42">
        <v>1</v>
      </c>
    </row>
    <row r="550" spans="1:17" ht="45" hidden="1">
      <c r="A550" s="73" t="s">
        <v>350</v>
      </c>
      <c r="B550" s="312" t="str">
        <f>IFERROR(INDEX(Projetos!$B$3:$B$129,MATCH(A550,Projetos!$A$3:$A$129,0))," ")</f>
        <v>Painel de Estatística   - Justiça 4.0</v>
      </c>
      <c r="D550" s="48">
        <v>0.99</v>
      </c>
      <c r="E550" s="48">
        <v>0.93899999999999995</v>
      </c>
      <c r="F550" s="49">
        <v>45657</v>
      </c>
      <c r="G550" s="28">
        <v>45627</v>
      </c>
      <c r="H550" s="51" t="str">
        <f t="shared" si="27"/>
        <v>03545/202145627</v>
      </c>
      <c r="I550" s="38">
        <f>IFERROR(INDEX(Projetos!$M$2:$M$129,MATCH(Atualizações!A550,Projetos!$A$2:$A$129,0))," ")</f>
        <v>46387</v>
      </c>
      <c r="J550" s="61" t="s">
        <v>1329</v>
      </c>
      <c r="K550" s="344">
        <f>IFERROR(Tb_Atualizações[[#This Row],[% EXECUTADO]]/Tb_Atualizações[[#This Row],[% PREVISTO]],"0%")</f>
        <v>0.94848484848484849</v>
      </c>
      <c r="L550" s="31" t="str" cm="1">
        <f t="array" aca="1" ref="L5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50" s="50"/>
      <c r="N550" s="30"/>
      <c r="O550" s="42">
        <f t="shared" si="28"/>
        <v>2024</v>
      </c>
      <c r="P550" s="42" t="str">
        <f t="shared" si="29"/>
        <v>202403545/2021</v>
      </c>
      <c r="Q550" s="42">
        <v>1</v>
      </c>
    </row>
    <row r="551" spans="1:17" ht="45" hidden="1">
      <c r="A551" s="71" t="s">
        <v>83</v>
      </c>
      <c r="B551" s="312" t="str">
        <f>IFERROR(INDEX(Projetos!$B$3:$B$129,MATCH(A551,Projetos!$A$3:$A$129,0))," ")</f>
        <v>Painel do Programa Desjudicializa</v>
      </c>
      <c r="D551" s="48">
        <v>0.85</v>
      </c>
      <c r="E551" s="48">
        <v>0.75</v>
      </c>
      <c r="F551" s="49">
        <v>45657</v>
      </c>
      <c r="G551" s="28">
        <v>45627</v>
      </c>
      <c r="H551" s="51" t="str">
        <f t="shared" si="27"/>
        <v>00484/202445627</v>
      </c>
      <c r="I551" s="473">
        <f>IFERROR(INDEX(Projetos!$M$2:$M$129,MATCH(Atualizações!A551,Projetos!$A$2:$A$129,0))," ")</f>
        <v>46387</v>
      </c>
      <c r="J551" s="61" t="s">
        <v>1329</v>
      </c>
      <c r="K551" s="344">
        <f>IFERROR(Tb_Atualizações[[#This Row],[% EXECUTADO]]/Tb_Atualizações[[#This Row],[% PREVISTO]],"0%")</f>
        <v>0.88235294117647056</v>
      </c>
      <c r="L551" s="31" t="str" cm="1">
        <f t="array" aca="1" ref="L5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51" s="50"/>
      <c r="N551" s="30"/>
      <c r="O551" s="42">
        <f t="shared" si="28"/>
        <v>2024</v>
      </c>
      <c r="P551" s="42" t="str">
        <f t="shared" si="29"/>
        <v>202400484/2024</v>
      </c>
      <c r="Q551" s="42">
        <v>1</v>
      </c>
    </row>
    <row r="552" spans="1:17" ht="45" hidden="1">
      <c r="A552" s="401" t="s">
        <v>684</v>
      </c>
      <c r="B552" s="312" t="str">
        <f>IFERROR(INDEX(Projetos!$B$3:$B$129,MATCH(A552,Projetos!$A$3:$A$129,0))," ")</f>
        <v>Painel dos Grandes Litigantes</v>
      </c>
      <c r="D552" s="48">
        <v>0.97299999999999998</v>
      </c>
      <c r="E552" s="48">
        <v>0.96699999999999997</v>
      </c>
      <c r="F552" s="49">
        <v>45657</v>
      </c>
      <c r="G552" s="28">
        <v>45627</v>
      </c>
      <c r="H552" s="51" t="str">
        <f t="shared" si="27"/>
        <v>12135/202245627</v>
      </c>
      <c r="I552" s="38" t="str">
        <f>IFERROR(INDEX(Projetos!$M$2:$M$129,MATCH(Atualizações!A552,Projetos!$A$2:$A$129,0))," ")</f>
        <v>30/06/26</v>
      </c>
      <c r="J552" s="61" t="s">
        <v>1329</v>
      </c>
      <c r="K552" s="344">
        <f>IFERROR(Tb_Atualizações[[#This Row],[% EXECUTADO]]/Tb_Atualizações[[#This Row],[% PREVISTO]],"0%")</f>
        <v>0.99383350462487152</v>
      </c>
      <c r="L552" s="31" t="str" cm="1">
        <f t="array" aca="1" ref="L5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52" s="50"/>
      <c r="N552" s="30"/>
      <c r="O552" s="42">
        <f t="shared" si="28"/>
        <v>2024</v>
      </c>
      <c r="P552" s="42" t="str">
        <f t="shared" si="29"/>
        <v>202412135/2022</v>
      </c>
      <c r="Q552" s="42">
        <v>1</v>
      </c>
    </row>
    <row r="553" spans="1:17" ht="45" hidden="1">
      <c r="A553" s="46" t="s">
        <v>615</v>
      </c>
      <c r="B553" s="312" t="str">
        <f>IFERROR(INDEX(Projetos!$B$3:$B$129,MATCH(A553,Projetos!$A$3:$A$129,0))," ")</f>
        <v>Polícia Judicial Amiga dos Autistas</v>
      </c>
      <c r="D553" s="48">
        <v>0.96299999999999997</v>
      </c>
      <c r="E553" s="48">
        <v>0.95699999999999996</v>
      </c>
      <c r="F553" s="49">
        <v>45657</v>
      </c>
      <c r="G553" s="28">
        <v>45627</v>
      </c>
      <c r="H553" s="51" t="str">
        <f t="shared" si="27"/>
        <v>11340/202345627</v>
      </c>
      <c r="I553" s="38">
        <f>IFERROR(INDEX(Projetos!$M$2:$M$129,MATCH(Atualizações!A553,Projetos!$A$2:$A$129,0))," ")</f>
        <v>45688</v>
      </c>
      <c r="J553" s="61" t="s">
        <v>1329</v>
      </c>
      <c r="K553" s="344">
        <f>IFERROR(Tb_Atualizações[[#This Row],[% EXECUTADO]]/Tb_Atualizações[[#This Row],[% PREVISTO]],"0%")</f>
        <v>0.99376947040498442</v>
      </c>
      <c r="L553" s="31" t="str" cm="1">
        <f t="array" aca="1" ref="L5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53" s="50"/>
      <c r="N553" s="30"/>
      <c r="O553" s="42">
        <f t="shared" si="28"/>
        <v>2024</v>
      </c>
      <c r="P553" s="42" t="str">
        <f t="shared" si="29"/>
        <v>202411340/2023</v>
      </c>
      <c r="Q553" s="42">
        <v>1</v>
      </c>
    </row>
    <row r="554" spans="1:17" ht="45" hidden="1">
      <c r="A554" s="46" t="s">
        <v>523</v>
      </c>
      <c r="B554" s="312" t="str">
        <f>IFERROR(INDEX(Projetos!$B$3:$B$129,MATCH(A554,Projetos!$A$3:$A$129,0))," ")</f>
        <v>Portal Jus BR</v>
      </c>
      <c r="D554" s="48">
        <v>0.72</v>
      </c>
      <c r="E554" s="48">
        <v>0.71699999999999997</v>
      </c>
      <c r="F554" s="49">
        <v>45657</v>
      </c>
      <c r="G554" s="28">
        <v>45627</v>
      </c>
      <c r="H554" s="51" t="str">
        <f t="shared" si="27"/>
        <v>09536/202445627</v>
      </c>
      <c r="I554" s="38" t="str">
        <f>IFERROR(INDEX(Projetos!$M$2:$M$129,MATCH(Atualizações!A554,Projetos!$A$2:$A$129,0))," ")</f>
        <v>30/10/2025</v>
      </c>
      <c r="J554" s="61" t="s">
        <v>1329</v>
      </c>
      <c r="K554" s="344">
        <f>IFERROR(Tb_Atualizações[[#This Row],[% EXECUTADO]]/Tb_Atualizações[[#This Row],[% PREVISTO]],"0%")</f>
        <v>0.99583333333333335</v>
      </c>
      <c r="L554" s="31" t="str" cm="1">
        <f t="array" aca="1" ref="L5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54" s="50"/>
      <c r="N554" s="30"/>
      <c r="O554" s="42">
        <f t="shared" si="28"/>
        <v>2024</v>
      </c>
      <c r="P554" s="42" t="str">
        <f t="shared" si="29"/>
        <v>202409536/2024</v>
      </c>
      <c r="Q554" s="42">
        <v>1</v>
      </c>
    </row>
    <row r="555" spans="1:17" ht="30" hidden="1">
      <c r="A555" s="46" t="s">
        <v>257</v>
      </c>
      <c r="B555" s="312" t="str">
        <f>IFERROR(INDEX(Projetos!$B$3:$B$129,MATCH(A555,Projetos!$A$3:$A$129,0))," ")</f>
        <v>SisPreq – Sistema de Precatórios e Requisições de Pequeno Valor</v>
      </c>
      <c r="D555" s="48">
        <v>0.58199999999999996</v>
      </c>
      <c r="E555" s="48">
        <v>0.52100000000000002</v>
      </c>
      <c r="F555" s="49">
        <v>45657</v>
      </c>
      <c r="G555" s="28">
        <v>45627</v>
      </c>
      <c r="H555" s="51" t="str">
        <f t="shared" si="27"/>
        <v>02465/202445627</v>
      </c>
      <c r="I555" s="38" t="str">
        <f>IFERROR(INDEX(Projetos!$M$2:$M$129,MATCH(Atualizações!A555,Projetos!$A$2:$A$129,0))," ")</f>
        <v>15/12/2026</v>
      </c>
      <c r="J555" s="61" t="s">
        <v>1331</v>
      </c>
      <c r="K555" s="344">
        <f>IFERROR(Tb_Atualizações[[#This Row],[% EXECUTADO]]/Tb_Atualizações[[#This Row],[% PREVISTO]],"0%")</f>
        <v>0.89518900343642616</v>
      </c>
      <c r="L555" s="31" t="str" cm="1">
        <f t="array" aca="1" ref="L5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55" s="50"/>
      <c r="N555" s="30"/>
      <c r="O555" s="42">
        <f t="shared" si="28"/>
        <v>2024</v>
      </c>
      <c r="P555" s="42" t="str">
        <f t="shared" si="29"/>
        <v>202402465/2024</v>
      </c>
      <c r="Q555" s="42">
        <v>1</v>
      </c>
    </row>
    <row r="556" spans="1:17" ht="45" hidden="1">
      <c r="A556" s="46" t="s">
        <v>273</v>
      </c>
      <c r="B556" s="312" t="str">
        <f>IFERROR(INDEX(Projetos!$B$3:$B$129,MATCH(A556,Projetos!$A$3:$A$129,0))," ")</f>
        <v>SNA – Novo Sistema Nacional de Adoção e Acolhimento</v>
      </c>
      <c r="D556" s="394">
        <v>0.54400000000000004</v>
      </c>
      <c r="E556" s="48">
        <v>0.22800000000000001</v>
      </c>
      <c r="F556" s="49">
        <v>45657</v>
      </c>
      <c r="G556" s="28">
        <v>45627</v>
      </c>
      <c r="H556" s="51" t="str">
        <f t="shared" si="27"/>
        <v>02483/202345627</v>
      </c>
      <c r="I556" s="38">
        <f>IFERROR(INDEX(Projetos!$M$2:$M$129,MATCH(Atualizações!A556,Projetos!$A$2:$A$129,0))," ")</f>
        <v>46022</v>
      </c>
      <c r="J556" s="61" t="s">
        <v>1329</v>
      </c>
      <c r="K556" s="344">
        <f>IFERROR(Tb_Atualizações[[#This Row],[% EXECUTADO]]/Tb_Atualizações[[#This Row],[% PREVISTO]],"0%")</f>
        <v>0.41911764705882354</v>
      </c>
      <c r="L556" s="31" t="str" cm="1">
        <f t="array" aca="1" ref="L5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56" s="50"/>
      <c r="N556" s="30"/>
      <c r="O556" s="42">
        <f t="shared" si="28"/>
        <v>2024</v>
      </c>
      <c r="P556" s="42" t="str">
        <f t="shared" si="29"/>
        <v>202402483/2023</v>
      </c>
      <c r="Q556" s="42">
        <v>1</v>
      </c>
    </row>
    <row r="557" spans="1:17" ht="45" hidden="1">
      <c r="A557" s="399" t="s">
        <v>458</v>
      </c>
      <c r="B557" s="312" t="str">
        <f>IFERROR(INDEX(Projetos!$B$3:$B$129,MATCH(A557,Projetos!$A$3:$A$129,0))," ")</f>
        <v>SNGB - Melhorias evolutivas</v>
      </c>
      <c r="D557" s="48">
        <v>0.377</v>
      </c>
      <c r="E557" s="48">
        <v>0.36399999999999999</v>
      </c>
      <c r="F557" s="49">
        <v>45657</v>
      </c>
      <c r="G557" s="28">
        <v>45627</v>
      </c>
      <c r="H557" s="51" t="str">
        <f t="shared" si="27"/>
        <v>08370/202445627</v>
      </c>
      <c r="I557" s="473">
        <f>IFERROR(INDEX(Projetos!$M$2:$M$129,MATCH(Atualizações!A557,Projetos!$A$2:$A$129,0))," ")</f>
        <v>46101</v>
      </c>
      <c r="J557" s="61" t="s">
        <v>1329</v>
      </c>
      <c r="K557" s="344">
        <f>IFERROR(Tb_Atualizações[[#This Row],[% EXECUTADO]]/Tb_Atualizações[[#This Row],[% PREVISTO]],"0%")</f>
        <v>0.96551724137931028</v>
      </c>
      <c r="L557" s="31" t="str" cm="1">
        <f t="array" aca="1" ref="L5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57" s="50"/>
      <c r="N557" s="30"/>
      <c r="O557" s="42">
        <f t="shared" si="28"/>
        <v>2024</v>
      </c>
      <c r="P557" s="42" t="str">
        <f t="shared" si="29"/>
        <v>202408370/2024</v>
      </c>
      <c r="Q557" s="42">
        <v>1</v>
      </c>
    </row>
    <row r="558" spans="1:17" ht="15" hidden="1">
      <c r="A558" s="46" t="s">
        <v>257</v>
      </c>
      <c r="B558" s="312" t="str">
        <f>IFERROR(INDEX(Projetos!$B$3:$B$129,MATCH(A558,Projetos!$A$3:$A$129,0))," ")</f>
        <v>SisPreq – Sistema de Precatórios e Requisições de Pequeno Valor</v>
      </c>
      <c r="D558" s="48">
        <v>0.58199999999999996</v>
      </c>
      <c r="E558" s="48">
        <v>0.52100000000000002</v>
      </c>
      <c r="F558" s="49">
        <v>45660</v>
      </c>
      <c r="G558" s="28">
        <v>45627</v>
      </c>
      <c r="H558" s="51" t="str">
        <f t="shared" si="27"/>
        <v>02465/202445627</v>
      </c>
      <c r="I558" s="38" t="str">
        <f>IFERROR(INDEX(Projetos!$M$2:$M$129,MATCH(Atualizações!A558,Projetos!$A$2:$A$129,0))," ")</f>
        <v>15/12/2026</v>
      </c>
      <c r="J558" s="61"/>
      <c r="K558" s="344">
        <f>IFERROR(Tb_Atualizações[[#This Row],[% EXECUTADO]]/Tb_Atualizações[[#This Row],[% PREVISTO]],"0%")</f>
        <v>0.89518900343642616</v>
      </c>
      <c r="L558" s="31" t="str" cm="1">
        <f t="array" aca="1" ref="L5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58" s="50"/>
      <c r="N558" s="30"/>
      <c r="O558" s="42">
        <f t="shared" si="28"/>
        <v>2025</v>
      </c>
      <c r="P558" s="42" t="str">
        <f t="shared" si="29"/>
        <v>202502465/2024</v>
      </c>
      <c r="Q558" s="42">
        <v>1</v>
      </c>
    </row>
    <row r="559" spans="1:17" ht="15" hidden="1">
      <c r="A559" s="399" t="s">
        <v>458</v>
      </c>
      <c r="B559" s="312" t="str">
        <f>IFERROR(INDEX(Projetos!$B$3:$B$129,MATCH(A559,Projetos!$A$3:$A$129,0))," ")</f>
        <v>SNGB - Melhorias evolutivas</v>
      </c>
      <c r="D559" s="48">
        <v>0.377</v>
      </c>
      <c r="E559" s="48">
        <v>0.36399999999999999</v>
      </c>
      <c r="F559" s="49">
        <v>45663</v>
      </c>
      <c r="G559" s="28">
        <v>45627</v>
      </c>
      <c r="H559" s="51" t="str">
        <f t="shared" si="27"/>
        <v>08370/202445627</v>
      </c>
      <c r="I559" s="473">
        <f>IFERROR(INDEX(Projetos!$M$2:$M$129,MATCH(Atualizações!A559,Projetos!$A$2:$A$129,0))," ")</f>
        <v>46101</v>
      </c>
      <c r="J559" s="61"/>
      <c r="K559" s="344">
        <f>IFERROR(Tb_Atualizações[[#This Row],[% EXECUTADO]]/Tb_Atualizações[[#This Row],[% PREVISTO]],"0%")</f>
        <v>0.96551724137931028</v>
      </c>
      <c r="L559" s="31" t="str" cm="1">
        <f t="array" aca="1" ref="L5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59" s="50"/>
      <c r="N559" s="30"/>
      <c r="O559" s="42">
        <f t="shared" si="28"/>
        <v>2025</v>
      </c>
      <c r="P559" s="42" t="str">
        <f t="shared" si="29"/>
        <v>202508370/2024</v>
      </c>
      <c r="Q559" s="42">
        <v>1</v>
      </c>
    </row>
    <row r="560" spans="1:17" ht="45" hidden="1">
      <c r="A560" s="46" t="s">
        <v>644</v>
      </c>
      <c r="B560" s="312" t="str">
        <f>IFERROR(INDEX(Projetos!$B$3:$B$129,MATCH(A560,Projetos!$A$3:$A$129,0))," ")</f>
        <v>BNP/Pangea</v>
      </c>
      <c r="D560" s="48">
        <v>0.8</v>
      </c>
      <c r="E560" s="48">
        <v>0.71199999999999997</v>
      </c>
      <c r="F560" s="49">
        <v>45664</v>
      </c>
      <c r="G560" s="28">
        <v>45627</v>
      </c>
      <c r="H560" s="51" t="str">
        <f t="shared" si="27"/>
        <v>11645/202245627</v>
      </c>
      <c r="I560" s="38" t="str">
        <f>IFERROR(INDEX(Projetos!$M$2:$M$129,MATCH(Atualizações!A560,Projetos!$A$2:$A$129,0))," ")</f>
        <v>23/12/2026</v>
      </c>
      <c r="J560" s="61" t="s">
        <v>1329</v>
      </c>
      <c r="K560" s="344">
        <f>IFERROR(Tb_Atualizações[[#This Row],[% EXECUTADO]]/Tb_Atualizações[[#This Row],[% PREVISTO]],"0%")</f>
        <v>0.8899999999999999</v>
      </c>
      <c r="L560" s="31" t="str" cm="1">
        <f t="array" aca="1" ref="L5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60" s="50"/>
      <c r="N560" s="30"/>
      <c r="O560" s="42">
        <f t="shared" si="28"/>
        <v>2025</v>
      </c>
      <c r="P560" s="42" t="str">
        <f t="shared" si="29"/>
        <v>202511645/2022</v>
      </c>
      <c r="Q560" s="42">
        <v>1</v>
      </c>
    </row>
    <row r="561" spans="1:17" ht="45" hidden="1">
      <c r="A561" s="46" t="s">
        <v>209</v>
      </c>
      <c r="B561" s="312" t="str">
        <f>IFERROR(INDEX(Projetos!$B$3:$B$129,MATCH(A561,Projetos!$A$3:$A$129,0))," ")</f>
        <v>Capacitação técnica para desenvolvedores nas tecnologias da PDPJ - BR</v>
      </c>
      <c r="D561" s="48">
        <v>0.89500000000000002</v>
      </c>
      <c r="E561" s="48">
        <v>0.89500000000000002</v>
      </c>
      <c r="F561" s="49">
        <v>45664</v>
      </c>
      <c r="G561" s="28">
        <v>45627</v>
      </c>
      <c r="H561" s="51" t="str">
        <f t="shared" si="27"/>
        <v>01945/202245627</v>
      </c>
      <c r="I561" s="38">
        <f>IFERROR(INDEX(Projetos!$M$2:$M$129,MATCH(Atualizações!A561,Projetos!$A$2:$A$129,0))," ")</f>
        <v>45866</v>
      </c>
      <c r="J561" s="61" t="s">
        <v>1329</v>
      </c>
      <c r="K561" s="344">
        <f>IFERROR(Tb_Atualizações[[#This Row],[% EXECUTADO]]/Tb_Atualizações[[#This Row],[% PREVISTO]],"0%")</f>
        <v>1</v>
      </c>
      <c r="L561" s="31" t="str" cm="1">
        <f t="array" aca="1" ref="L5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61" s="50"/>
      <c r="N561" s="30"/>
      <c r="O561" s="42">
        <f t="shared" si="28"/>
        <v>2025</v>
      </c>
      <c r="P561" s="42" t="str">
        <f t="shared" si="29"/>
        <v>202501945/2022</v>
      </c>
      <c r="Q561" s="42">
        <v>1</v>
      </c>
    </row>
    <row r="562" spans="1:17" ht="30" hidden="1">
      <c r="A562" s="71" t="s">
        <v>416</v>
      </c>
      <c r="B562" s="312" t="str">
        <f>IFERROR(INDEX(Projetos!$B$3:$B$129,MATCH(A562,Projetos!$A$3:$A$129,0))," ")</f>
        <v>Conecta</v>
      </c>
      <c r="D562" s="48">
        <v>0.43</v>
      </c>
      <c r="E562" s="48">
        <v>0.222</v>
      </c>
      <c r="F562" s="49">
        <v>45664</v>
      </c>
      <c r="G562" s="28">
        <v>45627</v>
      </c>
      <c r="H562" s="51" t="str">
        <f t="shared" si="27"/>
        <v>05578/202445627</v>
      </c>
      <c r="I562" s="38" t="str">
        <f>IFERROR(INDEX(Projetos!$M$2:$M$129,MATCH(Atualizações!A562,Projetos!$A$2:$A$129,0))," ")</f>
        <v>31/12/2026</v>
      </c>
      <c r="J562" s="61"/>
      <c r="K562" s="344">
        <f>IFERROR(Tb_Atualizações[[#This Row],[% EXECUTADO]]/Tb_Atualizações[[#This Row],[% PREVISTO]],"0%")</f>
        <v>0.51627906976744187</v>
      </c>
      <c r="L562" s="31" t="str" cm="1">
        <f t="array" aca="1" ref="L5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62" s="50"/>
      <c r="N562" s="30"/>
      <c r="O562" s="42">
        <f t="shared" si="28"/>
        <v>2025</v>
      </c>
      <c r="P562" s="42" t="str">
        <f t="shared" si="29"/>
        <v>202505578/2024</v>
      </c>
      <c r="Q562" s="42">
        <v>1</v>
      </c>
    </row>
    <row r="563" spans="1:17" ht="45" hidden="1">
      <c r="A563" s="46" t="s">
        <v>549</v>
      </c>
      <c r="B563" s="312" t="str">
        <f>IFERROR(INDEX(Projetos!$B$3:$B$129,MATCH(A563,Projetos!$A$3:$A$129,0))," ")</f>
        <v>Fluxo Nacional Automatizado das Execuções Fiscais (EFIN)</v>
      </c>
      <c r="D563" s="48">
        <v>0.66600000000000004</v>
      </c>
      <c r="E563" s="48">
        <v>0.628</v>
      </c>
      <c r="F563" s="49">
        <v>45664</v>
      </c>
      <c r="G563" s="28">
        <v>45627</v>
      </c>
      <c r="H563" s="51" t="str">
        <f t="shared" si="27"/>
        <v>09796/202445627</v>
      </c>
      <c r="I563" s="38">
        <f>IFERROR(INDEX(Projetos!$M$2:$M$129,MATCH(Atualizações!A563,Projetos!$A$2:$A$129,0))," ")</f>
        <v>46226</v>
      </c>
      <c r="J563" s="61" t="s">
        <v>1329</v>
      </c>
      <c r="K563" s="344">
        <f>IFERROR(Tb_Atualizações[[#This Row],[% EXECUTADO]]/Tb_Atualizações[[#This Row],[% PREVISTO]],"0%")</f>
        <v>0.9429429429429429</v>
      </c>
      <c r="L563" s="31" t="str" cm="1">
        <f t="array" aca="1" ref="L5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63" s="50"/>
      <c r="N563" s="30"/>
      <c r="O563" s="42">
        <f t="shared" si="28"/>
        <v>2025</v>
      </c>
      <c r="P563" s="42" t="str">
        <f t="shared" si="29"/>
        <v>202509796/2024</v>
      </c>
      <c r="Q563" s="42">
        <v>1</v>
      </c>
    </row>
    <row r="564" spans="1:17" ht="45" hidden="1">
      <c r="A564" s="46" t="s">
        <v>229</v>
      </c>
      <c r="B564" s="312" t="str">
        <f>IFERROR(INDEX(Projetos!$B$3:$B$129,MATCH(A564,Projetos!$A$3:$A$129,0))," ")</f>
        <v>Gabinete do Juízo</v>
      </c>
      <c r="D564" s="48">
        <v>0.748</v>
      </c>
      <c r="E564" s="48">
        <v>0.73</v>
      </c>
      <c r="F564" s="49">
        <v>45664</v>
      </c>
      <c r="G564" s="28">
        <v>45627</v>
      </c>
      <c r="H564" s="51" t="str">
        <f t="shared" si="27"/>
        <v>02080/202345627</v>
      </c>
      <c r="I564" s="38">
        <f>IFERROR(INDEX(Projetos!$M$2:$M$129,MATCH(Atualizações!A564,Projetos!$A$2:$A$129,0))," ")</f>
        <v>46379</v>
      </c>
      <c r="J564" s="61" t="s">
        <v>1329</v>
      </c>
      <c r="K564" s="344">
        <f>IFERROR(Tb_Atualizações[[#This Row],[% EXECUTADO]]/Tb_Atualizações[[#This Row],[% PREVISTO]],"0%")</f>
        <v>0.97593582887700536</v>
      </c>
      <c r="L564" s="31" t="str" cm="1">
        <f t="array" aca="1" ref="L5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64" s="50"/>
      <c r="N564" s="30"/>
      <c r="O564" s="42">
        <f t="shared" si="28"/>
        <v>2025</v>
      </c>
      <c r="P564" s="42" t="str">
        <f t="shared" si="29"/>
        <v>202502080/2023</v>
      </c>
      <c r="Q564" s="42">
        <v>1</v>
      </c>
    </row>
    <row r="565" spans="1:17" ht="120" hidden="1">
      <c r="A565" s="46" t="s">
        <v>376</v>
      </c>
      <c r="B565" s="312" t="str">
        <f>IFERROR(INDEX(Projetos!$B$3:$B$129,MATCH(A565,Projetos!$A$3:$A$129,0))," ")</f>
        <v>Nacionalização SAREF - Sistema de Apresentação Remota por Reconhecimento Facial</v>
      </c>
      <c r="D565" s="48">
        <v>1</v>
      </c>
      <c r="E565" s="48">
        <v>0.49</v>
      </c>
      <c r="F565" s="49">
        <v>45664</v>
      </c>
      <c r="G565" s="28">
        <v>45627</v>
      </c>
      <c r="H565" s="51" t="str">
        <f t="shared" si="27"/>
        <v>03924/202345627</v>
      </c>
      <c r="I565" s="38">
        <f>IFERROR(INDEX(Projetos!$M$2:$M$129,MATCH(Atualizações!A565,Projetos!$A$2:$A$129,0))," ")</f>
        <v>45565</v>
      </c>
      <c r="J565" s="61" t="s">
        <v>1332</v>
      </c>
      <c r="K565" s="344">
        <f>IFERROR(Tb_Atualizações[[#This Row],[% EXECUTADO]]/Tb_Atualizações[[#This Row],[% PREVISTO]],"0%")</f>
        <v>0.49</v>
      </c>
      <c r="L565" s="31" t="str" cm="1">
        <f t="array" aca="1" ref="L5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65" s="50"/>
      <c r="N565" s="30"/>
      <c r="O565" s="42">
        <f t="shared" si="28"/>
        <v>2025</v>
      </c>
      <c r="P565" s="42" t="str">
        <f t="shared" si="29"/>
        <v>202503924/2023</v>
      </c>
      <c r="Q565" s="42">
        <v>1</v>
      </c>
    </row>
    <row r="566" spans="1:17" ht="15" hidden="1">
      <c r="A566" s="73" t="s">
        <v>350</v>
      </c>
      <c r="B566" s="312" t="str">
        <f>IFERROR(INDEX(Projetos!$B$3:$B$129,MATCH(A566,Projetos!$A$3:$A$129,0))," ")</f>
        <v>Painel de Estatística   - Justiça 4.0</v>
      </c>
      <c r="D566" s="48">
        <v>0.99</v>
      </c>
      <c r="E566" s="48">
        <v>0.93899999999999995</v>
      </c>
      <c r="F566" s="49">
        <v>45664</v>
      </c>
      <c r="G566" s="28">
        <v>45627</v>
      </c>
      <c r="H566" s="51" t="str">
        <f t="shared" si="27"/>
        <v>03545/202145627</v>
      </c>
      <c r="I566" s="38">
        <f>IFERROR(INDEX(Projetos!$M$2:$M$129,MATCH(Atualizações!A566,Projetos!$A$2:$A$129,0))," ")</f>
        <v>46387</v>
      </c>
      <c r="J566" s="61"/>
      <c r="K566" s="344">
        <f>IFERROR(Tb_Atualizações[[#This Row],[% EXECUTADO]]/Tb_Atualizações[[#This Row],[% PREVISTO]],"0%")</f>
        <v>0.94848484848484849</v>
      </c>
      <c r="L566" s="31" t="str" cm="1">
        <f t="array" aca="1" ref="L5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66" s="50"/>
      <c r="N566" s="30"/>
      <c r="O566" s="42">
        <f t="shared" si="28"/>
        <v>2025</v>
      </c>
      <c r="P566" s="42" t="str">
        <f t="shared" si="29"/>
        <v>202503545/2021</v>
      </c>
      <c r="Q566" s="42">
        <v>1</v>
      </c>
    </row>
    <row r="567" spans="1:17" ht="15" hidden="1">
      <c r="A567" s="71" t="s">
        <v>83</v>
      </c>
      <c r="B567" s="312" t="str">
        <f>IFERROR(INDEX(Projetos!$B$3:$B$129,MATCH(A567,Projetos!$A$3:$A$129,0))," ")</f>
        <v>Painel do Programa Desjudicializa</v>
      </c>
      <c r="D567" s="48">
        <v>0.85</v>
      </c>
      <c r="E567" s="48">
        <v>0.75</v>
      </c>
      <c r="F567" s="49">
        <v>45664</v>
      </c>
      <c r="G567" s="28">
        <v>45627</v>
      </c>
      <c r="H567" s="51" t="str">
        <f t="shared" si="27"/>
        <v>00484/202445627</v>
      </c>
      <c r="I567" s="473">
        <f>IFERROR(INDEX(Projetos!$M$2:$M$129,MATCH(Atualizações!A567,Projetos!$A$2:$A$129,0))," ")</f>
        <v>46387</v>
      </c>
      <c r="J567" s="61"/>
      <c r="K567" s="344">
        <f>IFERROR(Tb_Atualizações[[#This Row],[% EXECUTADO]]/Tb_Atualizações[[#This Row],[% PREVISTO]],"0%")</f>
        <v>0.88235294117647056</v>
      </c>
      <c r="L567" s="31" t="str" cm="1">
        <f t="array" aca="1" ref="L5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67" s="50"/>
      <c r="N567" s="30"/>
      <c r="O567" s="42">
        <f t="shared" si="28"/>
        <v>2025</v>
      </c>
      <c r="P567" s="42" t="str">
        <f t="shared" si="29"/>
        <v>202500484/2024</v>
      </c>
      <c r="Q567" s="42">
        <v>1</v>
      </c>
    </row>
    <row r="568" spans="1:17" ht="15" hidden="1">
      <c r="A568" s="401" t="s">
        <v>684</v>
      </c>
      <c r="B568" s="312" t="str">
        <f>IFERROR(INDEX(Projetos!$B$3:$B$129,MATCH(A568,Projetos!$A$3:$A$129,0))," ")</f>
        <v>Painel dos Grandes Litigantes</v>
      </c>
      <c r="D568" s="48">
        <v>0.97299999999999998</v>
      </c>
      <c r="E568" s="48">
        <v>0.96699999999999997</v>
      </c>
      <c r="F568" s="49">
        <v>45664</v>
      </c>
      <c r="G568" s="28">
        <v>45627</v>
      </c>
      <c r="H568" s="51" t="str">
        <f t="shared" si="27"/>
        <v>12135/202245627</v>
      </c>
      <c r="I568" s="38" t="str">
        <f>IFERROR(INDEX(Projetos!$M$2:$M$129,MATCH(Atualizações!A568,Projetos!$A$2:$A$129,0))," ")</f>
        <v>30/06/26</v>
      </c>
      <c r="J568" s="61"/>
      <c r="K568" s="344">
        <f>IFERROR(Tb_Atualizações[[#This Row],[% EXECUTADO]]/Tb_Atualizações[[#This Row],[% PREVISTO]],"0%")</f>
        <v>0.99383350462487152</v>
      </c>
      <c r="L568" s="31" t="str" cm="1">
        <f t="array" aca="1" ref="L5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68" s="50"/>
      <c r="N568" s="30"/>
      <c r="O568" s="42">
        <f t="shared" si="28"/>
        <v>2025</v>
      </c>
      <c r="P568" s="42" t="str">
        <f t="shared" si="29"/>
        <v>202512135/2022</v>
      </c>
      <c r="Q568" s="42">
        <v>1</v>
      </c>
    </row>
    <row r="569" spans="1:17" ht="45" hidden="1">
      <c r="A569" s="46" t="s">
        <v>358</v>
      </c>
      <c r="B569" s="312" t="str">
        <f>IFERROR(INDEX(Projetos!$B$3:$B$129,MATCH(A569,Projetos!$A$3:$A$129,0))," ")</f>
        <v>Prevjud - Automação de Processos Previdenciários - Justiça 4.0</v>
      </c>
      <c r="D569" s="48">
        <v>0.94199999999999995</v>
      </c>
      <c r="E569" s="48">
        <v>0.92200000000000004</v>
      </c>
      <c r="F569" s="49">
        <v>45664</v>
      </c>
      <c r="G569" s="28">
        <v>45627</v>
      </c>
      <c r="H569" s="51" t="str">
        <f t="shared" si="27"/>
        <v>03558/202145627</v>
      </c>
      <c r="I569" s="38" t="str">
        <f>IFERROR(INDEX(Projetos!$M$2:$M$129,MATCH(Atualizações!A569,Projetos!$A$2:$A$129,0))," ")</f>
        <v>31/03/2026</v>
      </c>
      <c r="J569" s="61" t="s">
        <v>1329</v>
      </c>
      <c r="K569" s="344">
        <f>IFERROR(Tb_Atualizações[[#This Row],[% EXECUTADO]]/Tb_Atualizações[[#This Row],[% PREVISTO]],"0%")</f>
        <v>0.97876857749469226</v>
      </c>
      <c r="L569" s="31" t="str" cm="1">
        <f t="array" aca="1" ref="L5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69" s="50"/>
      <c r="N569" s="30"/>
      <c r="O569" s="42">
        <f t="shared" si="28"/>
        <v>2025</v>
      </c>
      <c r="P569" s="42" t="str">
        <f t="shared" si="29"/>
        <v>202503558/2021</v>
      </c>
      <c r="Q569" s="42">
        <v>1</v>
      </c>
    </row>
    <row r="570" spans="1:17" ht="45" hidden="1">
      <c r="A570" s="46" t="s">
        <v>638</v>
      </c>
      <c r="B570" s="312" t="str">
        <f>IFERROR(INDEX(Projetos!$B$3:$B$129,MATCH(A570,Projetos!$A$3:$A$129,0))," ")</f>
        <v>Sisperjud</v>
      </c>
      <c r="D570" s="48">
        <v>0.80300000000000005</v>
      </c>
      <c r="E570" s="48">
        <v>0.80600000000000005</v>
      </c>
      <c r="F570" s="49">
        <v>45664</v>
      </c>
      <c r="G570" s="28">
        <v>45627</v>
      </c>
      <c r="H570" s="51" t="str">
        <f t="shared" si="27"/>
        <v>11644/202245627</v>
      </c>
      <c r="I570" s="38">
        <f>IFERROR(INDEX(Projetos!$M$2:$M$129,MATCH(Atualizações!A570,Projetos!$A$2:$A$129,0))," ")</f>
        <v>46352</v>
      </c>
      <c r="J570" s="61" t="s">
        <v>1329</v>
      </c>
      <c r="K570" s="344">
        <f>IFERROR(Tb_Atualizações[[#This Row],[% EXECUTADO]]/Tb_Atualizações[[#This Row],[% PREVISTO]],"0%")</f>
        <v>1.0037359900373599</v>
      </c>
      <c r="L570" s="31" t="str" cm="1">
        <f t="array" aca="1" ref="L5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70" s="50"/>
      <c r="N570" s="30"/>
      <c r="O570" s="42">
        <f t="shared" si="28"/>
        <v>2025</v>
      </c>
      <c r="P570" s="42" t="str">
        <f t="shared" si="29"/>
        <v>202511644/2022</v>
      </c>
      <c r="Q570" s="42">
        <v>1</v>
      </c>
    </row>
    <row r="571" spans="1:17" ht="30" hidden="1">
      <c r="A571" s="46" t="s">
        <v>273</v>
      </c>
      <c r="B571" s="312" t="str">
        <f>IFERROR(INDEX(Projetos!$B$3:$B$129,MATCH(A571,Projetos!$A$3:$A$129,0))," ")</f>
        <v>SNA – Novo Sistema Nacional de Adoção e Acolhimento</v>
      </c>
      <c r="D571" s="48">
        <v>0.54400000000000004</v>
      </c>
      <c r="E571" s="48">
        <v>0.22800000000000001</v>
      </c>
      <c r="F571" s="49">
        <v>45664</v>
      </c>
      <c r="G571" s="28">
        <v>45627</v>
      </c>
      <c r="H571" s="51" t="str">
        <f t="shared" si="27"/>
        <v>02483/202345627</v>
      </c>
      <c r="I571" s="38">
        <f>IFERROR(INDEX(Projetos!$M$2:$M$129,MATCH(Atualizações!A571,Projetos!$A$2:$A$129,0))," ")</f>
        <v>46022</v>
      </c>
      <c r="J571" s="61"/>
      <c r="K571" s="344">
        <f>IFERROR(Tb_Atualizações[[#This Row],[% EXECUTADO]]/Tb_Atualizações[[#This Row],[% PREVISTO]],"0%")</f>
        <v>0.41911764705882354</v>
      </c>
      <c r="L571" s="31" t="str" cm="1">
        <f t="array" aca="1" ref="L5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71" s="50"/>
      <c r="N571" s="30"/>
      <c r="O571" s="42">
        <f t="shared" si="28"/>
        <v>2025</v>
      </c>
      <c r="P571" s="42" t="str">
        <f t="shared" si="29"/>
        <v>202502483/2023</v>
      </c>
      <c r="Q571" s="42">
        <v>1</v>
      </c>
    </row>
    <row r="572" spans="1:17" ht="45" hidden="1">
      <c r="A572" s="46" t="s">
        <v>609</v>
      </c>
      <c r="B572" s="312" t="str">
        <f>IFERROR(INDEX(Projetos!$B$3:$B$129,MATCH(A572,Projetos!$A$3:$A$129,0))," ")</f>
        <v>SPVATJUD</v>
      </c>
      <c r="D572" s="48">
        <v>0.95699999999999996</v>
      </c>
      <c r="E572" s="48">
        <v>0.95799999999999996</v>
      </c>
      <c r="F572" s="49">
        <v>45664</v>
      </c>
      <c r="G572" s="28">
        <v>45627</v>
      </c>
      <c r="H572" s="51" t="str">
        <f t="shared" si="27"/>
        <v>11270/202245627</v>
      </c>
      <c r="I572" s="38">
        <f>IFERROR(INDEX(Projetos!$M$2:$M$129,MATCH(Atualizações!A572,Projetos!$A$2:$A$129,0))," ")</f>
        <v>45716</v>
      </c>
      <c r="J572" s="61" t="s">
        <v>1329</v>
      </c>
      <c r="K572" s="344">
        <f>IFERROR(Tb_Atualizações[[#This Row],[% EXECUTADO]]/Tb_Atualizações[[#This Row],[% PREVISTO]],"0%")</f>
        <v>1.0010449320794148</v>
      </c>
      <c r="L572" s="31" t="str" cm="1">
        <f t="array" aca="1" ref="L5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72" s="50"/>
      <c r="N572" s="30"/>
      <c r="O572" s="42">
        <f t="shared" si="28"/>
        <v>2025</v>
      </c>
      <c r="P572" s="42" t="str">
        <f t="shared" si="29"/>
        <v>202511270/2022</v>
      </c>
      <c r="Q572" s="42">
        <v>1</v>
      </c>
    </row>
    <row r="573" spans="1:17" ht="30" hidden="1">
      <c r="A573" s="399" t="s">
        <v>310</v>
      </c>
      <c r="B573" s="312" t="str">
        <f>IFERROR(INDEX(Projetos!$B$3:$B$129,MATCH(A573,Projetos!$A$3:$A$129,0))," ")</f>
        <v>Apoio a implantação de soluções da PDPJ-Br</v>
      </c>
      <c r="D573" s="214">
        <v>0.66100000000000003</v>
      </c>
      <c r="E573" s="48">
        <v>0.51900000000000002</v>
      </c>
      <c r="F573" s="49">
        <v>45665</v>
      </c>
      <c r="G573" s="28">
        <v>45627</v>
      </c>
      <c r="H573" s="51" t="str">
        <f t="shared" si="27"/>
        <v>02887/202445627</v>
      </c>
      <c r="I573" s="473">
        <f>IFERROR(INDEX(Projetos!$M$2:$M$129,MATCH(Atualizações!A573,Projetos!$A$2:$A$129,0))," ")</f>
        <v>46387</v>
      </c>
      <c r="J573" s="61"/>
      <c r="K573" s="344">
        <f>IFERROR(Tb_Atualizações[[#This Row],[% EXECUTADO]]/Tb_Atualizações[[#This Row],[% PREVISTO]],"0%")</f>
        <v>0.78517397881996975</v>
      </c>
      <c r="L573" s="31" t="str" cm="1">
        <f t="array" aca="1" ref="L5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73" s="50"/>
      <c r="N573" s="30"/>
      <c r="O573" s="42">
        <f t="shared" si="28"/>
        <v>2025</v>
      </c>
      <c r="P573" s="42" t="str">
        <f t="shared" si="29"/>
        <v>202502887/2024</v>
      </c>
      <c r="Q573" s="42">
        <v>1</v>
      </c>
    </row>
    <row r="574" spans="1:17" ht="30" hidden="1">
      <c r="A574" s="46" t="s">
        <v>539</v>
      </c>
      <c r="B574" s="312" t="str">
        <f>IFERROR(INDEX(Projetos!$B$3:$B$129,MATCH(A574,Projetos!$A$3:$A$129,0))," ")</f>
        <v>Desenvolvimento do módulo de Sessão de Julgamento (PDPJ-Br)</v>
      </c>
      <c r="D574" s="48">
        <v>0.64300000000000002</v>
      </c>
      <c r="E574" s="48">
        <v>0.35899999999999999</v>
      </c>
      <c r="F574" s="49">
        <v>45665</v>
      </c>
      <c r="G574" s="28">
        <v>45627</v>
      </c>
      <c r="H574" s="51" t="str">
        <f t="shared" si="27"/>
        <v>09630/202445627</v>
      </c>
      <c r="I574" s="473">
        <f>IFERROR(INDEX(Projetos!$M$2:$M$129,MATCH(Atualizações!A574,Projetos!$A$2:$A$129,0))," ")</f>
        <v>46387</v>
      </c>
      <c r="J574" s="61" t="s">
        <v>1333</v>
      </c>
      <c r="K574" s="344">
        <f>IFERROR(Tb_Atualizações[[#This Row],[% EXECUTADO]]/Tb_Atualizações[[#This Row],[% PREVISTO]],"0%")</f>
        <v>0.55832037325038875</v>
      </c>
      <c r="L574" s="31" t="str" cm="1">
        <f t="array" aca="1" ref="L5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74" s="50"/>
      <c r="N574" s="30"/>
      <c r="O574" s="42">
        <f t="shared" si="28"/>
        <v>2025</v>
      </c>
      <c r="P574" s="42" t="str">
        <f t="shared" si="29"/>
        <v>202509630/2024</v>
      </c>
      <c r="Q574" s="42">
        <v>1</v>
      </c>
    </row>
    <row r="575" spans="1:17" ht="135" hidden="1">
      <c r="A575" s="46" t="s">
        <v>698</v>
      </c>
      <c r="B575" s="312" t="str">
        <f>IFERROR(INDEX(Projetos!$B$3:$B$129,MATCH(A575,Projetos!$A$3:$A$129,0))," ")</f>
        <v>Escola Virtual do Poder Judiciário</v>
      </c>
      <c r="D575" s="48">
        <v>0.46</v>
      </c>
      <c r="E575" s="48">
        <v>0.3</v>
      </c>
      <c r="F575" s="49">
        <v>45665</v>
      </c>
      <c r="G575" s="28">
        <v>45627</v>
      </c>
      <c r="H575" s="51" t="str">
        <f t="shared" si="27"/>
        <v>13898/202445627</v>
      </c>
      <c r="I575" s="38">
        <f>IFERROR(INDEX(Projetos!$M$2:$M$129,MATCH(Atualizações!A575,Projetos!$A$2:$A$129,0))," ")</f>
        <v>45930</v>
      </c>
      <c r="J575" s="61" t="s">
        <v>1334</v>
      </c>
      <c r="K575" s="344">
        <f>IFERROR(Tb_Atualizações[[#This Row],[% EXECUTADO]]/Tb_Atualizações[[#This Row],[% PREVISTO]],"0%")</f>
        <v>0.65217391304347816</v>
      </c>
      <c r="L575" s="31" t="str" cm="1">
        <f t="array" aca="1" ref="L5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75" s="50"/>
      <c r="N575" s="30"/>
      <c r="O575" s="42">
        <f t="shared" si="28"/>
        <v>2025</v>
      </c>
      <c r="P575" s="42" t="str">
        <f t="shared" si="29"/>
        <v>202513898/2024</v>
      </c>
      <c r="Q575" s="42">
        <v>1</v>
      </c>
    </row>
    <row r="576" spans="1:17" ht="15" hidden="1">
      <c r="A576" s="387" t="s">
        <v>384</v>
      </c>
      <c r="B576" s="312" t="str">
        <f>IFERROR(INDEX(Projetos!$B$3:$B$129,MATCH(A576,Projetos!$A$3:$A$129,0))," ")</f>
        <v>Integra - Serviço de Monitoramento de Atos do CNJ</v>
      </c>
      <c r="D576" s="48">
        <v>0.68</v>
      </c>
      <c r="E576" s="48">
        <v>0.68</v>
      </c>
      <c r="F576" s="49">
        <v>45665</v>
      </c>
      <c r="G576" s="28">
        <v>45627</v>
      </c>
      <c r="H576" s="51" t="str">
        <f t="shared" si="27"/>
        <v>04137/202445627</v>
      </c>
      <c r="I576" s="38">
        <f>IFERROR(INDEX(Projetos!$M$2:$M$129,MATCH(Atualizações!A576,Projetos!$A$2:$A$129,0))," ")</f>
        <v>46285</v>
      </c>
      <c r="J576" s="61"/>
      <c r="K576" s="344">
        <f>IFERROR(Tb_Atualizações[[#This Row],[% EXECUTADO]]/Tb_Atualizações[[#This Row],[% PREVISTO]],"0%")</f>
        <v>1</v>
      </c>
      <c r="L576" s="31" t="str" cm="1">
        <f t="array" aca="1" ref="L5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76" s="50"/>
      <c r="N576" s="30"/>
      <c r="O576" s="42">
        <f t="shared" si="28"/>
        <v>2025</v>
      </c>
      <c r="P576" s="42" t="str">
        <f t="shared" si="29"/>
        <v>202504137/2024</v>
      </c>
      <c r="Q576" s="42">
        <v>1</v>
      </c>
    </row>
    <row r="577" spans="1:17" ht="45" hidden="1">
      <c r="A577" s="46" t="s">
        <v>247</v>
      </c>
      <c r="B577" s="312" t="str">
        <f>IFERROR(INDEX(Projetos!$B$3:$B$129,MATCH(A577,Projetos!$A$3:$A$129,0))," ")</f>
        <v>Portal de Serviços</v>
      </c>
      <c r="D577" s="48">
        <v>0.59399999999999997</v>
      </c>
      <c r="E577" s="48">
        <v>0.64100000000000001</v>
      </c>
      <c r="F577" s="49">
        <v>45665</v>
      </c>
      <c r="G577" s="28">
        <v>45627</v>
      </c>
      <c r="H577" s="51" t="str">
        <f t="shared" si="27"/>
        <v>02394/202445627</v>
      </c>
      <c r="I577" s="473">
        <f>IFERROR(INDEX(Projetos!$M$2:$M$129,MATCH(Atualizações!A577,Projetos!$A$2:$A$129,0))," ")</f>
        <v>46387</v>
      </c>
      <c r="J577" s="61" t="s">
        <v>1329</v>
      </c>
      <c r="K577" s="344">
        <f>IFERROR(Tb_Atualizações[[#This Row],[% EXECUTADO]]/Tb_Atualizações[[#This Row],[% PREVISTO]],"0%")</f>
        <v>1.0791245791245792</v>
      </c>
      <c r="L577" s="31" t="str" cm="1">
        <f t="array" aca="1" ref="L5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77" s="50"/>
      <c r="N577" s="30"/>
      <c r="O577" s="42">
        <f t="shared" si="28"/>
        <v>2025</v>
      </c>
      <c r="P577" s="42" t="str">
        <f t="shared" si="29"/>
        <v>202502394/2024</v>
      </c>
      <c r="Q577" s="42">
        <v>1</v>
      </c>
    </row>
    <row r="578" spans="1:17" ht="15" hidden="1">
      <c r="A578" s="46" t="s">
        <v>523</v>
      </c>
      <c r="B578" s="312" t="str">
        <f>IFERROR(INDEX(Projetos!$B$3:$B$129,MATCH(A578,Projetos!$A$3:$A$129,0))," ")</f>
        <v>Portal Jus BR</v>
      </c>
      <c r="D578" s="48">
        <v>0.72</v>
      </c>
      <c r="E578" s="48">
        <v>0.71699999999999997</v>
      </c>
      <c r="F578" s="49">
        <v>45665</v>
      </c>
      <c r="G578" s="28">
        <v>45627</v>
      </c>
      <c r="H578" s="51" t="str">
        <f t="shared" si="27"/>
        <v>09536/202445627</v>
      </c>
      <c r="I578" s="38" t="str">
        <f>IFERROR(INDEX(Projetos!$M$2:$M$129,MATCH(Atualizações!A578,Projetos!$A$2:$A$129,0))," ")</f>
        <v>30/10/2025</v>
      </c>
      <c r="J578" s="61"/>
      <c r="K578" s="344">
        <f>IFERROR(Tb_Atualizações[[#This Row],[% EXECUTADO]]/Tb_Atualizações[[#This Row],[% PREVISTO]],"0%")</f>
        <v>0.99583333333333335</v>
      </c>
      <c r="L578" s="31" t="str" cm="1">
        <f t="array" aca="1" ref="L5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78" s="50"/>
      <c r="N578" s="30"/>
      <c r="O578" s="42">
        <f t="shared" si="28"/>
        <v>2025</v>
      </c>
      <c r="P578" s="42" t="str">
        <f t="shared" si="29"/>
        <v>202509536/2024</v>
      </c>
      <c r="Q578" s="42">
        <v>1</v>
      </c>
    </row>
    <row r="579" spans="1:17" ht="15" hidden="1">
      <c r="A579" s="46" t="s">
        <v>559</v>
      </c>
      <c r="B579" s="312" t="str">
        <f>IFERROR(INDEX(Projetos!$B$3:$B$129,MATCH(A579,Projetos!$A$3:$A$129,0))," ")</f>
        <v>Fonajus itinerante</v>
      </c>
      <c r="D579" s="48">
        <v>0.83</v>
      </c>
      <c r="E579" s="48">
        <v>0.83</v>
      </c>
      <c r="F579" s="49">
        <v>45667</v>
      </c>
      <c r="G579" s="28">
        <v>45627</v>
      </c>
      <c r="H579" s="51" t="str">
        <f t="shared" si="27"/>
        <v>10101/202445627</v>
      </c>
      <c r="I579" s="38" t="str">
        <f>IFERROR(INDEX(Projetos!$M$2:$M$129,MATCH(Atualizações!A579,Projetos!$A$2:$A$129,0))," ")</f>
        <v>30/4/2026</v>
      </c>
      <c r="J579" s="61"/>
      <c r="K579" s="344">
        <f>IFERROR(Tb_Atualizações[[#This Row],[% EXECUTADO]]/Tb_Atualizações[[#This Row],[% PREVISTO]],"0%")</f>
        <v>1</v>
      </c>
      <c r="L579" s="31" t="str" cm="1">
        <f t="array" aca="1" ref="L5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79" s="50"/>
      <c r="N579" s="30"/>
      <c r="O579" s="42">
        <f t="shared" si="28"/>
        <v>2025</v>
      </c>
      <c r="P579" s="42" t="str">
        <f t="shared" si="29"/>
        <v>202510101/2024</v>
      </c>
      <c r="Q579" s="42">
        <v>1</v>
      </c>
    </row>
    <row r="580" spans="1:17" ht="15" hidden="1">
      <c r="A580" s="387" t="s">
        <v>589</v>
      </c>
      <c r="B580" s="312" t="str">
        <f>IFERROR(INDEX(Projetos!$B$3:$B$129,MATCH(A580,Projetos!$A$3:$A$129,0))," ")</f>
        <v>Pacto Nacional do Judiciário pelos Direitos Humanos - 2ª Fase</v>
      </c>
      <c r="D580" s="48">
        <v>0.46</v>
      </c>
      <c r="E580" s="48">
        <v>0.46</v>
      </c>
      <c r="F580" s="49">
        <v>45667</v>
      </c>
      <c r="G580" s="28">
        <v>45627</v>
      </c>
      <c r="H580" s="51" t="str">
        <f t="shared" si="27"/>
        <v>10926/202445627</v>
      </c>
      <c r="I580" s="38">
        <f>IFERROR(INDEX(Projetos!$M$2:$M$129,MATCH(Atualizações!A580,Projetos!$A$2:$A$129,0))," ")</f>
        <v>46233</v>
      </c>
      <c r="J580" s="61"/>
      <c r="K580" s="344">
        <f>IFERROR(Tb_Atualizações[[#This Row],[% EXECUTADO]]/Tb_Atualizações[[#This Row],[% PREVISTO]],"0%")</f>
        <v>1</v>
      </c>
      <c r="L580" s="31" t="str" cm="1">
        <f t="array" aca="1" ref="L5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0" s="50"/>
      <c r="N580" s="30"/>
      <c r="O580" s="42">
        <f t="shared" si="28"/>
        <v>2025</v>
      </c>
      <c r="P580" s="42" t="str">
        <f t="shared" si="29"/>
        <v>202510926/2024</v>
      </c>
      <c r="Q580" s="42">
        <v>1</v>
      </c>
    </row>
    <row r="581" spans="1:17" ht="60" hidden="1">
      <c r="A581" s="46" t="s">
        <v>615</v>
      </c>
      <c r="B581" s="312" t="str">
        <f>IFERROR(INDEX(Projetos!$B$3:$B$129,MATCH(A581,Projetos!$A$3:$A$129,0))," ")</f>
        <v>Polícia Judicial Amiga dos Autistas</v>
      </c>
      <c r="D581" s="48">
        <v>0.96299999999999997</v>
      </c>
      <c r="E581" s="48">
        <v>0.95699999999999996</v>
      </c>
      <c r="F581" s="49">
        <v>45667</v>
      </c>
      <c r="G581" s="28">
        <v>45627</v>
      </c>
      <c r="H581" s="51" t="str">
        <f t="shared" si="27"/>
        <v>11340/202345627</v>
      </c>
      <c r="I581" s="38">
        <f>IFERROR(INDEX(Projetos!$M$2:$M$129,MATCH(Atualizações!A581,Projetos!$A$2:$A$129,0))," ")</f>
        <v>45688</v>
      </c>
      <c r="J581" s="61" t="s">
        <v>1335</v>
      </c>
      <c r="K581" s="344">
        <f>IFERROR(Tb_Atualizações[[#This Row],[% EXECUTADO]]/Tb_Atualizações[[#This Row],[% PREVISTO]],"0%")</f>
        <v>0.99376947040498442</v>
      </c>
      <c r="L581" s="31" t="str" cm="1">
        <f t="array" aca="1" ref="L5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1" s="50"/>
      <c r="N581" s="30"/>
      <c r="O581" s="42">
        <f t="shared" si="28"/>
        <v>2025</v>
      </c>
      <c r="P581" s="42" t="str">
        <f t="shared" si="29"/>
        <v>202511340/2023</v>
      </c>
      <c r="Q581" s="42">
        <v>1</v>
      </c>
    </row>
    <row r="582" spans="1:17" ht="30" hidden="1">
      <c r="A582" s="46" t="s">
        <v>728</v>
      </c>
      <c r="B582" s="312" t="str">
        <f>IFERROR(INDEX(Projetos!$B$3:$B$129,MATCH(A582,Projetos!$A$3:$A$129,0))," ")</f>
        <v>Programa de Acessibilidade e Inclusão do Conselho Nacional de Justiça (CNJ)</v>
      </c>
      <c r="D582" s="48">
        <v>0</v>
      </c>
      <c r="E582" s="48">
        <v>0</v>
      </c>
      <c r="F582" s="49">
        <v>45667</v>
      </c>
      <c r="G582" s="28">
        <v>45627</v>
      </c>
      <c r="H582" s="51" t="str">
        <f t="shared" si="27"/>
        <v>15844/202445627</v>
      </c>
      <c r="I582" s="38">
        <f>IFERROR(INDEX(Projetos!$M$2:$M$129,MATCH(Atualizações!A582,Projetos!$A$2:$A$129,0))," ")</f>
        <v>46376</v>
      </c>
      <c r="J582" s="61" t="s">
        <v>1336</v>
      </c>
      <c r="K582" s="344" t="str">
        <f>IFERROR(Tb_Atualizações[[#This Row],[% EXECUTADO]]/Tb_Atualizações[[#This Row],[% PREVISTO]],"0%")</f>
        <v>0%</v>
      </c>
      <c r="L582" s="31" t="str" cm="1">
        <f t="array" aca="1" ref="L5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582" s="50"/>
      <c r="N582" s="30"/>
      <c r="O582" s="42">
        <f t="shared" si="28"/>
        <v>2025</v>
      </c>
      <c r="P582" s="42" t="str">
        <f t="shared" si="29"/>
        <v>202515844/2024</v>
      </c>
      <c r="Q582" s="42">
        <v>1</v>
      </c>
    </row>
    <row r="583" spans="1:17" ht="60" hidden="1">
      <c r="A583" s="46" t="s">
        <v>404</v>
      </c>
      <c r="B583" s="312" t="str">
        <f>IFERROR(INDEX(Projetos!$B$3:$B$129,MATCH(A583,Projetos!$A$3:$A$129,0))," ")</f>
        <v>Consulta Nacional de Pessoas (FAC Nacional)</v>
      </c>
      <c r="D583" s="48">
        <v>0.52</v>
      </c>
      <c r="E583" s="48">
        <v>0.28999999999999998</v>
      </c>
      <c r="F583" s="49">
        <v>45672</v>
      </c>
      <c r="G583" s="28">
        <v>45627</v>
      </c>
      <c r="H583" s="51" t="str">
        <f t="shared" si="27"/>
        <v>05138/202445627</v>
      </c>
      <c r="I583" s="38">
        <f>IFERROR(INDEX(Projetos!$M$2:$M$129,MATCH(Atualizações!A583,Projetos!$A$2:$A$129,0))," ")</f>
        <v>45993</v>
      </c>
      <c r="J583" s="61" t="s">
        <v>1337</v>
      </c>
      <c r="K583" s="344">
        <f>IFERROR(Tb_Atualizações[[#This Row],[% EXECUTADO]]/Tb_Atualizações[[#This Row],[% PREVISTO]],"0%")</f>
        <v>0.5576923076923076</v>
      </c>
      <c r="L583" s="31" t="str" cm="1">
        <f t="array" aca="1" ref="L5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83" s="50"/>
      <c r="N583" s="30"/>
      <c r="O583" s="42">
        <f t="shared" si="28"/>
        <v>2025</v>
      </c>
      <c r="P583" s="42" t="str">
        <f t="shared" si="29"/>
        <v>202505138/2024</v>
      </c>
      <c r="Q583" s="42">
        <v>1</v>
      </c>
    </row>
    <row r="584" spans="1:17" ht="15" hidden="1">
      <c r="A584" s="46" t="s">
        <v>70</v>
      </c>
      <c r="B584" s="312" t="str">
        <f>IFERROR(INDEX(Projetos!$B$3:$B$129,MATCH(A584,Projetos!$A$3:$A$129,0))," ")</f>
        <v>Mapa Nacional do Tribunal do Júri</v>
      </c>
      <c r="D584" s="48">
        <v>0.53</v>
      </c>
      <c r="E584" s="48">
        <v>0.56000000000000005</v>
      </c>
      <c r="F584" s="49">
        <v>45672</v>
      </c>
      <c r="G584" s="28">
        <v>45627</v>
      </c>
      <c r="H584" s="51" t="str">
        <f t="shared" si="27"/>
        <v>00139/202445627</v>
      </c>
      <c r="I584" s="38">
        <f>IFERROR(INDEX(Projetos!$M$2:$M$129,MATCH(Atualizações!A584,Projetos!$A$2:$A$129,0))," ")</f>
        <v>46658</v>
      </c>
      <c r="J584" s="61"/>
      <c r="K584" s="344">
        <f>IFERROR(Tb_Atualizações[[#This Row],[% EXECUTADO]]/Tb_Atualizações[[#This Row],[% PREVISTO]],"0%")</f>
        <v>1.0566037735849056</v>
      </c>
      <c r="L584" s="31" t="str" cm="1">
        <f t="array" aca="1" ref="L5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4" s="50"/>
      <c r="N584" s="30"/>
      <c r="O584" s="42">
        <f t="shared" si="28"/>
        <v>2025</v>
      </c>
      <c r="P584" s="42" t="str">
        <f t="shared" si="29"/>
        <v>202500139/2024</v>
      </c>
      <c r="Q584" s="42">
        <v>1</v>
      </c>
    </row>
    <row r="585" spans="1:17" ht="30" hidden="1">
      <c r="A585" s="46" t="s">
        <v>182</v>
      </c>
      <c r="B585" s="312" t="str">
        <f>IFERROR(INDEX(Projetos!$B$3:$B$129,MATCH(A585,Projetos!$A$3:$A$129,0))," ")</f>
        <v xml:space="preserve">Mineração de Processos do Pje </v>
      </c>
      <c r="D585" s="48">
        <v>0.95</v>
      </c>
      <c r="E585" s="48">
        <v>0.95</v>
      </c>
      <c r="F585" s="49">
        <v>45672</v>
      </c>
      <c r="G585" s="28">
        <v>45627</v>
      </c>
      <c r="H585" s="51" t="str">
        <f t="shared" si="27"/>
        <v>01764/202045627</v>
      </c>
      <c r="I585" s="38">
        <f>IFERROR(INDEX(Projetos!$M$2:$M$129,MATCH(Atualizações!A585,Projetos!$A$2:$A$129,0))," ")</f>
        <v>46630</v>
      </c>
      <c r="J585" s="61" t="s">
        <v>1333</v>
      </c>
      <c r="K585" s="344">
        <f>IFERROR(Tb_Atualizações[[#This Row],[% EXECUTADO]]/Tb_Atualizações[[#This Row],[% PREVISTO]],"0%")</f>
        <v>1</v>
      </c>
      <c r="L585" s="31" t="str" cm="1">
        <f t="array" aca="1" ref="L5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5" s="50"/>
      <c r="N585" s="30"/>
      <c r="O585" s="42">
        <f t="shared" si="28"/>
        <v>2025</v>
      </c>
      <c r="P585" s="42" t="str">
        <f t="shared" si="29"/>
        <v>202501764/2020</v>
      </c>
      <c r="Q585" s="42">
        <v>1</v>
      </c>
    </row>
    <row r="586" spans="1:17" ht="15" hidden="1">
      <c r="A586" s="46" t="s">
        <v>229</v>
      </c>
      <c r="B586" s="312" t="str">
        <f>IFERROR(INDEX(Projetos!$B$3:$B$129,MATCH(A586,Projetos!$A$3:$A$129,0))," ")</f>
        <v>Gabinete do Juízo</v>
      </c>
      <c r="D586" s="48">
        <v>0.79200000000000004</v>
      </c>
      <c r="E586" s="48">
        <v>0.73299999999999998</v>
      </c>
      <c r="F586" s="49">
        <v>45672</v>
      </c>
      <c r="G586" s="28">
        <v>45658</v>
      </c>
      <c r="H586" s="51" t="str">
        <f t="shared" si="27"/>
        <v>02080/202345658</v>
      </c>
      <c r="I586" s="38">
        <f>IFERROR(INDEX(Projetos!$M$2:$M$129,MATCH(Atualizações!A586,Projetos!$A$2:$A$129,0))," ")</f>
        <v>46379</v>
      </c>
      <c r="J586" s="61"/>
      <c r="K586" s="344">
        <f>IFERROR(Tb_Atualizações[[#This Row],[% EXECUTADO]]/Tb_Atualizações[[#This Row],[% PREVISTO]],"0%")</f>
        <v>0.9255050505050505</v>
      </c>
      <c r="L586" s="31" t="str" cm="1">
        <f t="array" aca="1" ref="L5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86" s="50"/>
      <c r="N586" s="30"/>
      <c r="O586" s="42">
        <f t="shared" si="28"/>
        <v>2025</v>
      </c>
      <c r="P586" s="42" t="str">
        <f t="shared" si="29"/>
        <v>202502080/2023</v>
      </c>
      <c r="Q586" s="42">
        <v>1</v>
      </c>
    </row>
    <row r="587" spans="1:17" ht="15" hidden="1">
      <c r="A587" s="46" t="s">
        <v>893</v>
      </c>
      <c r="B587" s="312" t="str">
        <f>IFERROR(INDEX(Projetos!$B$3:$B$129,MATCH(A587,Projetos!$A$3:$A$129,0))," ")</f>
        <v>Ação Nacional de Trabalho e Renda (sistema penal)</v>
      </c>
      <c r="D587" s="48">
        <v>0.5</v>
      </c>
      <c r="E587" s="48">
        <v>0.5</v>
      </c>
      <c r="F587" s="49">
        <v>45674</v>
      </c>
      <c r="G587" s="28">
        <v>45627</v>
      </c>
      <c r="H587" s="51" t="str">
        <f t="shared" si="27"/>
        <v>174664/202445627</v>
      </c>
      <c r="I587" s="38">
        <f>IFERROR(INDEX(Projetos!$M$2:$M$129,MATCH(Atualizações!A587,Projetos!$A$2:$A$129,0))," ")</f>
        <v>45900</v>
      </c>
      <c r="J587" s="61"/>
      <c r="K587" s="344">
        <f>IFERROR(Tb_Atualizações[[#This Row],[% EXECUTADO]]/Tb_Atualizações[[#This Row],[% PREVISTO]],"0%")</f>
        <v>1</v>
      </c>
      <c r="L587" s="31" t="str" cm="1">
        <f t="array" aca="1" ref="L5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7" s="50"/>
      <c r="N587" s="30"/>
      <c r="O587" s="42">
        <f t="shared" si="28"/>
        <v>2025</v>
      </c>
      <c r="P587" s="42" t="str">
        <f t="shared" si="29"/>
        <v>2025174664/2024</v>
      </c>
      <c r="Q587" s="42">
        <v>1</v>
      </c>
    </row>
    <row r="588" spans="1:17" ht="30" hidden="1">
      <c r="A588" s="218" t="s">
        <v>878</v>
      </c>
      <c r="B588" s="312" t="str">
        <f>IFERROR(INDEX(Projetos!$B$3:$B$129,MATCH(A588,Projetos!$A$3:$A$129,0))," ")</f>
        <v>Adequação à Lei Geral de Proteção de Dados Pessoais</v>
      </c>
      <c r="D588" s="48">
        <v>0.5</v>
      </c>
      <c r="E588" s="48">
        <v>0.5</v>
      </c>
      <c r="F588" s="49">
        <v>45674</v>
      </c>
      <c r="G588" s="28">
        <v>45627</v>
      </c>
      <c r="H588" s="51" t="str">
        <f t="shared" si="27"/>
        <v>1746628/202445627</v>
      </c>
      <c r="I588" s="38">
        <f>IFERROR(INDEX(Projetos!$M$2:$M$129,MATCH(Atualizações!A588,Projetos!$A$2:$A$129,0))," ")</f>
        <v>46022</v>
      </c>
      <c r="J588" s="61" t="s">
        <v>1333</v>
      </c>
      <c r="K588" s="344">
        <f>IFERROR(Tb_Atualizações[[#This Row],[% EXECUTADO]]/Tb_Atualizações[[#This Row],[% PREVISTO]],"0%")</f>
        <v>1</v>
      </c>
      <c r="L588" s="31" t="str" cm="1">
        <f t="array" aca="1" ref="L5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8" s="50"/>
      <c r="N588" s="30"/>
      <c r="O588" s="42">
        <f t="shared" si="28"/>
        <v>2025</v>
      </c>
      <c r="P588" s="42" t="str">
        <f t="shared" si="29"/>
        <v>20251746628/2024</v>
      </c>
      <c r="Q588" s="42">
        <v>1</v>
      </c>
    </row>
    <row r="589" spans="1:17" ht="30" hidden="1">
      <c r="A589" s="46" t="s">
        <v>865</v>
      </c>
      <c r="B589" s="312" t="str">
        <f>IFERROR(INDEX(Projetos!$B$3:$B$129,MATCH(A589,Projetos!$A$3:$A$129,0))," ")</f>
        <v>Articulação Internacional e Proteção dos Direitos Humanos</v>
      </c>
      <c r="D589" s="48">
        <v>0.75</v>
      </c>
      <c r="E589" s="48">
        <v>0.75</v>
      </c>
      <c r="F589" s="49">
        <v>45674</v>
      </c>
      <c r="G589" s="28">
        <v>45627</v>
      </c>
      <c r="H589" s="51" t="str">
        <f t="shared" si="27"/>
        <v>1746625/202445627</v>
      </c>
      <c r="I589" s="38">
        <f>IFERROR(INDEX(Projetos!$M$2:$M$129,MATCH(Atualizações!A589,Projetos!$A$2:$A$129,0))," ")</f>
        <v>46233</v>
      </c>
      <c r="J589" s="61" t="s">
        <v>1333</v>
      </c>
      <c r="K589" s="344">
        <f>IFERROR(Tb_Atualizações[[#This Row],[% EXECUTADO]]/Tb_Atualizações[[#This Row],[% PREVISTO]],"0%")</f>
        <v>1</v>
      </c>
      <c r="L589" s="31" t="str" cm="1">
        <f t="array" aca="1" ref="L5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89" s="50"/>
      <c r="N589" s="30"/>
      <c r="O589" s="42">
        <f t="shared" si="28"/>
        <v>2025</v>
      </c>
      <c r="P589" s="42" t="str">
        <f t="shared" si="29"/>
        <v>20251746625/2024</v>
      </c>
      <c r="Q589" s="42">
        <v>1</v>
      </c>
    </row>
    <row r="590" spans="1:17" ht="30" hidden="1">
      <c r="A590" s="192" t="s">
        <v>888</v>
      </c>
      <c r="B590" s="315" t="str">
        <f>IFERROR(INDEX(Projetos!$B$3:$B$129,MATCH(A590,Projetos!$A$3:$A$129,0))," ")</f>
        <v>Central de Regulação de Vagas (sistema penal)</v>
      </c>
      <c r="D590" s="214">
        <v>0.5</v>
      </c>
      <c r="E590" s="214">
        <v>0.75</v>
      </c>
      <c r="F590" s="49">
        <v>45674</v>
      </c>
      <c r="G590" s="28">
        <v>45627</v>
      </c>
      <c r="H590" s="51" t="str">
        <f t="shared" si="27"/>
        <v>174663/202445627</v>
      </c>
      <c r="I590" s="38">
        <f>IFERROR(INDEX(Projetos!$M$2:$M$129,MATCH(Atualizações!A590,Projetos!$A$2:$A$129,0))," ")</f>
        <v>45962</v>
      </c>
      <c r="J590" s="61" t="s">
        <v>1333</v>
      </c>
      <c r="K590" s="344">
        <f>IFERROR(Tb_Atualizações[[#This Row],[% EXECUTADO]]/Tb_Atualizações[[#This Row],[% PREVISTO]],"0%")</f>
        <v>1.5</v>
      </c>
      <c r="L590" s="31" t="str" cm="1">
        <f t="array" aca="1" ref="L5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90" s="215"/>
      <c r="N590" s="30"/>
      <c r="O590" s="42">
        <f t="shared" si="28"/>
        <v>2025</v>
      </c>
      <c r="P590" s="42" t="str">
        <f t="shared" si="29"/>
        <v>2025174663/2024</v>
      </c>
      <c r="Q590" s="42">
        <v>1</v>
      </c>
    </row>
    <row r="591" spans="1:17" ht="30" hidden="1">
      <c r="A591" s="46" t="s">
        <v>844</v>
      </c>
      <c r="B591" s="312" t="str">
        <f>IFERROR(INDEX(Projetos!$B$3:$B$129,MATCH(A591,Projetos!$A$3:$A$129,0))," ")</f>
        <v>Enfrentamento da Tortura</v>
      </c>
      <c r="D591" s="48">
        <v>0.75</v>
      </c>
      <c r="E591" s="48">
        <v>0.75</v>
      </c>
      <c r="F591" s="49">
        <v>45674</v>
      </c>
      <c r="G591" s="28">
        <v>45627</v>
      </c>
      <c r="H591" s="51" t="str">
        <f t="shared" si="27"/>
        <v>1746620/202445627</v>
      </c>
      <c r="I591" s="38">
        <f>IFERROR(INDEX(Projetos!$M$2:$M$129,MATCH(Atualizações!A591,Projetos!$A$2:$A$129,0))," ")</f>
        <v>46387</v>
      </c>
      <c r="J591" s="61" t="s">
        <v>1333</v>
      </c>
      <c r="K591" s="344">
        <f>IFERROR(Tb_Atualizações[[#This Row],[% EXECUTADO]]/Tb_Atualizações[[#This Row],[% PREVISTO]],"0%")</f>
        <v>1</v>
      </c>
      <c r="L591" s="31" t="str" cm="1">
        <f t="array" aca="1" ref="L5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91" s="50"/>
      <c r="N591" s="30"/>
      <c r="O591" s="42">
        <f t="shared" si="28"/>
        <v>2025</v>
      </c>
      <c r="P591" s="42" t="str">
        <f t="shared" si="29"/>
        <v>20251746620/2024</v>
      </c>
      <c r="Q591" s="42">
        <v>1</v>
      </c>
    </row>
    <row r="592" spans="1:17" ht="30" hidden="1">
      <c r="A592" s="46" t="s">
        <v>834</v>
      </c>
      <c r="B592" s="312" t="str">
        <f>IFERROR(INDEX(Projetos!$B$3:$B$129,MATCH(A592,Projetos!$A$3:$A$129,0))," ")</f>
        <v>Inspeção Judicial</v>
      </c>
      <c r="D592" s="48">
        <v>0.75</v>
      </c>
      <c r="E592" s="48">
        <v>0.75</v>
      </c>
      <c r="F592" s="49">
        <v>45674</v>
      </c>
      <c r="G592" s="28">
        <v>45627</v>
      </c>
      <c r="H592" s="51" t="str">
        <f t="shared" si="27"/>
        <v>1746619/202445627</v>
      </c>
      <c r="I592" s="38">
        <f>IFERROR(INDEX(Projetos!$M$2:$M$129,MATCH(Atualizações!A592,Projetos!$A$2:$A$129,0))," ")</f>
        <v>46011</v>
      </c>
      <c r="J592" s="61" t="s">
        <v>1333</v>
      </c>
      <c r="K592" s="344">
        <f>IFERROR(Tb_Atualizações[[#This Row],[% EXECUTADO]]/Tb_Atualizações[[#This Row],[% PREVISTO]],"0%")</f>
        <v>1</v>
      </c>
      <c r="L592" s="31" t="str" cm="1">
        <f t="array" aca="1" ref="L5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92" s="50"/>
      <c r="N592" s="30"/>
      <c r="O592" s="42">
        <f t="shared" si="28"/>
        <v>2025</v>
      </c>
      <c r="P592" s="42" t="str">
        <f t="shared" si="29"/>
        <v>20251746619/2024</v>
      </c>
      <c r="Q592" s="42">
        <v>1</v>
      </c>
    </row>
    <row r="593" spans="1:17" ht="30" hidden="1">
      <c r="A593" s="192" t="s">
        <v>901</v>
      </c>
      <c r="B593" s="315" t="str">
        <f>IFERROR(INDEX(Projetos!$B$3:$B$129,MATCH(A593,Projetos!$A$3:$A$129,0))," ")</f>
        <v>Plano Nacional de Fomento ao Esporte e Lazer (sistema penal)</v>
      </c>
      <c r="D593" s="214">
        <v>0.5</v>
      </c>
      <c r="E593" s="214">
        <v>0.5</v>
      </c>
      <c r="F593" s="219">
        <v>45674</v>
      </c>
      <c r="G593" s="220">
        <v>45627</v>
      </c>
      <c r="H593" s="51" t="str">
        <f t="shared" si="27"/>
        <v>174666/202445627</v>
      </c>
      <c r="I593" s="38">
        <f>IFERROR(INDEX(Projetos!$M$2:$M$129,MATCH(Atualizações!A593,Projetos!$A$2:$A$129,0))," ")</f>
        <v>46203</v>
      </c>
      <c r="J593" s="221" t="s">
        <v>1333</v>
      </c>
      <c r="K593" s="344">
        <f>IFERROR(Tb_Atualizações[[#This Row],[% EXECUTADO]]/Tb_Atualizações[[#This Row],[% PREVISTO]],"0%")</f>
        <v>1</v>
      </c>
      <c r="L593" s="31" t="str" cm="1">
        <f t="array" aca="1" ref="L5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93" s="215"/>
      <c r="N593" s="30"/>
      <c r="O593" s="42">
        <f t="shared" si="28"/>
        <v>2025</v>
      </c>
      <c r="P593" s="42" t="str">
        <f t="shared" si="29"/>
        <v>2025174666/2024</v>
      </c>
      <c r="Q593" s="42">
        <v>1</v>
      </c>
    </row>
    <row r="594" spans="1:17" ht="15" hidden="1">
      <c r="A594" s="46" t="s">
        <v>487</v>
      </c>
      <c r="B594" s="312" t="str">
        <f>IFERROR(INDEX(Projetos!$B$3:$B$129,MATCH(A594,Projetos!$A$3:$A$129,0))," ")</f>
        <v>Demandas Complexas</v>
      </c>
      <c r="D594" s="48">
        <v>7.8399999999999997E-2</v>
      </c>
      <c r="E594" s="48">
        <v>7.3499999999999996E-2</v>
      </c>
      <c r="F594" s="49">
        <v>45678</v>
      </c>
      <c r="G594" s="125">
        <v>45139</v>
      </c>
      <c r="H594" s="51" t="str">
        <f t="shared" si="27"/>
        <v>08610/202245139</v>
      </c>
      <c r="I594" s="38">
        <f>IFERROR(INDEX(Projetos!$M$2:$M$129,MATCH(Atualizações!A594,Projetos!$A$2:$A$129,0))," ")</f>
        <v>45913</v>
      </c>
      <c r="J594" s="61" t="s">
        <v>1338</v>
      </c>
      <c r="K594" s="344">
        <f>IFERROR(Tb_Atualizações[[#This Row],[% EXECUTADO]]/Tb_Atualizações[[#This Row],[% PREVISTO]],"0%")</f>
        <v>0.9375</v>
      </c>
      <c r="L594" s="31" t="str" cm="1">
        <f t="array" aca="1" ref="L5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594" s="50"/>
      <c r="N594" s="30"/>
      <c r="O594" s="42">
        <f t="shared" si="28"/>
        <v>2025</v>
      </c>
      <c r="P594" s="42" t="str">
        <f t="shared" si="29"/>
        <v>202508610/2022</v>
      </c>
      <c r="Q594" s="42">
        <v>1</v>
      </c>
    </row>
    <row r="595" spans="1:17" ht="15" hidden="1">
      <c r="A595" s="46" t="s">
        <v>523</v>
      </c>
      <c r="B595" s="312" t="str">
        <f>IFERROR(INDEX(Projetos!$B$3:$B$129,MATCH(A595,Projetos!$A$3:$A$129,0))," ")</f>
        <v>Portal Jus BR</v>
      </c>
      <c r="D595" s="48">
        <v>0.74</v>
      </c>
      <c r="E595" s="48">
        <v>0.73099999999999998</v>
      </c>
      <c r="F595" s="49">
        <v>45678</v>
      </c>
      <c r="G595" s="28">
        <v>45658</v>
      </c>
      <c r="H595" s="51" t="str">
        <f t="shared" ref="H595:H658" si="30">A595&amp;G595</f>
        <v>09536/202445658</v>
      </c>
      <c r="I595" s="38" t="str">
        <f>IFERROR(INDEX(Projetos!$M$2:$M$129,MATCH(Atualizações!A595,Projetos!$A$2:$A$129,0))," ")</f>
        <v>30/10/2025</v>
      </c>
      <c r="J595" s="61"/>
      <c r="K595" s="344">
        <f>IFERROR(Tb_Atualizações[[#This Row],[% EXECUTADO]]/Tb_Atualizações[[#This Row],[% PREVISTO]],"0%")</f>
        <v>0.98783783783783785</v>
      </c>
      <c r="L595" s="31" t="str" cm="1">
        <f t="array" aca="1" ref="L5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595" s="50"/>
      <c r="N595" s="30"/>
      <c r="O595" s="42">
        <f t="shared" ref="O595:O658" si="31">YEAR(F595)</f>
        <v>2025</v>
      </c>
      <c r="P595" s="42" t="str">
        <f t="shared" ref="P595:P658" si="32">O595&amp;A595</f>
        <v>202509536/2024</v>
      </c>
      <c r="Q595" s="42">
        <v>1</v>
      </c>
    </row>
    <row r="596" spans="1:17" ht="30" hidden="1">
      <c r="A596" s="218" t="s">
        <v>443</v>
      </c>
      <c r="B596" s="312" t="str">
        <f>IFERROR(INDEX(Projetos!$B$3:$B$129,MATCH(A596,Projetos!$A$3:$A$129,0))," ")</f>
        <v>Implantação do SERP</v>
      </c>
      <c r="D596" s="216">
        <v>0.42</v>
      </c>
      <c r="E596" s="216">
        <v>0.42</v>
      </c>
      <c r="F596" s="49">
        <v>45680</v>
      </c>
      <c r="G596" s="217">
        <v>45200</v>
      </c>
      <c r="H596" s="51" t="str">
        <f t="shared" si="30"/>
        <v>08286/202245200</v>
      </c>
      <c r="I596" s="38">
        <f>IFERROR(INDEX(Projetos!$M$2:$M$129,MATCH(Atualizações!A596,Projetos!$A$2:$A$129,0))," ")</f>
        <v>45688</v>
      </c>
      <c r="J596" s="61" t="s">
        <v>1339</v>
      </c>
      <c r="K596" s="344">
        <f>IFERROR(Tb_Atualizações[[#This Row],[% EXECUTADO]]/Tb_Atualizações[[#This Row],[% PREVISTO]],"0%")</f>
        <v>1</v>
      </c>
      <c r="L596" s="31" t="str" cm="1">
        <f t="array" aca="1" ref="L5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596" s="50"/>
      <c r="N596" s="30"/>
      <c r="O596" s="42">
        <f t="shared" si="31"/>
        <v>2025</v>
      </c>
      <c r="P596" s="42" t="str">
        <f t="shared" si="32"/>
        <v>202508286/2022</v>
      </c>
      <c r="Q596" s="42">
        <v>1</v>
      </c>
    </row>
    <row r="597" spans="1:17" ht="30" hidden="1">
      <c r="A597" s="192" t="s">
        <v>410</v>
      </c>
      <c r="B597" s="315" t="str">
        <f>IFERROR(INDEX(Projetos!$B$3:$B$129,MATCH(A597,Projetos!$A$3:$A$129,0))," ")</f>
        <v>7ª Edição da Série Justiça Pesquisa - Exercício 2024/2025</v>
      </c>
      <c r="D597" s="222">
        <v>0</v>
      </c>
      <c r="E597" s="222">
        <v>0</v>
      </c>
      <c r="F597" s="637">
        <v>45680</v>
      </c>
      <c r="G597" s="637">
        <v>45474</v>
      </c>
      <c r="H597" s="51" t="str">
        <f t="shared" si="30"/>
        <v>05150/202445474</v>
      </c>
      <c r="I597" s="38">
        <f>IFERROR(INDEX(Projetos!$M$2:$M$129,MATCH(Atualizações!A597,Projetos!$A$2:$A$129,0))," ")</f>
        <v>46011</v>
      </c>
      <c r="J597" s="221" t="s">
        <v>1339</v>
      </c>
      <c r="K597" s="344" t="str">
        <f>IFERROR(Tb_Atualizações[[#This Row],[% EXECUTADO]]/Tb_Atualizações[[#This Row],[% PREVISTO]],"0%")</f>
        <v>0%</v>
      </c>
      <c r="L597" s="31" t="str" cm="1">
        <f t="array" aca="1" ref="L5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597" s="215"/>
      <c r="N597" s="30"/>
      <c r="O597" s="42">
        <f t="shared" si="31"/>
        <v>2025</v>
      </c>
      <c r="P597" s="42" t="str">
        <f t="shared" si="32"/>
        <v>202505150/2024</v>
      </c>
      <c r="Q597" s="42">
        <v>1</v>
      </c>
    </row>
    <row r="598" spans="1:17" ht="30" hidden="1">
      <c r="A598" s="192" t="s">
        <v>431</v>
      </c>
      <c r="B598" s="315" t="str">
        <f>IFERROR(INDEX(Projetos!$B$3:$B$129,MATCH(A598,Projetos!$A$3:$A$129,0))," ")</f>
        <v>Sniper BC</v>
      </c>
      <c r="D598" s="222">
        <v>0</v>
      </c>
      <c r="E598" s="222">
        <v>0</v>
      </c>
      <c r="F598" s="219">
        <v>45680</v>
      </c>
      <c r="G598" s="223">
        <v>45505</v>
      </c>
      <c r="H598" s="51" t="str">
        <f t="shared" si="30"/>
        <v>06826/202445505</v>
      </c>
      <c r="I598" s="38">
        <f>IFERROR(INDEX(Projetos!$M$2:$M$129,MATCH(Atualizações!A598,Projetos!$A$2:$A$129,0))," ")</f>
        <v>46281</v>
      </c>
      <c r="J598" s="221" t="s">
        <v>1339</v>
      </c>
      <c r="K598" s="344" t="str">
        <f>IFERROR(Tb_Atualizações[[#This Row],[% EXECUTADO]]/Tb_Atualizações[[#This Row],[% PREVISTO]],"0%")</f>
        <v>0%</v>
      </c>
      <c r="L598" s="31" t="str" cm="1">
        <f t="array" aca="1" ref="L5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598" s="215"/>
      <c r="N598" s="30"/>
      <c r="O598" s="42">
        <f t="shared" si="31"/>
        <v>2025</v>
      </c>
      <c r="P598" s="42" t="str">
        <f t="shared" si="32"/>
        <v>202506826/2024</v>
      </c>
      <c r="Q598" s="42">
        <v>1</v>
      </c>
    </row>
    <row r="599" spans="1:17" ht="30" hidden="1">
      <c r="A599" s="192" t="s">
        <v>629</v>
      </c>
      <c r="B599" s="315" t="str">
        <f>IFERROR(INDEX(Projetos!$B$3:$B$129,MATCH(A599,Projetos!$A$3:$A$129,0))," ")</f>
        <v>2º Edital da 7ª Edição da Série Justiça Pesquisa - Exercício 2024/2025</v>
      </c>
      <c r="D599" s="222">
        <v>0</v>
      </c>
      <c r="E599" s="222">
        <v>0</v>
      </c>
      <c r="F599" s="638">
        <v>45680</v>
      </c>
      <c r="G599" s="637">
        <v>45536</v>
      </c>
      <c r="H599" s="51" t="str">
        <f t="shared" si="30"/>
        <v>11449/202445536</v>
      </c>
      <c r="I599" s="38" t="str">
        <f>IFERROR(INDEX(Projetos!$M$2:$M$129,MATCH(Atualizações!A599,Projetos!$A$2:$A$129,0))," ")</f>
        <v>27/8/2026</v>
      </c>
      <c r="J599" s="221" t="s">
        <v>1339</v>
      </c>
      <c r="K599" s="344" t="str">
        <f>IFERROR(Tb_Atualizações[[#This Row],[% EXECUTADO]]/Tb_Atualizações[[#This Row],[% PREVISTO]],"0%")</f>
        <v>0%</v>
      </c>
      <c r="L599" s="31" t="str" cm="1">
        <f t="array" aca="1" ref="L5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599" s="215"/>
      <c r="N599" s="30"/>
      <c r="O599" s="42">
        <f t="shared" si="31"/>
        <v>2025</v>
      </c>
      <c r="P599" s="42" t="str">
        <f t="shared" si="32"/>
        <v>202511449/2024</v>
      </c>
      <c r="Q599" s="42">
        <v>1</v>
      </c>
    </row>
    <row r="600" spans="1:17" ht="15" hidden="1">
      <c r="A600" s="192" t="s">
        <v>690</v>
      </c>
      <c r="B600" s="315" t="str">
        <f>IFERROR(INDEX(Projetos!$B$3:$B$129,MATCH(A600,Projetos!$A$3:$A$129,0))," ")</f>
        <v>Painel “Justiça Criminal e Sistema Prisional”</v>
      </c>
      <c r="D600" s="222">
        <v>0</v>
      </c>
      <c r="E600" s="222">
        <v>0</v>
      </c>
      <c r="F600" s="219">
        <v>45680</v>
      </c>
      <c r="G600" s="223">
        <v>45566</v>
      </c>
      <c r="H600" s="51" t="str">
        <f t="shared" si="30"/>
        <v>12215/202345566</v>
      </c>
      <c r="I600" s="473">
        <f>IFERROR(INDEX(Projetos!$M$2:$M$129,MATCH(Atualizações!A600,Projetos!$A$2:$A$129,0))," ")</f>
        <v>46387</v>
      </c>
      <c r="J600" s="221" t="s">
        <v>1340</v>
      </c>
      <c r="K600" s="344" t="str">
        <f>IFERROR(Tb_Atualizações[[#This Row],[% EXECUTADO]]/Tb_Atualizações[[#This Row],[% PREVISTO]],"0%")</f>
        <v>0%</v>
      </c>
      <c r="L600" s="31" t="str" cm="1">
        <f t="array" aca="1" ref="L6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600" s="215"/>
      <c r="N600" s="30"/>
      <c r="O600" s="42">
        <f t="shared" si="31"/>
        <v>2025</v>
      </c>
      <c r="P600" s="42" t="str">
        <f t="shared" si="32"/>
        <v>202512215/2023</v>
      </c>
      <c r="Q600" s="42">
        <v>1</v>
      </c>
    </row>
    <row r="601" spans="1:17" ht="30" hidden="1">
      <c r="A601" s="192" t="s">
        <v>714</v>
      </c>
      <c r="B601" s="315" t="str">
        <f>IFERROR(INDEX(Projetos!$B$3:$B$129,MATCH(A601,Projetos!$A$3:$A$129,0))," ")</f>
        <v>Programa Novos Caminhos</v>
      </c>
      <c r="D601" s="48">
        <v>0.38</v>
      </c>
      <c r="E601" s="48">
        <v>0.38</v>
      </c>
      <c r="F601" s="219">
        <v>45680</v>
      </c>
      <c r="G601" s="28">
        <v>45627</v>
      </c>
      <c r="H601" s="51" t="str">
        <f t="shared" si="30"/>
        <v>14204/202445627</v>
      </c>
      <c r="I601" s="38">
        <f>IFERROR(INDEX(Projetos!$M$2:$M$129,MATCH(Atualizações!A601,Projetos!$A$2:$A$129,0))," ")</f>
        <v>46293</v>
      </c>
      <c r="J601" s="221" t="s">
        <v>1341</v>
      </c>
      <c r="K601" s="344">
        <f>IFERROR(Tb_Atualizações[[#This Row],[% EXECUTADO]]/Tb_Atualizações[[#This Row],[% PREVISTO]],"0%")</f>
        <v>1</v>
      </c>
      <c r="L601" s="31" t="str" cm="1">
        <f t="array" aca="1" ref="L6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1" s="215"/>
      <c r="N601" s="30"/>
      <c r="O601" s="42">
        <f t="shared" si="31"/>
        <v>2025</v>
      </c>
      <c r="P601" s="42" t="str">
        <f t="shared" si="32"/>
        <v>202514204/2024</v>
      </c>
      <c r="Q601" s="42">
        <v>1</v>
      </c>
    </row>
    <row r="602" spans="1:17" ht="15" hidden="1">
      <c r="A602" s="46" t="s">
        <v>533</v>
      </c>
      <c r="B602" s="312" t="str">
        <f>IFERROR(INDEX(Projetos!$B$3:$B$129,MATCH(A602,Projetos!$A$3:$A$129,0))," ")</f>
        <v>Qualificação de Dados</v>
      </c>
      <c r="D602" s="216">
        <v>0.26800000000000002</v>
      </c>
      <c r="E602" s="216">
        <v>0.26200000000000001</v>
      </c>
      <c r="F602" s="49">
        <v>45680</v>
      </c>
      <c r="G602" s="217">
        <v>45627</v>
      </c>
      <c r="H602" s="51" t="str">
        <f t="shared" si="30"/>
        <v>09613/202445627</v>
      </c>
      <c r="I602" s="473">
        <f>IFERROR(INDEX(Projetos!$M$2:$M$129,MATCH(Atualizações!A602,Projetos!$A$2:$A$129,0))," ")</f>
        <v>46386</v>
      </c>
      <c r="J602" s="61" t="s">
        <v>1340</v>
      </c>
      <c r="K602" s="344">
        <f>IFERROR(Tb_Atualizações[[#This Row],[% EXECUTADO]]/Tb_Atualizações[[#This Row],[% PREVISTO]],"0%")</f>
        <v>0.9776119402985074</v>
      </c>
      <c r="L602" s="31" t="str" cm="1">
        <f t="array" aca="1" ref="L6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2" s="50"/>
      <c r="N602" s="30"/>
      <c r="O602" s="42">
        <f t="shared" si="31"/>
        <v>2025</v>
      </c>
      <c r="P602" s="42" t="str">
        <f t="shared" si="32"/>
        <v>202509613/2024</v>
      </c>
      <c r="Q602" s="42">
        <v>1</v>
      </c>
    </row>
    <row r="603" spans="1:17" ht="30" hidden="1">
      <c r="A603" s="192" t="s">
        <v>266</v>
      </c>
      <c r="B603" s="315" t="str">
        <f>IFERROR(INDEX(Projetos!$B$3:$B$129,MATCH(A603,Projetos!$A$3:$A$129,0))," ")</f>
        <v>Itinerância Cooperativa na Amazônia Legal – 1ª Edição de 2024 – Humaitá e Lábrea/AM</v>
      </c>
      <c r="D603" s="214">
        <v>0.75</v>
      </c>
      <c r="E603" s="214">
        <v>0.75</v>
      </c>
      <c r="F603" s="219">
        <v>45684</v>
      </c>
      <c r="G603" s="395">
        <v>45505</v>
      </c>
      <c r="H603" s="51" t="str">
        <f t="shared" si="30"/>
        <v>02476/202445505</v>
      </c>
      <c r="I603" s="38">
        <f>IFERROR(INDEX(Projetos!$M$2:$M$129,MATCH(Atualizações!A603,Projetos!$A$2:$A$129,0))," ")</f>
        <v>45590</v>
      </c>
      <c r="J603" s="221" t="s">
        <v>1340</v>
      </c>
      <c r="K603" s="344">
        <f>IFERROR(Tb_Atualizações[[#This Row],[% EXECUTADO]]/Tb_Atualizações[[#This Row],[% PREVISTO]],"0%")</f>
        <v>1</v>
      </c>
      <c r="L603" s="31" t="str" cm="1">
        <f t="array" aca="1" ref="L6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03" s="215"/>
      <c r="N603" s="30"/>
      <c r="O603" s="42">
        <f t="shared" si="31"/>
        <v>2025</v>
      </c>
      <c r="P603" s="42" t="str">
        <f t="shared" si="32"/>
        <v>202502476/2024</v>
      </c>
      <c r="Q603" s="42">
        <v>1</v>
      </c>
    </row>
    <row r="604" spans="1:17" ht="30" hidden="1">
      <c r="A604" s="192" t="s">
        <v>141</v>
      </c>
      <c r="B604" s="312" t="str">
        <f>IFERROR(INDEX(Projetos!$B$3:$B$129,MATCH(A604,Projetos!$A$3:$A$129,0))," ")</f>
        <v>6ª edição da Série Justiça e pesquisa</v>
      </c>
      <c r="D604" s="222">
        <v>0.97</v>
      </c>
      <c r="E604" s="222">
        <v>0.97</v>
      </c>
      <c r="F604" s="219">
        <v>45684</v>
      </c>
      <c r="G604" s="223">
        <v>45536</v>
      </c>
      <c r="H604" s="51" t="str">
        <f t="shared" si="30"/>
        <v>01179/202345536</v>
      </c>
      <c r="I604" s="38">
        <f>IFERROR(INDEX(Projetos!$M$2:$M$129,MATCH(Atualizações!A604,Projetos!$A$2:$A$129,0))," ")</f>
        <v>45597</v>
      </c>
      <c r="J604" s="221" t="s">
        <v>1340</v>
      </c>
      <c r="K604" s="344">
        <f>IFERROR(Tb_Atualizações[[#This Row],[% EXECUTADO]]/Tb_Atualizações[[#This Row],[% PREVISTO]],"0%")</f>
        <v>1</v>
      </c>
      <c r="L604" s="31" t="str" cm="1">
        <f t="array" aca="1" ref="L6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04" s="50"/>
      <c r="N604" s="30"/>
      <c r="O604" s="42">
        <f t="shared" si="31"/>
        <v>2025</v>
      </c>
      <c r="P604" s="42" t="str">
        <f t="shared" si="32"/>
        <v>202501179/2023</v>
      </c>
      <c r="Q604" s="42">
        <v>1</v>
      </c>
    </row>
    <row r="605" spans="1:17" ht="15" hidden="1">
      <c r="A605" s="192" t="s">
        <v>112</v>
      </c>
      <c r="B605" s="315" t="str">
        <f>IFERROR(INDEX(Projetos!$B$3:$B$129,MATCH(A605,Projetos!$A$3:$A$129,0))," ")</f>
        <v>Programa Nacional de Promoção da Equidade Racial no Poder Judiciário - 2024</v>
      </c>
      <c r="D605" s="214">
        <v>0.47</v>
      </c>
      <c r="E605" s="214">
        <v>0.47</v>
      </c>
      <c r="F605" s="219">
        <v>45684</v>
      </c>
      <c r="G605" s="220">
        <v>45597</v>
      </c>
      <c r="H605" s="51" t="str">
        <f t="shared" si="30"/>
        <v>00600/202345597</v>
      </c>
      <c r="I605" s="38">
        <f>IFERROR(INDEX(Projetos!$M$2:$M$129,MATCH(Atualizações!A605,Projetos!$A$2:$A$129,0))," ")</f>
        <v>46022</v>
      </c>
      <c r="J605" s="221" t="s">
        <v>1338</v>
      </c>
      <c r="K605" s="344">
        <f>IFERROR(Tb_Atualizações[[#This Row],[% EXECUTADO]]/Tb_Atualizações[[#This Row],[% PREVISTO]],"0%")</f>
        <v>1</v>
      </c>
      <c r="L605" s="31" t="str" cm="1">
        <f t="array" aca="1" ref="L6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5" s="215"/>
      <c r="N605" s="30"/>
      <c r="O605" s="42">
        <f t="shared" si="31"/>
        <v>2025</v>
      </c>
      <c r="P605" s="42" t="str">
        <f t="shared" si="32"/>
        <v>202500600/2023</v>
      </c>
      <c r="Q605" s="42">
        <v>1</v>
      </c>
    </row>
    <row r="606" spans="1:17" ht="30" hidden="1">
      <c r="A606" s="192" t="s">
        <v>209</v>
      </c>
      <c r="B606" s="315" t="str">
        <f>IFERROR(INDEX(Projetos!$B$3:$B$129,MATCH(A606,Projetos!$A$3:$A$129,0))," ")</f>
        <v>Capacitação técnica para desenvolvedores nas tecnologias da PDPJ - BR</v>
      </c>
      <c r="D606" s="214">
        <v>0.93300000000000005</v>
      </c>
      <c r="E606" s="214">
        <v>0.89400000000000002</v>
      </c>
      <c r="F606" s="219">
        <v>45685</v>
      </c>
      <c r="G606" s="220">
        <v>45658</v>
      </c>
      <c r="H606" s="51" t="str">
        <f t="shared" si="30"/>
        <v>01945/202245658</v>
      </c>
      <c r="I606" s="38">
        <f>IFERROR(INDEX(Projetos!$M$2:$M$129,MATCH(Atualizações!A606,Projetos!$A$2:$A$129,0))," ")</f>
        <v>45866</v>
      </c>
      <c r="J606" s="221" t="s">
        <v>1342</v>
      </c>
      <c r="K606" s="344">
        <f>IFERROR(Tb_Atualizações[[#This Row],[% EXECUTADO]]/Tb_Atualizações[[#This Row],[% PREVISTO]],"0%")</f>
        <v>0.95819935691318325</v>
      </c>
      <c r="L606" s="31" t="str" cm="1">
        <f t="array" aca="1" ref="L6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6" s="215"/>
      <c r="N606" s="30"/>
      <c r="O606" s="42">
        <f t="shared" si="31"/>
        <v>2025</v>
      </c>
      <c r="P606" s="42" t="str">
        <f t="shared" si="32"/>
        <v>202501945/2022</v>
      </c>
      <c r="Q606" s="42">
        <v>1</v>
      </c>
    </row>
    <row r="607" spans="1:17" ht="15" hidden="1">
      <c r="A607" s="192" t="s">
        <v>533</v>
      </c>
      <c r="B607" s="315" t="str">
        <f>IFERROR(INDEX(Projetos!$B$3:$B$129,MATCH(A607,Projetos!$A$3:$A$129,0))," ")</f>
        <v>Qualificação de Dados</v>
      </c>
      <c r="D607" s="214">
        <v>0.312</v>
      </c>
      <c r="E607" s="214">
        <v>0.315</v>
      </c>
      <c r="F607" s="219">
        <v>45685</v>
      </c>
      <c r="G607" s="220">
        <v>45658</v>
      </c>
      <c r="H607" s="51" t="str">
        <f t="shared" si="30"/>
        <v>09613/202445658</v>
      </c>
      <c r="I607" s="473">
        <f>IFERROR(INDEX(Projetos!$M$2:$M$129,MATCH(Atualizações!A607,Projetos!$A$2:$A$129,0))," ")</f>
        <v>46386</v>
      </c>
      <c r="J607" s="221"/>
      <c r="K607" s="344">
        <f>IFERROR(Tb_Atualizações[[#This Row],[% EXECUTADO]]/Tb_Atualizações[[#This Row],[% PREVISTO]],"0%")</f>
        <v>1.0096153846153846</v>
      </c>
      <c r="L607" s="31" t="str" cm="1">
        <f t="array" aca="1" ref="L6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7" s="215"/>
      <c r="N607" s="30"/>
      <c r="O607" s="42">
        <f t="shared" si="31"/>
        <v>2025</v>
      </c>
      <c r="P607" s="42" t="str">
        <f t="shared" si="32"/>
        <v>202509613/2024</v>
      </c>
      <c r="Q607" s="42">
        <v>1</v>
      </c>
    </row>
    <row r="608" spans="1:17" ht="15" hidden="1">
      <c r="A608" s="192" t="s">
        <v>431</v>
      </c>
      <c r="B608" s="315" t="str">
        <f>IFERROR(INDEX(Projetos!$B$3:$B$129,MATCH(A608,Projetos!$A$3:$A$129,0))," ")</f>
        <v>Sniper BC</v>
      </c>
      <c r="D608" s="214">
        <v>5.8000000000000003E-2</v>
      </c>
      <c r="E608" s="214">
        <v>5.5E-2</v>
      </c>
      <c r="F608" s="219">
        <v>45685</v>
      </c>
      <c r="G608" s="220">
        <v>45658</v>
      </c>
      <c r="H608" s="51" t="str">
        <f t="shared" si="30"/>
        <v>06826/202445658</v>
      </c>
      <c r="I608" s="38">
        <f>IFERROR(INDEX(Projetos!$M$2:$M$129,MATCH(Atualizações!A608,Projetos!$A$2:$A$129,0))," ")</f>
        <v>46281</v>
      </c>
      <c r="J608" s="221"/>
      <c r="K608" s="344">
        <f>IFERROR(Tb_Atualizações[[#This Row],[% EXECUTADO]]/Tb_Atualizações[[#This Row],[% PREVISTO]],"0%")</f>
        <v>0.94827586206896552</v>
      </c>
      <c r="L608" s="31" t="str" cm="1">
        <f t="array" aca="1" ref="L6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08" s="215"/>
      <c r="N608" s="30"/>
      <c r="O608" s="42">
        <f t="shared" si="31"/>
        <v>2025</v>
      </c>
      <c r="P608" s="42" t="str">
        <f t="shared" si="32"/>
        <v>202506826/2024</v>
      </c>
      <c r="Q608" s="42">
        <v>1</v>
      </c>
    </row>
    <row r="609" spans="1:17" ht="15" hidden="1">
      <c r="A609" s="192" t="s">
        <v>644</v>
      </c>
      <c r="B609" s="315" t="str">
        <f>IFERROR(INDEX(Projetos!$B$3:$B$129,MATCH(A609,Projetos!$A$3:$A$129,0))," ")</f>
        <v>BNP/Pangea</v>
      </c>
      <c r="D609" s="214">
        <v>0.75900000000000001</v>
      </c>
      <c r="E609" s="214">
        <v>0.72399999999999998</v>
      </c>
      <c r="F609" s="219">
        <v>45686</v>
      </c>
      <c r="G609" s="220">
        <v>45658</v>
      </c>
      <c r="H609" s="51" t="str">
        <f t="shared" si="30"/>
        <v>11645/202245658</v>
      </c>
      <c r="I609" s="38" t="str">
        <f>IFERROR(INDEX(Projetos!$M$2:$M$129,MATCH(Atualizações!A609,Projetos!$A$2:$A$129,0))," ")</f>
        <v>23/12/2026</v>
      </c>
      <c r="J609" s="221"/>
      <c r="K609" s="344">
        <f>IFERROR(Tb_Atualizações[[#This Row],[% EXECUTADO]]/Tb_Atualizações[[#This Row],[% PREVISTO]],"0%")</f>
        <v>0.95388669301712781</v>
      </c>
      <c r="L609" s="31" t="str" cm="1">
        <f t="array" aca="1" ref="L6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09" s="215"/>
      <c r="N609" s="30"/>
      <c r="O609" s="42">
        <f t="shared" si="31"/>
        <v>2025</v>
      </c>
      <c r="P609" s="42" t="str">
        <f t="shared" si="32"/>
        <v>202511645/2022</v>
      </c>
      <c r="Q609" s="42">
        <v>1</v>
      </c>
    </row>
    <row r="610" spans="1:17" ht="30" hidden="1">
      <c r="A610" s="192" t="s">
        <v>539</v>
      </c>
      <c r="B610" s="315" t="str">
        <f>IFERROR(INDEX(Projetos!$B$3:$B$129,MATCH(A610,Projetos!$A$3:$A$129,0))," ")</f>
        <v>Desenvolvimento do módulo de Sessão de Julgamento (PDPJ-Br)</v>
      </c>
      <c r="D610" s="214">
        <v>0.85299999999999998</v>
      </c>
      <c r="E610" s="214">
        <v>0.56799999999999995</v>
      </c>
      <c r="F610" s="219">
        <v>45686</v>
      </c>
      <c r="G610" s="220">
        <v>45658</v>
      </c>
      <c r="H610" s="51" t="str">
        <f t="shared" si="30"/>
        <v>09630/202445658</v>
      </c>
      <c r="I610" s="473">
        <f>IFERROR(INDEX(Projetos!$M$2:$M$129,MATCH(Atualizações!A610,Projetos!$A$2:$A$129,0))," ")</f>
        <v>46387</v>
      </c>
      <c r="J610" s="221"/>
      <c r="K610" s="344">
        <f>IFERROR(Tb_Atualizações[[#This Row],[% EXECUTADO]]/Tb_Atualizações[[#This Row],[% PREVISTO]],"0%")</f>
        <v>0.66588511137162953</v>
      </c>
      <c r="L610" s="31" t="str" cm="1">
        <f t="array" aca="1" ref="L6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10" s="215"/>
      <c r="N610" s="30"/>
      <c r="O610" s="42">
        <f t="shared" si="31"/>
        <v>2025</v>
      </c>
      <c r="P610" s="42" t="str">
        <f t="shared" si="32"/>
        <v>202509630/2024</v>
      </c>
      <c r="Q610" s="42">
        <v>1</v>
      </c>
    </row>
    <row r="611" spans="1:17" ht="30" hidden="1">
      <c r="A611" s="192" t="s">
        <v>690</v>
      </c>
      <c r="B611" s="315" t="str">
        <f>IFERROR(INDEX(Projetos!$B$3:$B$129,MATCH(A611,Projetos!$A$3:$A$129,0))," ")</f>
        <v>Painel “Justiça Criminal e Sistema Prisional”</v>
      </c>
      <c r="D611" s="214">
        <v>0.754</v>
      </c>
      <c r="E611" s="214">
        <v>0.75</v>
      </c>
      <c r="F611" s="219">
        <v>45686</v>
      </c>
      <c r="G611" s="220">
        <v>45658</v>
      </c>
      <c r="H611" s="51" t="str">
        <f t="shared" si="30"/>
        <v>12215/202345658</v>
      </c>
      <c r="I611" s="473">
        <f>IFERROR(INDEX(Projetos!$M$2:$M$129,MATCH(Atualizações!A611,Projetos!$A$2:$A$129,0))," ")</f>
        <v>46387</v>
      </c>
      <c r="J611" s="221" t="s">
        <v>1343</v>
      </c>
      <c r="K611" s="344">
        <f>IFERROR(Tb_Atualizações[[#This Row],[% EXECUTADO]]/Tb_Atualizações[[#This Row],[% PREVISTO]],"0%")</f>
        <v>0.99469496021220161</v>
      </c>
      <c r="L611" s="31" t="str" cm="1">
        <f t="array" aca="1" ref="L6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1" s="215"/>
      <c r="N611" s="30"/>
      <c r="O611" s="42">
        <f t="shared" si="31"/>
        <v>2025</v>
      </c>
      <c r="P611" s="42" t="str">
        <f t="shared" si="32"/>
        <v>202512215/2023</v>
      </c>
      <c r="Q611" s="42">
        <v>1</v>
      </c>
    </row>
    <row r="612" spans="1:17" ht="15" hidden="1">
      <c r="A612" s="192" t="s">
        <v>350</v>
      </c>
      <c r="B612" s="315" t="str">
        <f>IFERROR(INDEX(Projetos!$B$3:$B$129,MATCH(A612,Projetos!$A$3:$A$129,0))," ")</f>
        <v>Painel de Estatística   - Justiça 4.0</v>
      </c>
      <c r="D612" s="214">
        <v>0.98599999999999999</v>
      </c>
      <c r="E612" s="214">
        <v>0.93899999999999995</v>
      </c>
      <c r="F612" s="219">
        <v>45686</v>
      </c>
      <c r="G612" s="220">
        <v>45658</v>
      </c>
      <c r="H612" s="51" t="str">
        <f t="shared" si="30"/>
        <v>03545/202145658</v>
      </c>
      <c r="I612" s="38">
        <f>IFERROR(INDEX(Projetos!$M$2:$M$129,MATCH(Atualizações!A612,Projetos!$A$2:$A$129,0))," ")</f>
        <v>46387</v>
      </c>
      <c r="J612" s="221"/>
      <c r="K612" s="344">
        <f>IFERROR(Tb_Atualizações[[#This Row],[% EXECUTADO]]/Tb_Atualizações[[#This Row],[% PREVISTO]],"0%")</f>
        <v>0.95233265720081128</v>
      </c>
      <c r="L612" s="31" t="str" cm="1">
        <f t="array" aca="1" ref="L6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2" s="215"/>
      <c r="N612" s="30"/>
      <c r="O612" s="42">
        <f t="shared" si="31"/>
        <v>2025</v>
      </c>
      <c r="P612" s="42" t="str">
        <f t="shared" si="32"/>
        <v>202503545/2021</v>
      </c>
      <c r="Q612" s="42">
        <v>1</v>
      </c>
    </row>
    <row r="613" spans="1:17" ht="30" hidden="1">
      <c r="A613" s="192" t="s">
        <v>83</v>
      </c>
      <c r="B613" s="315" t="str">
        <f>IFERROR(INDEX(Projetos!$B$3:$B$129,MATCH(A613,Projetos!$A$3:$A$129,0))," ")</f>
        <v>Painel do Programa Desjudicializa</v>
      </c>
      <c r="D613" s="214">
        <v>0.81499999999999995</v>
      </c>
      <c r="E613" s="214">
        <v>0.75</v>
      </c>
      <c r="F613" s="219">
        <v>45686</v>
      </c>
      <c r="G613" s="220">
        <v>45658</v>
      </c>
      <c r="H613" s="51" t="str">
        <f t="shared" si="30"/>
        <v>00484/202445658</v>
      </c>
      <c r="I613" s="473">
        <f>IFERROR(INDEX(Projetos!$M$2:$M$129,MATCH(Atualizações!A613,Projetos!$A$2:$A$129,0))," ")</f>
        <v>46387</v>
      </c>
      <c r="J613" s="221" t="s">
        <v>1344</v>
      </c>
      <c r="K613" s="344">
        <f>IFERROR(Tb_Atualizações[[#This Row],[% EXECUTADO]]/Tb_Atualizações[[#This Row],[% PREVISTO]],"0%")</f>
        <v>0.92024539877300615</v>
      </c>
      <c r="L613" s="31" t="str" cm="1">
        <f t="array" aca="1" ref="L6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13" s="215"/>
      <c r="N613" s="30"/>
      <c r="O613" s="42">
        <f t="shared" si="31"/>
        <v>2025</v>
      </c>
      <c r="P613" s="42" t="str">
        <f t="shared" si="32"/>
        <v>202500484/2024</v>
      </c>
      <c r="Q613" s="42">
        <v>1</v>
      </c>
    </row>
    <row r="614" spans="1:17" ht="15" hidden="1">
      <c r="A614" s="192" t="s">
        <v>684</v>
      </c>
      <c r="B614" s="315" t="str">
        <f>IFERROR(INDEX(Projetos!$B$3:$B$129,MATCH(A614,Projetos!$A$3:$A$129,0))," ")</f>
        <v>Painel dos Grandes Litigantes</v>
      </c>
      <c r="D614" s="214">
        <v>0.96499999999999997</v>
      </c>
      <c r="E614" s="214">
        <v>0.96699999999999997</v>
      </c>
      <c r="F614" s="219">
        <v>45686</v>
      </c>
      <c r="G614" s="220">
        <v>45658</v>
      </c>
      <c r="H614" s="51" t="str">
        <f t="shared" si="30"/>
        <v>12135/202245658</v>
      </c>
      <c r="I614" s="38" t="str">
        <f>IFERROR(INDEX(Projetos!$M$2:$M$129,MATCH(Atualizações!A614,Projetos!$A$2:$A$129,0))," ")</f>
        <v>30/06/26</v>
      </c>
      <c r="J614" s="221"/>
      <c r="K614" s="344">
        <f>IFERROR(Tb_Atualizações[[#This Row],[% EXECUTADO]]/Tb_Atualizações[[#This Row],[% PREVISTO]],"0%")</f>
        <v>1.0020725388601037</v>
      </c>
      <c r="L614" s="31" t="str" cm="1">
        <f t="array" aca="1" ref="L6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4" s="215"/>
      <c r="N614" s="30"/>
      <c r="O614" s="42">
        <f t="shared" si="31"/>
        <v>2025</v>
      </c>
      <c r="P614" s="42" t="str">
        <f t="shared" si="32"/>
        <v>202512135/2022</v>
      </c>
      <c r="Q614" s="42">
        <v>1</v>
      </c>
    </row>
    <row r="615" spans="1:17" ht="15" hidden="1">
      <c r="A615" s="192" t="s">
        <v>580</v>
      </c>
      <c r="B615" s="334" t="str">
        <f>IFERROR(INDEX(Projetos!$B$3:$B$129,MATCH(A615,Projetos!$A$3:$A$129,0))," ")</f>
        <v>SireneJud 2.0 - Evoluções</v>
      </c>
      <c r="D615" s="214">
        <v>0.26200000000000001</v>
      </c>
      <c r="E615" s="214">
        <v>0.63</v>
      </c>
      <c r="F615" s="219">
        <v>45686</v>
      </c>
      <c r="G615" s="220">
        <v>45658</v>
      </c>
      <c r="H615" s="51" t="str">
        <f t="shared" si="30"/>
        <v>10698/202445658</v>
      </c>
      <c r="I615" s="38">
        <f>IFERROR(INDEX(Projetos!$M$2:$M$129,MATCH(Atualizações!A615,Projetos!$A$2:$A$129,0))," ")</f>
        <v>46387</v>
      </c>
      <c r="J615" s="221"/>
      <c r="K615" s="344">
        <f>IFERROR(Tb_Atualizações[[#This Row],[% EXECUTADO]]/Tb_Atualizações[[#This Row],[% PREVISTO]],"0%")</f>
        <v>2.4045801526717558</v>
      </c>
      <c r="L615" s="31" t="str" cm="1">
        <f t="array" aca="1" ref="L6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5" s="215"/>
      <c r="N615" s="30"/>
      <c r="O615" s="42">
        <f t="shared" si="31"/>
        <v>2025</v>
      </c>
      <c r="P615" s="42" t="str">
        <f t="shared" si="32"/>
        <v>202510698/2024</v>
      </c>
      <c r="Q615" s="42">
        <v>1</v>
      </c>
    </row>
    <row r="616" spans="1:17" ht="15" hidden="1">
      <c r="A616" s="192" t="s">
        <v>609</v>
      </c>
      <c r="B616" s="315" t="str">
        <f>IFERROR(INDEX(Projetos!$B$3:$B$129,MATCH(A616,Projetos!$A$3:$A$129,0))," ")</f>
        <v>SPVATJUD</v>
      </c>
      <c r="D616" s="214">
        <v>0.98199999999999998</v>
      </c>
      <c r="E616" s="214">
        <v>0.96299999999999997</v>
      </c>
      <c r="F616" s="219">
        <v>45686</v>
      </c>
      <c r="G616" s="220">
        <v>45658</v>
      </c>
      <c r="H616" s="51" t="str">
        <f t="shared" si="30"/>
        <v>11270/202245658</v>
      </c>
      <c r="I616" s="38">
        <f>IFERROR(INDEX(Projetos!$M$2:$M$129,MATCH(Atualizações!A616,Projetos!$A$2:$A$129,0))," ")</f>
        <v>45716</v>
      </c>
      <c r="J616" s="221"/>
      <c r="K616" s="344">
        <f>IFERROR(Tb_Atualizações[[#This Row],[% EXECUTADO]]/Tb_Atualizações[[#This Row],[% PREVISTO]],"0%")</f>
        <v>0.9806517311608961</v>
      </c>
      <c r="L616" s="31" t="str" cm="1">
        <f t="array" aca="1" ref="L6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6" s="215"/>
      <c r="N616" s="30"/>
      <c r="O616" s="42">
        <f t="shared" si="31"/>
        <v>2025</v>
      </c>
      <c r="P616" s="42" t="str">
        <f t="shared" si="32"/>
        <v>202511270/2022</v>
      </c>
      <c r="Q616" s="42">
        <v>1</v>
      </c>
    </row>
    <row r="617" spans="1:17" ht="30" hidden="1">
      <c r="A617" s="192" t="s">
        <v>310</v>
      </c>
      <c r="B617" s="315" t="str">
        <f>IFERROR(INDEX(Projetos!$B$3:$B$129,MATCH(A617,Projetos!$A$3:$A$129,0))," ")</f>
        <v>Apoio a implantação de soluções da PDPJ-Br</v>
      </c>
      <c r="D617" s="214">
        <v>0.68500000000000005</v>
      </c>
      <c r="E617" s="214">
        <v>0.56599999999999995</v>
      </c>
      <c r="F617" s="219">
        <v>45688</v>
      </c>
      <c r="G617" s="220">
        <v>45658</v>
      </c>
      <c r="H617" s="51" t="str">
        <f t="shared" si="30"/>
        <v>02887/202445658</v>
      </c>
      <c r="I617" s="473">
        <f>IFERROR(INDEX(Projetos!$M$2:$M$129,MATCH(Atualizações!A617,Projetos!$A$2:$A$129,0))," ")</f>
        <v>46387</v>
      </c>
      <c r="J617" s="221"/>
      <c r="K617" s="344">
        <f>IFERROR(Tb_Atualizações[[#This Row],[% EXECUTADO]]/Tb_Atualizações[[#This Row],[% PREVISTO]],"0%")</f>
        <v>0.82627737226277354</v>
      </c>
      <c r="L617" s="31" t="str" cm="1">
        <f t="array" aca="1" ref="L6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17" s="215"/>
      <c r="N617" s="30"/>
      <c r="O617" s="42">
        <f t="shared" si="31"/>
        <v>2025</v>
      </c>
      <c r="P617" s="42" t="str">
        <f t="shared" si="32"/>
        <v>202502887/2024</v>
      </c>
      <c r="Q617" s="42">
        <v>1</v>
      </c>
    </row>
    <row r="618" spans="1:17" ht="15" hidden="1">
      <c r="A618" s="192" t="s">
        <v>247</v>
      </c>
      <c r="B618" s="315" t="str">
        <f>IFERROR(INDEX(Projetos!$B$3:$B$129,MATCH(A618,Projetos!$A$3:$A$129,0))," ")</f>
        <v>Portal de Serviços</v>
      </c>
      <c r="D618" s="214">
        <v>0.68799999999999994</v>
      </c>
      <c r="E618" s="214">
        <v>0.65100000000000002</v>
      </c>
      <c r="F618" s="219">
        <v>45688</v>
      </c>
      <c r="G618" s="220">
        <v>45658</v>
      </c>
      <c r="H618" s="51" t="str">
        <f t="shared" si="30"/>
        <v>02394/202445658</v>
      </c>
      <c r="I618" s="473">
        <f>IFERROR(INDEX(Projetos!$M$2:$M$129,MATCH(Atualizações!A618,Projetos!$A$2:$A$129,0))," ")</f>
        <v>46387</v>
      </c>
      <c r="J618" s="221"/>
      <c r="K618" s="344">
        <f>IFERROR(Tb_Atualizações[[#This Row],[% EXECUTADO]]/Tb_Atualizações[[#This Row],[% PREVISTO]],"0%")</f>
        <v>0.94622093023255827</v>
      </c>
      <c r="L618" s="31" t="str" cm="1">
        <f t="array" aca="1" ref="L6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18" s="215"/>
      <c r="N618" s="30"/>
      <c r="O618" s="42">
        <f t="shared" si="31"/>
        <v>2025</v>
      </c>
      <c r="P618" s="42" t="str">
        <f t="shared" si="32"/>
        <v>202502394/2024</v>
      </c>
      <c r="Q618" s="42">
        <v>1</v>
      </c>
    </row>
    <row r="619" spans="1:17" ht="15" hidden="1">
      <c r="A619" s="192" t="s">
        <v>358</v>
      </c>
      <c r="B619" s="315" t="str">
        <f>IFERROR(INDEX(Projetos!$B$3:$B$129,MATCH(A619,Projetos!$A$3:$A$129,0))," ")</f>
        <v>Prevjud - Automação de Processos Previdenciários - Justiça 4.0</v>
      </c>
      <c r="D619" s="214">
        <v>0.95699999999999996</v>
      </c>
      <c r="E619" s="214">
        <v>0.92300000000000004</v>
      </c>
      <c r="F619" s="219">
        <v>45688</v>
      </c>
      <c r="G619" s="220">
        <v>45658</v>
      </c>
      <c r="H619" s="51" t="str">
        <f t="shared" si="30"/>
        <v>03558/202145658</v>
      </c>
      <c r="I619" s="38" t="str">
        <f>IFERROR(INDEX(Projetos!$M$2:$M$129,MATCH(Atualizações!A619,Projetos!$A$2:$A$129,0))," ")</f>
        <v>31/03/2026</v>
      </c>
      <c r="J619" s="221"/>
      <c r="K619" s="344">
        <f>IFERROR(Tb_Atualizações[[#This Row],[% EXECUTADO]]/Tb_Atualizações[[#This Row],[% PREVISTO]],"0%")</f>
        <v>0.96447230929989558</v>
      </c>
      <c r="L619" s="31" t="str" cm="1">
        <f t="array" aca="1" ref="L6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19" s="215"/>
      <c r="N619" s="30"/>
      <c r="O619" s="42">
        <f t="shared" si="31"/>
        <v>2025</v>
      </c>
      <c r="P619" s="42" t="str">
        <f t="shared" si="32"/>
        <v>202503558/2021</v>
      </c>
      <c r="Q619" s="42">
        <v>1</v>
      </c>
    </row>
    <row r="620" spans="1:17" ht="15" hidden="1">
      <c r="A620" s="192" t="s">
        <v>638</v>
      </c>
      <c r="B620" s="315" t="str">
        <f>IFERROR(INDEX(Projetos!$B$3:$B$129,MATCH(A620,Projetos!$A$3:$A$129,0))," ")</f>
        <v>Sisperjud</v>
      </c>
      <c r="D620" s="214">
        <v>0.85799999999999998</v>
      </c>
      <c r="E620" s="214">
        <v>0.81200000000000006</v>
      </c>
      <c r="F620" s="219">
        <v>45688</v>
      </c>
      <c r="G620" s="220">
        <v>45658</v>
      </c>
      <c r="H620" s="51" t="str">
        <f t="shared" si="30"/>
        <v>11644/202245658</v>
      </c>
      <c r="I620" s="38">
        <f>IFERROR(INDEX(Projetos!$M$2:$M$129,MATCH(Atualizações!A620,Projetos!$A$2:$A$129,0))," ")</f>
        <v>46352</v>
      </c>
      <c r="J620" s="221"/>
      <c r="K620" s="344">
        <f>IFERROR(Tb_Atualizações[[#This Row],[% EXECUTADO]]/Tb_Atualizações[[#This Row],[% PREVISTO]],"0%")</f>
        <v>0.94638694638694643</v>
      </c>
      <c r="L620" s="31" t="str" cm="1">
        <f t="array" aca="1" ref="L6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20" s="215"/>
      <c r="N620" s="30"/>
      <c r="O620" s="42">
        <f t="shared" si="31"/>
        <v>2025</v>
      </c>
      <c r="P620" s="42" t="str">
        <f t="shared" si="32"/>
        <v>202511644/2022</v>
      </c>
      <c r="Q620" s="42">
        <v>1</v>
      </c>
    </row>
    <row r="621" spans="1:17" ht="30" hidden="1">
      <c r="A621" s="192" t="s">
        <v>257</v>
      </c>
      <c r="B621" s="315" t="str">
        <f>IFERROR(INDEX(Projetos!$B$3:$B$129,MATCH(A621,Projetos!$A$3:$A$129,0))," ")</f>
        <v>SisPreq – Sistema de Precatórios e Requisições de Pequeno Valor</v>
      </c>
      <c r="D621" s="214">
        <v>0.68899999999999995</v>
      </c>
      <c r="E621" s="214">
        <v>0.53800000000000003</v>
      </c>
      <c r="F621" s="219">
        <v>45688</v>
      </c>
      <c r="G621" s="220">
        <v>45658</v>
      </c>
      <c r="H621" s="51" t="str">
        <f t="shared" si="30"/>
        <v>02465/202445658</v>
      </c>
      <c r="I621" s="38" t="str">
        <f>IFERROR(INDEX(Projetos!$M$2:$M$129,MATCH(Atualizações!A621,Projetos!$A$2:$A$129,0))," ")</f>
        <v>15/12/2026</v>
      </c>
      <c r="J621" s="221"/>
      <c r="K621" s="344">
        <f>IFERROR(Tb_Atualizações[[#This Row],[% EXECUTADO]]/Tb_Atualizações[[#This Row],[% PREVISTO]],"0%")</f>
        <v>0.78084179970972434</v>
      </c>
      <c r="L621" s="31" t="str" cm="1">
        <f t="array" aca="1" ref="L6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21" s="215"/>
      <c r="N621" s="30"/>
      <c r="O621" s="42">
        <f t="shared" si="31"/>
        <v>2025</v>
      </c>
      <c r="P621" s="42" t="str">
        <f t="shared" si="32"/>
        <v>202502465/2024</v>
      </c>
      <c r="Q621" s="42">
        <v>1</v>
      </c>
    </row>
    <row r="622" spans="1:17" ht="30" hidden="1">
      <c r="A622" s="192" t="s">
        <v>273</v>
      </c>
      <c r="B622" s="315" t="str">
        <f>IFERROR(INDEX(Projetos!$B$3:$B$129,MATCH(A622,Projetos!$A$3:$A$129,0))," ")</f>
        <v>SNA – Novo Sistema Nacional de Adoção e Acolhimento</v>
      </c>
      <c r="D622" s="214">
        <v>0.54200000000000004</v>
      </c>
      <c r="E622" s="214">
        <v>0.24299999999999999</v>
      </c>
      <c r="F622" s="219">
        <v>45688</v>
      </c>
      <c r="G622" s="220">
        <v>45658</v>
      </c>
      <c r="H622" s="51" t="str">
        <f t="shared" si="30"/>
        <v>02483/202345658</v>
      </c>
      <c r="I622" s="38">
        <f>IFERROR(INDEX(Projetos!$M$2:$M$129,MATCH(Atualizações!A622,Projetos!$A$2:$A$129,0))," ")</f>
        <v>46022</v>
      </c>
      <c r="J622" s="221"/>
      <c r="K622" s="344">
        <f>IFERROR(Tb_Atualizações[[#This Row],[% EXECUTADO]]/Tb_Atualizações[[#This Row],[% PREVISTO]],"0%")</f>
        <v>0.44833948339483393</v>
      </c>
      <c r="L622" s="31" t="str" cm="1">
        <f t="array" aca="1" ref="L6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22" s="215"/>
      <c r="N622" s="30"/>
      <c r="O622" s="42">
        <f t="shared" si="31"/>
        <v>2025</v>
      </c>
      <c r="P622" s="42" t="str">
        <f t="shared" si="32"/>
        <v>202502483/2023</v>
      </c>
      <c r="Q622" s="42">
        <v>1</v>
      </c>
    </row>
    <row r="623" spans="1:17" ht="15" hidden="1">
      <c r="A623" s="192" t="s">
        <v>549</v>
      </c>
      <c r="B623" s="315" t="str">
        <f>IFERROR(INDEX(Projetos!$B$3:$B$129,MATCH(A623,Projetos!$A$3:$A$129,0))," ")</f>
        <v>Fluxo Nacional Automatizado das Execuções Fiscais (EFIN)</v>
      </c>
      <c r="D623" s="214">
        <v>0.79900000000000004</v>
      </c>
      <c r="E623" s="214">
        <v>0.68700000000000006</v>
      </c>
      <c r="F623" s="219">
        <v>45689</v>
      </c>
      <c r="G623" s="220">
        <v>45658</v>
      </c>
      <c r="H623" s="51" t="str">
        <f t="shared" si="30"/>
        <v>09796/202445658</v>
      </c>
      <c r="I623" s="38">
        <f>IFERROR(INDEX(Projetos!$M$2:$M$129,MATCH(Atualizações!A623,Projetos!$A$2:$A$129,0))," ")</f>
        <v>46226</v>
      </c>
      <c r="J623" s="221"/>
      <c r="K623" s="344">
        <f>IFERROR(Tb_Atualizações[[#This Row],[% EXECUTADO]]/Tb_Atualizações[[#This Row],[% PREVISTO]],"0%")</f>
        <v>0.85982478097622028</v>
      </c>
      <c r="L623" s="31" t="str" cm="1">
        <f t="array" aca="1" ref="L6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23" s="215"/>
      <c r="N623" s="30"/>
      <c r="O623" s="42">
        <f t="shared" si="31"/>
        <v>2025</v>
      </c>
      <c r="P623" s="42" t="str">
        <f t="shared" si="32"/>
        <v>202509796/2024</v>
      </c>
      <c r="Q623" s="42">
        <v>1</v>
      </c>
    </row>
    <row r="624" spans="1:17" ht="15" hidden="1">
      <c r="A624" s="192" t="s">
        <v>722</v>
      </c>
      <c r="B624" s="315" t="str">
        <f>IFERROR(INDEX(Projetos!$B$3:$B$129,MATCH(A624,Projetos!$A$3:$A$129,0))," ")</f>
        <v>Serviços Estruturantes - Melhorias Evolutivas e Corretivas</v>
      </c>
      <c r="D624" s="214">
        <v>0</v>
      </c>
      <c r="E624" s="214">
        <v>0</v>
      </c>
      <c r="F624" s="219">
        <v>45691</v>
      </c>
      <c r="G624" s="220">
        <v>45658</v>
      </c>
      <c r="H624" s="51" t="str">
        <f t="shared" si="30"/>
        <v>14965/202445658</v>
      </c>
      <c r="I624" s="473">
        <f>IFERROR(INDEX(Projetos!$M$2:$M$129,MATCH(Atualizações!A624,Projetos!$A$2:$A$129,0))," ")</f>
        <v>46387</v>
      </c>
      <c r="J624" s="309" t="s">
        <v>1338</v>
      </c>
      <c r="K624" s="344" t="str">
        <f>IFERROR(Tb_Atualizações[[#This Row],[% EXECUTADO]]/Tb_Atualizações[[#This Row],[% PREVISTO]],"0%")</f>
        <v>0%</v>
      </c>
      <c r="L624" s="31" t="str" cm="1">
        <f t="array" aca="1" ref="L6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624" s="215"/>
      <c r="N624" s="30"/>
      <c r="O624" s="42">
        <f t="shared" si="31"/>
        <v>2025</v>
      </c>
      <c r="P624" s="42" t="str">
        <f t="shared" si="32"/>
        <v>202514965/2024</v>
      </c>
      <c r="Q624" s="42">
        <v>1</v>
      </c>
    </row>
    <row r="625" spans="1:17" ht="30" hidden="1">
      <c r="A625" s="192" t="s">
        <v>416</v>
      </c>
      <c r="B625" s="315" t="str">
        <f>IFERROR(INDEX(Projetos!$B$3:$B$129,MATCH(A625,Projetos!$A$3:$A$129,0))," ")</f>
        <v>Conecta</v>
      </c>
      <c r="D625" s="214">
        <v>0.48499999999999999</v>
      </c>
      <c r="E625" s="214">
        <v>0.35599999999999998</v>
      </c>
      <c r="F625" s="219">
        <v>45692</v>
      </c>
      <c r="G625" s="220">
        <v>45658</v>
      </c>
      <c r="H625" s="51" t="str">
        <f t="shared" si="30"/>
        <v>05578/202445658</v>
      </c>
      <c r="I625" s="38" t="str">
        <f>IFERROR(INDEX(Projetos!$M$2:$M$129,MATCH(Atualizações!A625,Projetos!$A$2:$A$129,0))," ")</f>
        <v>31/12/2026</v>
      </c>
      <c r="J625" s="221"/>
      <c r="K625" s="344">
        <f>IFERROR(Tb_Atualizações[[#This Row],[% EXECUTADO]]/Tb_Atualizações[[#This Row],[% PREVISTO]],"0%")</f>
        <v>0.73402061855670098</v>
      </c>
      <c r="L625" s="31" t="str" cm="1">
        <f t="array" aca="1" ref="L6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25" s="215"/>
      <c r="N625" s="30"/>
      <c r="O625" s="42">
        <f t="shared" si="31"/>
        <v>2025</v>
      </c>
      <c r="P625" s="42" t="str">
        <f t="shared" si="32"/>
        <v>202505578/2024</v>
      </c>
      <c r="Q625" s="42">
        <v>1</v>
      </c>
    </row>
    <row r="626" spans="1:17" ht="75" hidden="1">
      <c r="A626" s="192" t="s">
        <v>376</v>
      </c>
      <c r="B626" s="315" t="str">
        <f>IFERROR(INDEX(Projetos!$B$3:$B$129,MATCH(A626,Projetos!$A$3:$A$129,0))," ")</f>
        <v>Nacionalização SAREF - Sistema de Apresentação Remota por Reconhecimento Facial</v>
      </c>
      <c r="D626" s="214">
        <v>1</v>
      </c>
      <c r="E626" s="214">
        <v>0.66700000000000004</v>
      </c>
      <c r="F626" s="219">
        <v>45692</v>
      </c>
      <c r="G626" s="220">
        <v>45658</v>
      </c>
      <c r="H626" s="51" t="str">
        <f t="shared" si="30"/>
        <v>03924/202345658</v>
      </c>
      <c r="I626" s="38">
        <f>IFERROR(INDEX(Projetos!$M$2:$M$129,MATCH(Atualizações!A626,Projetos!$A$2:$A$129,0))," ")</f>
        <v>45565</v>
      </c>
      <c r="J626" s="221" t="s">
        <v>1345</v>
      </c>
      <c r="K626" s="344">
        <f>IFERROR(Tb_Atualizações[[#This Row],[% EXECUTADO]]/Tb_Atualizações[[#This Row],[% PREVISTO]],"0%")</f>
        <v>0.66700000000000004</v>
      </c>
      <c r="L626" s="31" t="str" cm="1">
        <f t="array" aca="1" ref="L6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26" s="215"/>
      <c r="N626" s="30"/>
      <c r="O626" s="42">
        <f t="shared" si="31"/>
        <v>2025</v>
      </c>
      <c r="P626" s="42" t="str">
        <f t="shared" si="32"/>
        <v>202503924/2023</v>
      </c>
      <c r="Q626" s="42">
        <v>1</v>
      </c>
    </row>
    <row r="627" spans="1:17" ht="30" hidden="1">
      <c r="A627" s="192" t="s">
        <v>517</v>
      </c>
      <c r="B627" s="334" t="str">
        <f>IFERROR(INDEX(Projetos!$B$3:$B$129,MATCH(A627,Projetos!$A$3:$A$129,0))," ")</f>
        <v>Domicílio Judicial Eletrônico - Melhorias Evolutivas</v>
      </c>
      <c r="D627" s="214">
        <v>0.95399999999999996</v>
      </c>
      <c r="E627" s="214">
        <v>0.95399999999999996</v>
      </c>
      <c r="F627" s="219">
        <v>45693</v>
      </c>
      <c r="G627" s="220">
        <v>45658</v>
      </c>
      <c r="H627" s="51" t="str">
        <f t="shared" si="30"/>
        <v>09445/202345658</v>
      </c>
      <c r="I627" s="38">
        <f>IFERROR(INDEX(Projetos!$M$2:$M$129,MATCH(Atualizações!A627,Projetos!$A$2:$A$129,0))," ")</f>
        <v>46203</v>
      </c>
      <c r="J627" s="221" t="s">
        <v>1346</v>
      </c>
      <c r="K627" s="344">
        <f>IFERROR(Tb_Atualizações[[#This Row],[% EXECUTADO]]/Tb_Atualizações[[#This Row],[% PREVISTO]],"0%")</f>
        <v>1</v>
      </c>
      <c r="L627" s="31" t="str" cm="1">
        <f t="array" aca="1" ref="L6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27" s="215"/>
      <c r="N627" s="30"/>
      <c r="O627" s="42">
        <f t="shared" si="31"/>
        <v>2025</v>
      </c>
      <c r="P627" s="42" t="str">
        <f t="shared" si="32"/>
        <v>202509445/2023</v>
      </c>
      <c r="Q627" s="42">
        <v>1</v>
      </c>
    </row>
    <row r="628" spans="1:17" ht="30" hidden="1">
      <c r="A628" s="192" t="s">
        <v>458</v>
      </c>
      <c r="B628" s="315" t="str">
        <f>IFERROR(INDEX(Projetos!$B$3:$B$129,MATCH(A628,Projetos!$A$3:$A$129,0))," ")</f>
        <v>SNGB - Melhorias evolutivas</v>
      </c>
      <c r="D628" s="214">
        <v>0.46</v>
      </c>
      <c r="E628" s="214">
        <v>0.45300000000000001</v>
      </c>
      <c r="F628" s="219">
        <v>45693</v>
      </c>
      <c r="G628" s="220">
        <v>45658</v>
      </c>
      <c r="H628" s="51" t="str">
        <f t="shared" si="30"/>
        <v>08370/202445658</v>
      </c>
      <c r="I628" s="473">
        <f>IFERROR(INDEX(Projetos!$M$2:$M$129,MATCH(Atualizações!A628,Projetos!$A$2:$A$129,0))," ")</f>
        <v>46101</v>
      </c>
      <c r="J628" s="221" t="s">
        <v>1347</v>
      </c>
      <c r="K628" s="344">
        <f>IFERROR(Tb_Atualizações[[#This Row],[% EXECUTADO]]/Tb_Atualizações[[#This Row],[% PREVISTO]],"0%")</f>
        <v>0.98478260869565215</v>
      </c>
      <c r="L628" s="31" t="str" cm="1">
        <f t="array" aca="1" ref="L6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28" s="215"/>
      <c r="N628" s="30"/>
      <c r="O628" s="42">
        <f t="shared" si="31"/>
        <v>2025</v>
      </c>
      <c r="P628" s="42" t="str">
        <f t="shared" si="32"/>
        <v>202508370/2024</v>
      </c>
      <c r="Q628" s="42">
        <v>1</v>
      </c>
    </row>
    <row r="629" spans="1:17" ht="15" hidden="1">
      <c r="A629" s="192" t="s">
        <v>58</v>
      </c>
      <c r="B629" s="315" t="str">
        <f>IFERROR(INDEX(Projetos!$B$3:$B$129,MATCH(A629,Projetos!$A$3:$A$129,0))," ")</f>
        <v>Phase-out: Transição Projetos X Operação</v>
      </c>
      <c r="D629" s="214">
        <v>8.5999999999999993E-2</v>
      </c>
      <c r="E629" s="214">
        <v>0.22500000000000001</v>
      </c>
      <c r="F629" s="219">
        <v>45694</v>
      </c>
      <c r="G629" s="220">
        <v>45658</v>
      </c>
      <c r="H629" s="51" t="str">
        <f t="shared" si="30"/>
        <v>00030/202545658</v>
      </c>
      <c r="I629" s="38">
        <f>IFERROR(INDEX(Projetos!$M$2:$M$129,MATCH(Atualizações!A629,Projetos!$A$2:$A$129,0))," ")</f>
        <v>46387</v>
      </c>
      <c r="J629" s="221" t="s">
        <v>1348</v>
      </c>
      <c r="K629" s="344">
        <f>IFERROR(Tb_Atualizações[[#This Row],[% EXECUTADO]]/Tb_Atualizações[[#This Row],[% PREVISTO]],"0%")</f>
        <v>2.6162790697674421</v>
      </c>
      <c r="L629" s="31" t="str" cm="1">
        <f t="array" aca="1" ref="L6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29" s="215"/>
      <c r="N629" s="30"/>
      <c r="O629" s="42">
        <f t="shared" si="31"/>
        <v>2025</v>
      </c>
      <c r="P629" s="42" t="str">
        <f t="shared" si="32"/>
        <v>202500030/2025</v>
      </c>
      <c r="Q629" s="42">
        <v>1</v>
      </c>
    </row>
    <row r="630" spans="1:17" ht="30" hidden="1">
      <c r="A630" s="192" t="s">
        <v>509</v>
      </c>
      <c r="B630" s="315" t="str">
        <f>IFERROR(INDEX(Projetos!$B$3:$B$129,MATCH(A630,Projetos!$A$3:$A$129,0))," ")</f>
        <v>IA para Gestão de Precedentes Qualificados</v>
      </c>
      <c r="D630" s="214">
        <v>0.97799999999999998</v>
      </c>
      <c r="E630" s="214">
        <v>0.86199999999999999</v>
      </c>
      <c r="F630" s="219">
        <v>45695</v>
      </c>
      <c r="G630" s="220">
        <v>45658</v>
      </c>
      <c r="H630" s="51" t="str">
        <f t="shared" si="30"/>
        <v>09173/202445658</v>
      </c>
      <c r="I630" s="38">
        <f>IFERROR(INDEX(Projetos!$M$2:$M$129,MATCH(Atualizações!A630,Projetos!$A$2:$A$129,0))," ")</f>
        <v>45735</v>
      </c>
      <c r="J630" s="221" t="s">
        <v>1349</v>
      </c>
      <c r="K630" s="344">
        <f>IFERROR(Tb_Atualizações[[#This Row],[% EXECUTADO]]/Tb_Atualizações[[#This Row],[% PREVISTO]],"0%")</f>
        <v>0.88139059304703482</v>
      </c>
      <c r="L630" s="31" t="str" cm="1">
        <f t="array" aca="1" ref="L6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30" s="215"/>
      <c r="N630" s="30"/>
      <c r="O630" s="42">
        <f t="shared" si="31"/>
        <v>2025</v>
      </c>
      <c r="P630" s="42" t="str">
        <f t="shared" si="32"/>
        <v>202509173/2024</v>
      </c>
      <c r="Q630" s="42">
        <v>1</v>
      </c>
    </row>
    <row r="631" spans="1:17" ht="45" hidden="1">
      <c r="A631" s="192" t="s">
        <v>396</v>
      </c>
      <c r="B631" s="334" t="str">
        <f>IFERROR(INDEX(Projetos!$B$3:$B$129,MATCH(A631,Projetos!$A$3:$A$129,0))," ")</f>
        <v>CODEX - Melhorias Evolutivas e Corretivas</v>
      </c>
      <c r="D631" s="214">
        <v>0.81899999999999995</v>
      </c>
      <c r="E631" s="214">
        <v>0.86499999999999999</v>
      </c>
      <c r="F631" s="219">
        <v>45699</v>
      </c>
      <c r="G631" s="220">
        <v>45474</v>
      </c>
      <c r="H631" s="51" t="str">
        <f t="shared" si="30"/>
        <v>04751/202245474</v>
      </c>
      <c r="I631" s="473">
        <f>IFERROR(INDEX(Projetos!$M$2:$M$129,MATCH(Atualizações!A631,Projetos!$A$2:$A$129,0))," ")</f>
        <v>46387</v>
      </c>
      <c r="J631" s="309" t="s">
        <v>1350</v>
      </c>
      <c r="K631" s="344">
        <f>IFERROR(Tb_Atualizações[[#This Row],[% EXECUTADO]]/Tb_Atualizações[[#This Row],[% PREVISTO]],"0%")</f>
        <v>1.0561660561660562</v>
      </c>
      <c r="L631" s="31" t="str" cm="1">
        <f t="array" aca="1" ref="L6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1" s="215"/>
      <c r="N631" s="30"/>
      <c r="O631" s="42">
        <f t="shared" si="31"/>
        <v>2025</v>
      </c>
      <c r="P631" s="42" t="str">
        <f t="shared" si="32"/>
        <v>202504751/2022</v>
      </c>
      <c r="Q631" s="42">
        <v>1</v>
      </c>
    </row>
    <row r="632" spans="1:17" ht="30" hidden="1">
      <c r="A632" s="192" t="s">
        <v>675</v>
      </c>
      <c r="B632" s="334" t="str">
        <f>IFERROR(INDEX(Projetos!$B$3:$B$129,MATCH(A632,Projetos!$A$3:$A$129,0))," ")</f>
        <v>Pesquisa IA 2024 - Mapeamento dos projetos de Inteligência Artificial em desenvolvimento pelos tribunais brasileiros</v>
      </c>
      <c r="D632" s="214">
        <v>0</v>
      </c>
      <c r="E632" s="214">
        <v>0</v>
      </c>
      <c r="F632" s="219">
        <v>45699</v>
      </c>
      <c r="G632" s="220">
        <v>45658</v>
      </c>
      <c r="H632" s="51" t="str">
        <f t="shared" si="30"/>
        <v>11988/202445658</v>
      </c>
      <c r="I632" s="38">
        <f>IFERROR(INDEX(Projetos!$M$2:$M$129,MATCH(Atualizações!A632,Projetos!$A$2:$A$129,0))," ")</f>
        <v>45899</v>
      </c>
      <c r="J632" s="309" t="s">
        <v>1338</v>
      </c>
      <c r="K632" s="344" t="str">
        <f>IFERROR(Tb_Atualizações[[#This Row],[% EXECUTADO]]/Tb_Atualizações[[#This Row],[% PREVISTO]],"0%")</f>
        <v>0%</v>
      </c>
      <c r="L632" s="31" t="str" cm="1">
        <f t="array" aca="1" ref="L6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632" s="215"/>
      <c r="N632" s="30"/>
      <c r="O632" s="42">
        <f t="shared" si="31"/>
        <v>2025</v>
      </c>
      <c r="P632" s="42" t="str">
        <f t="shared" si="32"/>
        <v>202511988/2024</v>
      </c>
      <c r="Q632" s="42">
        <v>1</v>
      </c>
    </row>
    <row r="633" spans="1:17" ht="15" hidden="1">
      <c r="A633" s="192" t="s">
        <v>589</v>
      </c>
      <c r="B633" s="334" t="str">
        <f>IFERROR(INDEX(Projetos!$B$3:$B$129,MATCH(A633,Projetos!$A$3:$A$129,0))," ")</f>
        <v>Pacto Nacional do Judiciário pelos Direitos Humanos - 2ª Fase</v>
      </c>
      <c r="D633" s="214">
        <v>0.48</v>
      </c>
      <c r="E633" s="214">
        <v>0.48</v>
      </c>
      <c r="F633" s="219">
        <v>45706</v>
      </c>
      <c r="G633" s="220">
        <v>45658</v>
      </c>
      <c r="H633" s="51" t="str">
        <f t="shared" si="30"/>
        <v>10926/202445658</v>
      </c>
      <c r="I633" s="38">
        <f>IFERROR(INDEX(Projetos!$M$2:$M$129,MATCH(Atualizações!A633,Projetos!$A$2:$A$129,0))," ")</f>
        <v>46233</v>
      </c>
      <c r="J633" s="221"/>
      <c r="K633" s="344">
        <f>IFERROR(Tb_Atualizações[[#This Row],[% EXECUTADO]]/Tb_Atualizações[[#This Row],[% PREVISTO]],"0%")</f>
        <v>1</v>
      </c>
      <c r="L633" s="31" t="str" cm="1">
        <f t="array" aca="1" ref="L6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3" s="215"/>
      <c r="N633" s="30"/>
      <c r="O633" s="42">
        <f t="shared" si="31"/>
        <v>2025</v>
      </c>
      <c r="P633" s="42" t="str">
        <f t="shared" si="32"/>
        <v>202510926/2024</v>
      </c>
      <c r="Q633" s="42">
        <v>1</v>
      </c>
    </row>
    <row r="634" spans="1:17" ht="15" hidden="1">
      <c r="A634" s="192" t="s">
        <v>690</v>
      </c>
      <c r="B634" s="315" t="str">
        <f>IFERROR(INDEX(Projetos!$B$3:$B$129,MATCH(A634,Projetos!$A$3:$A$129,0))," ")</f>
        <v>Painel “Justiça Criminal e Sistema Prisional”</v>
      </c>
      <c r="D634" s="214">
        <v>0.75700000000000001</v>
      </c>
      <c r="E634" s="214">
        <v>0.75</v>
      </c>
      <c r="F634" s="219">
        <v>45707</v>
      </c>
      <c r="G634" s="220">
        <v>45689</v>
      </c>
      <c r="H634" s="51" t="str">
        <f t="shared" si="30"/>
        <v>12215/202345689</v>
      </c>
      <c r="I634" s="473">
        <f>IFERROR(INDEX(Projetos!$M$2:$M$129,MATCH(Atualizações!A634,Projetos!$A$2:$A$129,0))," ")</f>
        <v>46387</v>
      </c>
      <c r="J634" s="221"/>
      <c r="K634" s="344">
        <f>IFERROR(Tb_Atualizações[[#This Row],[% EXECUTADO]]/Tb_Atualizações[[#This Row],[% PREVISTO]],"0%")</f>
        <v>0.99075297225891679</v>
      </c>
      <c r="L634" s="31" t="str" cm="1">
        <f t="array" aca="1" ref="L6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4" s="215"/>
      <c r="N634" s="30"/>
      <c r="O634" s="42">
        <f t="shared" si="31"/>
        <v>2025</v>
      </c>
      <c r="P634" s="42" t="str">
        <f t="shared" si="32"/>
        <v>202512215/2023</v>
      </c>
      <c r="Q634" s="42">
        <v>1</v>
      </c>
    </row>
    <row r="635" spans="1:17" ht="15" hidden="1">
      <c r="A635" s="192" t="s">
        <v>350</v>
      </c>
      <c r="B635" s="315" t="str">
        <f>IFERROR(INDEX(Projetos!$B$3:$B$129,MATCH(A635,Projetos!$A$3:$A$129,0))," ")</f>
        <v>Painel de Estatística   - Justiça 4.0</v>
      </c>
      <c r="D635" s="214">
        <v>0.98699999999999999</v>
      </c>
      <c r="E635" s="214">
        <v>0.93899999999999995</v>
      </c>
      <c r="F635" s="219">
        <v>45707</v>
      </c>
      <c r="G635" s="220">
        <v>45689</v>
      </c>
      <c r="H635" s="51" t="str">
        <f t="shared" si="30"/>
        <v>03545/202145689</v>
      </c>
      <c r="I635" s="38">
        <f>IFERROR(INDEX(Projetos!$M$2:$M$129,MATCH(Atualizações!A635,Projetos!$A$2:$A$129,0))," ")</f>
        <v>46387</v>
      </c>
      <c r="J635" s="221"/>
      <c r="K635" s="344">
        <f>IFERROR(Tb_Atualizações[[#This Row],[% EXECUTADO]]/Tb_Atualizações[[#This Row],[% PREVISTO]],"0%")</f>
        <v>0.95136778115501519</v>
      </c>
      <c r="L635" s="31" t="str" cm="1">
        <f t="array" aca="1" ref="L6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5" s="215"/>
      <c r="N635" s="30"/>
      <c r="O635" s="42">
        <f t="shared" si="31"/>
        <v>2025</v>
      </c>
      <c r="P635" s="42" t="str">
        <f t="shared" si="32"/>
        <v>202503545/2021</v>
      </c>
      <c r="Q635" s="42">
        <v>1</v>
      </c>
    </row>
    <row r="636" spans="1:17" ht="15" hidden="1">
      <c r="A636" s="192" t="s">
        <v>83</v>
      </c>
      <c r="B636" s="315" t="str">
        <f>IFERROR(INDEX(Projetos!$B$3:$B$129,MATCH(A636,Projetos!$A$3:$A$129,0))," ")</f>
        <v>Painel do Programa Desjudicializa</v>
      </c>
      <c r="D636" s="214">
        <v>0.82199999999999995</v>
      </c>
      <c r="E636" s="214">
        <v>0.75</v>
      </c>
      <c r="F636" s="219">
        <v>45707</v>
      </c>
      <c r="G636" s="220">
        <v>45689</v>
      </c>
      <c r="H636" s="51" t="str">
        <f t="shared" si="30"/>
        <v>00484/202445689</v>
      </c>
      <c r="I636" s="473">
        <f>IFERROR(INDEX(Projetos!$M$2:$M$129,MATCH(Atualizações!A636,Projetos!$A$2:$A$129,0))," ")</f>
        <v>46387</v>
      </c>
      <c r="J636" s="221"/>
      <c r="K636" s="344">
        <f>IFERROR(Tb_Atualizações[[#This Row],[% EXECUTADO]]/Tb_Atualizações[[#This Row],[% PREVISTO]],"0%")</f>
        <v>0.9124087591240877</v>
      </c>
      <c r="L636" s="31" t="str" cm="1">
        <f t="array" aca="1" ref="L6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36" s="215"/>
      <c r="N636" s="30"/>
      <c r="O636" s="42">
        <f t="shared" si="31"/>
        <v>2025</v>
      </c>
      <c r="P636" s="42" t="str">
        <f t="shared" si="32"/>
        <v>202500484/2024</v>
      </c>
      <c r="Q636" s="42">
        <v>1</v>
      </c>
    </row>
    <row r="637" spans="1:17" ht="15" hidden="1">
      <c r="A637" s="192" t="s">
        <v>684</v>
      </c>
      <c r="B637" s="315" t="str">
        <f>IFERROR(INDEX(Projetos!$B$3:$B$129,MATCH(A637,Projetos!$A$3:$A$129,0))," ")</f>
        <v>Painel dos Grandes Litigantes</v>
      </c>
      <c r="D637" s="214">
        <v>0.96599999999999997</v>
      </c>
      <c r="E637" s="214">
        <v>0.96699999999999997</v>
      </c>
      <c r="F637" s="219">
        <v>45707</v>
      </c>
      <c r="G637" s="220">
        <v>45689</v>
      </c>
      <c r="H637" s="51" t="str">
        <f t="shared" si="30"/>
        <v>12135/202245689</v>
      </c>
      <c r="I637" s="38" t="str">
        <f>IFERROR(INDEX(Projetos!$M$2:$M$129,MATCH(Atualizações!A637,Projetos!$A$2:$A$129,0))," ")</f>
        <v>30/06/26</v>
      </c>
      <c r="J637" s="221"/>
      <c r="K637" s="344">
        <f>IFERROR(Tb_Atualizações[[#This Row],[% EXECUTADO]]/Tb_Atualizações[[#This Row],[% PREVISTO]],"0%")</f>
        <v>1.0010351966873705</v>
      </c>
      <c r="L637" s="31" t="str" cm="1">
        <f t="array" aca="1" ref="L6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7" s="215"/>
      <c r="N637" s="30"/>
      <c r="O637" s="42">
        <f t="shared" si="31"/>
        <v>2025</v>
      </c>
      <c r="P637" s="42" t="str">
        <f t="shared" si="32"/>
        <v>202512135/2022</v>
      </c>
      <c r="Q637" s="42">
        <v>1</v>
      </c>
    </row>
    <row r="638" spans="1:17" ht="15" hidden="1">
      <c r="A638" s="192" t="s">
        <v>580</v>
      </c>
      <c r="B638" s="315" t="str">
        <f>IFERROR(INDEX(Projetos!$B$3:$B$129,MATCH(A638,Projetos!$A$3:$A$129,0))," ")</f>
        <v>SireneJud 2.0 - Evoluções</v>
      </c>
      <c r="D638" s="214">
        <v>0.28899999999999998</v>
      </c>
      <c r="E638" s="214">
        <v>0.63</v>
      </c>
      <c r="F638" s="219">
        <v>45707</v>
      </c>
      <c r="G638" s="220">
        <v>45689</v>
      </c>
      <c r="H638" s="51" t="str">
        <f t="shared" si="30"/>
        <v>10698/202445689</v>
      </c>
      <c r="I638" s="38">
        <f>IFERROR(INDEX(Projetos!$M$2:$M$129,MATCH(Atualizações!A638,Projetos!$A$2:$A$129,0))," ")</f>
        <v>46387</v>
      </c>
      <c r="J638" s="221"/>
      <c r="K638" s="344">
        <f>IFERROR(Tb_Atualizações[[#This Row],[% EXECUTADO]]/Tb_Atualizações[[#This Row],[% PREVISTO]],"0%")</f>
        <v>2.179930795847751</v>
      </c>
      <c r="L638" s="31" t="str" cm="1">
        <f t="array" aca="1" ref="L6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8" s="215"/>
      <c r="N638" s="30"/>
      <c r="O638" s="42">
        <f t="shared" si="31"/>
        <v>2025</v>
      </c>
      <c r="P638" s="42" t="str">
        <f t="shared" si="32"/>
        <v>202510698/2024</v>
      </c>
      <c r="Q638" s="42">
        <v>1</v>
      </c>
    </row>
    <row r="639" spans="1:17" ht="30" hidden="1">
      <c r="A639" s="192" t="s">
        <v>559</v>
      </c>
      <c r="B639" s="334" t="str">
        <f>IFERROR(INDEX(Projetos!$B$3:$B$129,MATCH(A639,Projetos!$A$3:$A$129,0))," ")</f>
        <v>Fonajus itinerante</v>
      </c>
      <c r="D639" s="214">
        <v>0.79</v>
      </c>
      <c r="E639" s="214">
        <v>0.79</v>
      </c>
      <c r="F639" s="219">
        <v>45708</v>
      </c>
      <c r="G639" s="220">
        <v>45689</v>
      </c>
      <c r="H639" s="51" t="str">
        <f t="shared" si="30"/>
        <v>10101/202445689</v>
      </c>
      <c r="I639" s="38" t="str">
        <f>IFERROR(INDEX(Projetos!$M$2:$M$129,MATCH(Atualizações!A639,Projetos!$A$2:$A$129,0))," ")</f>
        <v>30/4/2026</v>
      </c>
      <c r="J639" s="221" t="s">
        <v>1351</v>
      </c>
      <c r="K639" s="344">
        <f>IFERROR(Tb_Atualizações[[#This Row],[% EXECUTADO]]/Tb_Atualizações[[#This Row],[% PREVISTO]],"0%")</f>
        <v>1</v>
      </c>
      <c r="L639" s="31" t="str" cm="1">
        <f t="array" aca="1" ref="L6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39" s="215"/>
      <c r="N639" s="30"/>
      <c r="O639" s="42">
        <f t="shared" si="31"/>
        <v>2025</v>
      </c>
      <c r="P639" s="42" t="str">
        <f t="shared" si="32"/>
        <v>202510101/2024</v>
      </c>
      <c r="Q639" s="42">
        <v>1</v>
      </c>
    </row>
    <row r="640" spans="1:17" ht="30" hidden="1">
      <c r="A640" s="192" t="s">
        <v>549</v>
      </c>
      <c r="B640" s="315" t="str">
        <f>IFERROR(INDEX(Projetos!$B$3:$B$129,MATCH(A640,Projetos!$A$3:$A$129,0))," ")</f>
        <v>Fluxo Nacional Automatizado das Execuções Fiscais (EFIN)</v>
      </c>
      <c r="D640" s="214">
        <v>0.83799999999999997</v>
      </c>
      <c r="E640" s="214">
        <v>0.69499999999999995</v>
      </c>
      <c r="F640" s="219">
        <v>45712</v>
      </c>
      <c r="G640" s="220">
        <v>45689</v>
      </c>
      <c r="H640" s="51" t="str">
        <f t="shared" si="30"/>
        <v>09796/202445689</v>
      </c>
      <c r="I640" s="38">
        <f>IFERROR(INDEX(Projetos!$M$2:$M$129,MATCH(Atualizações!A640,Projetos!$A$2:$A$129,0))," ")</f>
        <v>46226</v>
      </c>
      <c r="J640" s="221"/>
      <c r="K640" s="344">
        <f>IFERROR(Tb_Atualizações[[#This Row],[% EXECUTADO]]/Tb_Atualizações[[#This Row],[% PREVISTO]],"0%")</f>
        <v>0.8293556085918854</v>
      </c>
      <c r="L640" s="31" t="str" cm="1">
        <f t="array" aca="1" ref="L6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40" s="215"/>
      <c r="N640" s="30"/>
      <c r="O640" s="42">
        <f t="shared" si="31"/>
        <v>2025</v>
      </c>
      <c r="P640" s="42" t="str">
        <f t="shared" si="32"/>
        <v>202509796/2024</v>
      </c>
      <c r="Q640" s="42">
        <v>1</v>
      </c>
    </row>
    <row r="641" spans="1:17" ht="15" hidden="1">
      <c r="A641" s="192" t="s">
        <v>523</v>
      </c>
      <c r="B641" s="315" t="str">
        <f>IFERROR(INDEX(Projetos!$B$3:$B$129,MATCH(A641,Projetos!$A$3:$A$129,0))," ")</f>
        <v>Portal Jus BR</v>
      </c>
      <c r="D641" s="214">
        <v>0.79700000000000004</v>
      </c>
      <c r="E641" s="214">
        <v>0.78700000000000003</v>
      </c>
      <c r="F641" s="219">
        <v>45713</v>
      </c>
      <c r="G641" s="220">
        <v>45689</v>
      </c>
      <c r="H641" s="51" t="str">
        <f t="shared" si="30"/>
        <v>09536/202445689</v>
      </c>
      <c r="I641" s="38" t="str">
        <f>IFERROR(INDEX(Projetos!$M$2:$M$129,MATCH(Atualizações!A641,Projetos!$A$2:$A$129,0))," ")</f>
        <v>30/10/2025</v>
      </c>
      <c r="J641" s="221"/>
      <c r="K641" s="344">
        <f>IFERROR(Tb_Atualizações[[#This Row],[% EXECUTADO]]/Tb_Atualizações[[#This Row],[% PREVISTO]],"0%")</f>
        <v>0.98745294855708909</v>
      </c>
      <c r="L641" s="31" t="str" cm="1">
        <f t="array" aca="1" ref="L6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41" s="215"/>
      <c r="N641" s="30"/>
      <c r="O641" s="42">
        <f t="shared" si="31"/>
        <v>2025</v>
      </c>
      <c r="P641" s="42" t="str">
        <f t="shared" si="32"/>
        <v>202509536/2024</v>
      </c>
      <c r="Q641" s="42">
        <v>1</v>
      </c>
    </row>
    <row r="642" spans="1:17" ht="15" hidden="1">
      <c r="A642" s="192" t="s">
        <v>533</v>
      </c>
      <c r="B642" s="315" t="str">
        <f>IFERROR(INDEX(Projetos!$B$3:$B$129,MATCH(A642,Projetos!$A$3:$A$129,0))," ")</f>
        <v>Qualificação de Dados</v>
      </c>
      <c r="D642" s="214">
        <v>0.35099999999999998</v>
      </c>
      <c r="E642" s="214">
        <v>0.35299999999999998</v>
      </c>
      <c r="F642" s="219">
        <v>45713</v>
      </c>
      <c r="G642" s="220">
        <v>45689</v>
      </c>
      <c r="H642" s="51" t="str">
        <f t="shared" si="30"/>
        <v>09613/202445689</v>
      </c>
      <c r="I642" s="473">
        <f>IFERROR(INDEX(Projetos!$M$2:$M$129,MATCH(Atualizações!A642,Projetos!$A$2:$A$129,0))," ")</f>
        <v>46386</v>
      </c>
      <c r="J642" s="221"/>
      <c r="K642" s="344">
        <f>IFERROR(Tb_Atualizações[[#This Row],[% EXECUTADO]]/Tb_Atualizações[[#This Row],[% PREVISTO]],"0%")</f>
        <v>1.0056980056980056</v>
      </c>
      <c r="L642" s="31" t="str" cm="1">
        <f t="array" aca="1" ref="L6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42" s="215"/>
      <c r="N642" s="30"/>
      <c r="O642" s="42">
        <f t="shared" si="31"/>
        <v>2025</v>
      </c>
      <c r="P642" s="42" t="str">
        <f t="shared" si="32"/>
        <v>202509613/2024</v>
      </c>
      <c r="Q642" s="42">
        <v>1</v>
      </c>
    </row>
    <row r="643" spans="1:17" ht="60" hidden="1">
      <c r="A643" s="192" t="s">
        <v>431</v>
      </c>
      <c r="B643" s="315" t="str">
        <f>IFERROR(INDEX(Projetos!$B$3:$B$129,MATCH(A643,Projetos!$A$3:$A$129,0))," ")</f>
        <v>Sniper BC</v>
      </c>
      <c r="D643" s="214">
        <v>0.187</v>
      </c>
      <c r="E643" s="214">
        <v>0.13900000000000001</v>
      </c>
      <c r="F643" s="219">
        <v>45713</v>
      </c>
      <c r="G643" s="220">
        <v>45689</v>
      </c>
      <c r="H643" s="51" t="str">
        <f t="shared" si="30"/>
        <v>06826/202445689</v>
      </c>
      <c r="I643" s="38">
        <f>IFERROR(INDEX(Projetos!$M$2:$M$129,MATCH(Atualizações!A643,Projetos!$A$2:$A$129,0))," ")</f>
        <v>46281</v>
      </c>
      <c r="J643" s="221" t="s">
        <v>1352</v>
      </c>
      <c r="K643" s="344">
        <f>IFERROR(Tb_Atualizações[[#This Row],[% EXECUTADO]]/Tb_Atualizações[[#This Row],[% PREVISTO]],"0%")</f>
        <v>0.74331550802139046</v>
      </c>
      <c r="L643" s="31" t="str" cm="1">
        <f t="array" aca="1" ref="L6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43" s="215"/>
      <c r="N643" s="30"/>
      <c r="O643" s="42">
        <f t="shared" si="31"/>
        <v>2025</v>
      </c>
      <c r="P643" s="42" t="str">
        <f t="shared" si="32"/>
        <v>202506826/2024</v>
      </c>
      <c r="Q643" s="42">
        <v>1</v>
      </c>
    </row>
    <row r="644" spans="1:17" ht="15" hidden="1">
      <c r="A644" s="192" t="s">
        <v>644</v>
      </c>
      <c r="B644" s="315" t="str">
        <f>IFERROR(INDEX(Projetos!$B$3:$B$129,MATCH(A644,Projetos!$A$3:$A$129,0))," ")</f>
        <v>BNP/Pangea</v>
      </c>
      <c r="D644" s="214">
        <v>0.78100000000000003</v>
      </c>
      <c r="E644" s="214">
        <v>0.75800000000000001</v>
      </c>
      <c r="F644" s="219">
        <v>45714</v>
      </c>
      <c r="G644" s="220">
        <v>45689</v>
      </c>
      <c r="H644" s="51" t="str">
        <f t="shared" si="30"/>
        <v>11645/202245689</v>
      </c>
      <c r="I644" s="38" t="str">
        <f>IFERROR(INDEX(Projetos!$M$2:$M$129,MATCH(Atualizações!A644,Projetos!$A$2:$A$129,0))," ")</f>
        <v>23/12/2026</v>
      </c>
      <c r="J644" s="221" t="s">
        <v>1353</v>
      </c>
      <c r="K644" s="344">
        <f>IFERROR(Tb_Atualizações[[#This Row],[% EXECUTADO]]/Tb_Atualizações[[#This Row],[% PREVISTO]],"0%")</f>
        <v>0.97055057618437901</v>
      </c>
      <c r="L644" s="31" t="str" cm="1">
        <f t="array" aca="1" ref="L6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44" s="215"/>
      <c r="N644" s="30"/>
      <c r="O644" s="42">
        <f t="shared" si="31"/>
        <v>2025</v>
      </c>
      <c r="P644" s="42" t="str">
        <f t="shared" si="32"/>
        <v>202511645/2022</v>
      </c>
      <c r="Q644" s="42">
        <v>1</v>
      </c>
    </row>
    <row r="645" spans="1:17" ht="30" hidden="1">
      <c r="A645" s="192" t="s">
        <v>539</v>
      </c>
      <c r="B645" s="315" t="str">
        <f>IFERROR(INDEX(Projetos!$B$3:$B$129,MATCH(A645,Projetos!$A$3:$A$129,0))," ")</f>
        <v>Desenvolvimento do módulo de Sessão de Julgamento (PDPJ-Br)</v>
      </c>
      <c r="D645" s="214">
        <v>0.98399999999999999</v>
      </c>
      <c r="E645" s="214">
        <v>0.82799999999999996</v>
      </c>
      <c r="F645" s="219">
        <v>45714</v>
      </c>
      <c r="G645" s="220">
        <v>45689</v>
      </c>
      <c r="H645" s="51" t="str">
        <f t="shared" si="30"/>
        <v>09630/202445689</v>
      </c>
      <c r="I645" s="473">
        <f>IFERROR(INDEX(Projetos!$M$2:$M$129,MATCH(Atualizações!A645,Projetos!$A$2:$A$129,0))," ")</f>
        <v>46387</v>
      </c>
      <c r="J645" s="221"/>
      <c r="K645" s="344">
        <f>IFERROR(Tb_Atualizações[[#This Row],[% EXECUTADO]]/Tb_Atualizações[[#This Row],[% PREVISTO]],"0%")</f>
        <v>0.84146341463414631</v>
      </c>
      <c r="L645" s="31" t="str" cm="1">
        <f t="array" aca="1" ref="L6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45" s="215"/>
      <c r="N645" s="30"/>
      <c r="O645" s="42">
        <f t="shared" si="31"/>
        <v>2025</v>
      </c>
      <c r="P645" s="42" t="str">
        <f t="shared" si="32"/>
        <v>202509630/2024</v>
      </c>
      <c r="Q645" s="42">
        <v>1</v>
      </c>
    </row>
    <row r="646" spans="1:17" ht="45" hidden="1">
      <c r="A646" s="192" t="s">
        <v>266</v>
      </c>
      <c r="B646" s="315" t="str">
        <f>IFERROR(INDEX(Projetos!$B$3:$B$129,MATCH(A646,Projetos!$A$3:$A$129,0))," ")</f>
        <v>Itinerância Cooperativa na Amazônia Legal – 1ª Edição de 2024 – Humaitá e Lábrea/AM</v>
      </c>
      <c r="D646" s="214">
        <v>1</v>
      </c>
      <c r="E646" s="214">
        <v>1</v>
      </c>
      <c r="F646" s="219">
        <v>45714</v>
      </c>
      <c r="G646" s="220">
        <v>45689</v>
      </c>
      <c r="H646" s="51" t="str">
        <f t="shared" si="30"/>
        <v>02476/202445689</v>
      </c>
      <c r="I646" s="38">
        <f>IFERROR(INDEX(Projetos!$M$2:$M$129,MATCH(Atualizações!A646,Projetos!$A$2:$A$129,0))," ")</f>
        <v>45590</v>
      </c>
      <c r="J646" s="221" t="s">
        <v>1354</v>
      </c>
      <c r="K646" s="344">
        <f>IFERROR(Tb_Atualizações[[#This Row],[% EXECUTADO]]/Tb_Atualizações[[#This Row],[% PREVISTO]],"0%")</f>
        <v>1</v>
      </c>
      <c r="L646" s="31" t="str" cm="1">
        <f t="array" aca="1" ref="L6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646" s="215"/>
      <c r="N646" s="30"/>
      <c r="O646" s="42">
        <f t="shared" si="31"/>
        <v>2025</v>
      </c>
      <c r="P646" s="42" t="str">
        <f t="shared" si="32"/>
        <v>202502476/2024</v>
      </c>
      <c r="Q646" s="42">
        <v>1</v>
      </c>
    </row>
    <row r="647" spans="1:17" ht="75" hidden="1">
      <c r="A647" s="192" t="s">
        <v>70</v>
      </c>
      <c r="B647" s="334" t="str">
        <f>IFERROR(INDEX(Projetos!$B$3:$B$129,MATCH(A647,Projetos!$A$3:$A$129,0))," ")</f>
        <v>Mapa Nacional do Tribunal do Júri</v>
      </c>
      <c r="D647" s="214">
        <v>0.56999999999999995</v>
      </c>
      <c r="E647" s="214">
        <v>0.56000000000000005</v>
      </c>
      <c r="F647" s="219">
        <v>45714</v>
      </c>
      <c r="G647" s="220">
        <v>45689</v>
      </c>
      <c r="H647" s="51" t="str">
        <f t="shared" si="30"/>
        <v>00139/202445689</v>
      </c>
      <c r="I647" s="38">
        <f>IFERROR(INDEX(Projetos!$M$2:$M$129,MATCH(Atualizações!A647,Projetos!$A$2:$A$129,0))," ")</f>
        <v>46658</v>
      </c>
      <c r="J647" s="221" t="s">
        <v>1355</v>
      </c>
      <c r="K647" s="344">
        <f>IFERROR(Tb_Atualizações[[#This Row],[% EXECUTADO]]/Tb_Atualizações[[#This Row],[% PREVISTO]],"0%")</f>
        <v>0.98245614035087736</v>
      </c>
      <c r="L647" s="31" t="str" cm="1">
        <f t="array" aca="1" ref="L6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47" s="215"/>
      <c r="N647" s="30"/>
      <c r="O647" s="42">
        <f t="shared" si="31"/>
        <v>2025</v>
      </c>
      <c r="P647" s="42" t="str">
        <f t="shared" si="32"/>
        <v>202500139/2024</v>
      </c>
      <c r="Q647" s="42">
        <v>1</v>
      </c>
    </row>
    <row r="648" spans="1:17" ht="180" hidden="1">
      <c r="A648" s="192" t="s">
        <v>209</v>
      </c>
      <c r="B648" s="315" t="str">
        <f>IFERROR(INDEX(Projetos!$B$3:$B$129,MATCH(A648,Projetos!$A$3:$A$129,0))," ")</f>
        <v>Capacitação técnica para desenvolvedores nas tecnologias da PDPJ - BR</v>
      </c>
      <c r="D648" s="214">
        <v>0.93700000000000006</v>
      </c>
      <c r="E648" s="214">
        <v>0.91100000000000003</v>
      </c>
      <c r="F648" s="219">
        <v>45715</v>
      </c>
      <c r="G648" s="220">
        <v>45689</v>
      </c>
      <c r="H648" s="51" t="str">
        <f t="shared" si="30"/>
        <v>01945/202245689</v>
      </c>
      <c r="I648" s="38">
        <f>IFERROR(INDEX(Projetos!$M$2:$M$129,MATCH(Atualizações!A648,Projetos!$A$2:$A$129,0))," ")</f>
        <v>45866</v>
      </c>
      <c r="J648" s="221" t="s">
        <v>1356</v>
      </c>
      <c r="K648" s="344">
        <f>IFERROR(Tb_Atualizações[[#This Row],[% EXECUTADO]]/Tb_Atualizações[[#This Row],[% PREVISTO]],"0%")</f>
        <v>0.9722518676627534</v>
      </c>
      <c r="L648" s="31" t="str" cm="1">
        <f t="array" aca="1" ref="L6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48" s="215"/>
      <c r="N648" s="30"/>
      <c r="O648" s="42">
        <f t="shared" si="31"/>
        <v>2025</v>
      </c>
      <c r="P648" s="42" t="str">
        <f t="shared" si="32"/>
        <v>202501945/2022</v>
      </c>
      <c r="Q648" s="42">
        <v>1</v>
      </c>
    </row>
    <row r="649" spans="1:17" ht="15" hidden="1">
      <c r="A649" s="192" t="s">
        <v>229</v>
      </c>
      <c r="B649" s="315" t="str">
        <f>IFERROR(INDEX(Projetos!$B$3:$B$129,MATCH(A649,Projetos!$A$3:$A$129,0))," ")</f>
        <v>Gabinete do Juízo</v>
      </c>
      <c r="D649" s="214">
        <v>0.84399999999999997</v>
      </c>
      <c r="E649" s="214">
        <v>0.84</v>
      </c>
      <c r="F649" s="219">
        <v>45715</v>
      </c>
      <c r="G649" s="220">
        <v>45689</v>
      </c>
      <c r="H649" s="51" t="str">
        <f t="shared" si="30"/>
        <v>02080/202345689</v>
      </c>
      <c r="I649" s="38">
        <f>IFERROR(INDEX(Projetos!$M$2:$M$129,MATCH(Atualizações!A649,Projetos!$A$2:$A$129,0))," ")</f>
        <v>46379</v>
      </c>
      <c r="J649" s="221"/>
      <c r="K649" s="344">
        <f>IFERROR(Tb_Atualizações[[#This Row],[% EXECUTADO]]/Tb_Atualizações[[#This Row],[% PREVISTO]],"0%")</f>
        <v>0.99526066350710896</v>
      </c>
      <c r="L649" s="31" t="str" cm="1">
        <f t="array" aca="1" ref="L6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49" s="215"/>
      <c r="N649" s="30"/>
      <c r="O649" s="42">
        <f t="shared" si="31"/>
        <v>2025</v>
      </c>
      <c r="P649" s="42" t="str">
        <f t="shared" si="32"/>
        <v>202502080/2023</v>
      </c>
      <c r="Q649" s="42">
        <v>1</v>
      </c>
    </row>
    <row r="650" spans="1:17" ht="15" hidden="1">
      <c r="A650" s="192" t="s">
        <v>247</v>
      </c>
      <c r="B650" s="315" t="str">
        <f>IFERROR(INDEX(Projetos!$B$3:$B$129,MATCH(A650,Projetos!$A$3:$A$129,0))," ")</f>
        <v>Portal de Serviços</v>
      </c>
      <c r="D650" s="214">
        <v>0.76400000000000001</v>
      </c>
      <c r="E650" s="214">
        <v>0.66600000000000004</v>
      </c>
      <c r="F650" s="219">
        <v>45715</v>
      </c>
      <c r="G650" s="220">
        <v>45689</v>
      </c>
      <c r="H650" s="51" t="str">
        <f t="shared" si="30"/>
        <v>02394/202445689</v>
      </c>
      <c r="I650" s="473">
        <f>IFERROR(INDEX(Projetos!$M$2:$M$129,MATCH(Atualizações!A650,Projetos!$A$2:$A$129,0))," ")</f>
        <v>46387</v>
      </c>
      <c r="J650" s="221"/>
      <c r="K650" s="344">
        <f>IFERROR(Tb_Atualizações[[#This Row],[% EXECUTADO]]/Tb_Atualizações[[#This Row],[% PREVISTO]],"0%")</f>
        <v>0.87172774869109948</v>
      </c>
      <c r="L650" s="31" t="str" cm="1">
        <f t="array" aca="1" ref="L6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50" s="215"/>
      <c r="N650" s="30"/>
      <c r="O650" s="42">
        <f t="shared" si="31"/>
        <v>2025</v>
      </c>
      <c r="P650" s="42" t="str">
        <f t="shared" si="32"/>
        <v>202502394/2024</v>
      </c>
      <c r="Q650" s="42">
        <v>1</v>
      </c>
    </row>
    <row r="651" spans="1:17" ht="15" hidden="1">
      <c r="A651" s="192" t="s">
        <v>609</v>
      </c>
      <c r="B651" s="315" t="str">
        <f>IFERROR(INDEX(Projetos!$B$3:$B$129,MATCH(A651,Projetos!$A$3:$A$129,0))," ")</f>
        <v>SPVATJUD</v>
      </c>
      <c r="D651" s="214">
        <v>1</v>
      </c>
      <c r="E651" s="214">
        <v>1</v>
      </c>
      <c r="F651" s="219">
        <v>45715</v>
      </c>
      <c r="G651" s="220">
        <v>45689</v>
      </c>
      <c r="H651" s="51" t="str">
        <f t="shared" si="30"/>
        <v>11270/202245689</v>
      </c>
      <c r="I651" s="38">
        <f>IFERROR(INDEX(Projetos!$M$2:$M$129,MATCH(Atualizações!A651,Projetos!$A$2:$A$129,0))," ")</f>
        <v>45716</v>
      </c>
      <c r="J651" s="221" t="s">
        <v>1357</v>
      </c>
      <c r="K651" s="344">
        <f>IFERROR(Tb_Atualizações[[#This Row],[% EXECUTADO]]/Tb_Atualizações[[#This Row],[% PREVISTO]],"0%")</f>
        <v>1</v>
      </c>
      <c r="L651" s="31" t="str" cm="1">
        <f t="array" aca="1" ref="L6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651" s="215"/>
      <c r="N651" s="30"/>
      <c r="O651" s="42">
        <f t="shared" si="31"/>
        <v>2025</v>
      </c>
      <c r="P651" s="42" t="str">
        <f t="shared" si="32"/>
        <v>202511270/2022</v>
      </c>
      <c r="Q651" s="42">
        <v>1</v>
      </c>
    </row>
    <row r="652" spans="1:17" ht="30" hidden="1">
      <c r="A652" s="192" t="s">
        <v>310</v>
      </c>
      <c r="B652" s="315" t="str">
        <f>IFERROR(INDEX(Projetos!$B$3:$B$129,MATCH(A652,Projetos!$A$3:$A$129,0))," ")</f>
        <v>Apoio a implantação de soluções da PDPJ-Br</v>
      </c>
      <c r="D652" s="214">
        <v>0.73799999999999999</v>
      </c>
      <c r="E652" s="214">
        <v>0.57399999999999995</v>
      </c>
      <c r="F652" s="219">
        <v>45716</v>
      </c>
      <c r="G652" s="220">
        <v>45689</v>
      </c>
      <c r="H652" s="51" t="str">
        <f t="shared" si="30"/>
        <v>02887/202445689</v>
      </c>
      <c r="I652" s="473">
        <f>IFERROR(INDEX(Projetos!$M$2:$M$129,MATCH(Atualizações!A652,Projetos!$A$2:$A$129,0))," ")</f>
        <v>46387</v>
      </c>
      <c r="J652" s="221"/>
      <c r="K652" s="344">
        <f>IFERROR(Tb_Atualizações[[#This Row],[% EXECUTADO]]/Tb_Atualizações[[#This Row],[% PREVISTO]],"0%")</f>
        <v>0.77777777777777768</v>
      </c>
      <c r="L652" s="31" t="str" cm="1">
        <f t="array" aca="1" ref="L6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52" s="215"/>
      <c r="N652" s="30"/>
      <c r="O652" s="42">
        <f t="shared" si="31"/>
        <v>2025</v>
      </c>
      <c r="P652" s="42" t="str">
        <f t="shared" si="32"/>
        <v>202502887/2024</v>
      </c>
      <c r="Q652" s="42">
        <v>1</v>
      </c>
    </row>
    <row r="653" spans="1:17" ht="30" hidden="1">
      <c r="A653" s="192" t="s">
        <v>416</v>
      </c>
      <c r="B653" s="315" t="str">
        <f>IFERROR(INDEX(Projetos!$B$3:$B$129,MATCH(A653,Projetos!$A$3:$A$129,0))," ")</f>
        <v>Conecta</v>
      </c>
      <c r="D653" s="214">
        <v>0.51</v>
      </c>
      <c r="E653" s="214">
        <v>0.433</v>
      </c>
      <c r="F653" s="219">
        <v>45716</v>
      </c>
      <c r="G653" s="220">
        <v>45689</v>
      </c>
      <c r="H653" s="51" t="str">
        <f t="shared" si="30"/>
        <v>05578/202445689</v>
      </c>
      <c r="I653" s="38" t="str">
        <f>IFERROR(INDEX(Projetos!$M$2:$M$129,MATCH(Atualizações!A653,Projetos!$A$2:$A$129,0))," ")</f>
        <v>31/12/2026</v>
      </c>
      <c r="J653" s="221"/>
      <c r="K653" s="344">
        <f>IFERROR(Tb_Atualizações[[#This Row],[% EXECUTADO]]/Tb_Atualizações[[#This Row],[% PREVISTO]],"0%")</f>
        <v>0.84901960784313724</v>
      </c>
      <c r="L653" s="31" t="str" cm="1">
        <f t="array" aca="1" ref="L6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53" s="215"/>
      <c r="N653" s="30"/>
      <c r="O653" s="42">
        <f t="shared" si="31"/>
        <v>2025</v>
      </c>
      <c r="P653" s="42" t="str">
        <f t="shared" si="32"/>
        <v>202505578/2024</v>
      </c>
      <c r="Q653" s="42">
        <v>1</v>
      </c>
    </row>
    <row r="654" spans="1:17" ht="15" hidden="1">
      <c r="A654" s="192" t="s">
        <v>517</v>
      </c>
      <c r="B654" s="315" t="str">
        <f>IFERROR(INDEX(Projetos!$B$3:$B$129,MATCH(A654,Projetos!$A$3:$A$129,0))," ")</f>
        <v>Domicílio Judicial Eletrônico - Melhorias Evolutivas</v>
      </c>
      <c r="D654" s="214">
        <v>0.98699999999999999</v>
      </c>
      <c r="E654" s="214">
        <v>0.95599999999999996</v>
      </c>
      <c r="F654" s="219">
        <v>45716</v>
      </c>
      <c r="G654" s="220">
        <v>45689</v>
      </c>
      <c r="H654" s="51" t="str">
        <f t="shared" si="30"/>
        <v>09445/202345689</v>
      </c>
      <c r="I654" s="38">
        <f>IFERROR(INDEX(Projetos!$M$2:$M$129,MATCH(Atualizações!A654,Projetos!$A$2:$A$129,0))," ")</f>
        <v>46203</v>
      </c>
      <c r="J654" s="221"/>
      <c r="K654" s="344">
        <f>IFERROR(Tb_Atualizações[[#This Row],[% EXECUTADO]]/Tb_Atualizações[[#This Row],[% PREVISTO]],"0%")</f>
        <v>0.9685916919959473</v>
      </c>
      <c r="L654" s="31" t="str" cm="1">
        <f t="array" aca="1" ref="L6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54" s="215"/>
      <c r="N654" s="30"/>
      <c r="O654" s="42">
        <f t="shared" si="31"/>
        <v>2025</v>
      </c>
      <c r="P654" s="42" t="str">
        <f t="shared" si="32"/>
        <v>202509445/2023</v>
      </c>
      <c r="Q654" s="42">
        <v>1</v>
      </c>
    </row>
    <row r="655" spans="1:17" ht="15" hidden="1">
      <c r="A655" s="192" t="s">
        <v>58</v>
      </c>
      <c r="B655" s="315" t="str">
        <f>IFERROR(INDEX(Projetos!$B$3:$B$129,MATCH(A655,Projetos!$A$3:$A$129,0))," ")</f>
        <v>Phase-out: Transição Projetos X Operação</v>
      </c>
      <c r="D655" s="214">
        <v>0.3</v>
      </c>
      <c r="E655" s="214">
        <v>0.41799999999999998</v>
      </c>
      <c r="F655" s="219">
        <v>45716</v>
      </c>
      <c r="G655" s="220">
        <v>45689</v>
      </c>
      <c r="H655" s="51" t="str">
        <f t="shared" si="30"/>
        <v>00030/202545689</v>
      </c>
      <c r="I655" s="38">
        <f>IFERROR(INDEX(Projetos!$M$2:$M$129,MATCH(Atualizações!A655,Projetos!$A$2:$A$129,0))," ")</f>
        <v>46387</v>
      </c>
      <c r="J655" s="221"/>
      <c r="K655" s="344">
        <f>IFERROR(Tb_Atualizações[[#This Row],[% EXECUTADO]]/Tb_Atualizações[[#This Row],[% PREVISTO]],"0%")</f>
        <v>1.3933333333333333</v>
      </c>
      <c r="L655" s="31" t="str" cm="1">
        <f t="array" aca="1" ref="L6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55" s="215"/>
      <c r="N655" s="30"/>
      <c r="O655" s="42">
        <f t="shared" si="31"/>
        <v>2025</v>
      </c>
      <c r="P655" s="42" t="str">
        <f t="shared" si="32"/>
        <v>202500030/2025</v>
      </c>
      <c r="Q655" s="42">
        <v>1</v>
      </c>
    </row>
    <row r="656" spans="1:17" ht="15" hidden="1">
      <c r="A656" s="192" t="s">
        <v>358</v>
      </c>
      <c r="B656" s="315" t="str">
        <f>IFERROR(INDEX(Projetos!$B$3:$B$129,MATCH(A656,Projetos!$A$3:$A$129,0))," ")</f>
        <v>Prevjud - Automação de Processos Previdenciários - Justiça 4.0</v>
      </c>
      <c r="D656" s="214">
        <v>0.97599999999999998</v>
      </c>
      <c r="E656" s="214">
        <v>0.93100000000000005</v>
      </c>
      <c r="F656" s="219">
        <v>45716</v>
      </c>
      <c r="G656" s="220">
        <v>45689</v>
      </c>
      <c r="H656" s="51" t="str">
        <f t="shared" si="30"/>
        <v>03558/202145689</v>
      </c>
      <c r="I656" s="38" t="str">
        <f>IFERROR(INDEX(Projetos!$M$2:$M$129,MATCH(Atualizações!A656,Projetos!$A$2:$A$129,0))," ")</f>
        <v>31/03/2026</v>
      </c>
      <c r="J656" s="221"/>
      <c r="K656" s="344">
        <f>IFERROR(Tb_Atualizações[[#This Row],[% EXECUTADO]]/Tb_Atualizações[[#This Row],[% PREVISTO]],"0%")</f>
        <v>0.95389344262295084</v>
      </c>
      <c r="L656" s="31" t="str" cm="1">
        <f t="array" aca="1" ref="L6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56" s="215"/>
      <c r="N656" s="30"/>
      <c r="O656" s="42">
        <f t="shared" si="31"/>
        <v>2025</v>
      </c>
      <c r="P656" s="42" t="str">
        <f t="shared" si="32"/>
        <v>202503558/2021</v>
      </c>
      <c r="Q656" s="42">
        <v>1</v>
      </c>
    </row>
    <row r="657" spans="1:17" ht="15" hidden="1">
      <c r="A657" s="192" t="s">
        <v>638</v>
      </c>
      <c r="B657" s="315" t="str">
        <f>IFERROR(INDEX(Projetos!$B$3:$B$129,MATCH(A657,Projetos!$A$3:$A$129,0))," ")</f>
        <v>Sisperjud</v>
      </c>
      <c r="D657" s="214">
        <v>0.91600000000000004</v>
      </c>
      <c r="E657" s="214">
        <v>0.82299999999999995</v>
      </c>
      <c r="F657" s="219">
        <v>45716</v>
      </c>
      <c r="G657" s="220">
        <v>45689</v>
      </c>
      <c r="H657" s="51" t="str">
        <f t="shared" si="30"/>
        <v>11644/202245689</v>
      </c>
      <c r="I657" s="38">
        <f>IFERROR(INDEX(Projetos!$M$2:$M$129,MATCH(Atualizações!A657,Projetos!$A$2:$A$129,0))," ")</f>
        <v>46352</v>
      </c>
      <c r="J657" s="221"/>
      <c r="K657" s="344">
        <f>IFERROR(Tb_Atualizações[[#This Row],[% EXECUTADO]]/Tb_Atualizações[[#This Row],[% PREVISTO]],"0%")</f>
        <v>0.89847161572052392</v>
      </c>
      <c r="L657" s="31" t="str" cm="1">
        <f t="array" aca="1" ref="L6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57" s="215"/>
      <c r="N657" s="30"/>
      <c r="O657" s="42">
        <f t="shared" si="31"/>
        <v>2025</v>
      </c>
      <c r="P657" s="42" t="str">
        <f t="shared" si="32"/>
        <v>202511644/2022</v>
      </c>
      <c r="Q657" s="42">
        <v>1</v>
      </c>
    </row>
    <row r="658" spans="1:17" ht="30" hidden="1">
      <c r="A658" s="192" t="s">
        <v>273</v>
      </c>
      <c r="B658" s="315" t="str">
        <f>IFERROR(INDEX(Projetos!$B$3:$B$129,MATCH(A658,Projetos!$A$3:$A$129,0))," ")</f>
        <v>SNA – Novo Sistema Nacional de Adoção e Acolhimento</v>
      </c>
      <c r="D658" s="214">
        <v>0.57999999999999996</v>
      </c>
      <c r="E658" s="214">
        <v>0.249</v>
      </c>
      <c r="F658" s="219">
        <v>45716</v>
      </c>
      <c r="G658" s="220">
        <v>45689</v>
      </c>
      <c r="H658" s="51" t="str">
        <f t="shared" si="30"/>
        <v>02483/202345689</v>
      </c>
      <c r="I658" s="38">
        <f>IFERROR(INDEX(Projetos!$M$2:$M$129,MATCH(Atualizações!A658,Projetos!$A$2:$A$129,0))," ")</f>
        <v>46022</v>
      </c>
      <c r="J658" s="221"/>
      <c r="K658" s="344">
        <f>IFERROR(Tb_Atualizações[[#This Row],[% EXECUTADO]]/Tb_Atualizações[[#This Row],[% PREVISTO]],"0%")</f>
        <v>0.42931034482758623</v>
      </c>
      <c r="L658" s="31" t="str" cm="1">
        <f t="array" aca="1" ref="L6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58" s="215"/>
      <c r="N658" s="30"/>
      <c r="O658" s="42">
        <f t="shared" si="31"/>
        <v>2025</v>
      </c>
      <c r="P658" s="42" t="str">
        <f t="shared" si="32"/>
        <v>202502483/2023</v>
      </c>
      <c r="Q658" s="42">
        <v>1</v>
      </c>
    </row>
    <row r="659" spans="1:17" ht="15" hidden="1">
      <c r="A659" s="192" t="s">
        <v>182</v>
      </c>
      <c r="B659" s="315" t="str">
        <f>IFERROR(INDEX(Projetos!$B$3:$B$129,MATCH(A659,Projetos!$A$3:$A$129,0))," ")</f>
        <v xml:space="preserve">Mineração de Processos do Pje </v>
      </c>
      <c r="D659" s="214">
        <v>0.97</v>
      </c>
      <c r="E659" s="214">
        <v>0.97</v>
      </c>
      <c r="F659" s="219">
        <v>45717</v>
      </c>
      <c r="G659" s="220">
        <v>45717</v>
      </c>
      <c r="H659" s="51" t="str">
        <f t="shared" ref="H659:H722" si="33">A659&amp;G659</f>
        <v>01764/202045717</v>
      </c>
      <c r="I659" s="38">
        <f>IFERROR(INDEX(Projetos!$M$2:$M$129,MATCH(Atualizações!A659,Projetos!$A$2:$A$129,0))," ")</f>
        <v>46630</v>
      </c>
      <c r="J659" s="221"/>
      <c r="K659" s="344">
        <f>IFERROR(Tb_Atualizações[[#This Row],[% EXECUTADO]]/Tb_Atualizações[[#This Row],[% PREVISTO]],"0%")</f>
        <v>1</v>
      </c>
      <c r="L659" s="31" t="str" cm="1">
        <f t="array" aca="1" ref="L6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59" s="215"/>
      <c r="N659" s="30"/>
      <c r="O659" s="42">
        <f t="shared" ref="O659:O722" si="34">YEAR(F659)</f>
        <v>2025</v>
      </c>
      <c r="P659" s="42" t="str">
        <f t="shared" ref="P659:P722" si="35">O659&amp;A659</f>
        <v>202501764/2020</v>
      </c>
      <c r="Q659" s="42">
        <v>1</v>
      </c>
    </row>
    <row r="660" spans="1:17" ht="120" hidden="1">
      <c r="A660" s="192" t="s">
        <v>404</v>
      </c>
      <c r="B660" s="334" t="str">
        <f>IFERROR(INDEX(Projetos!$B$3:$B$129,MATCH(A660,Projetos!$A$3:$A$129,0))," ")</f>
        <v>Consulta Nacional de Pessoas (FAC Nacional)</v>
      </c>
      <c r="D660" s="214">
        <v>0.57999999999999996</v>
      </c>
      <c r="E660" s="214">
        <v>0.56999999999999995</v>
      </c>
      <c r="F660" s="219">
        <v>45722</v>
      </c>
      <c r="G660" s="220">
        <v>45689</v>
      </c>
      <c r="H660" s="51" t="str">
        <f t="shared" si="33"/>
        <v>05138/202445689</v>
      </c>
      <c r="I660" s="38">
        <f>IFERROR(INDEX(Projetos!$M$2:$M$129,MATCH(Atualizações!A660,Projetos!$A$2:$A$129,0))," ")</f>
        <v>45993</v>
      </c>
      <c r="J660" s="221" t="s">
        <v>1358</v>
      </c>
      <c r="K660" s="344">
        <f>IFERROR(Tb_Atualizações[[#This Row],[% EXECUTADO]]/Tb_Atualizações[[#This Row],[% PREVISTO]],"0%")</f>
        <v>0.98275862068965514</v>
      </c>
      <c r="L660" s="31" t="str" cm="1">
        <f t="array" aca="1" ref="L6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60" s="215"/>
      <c r="N660" s="30"/>
      <c r="O660" s="42">
        <f t="shared" si="34"/>
        <v>2025</v>
      </c>
      <c r="P660" s="42" t="str">
        <f t="shared" si="35"/>
        <v>202505138/2024</v>
      </c>
      <c r="Q660" s="42">
        <v>1</v>
      </c>
    </row>
    <row r="661" spans="1:17" ht="30" hidden="1">
      <c r="A661" s="192" t="s">
        <v>615</v>
      </c>
      <c r="B661" s="315" t="str">
        <f>IFERROR(INDEX(Projetos!$B$3:$B$129,MATCH(A661,Projetos!$A$3:$A$129,0))," ")</f>
        <v>Polícia Judicial Amiga dos Autistas</v>
      </c>
      <c r="D661" s="214">
        <v>1</v>
      </c>
      <c r="E661" s="214">
        <v>1</v>
      </c>
      <c r="F661" s="219">
        <v>45723</v>
      </c>
      <c r="G661" s="220">
        <v>45689</v>
      </c>
      <c r="H661" s="51" t="str">
        <f t="shared" si="33"/>
        <v>11340/202345689</v>
      </c>
      <c r="I661" s="38">
        <f>IFERROR(INDEX(Projetos!$M$2:$M$129,MATCH(Atualizações!A661,Projetos!$A$2:$A$129,0))," ")</f>
        <v>45688</v>
      </c>
      <c r="J661" s="221" t="s">
        <v>1359</v>
      </c>
      <c r="K661" s="344">
        <f>IFERROR(Tb_Atualizações[[#This Row],[% EXECUTADO]]/Tb_Atualizações[[#This Row],[% PREVISTO]],"0%")</f>
        <v>1</v>
      </c>
      <c r="L661" s="31" t="str" cm="1">
        <f t="array" aca="1" ref="L6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661" s="215"/>
      <c r="N661" s="30"/>
      <c r="O661" s="42">
        <f t="shared" si="34"/>
        <v>2025</v>
      </c>
      <c r="P661" s="42" t="str">
        <f t="shared" si="35"/>
        <v>202511340/2023</v>
      </c>
      <c r="Q661" s="42">
        <v>1</v>
      </c>
    </row>
    <row r="662" spans="1:17" ht="15" hidden="1">
      <c r="A662" s="370" t="s">
        <v>714</v>
      </c>
      <c r="B662" s="315" t="str">
        <f>IFERROR(INDEX(Projetos!$B$3:$B$129,MATCH(A662,Projetos!$A$3:$A$129,0))," ")</f>
        <v>Programa Novos Caminhos</v>
      </c>
      <c r="D662" s="214">
        <v>0.84</v>
      </c>
      <c r="E662" s="214">
        <v>0.79</v>
      </c>
      <c r="F662" s="219">
        <v>45723</v>
      </c>
      <c r="G662" s="220">
        <v>45689</v>
      </c>
      <c r="H662" s="51" t="str">
        <f t="shared" si="33"/>
        <v>14204/202445689</v>
      </c>
      <c r="I662" s="38">
        <f>IFERROR(INDEX(Projetos!$M$2:$M$129,MATCH(Atualizações!A662,Projetos!$A$2:$A$129,0))," ")</f>
        <v>46293</v>
      </c>
      <c r="J662" s="221"/>
      <c r="K662" s="344">
        <f>IFERROR(Tb_Atualizações[[#This Row],[% EXECUTADO]]/Tb_Atualizações[[#This Row],[% PREVISTO]],"0%")</f>
        <v>0.94047619047619058</v>
      </c>
      <c r="L662" s="31" t="str" cm="1">
        <f t="array" aca="1" ref="L6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62" s="215"/>
      <c r="N662" s="30"/>
      <c r="O662" s="42">
        <f t="shared" si="34"/>
        <v>2025</v>
      </c>
      <c r="P662" s="42" t="str">
        <f t="shared" si="35"/>
        <v>202514204/2024</v>
      </c>
      <c r="Q662" s="42">
        <v>1</v>
      </c>
    </row>
    <row r="663" spans="1:17" ht="30" hidden="1">
      <c r="A663" s="192" t="s">
        <v>257</v>
      </c>
      <c r="B663" s="315" t="str">
        <f>IFERROR(INDEX(Projetos!$B$3:$B$129,MATCH(A663,Projetos!$A$3:$A$129,0))," ")</f>
        <v>SisPreq – Sistema de Precatórios e Requisições de Pequeno Valor</v>
      </c>
      <c r="D663" s="214">
        <v>0.73</v>
      </c>
      <c r="E663" s="214">
        <v>0.53800000000000003</v>
      </c>
      <c r="F663" s="219">
        <v>45723</v>
      </c>
      <c r="G663" s="220">
        <v>45689</v>
      </c>
      <c r="H663" s="51" t="str">
        <f t="shared" si="33"/>
        <v>02465/202445689</v>
      </c>
      <c r="I663" s="38" t="str">
        <f>IFERROR(INDEX(Projetos!$M$2:$M$129,MATCH(Atualizações!A663,Projetos!$A$2:$A$129,0))," ")</f>
        <v>15/12/2026</v>
      </c>
      <c r="J663" s="221"/>
      <c r="K663" s="344">
        <f>IFERROR(Tb_Atualizações[[#This Row],[% EXECUTADO]]/Tb_Atualizações[[#This Row],[% PREVISTO]],"0%")</f>
        <v>0.73698630136986309</v>
      </c>
      <c r="L663" s="31" t="str" cm="1">
        <f t="array" aca="1" ref="L6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63" s="215"/>
      <c r="N663" s="30"/>
      <c r="O663" s="42">
        <f t="shared" si="34"/>
        <v>2025</v>
      </c>
      <c r="P663" s="42" t="str">
        <f t="shared" si="35"/>
        <v>202502465/2024</v>
      </c>
      <c r="Q663" s="42">
        <v>1</v>
      </c>
    </row>
    <row r="664" spans="1:17" ht="30" hidden="1">
      <c r="A664" s="370" t="s">
        <v>141</v>
      </c>
      <c r="B664" s="315" t="str">
        <f>IFERROR(INDEX(Projetos!$B$3:$B$129,MATCH(A664,Projetos!$A$3:$A$129,0))," ")</f>
        <v>6ª edição da Série Justiça e pesquisa</v>
      </c>
      <c r="D664" s="214">
        <v>1</v>
      </c>
      <c r="E664" s="214">
        <v>1</v>
      </c>
      <c r="F664" s="219">
        <v>45726</v>
      </c>
      <c r="G664" s="220">
        <v>45689</v>
      </c>
      <c r="H664" s="51" t="str">
        <f t="shared" si="33"/>
        <v>01179/202345689</v>
      </c>
      <c r="I664" s="38">
        <f>IFERROR(INDEX(Projetos!$M$2:$M$129,MATCH(Atualizações!A664,Projetos!$A$2:$A$129,0))," ")</f>
        <v>45597</v>
      </c>
      <c r="J664" s="221" t="s">
        <v>1359</v>
      </c>
      <c r="K664" s="344">
        <f>IFERROR(Tb_Atualizações[[#This Row],[% EXECUTADO]]/Tb_Atualizações[[#This Row],[% PREVISTO]],"0%")</f>
        <v>1</v>
      </c>
      <c r="L664" s="31" t="str" cm="1">
        <f t="array" aca="1" ref="L6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664" s="215"/>
      <c r="N664" s="30"/>
      <c r="O664" s="42">
        <f t="shared" si="34"/>
        <v>2025</v>
      </c>
      <c r="P664" s="42" t="str">
        <f t="shared" si="35"/>
        <v>202501179/2023</v>
      </c>
      <c r="Q664" s="42">
        <v>1</v>
      </c>
    </row>
    <row r="665" spans="1:17" ht="30" hidden="1">
      <c r="A665" s="192" t="s">
        <v>509</v>
      </c>
      <c r="B665" s="315" t="str">
        <f>IFERROR(INDEX(Projetos!$B$3:$B$129,MATCH(A665,Projetos!$A$3:$A$129,0))," ")</f>
        <v>IA para Gestão de Precedentes Qualificados</v>
      </c>
      <c r="D665" s="214">
        <v>0.98399999999999999</v>
      </c>
      <c r="E665" s="214">
        <v>0.91</v>
      </c>
      <c r="F665" s="219">
        <v>45726</v>
      </c>
      <c r="G665" s="220">
        <v>45689</v>
      </c>
      <c r="H665" s="51" t="str">
        <f t="shared" si="33"/>
        <v>09173/202445689</v>
      </c>
      <c r="I665" s="38">
        <f>IFERROR(INDEX(Projetos!$M$2:$M$129,MATCH(Atualizações!A665,Projetos!$A$2:$A$129,0))," ")</f>
        <v>45735</v>
      </c>
      <c r="J665" s="221" t="s">
        <v>1360</v>
      </c>
      <c r="K665" s="344">
        <f>IFERROR(Tb_Atualizações[[#This Row],[% EXECUTADO]]/Tb_Atualizações[[#This Row],[% PREVISTO]],"0%")</f>
        <v>0.92479674796747968</v>
      </c>
      <c r="L665" s="31" t="str" cm="1">
        <f t="array" aca="1" ref="L6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65" s="215"/>
      <c r="N665" s="30"/>
      <c r="O665" s="42">
        <f t="shared" si="34"/>
        <v>2025</v>
      </c>
      <c r="P665" s="42" t="str">
        <f t="shared" si="35"/>
        <v>202509173/2024</v>
      </c>
      <c r="Q665" s="42">
        <v>1</v>
      </c>
    </row>
    <row r="666" spans="1:17" ht="30" hidden="1">
      <c r="A666" s="388" t="s">
        <v>698</v>
      </c>
      <c r="B666" s="312" t="str">
        <f>IFERROR(INDEX(Projetos!$B$3:$B$129,MATCH(A666,Projetos!$A$3:$A$129,0))," ")</f>
        <v>Escola Virtual do Poder Judiciário</v>
      </c>
      <c r="D666" s="48">
        <v>0.64</v>
      </c>
      <c r="E666" s="48">
        <v>0.32</v>
      </c>
      <c r="F666" s="49">
        <v>45728</v>
      </c>
      <c r="G666" s="28">
        <v>45689</v>
      </c>
      <c r="H666" s="51" t="str">
        <f t="shared" si="33"/>
        <v>13898/202445689</v>
      </c>
      <c r="I666" s="38">
        <f>IFERROR(INDEX(Projetos!$M$2:$M$129,MATCH(Atualizações!A666,Projetos!$A$2:$A$129,0))," ")</f>
        <v>45930</v>
      </c>
      <c r="J666" s="61"/>
      <c r="K666" s="344">
        <f>IFERROR(Tb_Atualizações[[#This Row],[% EXECUTADO]]/Tb_Atualizações[[#This Row],[% PREVISTO]],"0%")</f>
        <v>0.5</v>
      </c>
      <c r="L666" s="31" t="str" cm="1">
        <f t="array" aca="1" ref="L6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66" s="50"/>
      <c r="N666" s="397"/>
      <c r="O666" s="42">
        <f t="shared" si="34"/>
        <v>2025</v>
      </c>
      <c r="P666" s="42" t="str">
        <f t="shared" si="35"/>
        <v>202513898/2024</v>
      </c>
      <c r="Q666" s="42">
        <v>1</v>
      </c>
    </row>
    <row r="667" spans="1:17" ht="15" hidden="1">
      <c r="A667" s="192" t="s">
        <v>458</v>
      </c>
      <c r="B667" s="315" t="str">
        <f>IFERROR(INDEX(Projetos!$B$3:$B$129,MATCH(A667,Projetos!$A$3:$A$129,0))," ")</f>
        <v>SNGB - Melhorias evolutivas</v>
      </c>
      <c r="D667" s="214">
        <v>0.57999999999999996</v>
      </c>
      <c r="E667" s="214">
        <v>0.57099999999999995</v>
      </c>
      <c r="F667" s="219">
        <v>45728</v>
      </c>
      <c r="G667" s="220">
        <v>45689</v>
      </c>
      <c r="H667" s="51" t="str">
        <f t="shared" si="33"/>
        <v>08370/202445689</v>
      </c>
      <c r="I667" s="473">
        <f>IFERROR(INDEX(Projetos!$M$2:$M$129,MATCH(Atualizações!A667,Projetos!$A$2:$A$129,0))," ")</f>
        <v>46101</v>
      </c>
      <c r="J667" s="221"/>
      <c r="K667" s="344">
        <f>IFERROR(Tb_Atualizações[[#This Row],[% EXECUTADO]]/Tb_Atualizações[[#This Row],[% PREVISTO]],"0%")</f>
        <v>0.98448275862068968</v>
      </c>
      <c r="L667" s="31" t="str" cm="1">
        <f t="array" aca="1" ref="L6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67" s="215"/>
      <c r="N667" s="30"/>
      <c r="O667" s="42">
        <f t="shared" si="34"/>
        <v>2025</v>
      </c>
      <c r="P667" s="42" t="str">
        <f t="shared" si="35"/>
        <v>202508370/2024</v>
      </c>
      <c r="Q667" s="42">
        <v>1</v>
      </c>
    </row>
    <row r="668" spans="1:17" ht="45" hidden="1">
      <c r="A668" s="46" t="s">
        <v>698</v>
      </c>
      <c r="B668" s="312" t="str">
        <f>IFERROR(INDEX(Projetos!$B$3:$B$129,MATCH(A668,Projetos!$A$3:$A$129,0))," ")</f>
        <v>Escola Virtual do Poder Judiciário</v>
      </c>
      <c r="D668" s="48">
        <v>0.64</v>
      </c>
      <c r="E668" s="48">
        <v>0.32</v>
      </c>
      <c r="F668" s="49">
        <v>45728</v>
      </c>
      <c r="G668" s="28">
        <v>45689</v>
      </c>
      <c r="H668" s="51" t="str">
        <f t="shared" si="33"/>
        <v>13898/202445689</v>
      </c>
      <c r="I668" s="38">
        <f>IFERROR(INDEX(Projetos!$M$2:$M$129,MATCH(Atualizações!A1050,Projetos!$A$2:$A$129,0))," ")</f>
        <v>46387</v>
      </c>
      <c r="J668" s="61" t="s">
        <v>1361</v>
      </c>
      <c r="K668" s="344">
        <f>IFERROR(Tb_Atualizações[[#This Row],[% EXECUTADO]]/Tb_Atualizações[[#This Row],[% PREVISTO]],"0%")</f>
        <v>0.5</v>
      </c>
      <c r="L668" s="31" t="s">
        <v>1362</v>
      </c>
      <c r="M668" s="50"/>
      <c r="N668" s="397"/>
      <c r="O668" s="42">
        <f t="shared" si="34"/>
        <v>2025</v>
      </c>
      <c r="P668" s="42" t="str">
        <f t="shared" si="35"/>
        <v>202513898/2024</v>
      </c>
      <c r="Q668" s="42">
        <v>1</v>
      </c>
    </row>
    <row r="669" spans="1:17" ht="75" hidden="1">
      <c r="A669" s="541" t="s">
        <v>384</v>
      </c>
      <c r="B669" s="315" t="str">
        <f>IFERROR(INDEX(Projetos!$B$3:$B$129,MATCH(A669,Projetos!$A$3:$A$129,0))," ")</f>
        <v>Integra - Serviço de Monitoramento de Atos do CNJ</v>
      </c>
      <c r="D669" s="214">
        <v>0.67</v>
      </c>
      <c r="E669" s="214">
        <v>0.66</v>
      </c>
      <c r="F669" s="219">
        <v>45729</v>
      </c>
      <c r="G669" s="220">
        <v>45689</v>
      </c>
      <c r="H669" s="51" t="str">
        <f t="shared" si="33"/>
        <v>04137/202445689</v>
      </c>
      <c r="I669" s="38">
        <f>IFERROR(INDEX(Projetos!$M$2:$M$129,MATCH(Atualizações!A668,Projetos!$A$2:$A$129,0))," ")</f>
        <v>45930</v>
      </c>
      <c r="J669" s="221" t="s">
        <v>1363</v>
      </c>
      <c r="K669" s="344">
        <f>IFERROR(Tb_Atualizações[[#This Row],[% EXECUTADO]]/Tb_Atualizações[[#This Row],[% PREVISTO]],"0%")</f>
        <v>0.9850746268656716</v>
      </c>
      <c r="L669" s="31" t="str" cm="1">
        <f t="array" aca="1" ref="L6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69" s="215"/>
      <c r="N669" s="30"/>
      <c r="O669" s="42">
        <f t="shared" si="34"/>
        <v>2025</v>
      </c>
      <c r="P669" s="42" t="str">
        <f t="shared" si="35"/>
        <v>202504137/2024</v>
      </c>
      <c r="Q669" s="42">
        <v>1</v>
      </c>
    </row>
    <row r="670" spans="1:17" ht="15" hidden="1">
      <c r="A670" s="192" t="s">
        <v>396</v>
      </c>
      <c r="B670" s="315" t="str">
        <f>IFERROR(INDEX(Projetos!$B$3:$B$129,MATCH(A670,Projetos!$A$3:$A$129,0))," ")</f>
        <v>CODEX - Melhorias Evolutivas e Corretivas</v>
      </c>
      <c r="D670" s="214">
        <v>0.97699999999999998</v>
      </c>
      <c r="E670" s="214">
        <v>0.90400000000000003</v>
      </c>
      <c r="F670" s="219">
        <v>45730</v>
      </c>
      <c r="G670" s="220">
        <v>45689</v>
      </c>
      <c r="H670" s="51" t="str">
        <f t="shared" si="33"/>
        <v>04751/202245689</v>
      </c>
      <c r="I670" s="473">
        <f>IFERROR(INDEX(Projetos!$M$2:$M$129,MATCH(Atualizações!A670,Projetos!$A$2:$A$129,0))," ")</f>
        <v>46387</v>
      </c>
      <c r="J670" s="221"/>
      <c r="K670" s="344">
        <f>IFERROR(Tb_Atualizações[[#This Row],[% EXECUTADO]]/Tb_Atualizações[[#This Row],[% PREVISTO]],"0%")</f>
        <v>0.92528147389969295</v>
      </c>
      <c r="L670" s="31" t="str" cm="1">
        <f t="array" aca="1" ref="L6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70" s="215"/>
      <c r="N670" s="30"/>
      <c r="O670" s="42">
        <f t="shared" si="34"/>
        <v>2025</v>
      </c>
      <c r="P670" s="42" t="str">
        <f t="shared" si="35"/>
        <v>202504751/2022</v>
      </c>
      <c r="Q670" s="42">
        <v>1</v>
      </c>
    </row>
    <row r="671" spans="1:17" ht="30" hidden="1">
      <c r="A671" s="370" t="s">
        <v>376</v>
      </c>
      <c r="B671" s="315" t="str">
        <f>IFERROR(INDEX(Projetos!$B$3:$B$129,MATCH(A671,Projetos!$A$3:$A$129,0))," ")</f>
        <v>Nacionalização SAREF - Sistema de Apresentação Remota por Reconhecimento Facial</v>
      </c>
      <c r="D671" s="214">
        <v>1</v>
      </c>
      <c r="E671" s="214">
        <v>0.7</v>
      </c>
      <c r="F671" s="219">
        <v>45730</v>
      </c>
      <c r="G671" s="220">
        <v>45689</v>
      </c>
      <c r="H671" s="51" t="str">
        <f t="shared" si="33"/>
        <v>03924/202345689</v>
      </c>
      <c r="I671" s="38">
        <f>IFERROR(INDEX(Projetos!$M$2:$M$129,MATCH(Atualizações!A670,Projetos!$A$2:$A$129,0))," ")</f>
        <v>46387</v>
      </c>
      <c r="J671" s="221"/>
      <c r="K671" s="344">
        <f>IFERROR(Tb_Atualizações[[#This Row],[% EXECUTADO]]/Tb_Atualizações[[#This Row],[% PREVISTO]],"0%")</f>
        <v>0.7</v>
      </c>
      <c r="L671" s="31" t="str" cm="1">
        <f t="array" aca="1" ref="L6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71" s="215"/>
      <c r="N671" s="30"/>
      <c r="O671" s="42">
        <f t="shared" si="34"/>
        <v>2025</v>
      </c>
      <c r="P671" s="42" t="str">
        <f t="shared" si="35"/>
        <v>202503924/2023</v>
      </c>
      <c r="Q671" s="42">
        <v>1</v>
      </c>
    </row>
    <row r="672" spans="1:17" ht="30" hidden="1">
      <c r="A672" s="192" t="s">
        <v>675</v>
      </c>
      <c r="B672" s="315" t="str">
        <f>IFERROR(INDEX(Projetos!$B$3:$B$129,MATCH(A672,Projetos!$A$3:$A$129,0))," ")</f>
        <v>Pesquisa IA 2024 - Mapeamento dos projetos de Inteligência Artificial em desenvolvimento pelos tribunais brasileiros</v>
      </c>
      <c r="D672" s="214">
        <v>0.90700000000000003</v>
      </c>
      <c r="E672" s="214">
        <v>0.80800000000000005</v>
      </c>
      <c r="F672" s="219">
        <v>45730</v>
      </c>
      <c r="G672" s="220">
        <v>45689</v>
      </c>
      <c r="H672" s="51" t="str">
        <f t="shared" si="33"/>
        <v>11988/202445689</v>
      </c>
      <c r="I672" s="38">
        <f>IFERROR(INDEX(Projetos!$M$2:$M$129,MATCH(Atualizações!A671,Projetos!$A$2:$A$129,0))," ")</f>
        <v>45565</v>
      </c>
      <c r="J672" s="221" t="s">
        <v>1364</v>
      </c>
      <c r="K672" s="344">
        <f>IFERROR(Tb_Atualizações[[#This Row],[% EXECUTADO]]/Tb_Atualizações[[#This Row],[% PREVISTO]],"0%")</f>
        <v>0.8908489525909592</v>
      </c>
      <c r="L672" s="31" t="str" cm="1">
        <f t="array" aca="1" ref="L6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72" s="215"/>
      <c r="N672" s="30"/>
      <c r="O672" s="42">
        <f t="shared" si="34"/>
        <v>2025</v>
      </c>
      <c r="P672" s="42" t="str">
        <f t="shared" si="35"/>
        <v>202511988/2024</v>
      </c>
      <c r="Q672" s="42">
        <v>1</v>
      </c>
    </row>
    <row r="673" spans="1:17" ht="15" hidden="1">
      <c r="A673" s="192" t="s">
        <v>722</v>
      </c>
      <c r="B673" s="315" t="str">
        <f>IFERROR(INDEX(Projetos!$B$3:$B$129,MATCH(A673,Projetos!$A$3:$A$129,0))," ")</f>
        <v>Serviços Estruturantes - Melhorias Evolutivas e Corretivas</v>
      </c>
      <c r="D673" s="214">
        <v>0.86199999999999999</v>
      </c>
      <c r="E673" s="214">
        <v>0.81399999999999995</v>
      </c>
      <c r="F673" s="219">
        <v>45730</v>
      </c>
      <c r="G673" s="220">
        <v>45689</v>
      </c>
      <c r="H673" s="51" t="str">
        <f t="shared" si="33"/>
        <v>14965/202445689</v>
      </c>
      <c r="I673" s="473">
        <f>IFERROR(INDEX(Projetos!$M$2:$M$129,MATCH(Atualizações!A673,Projetos!$A$2:$A$129,0))," ")</f>
        <v>46387</v>
      </c>
      <c r="J673" s="221"/>
      <c r="K673" s="344">
        <f>IFERROR(Tb_Atualizações[[#This Row],[% EXECUTADO]]/Tb_Atualizações[[#This Row],[% PREVISTO]],"0%")</f>
        <v>0.94431554524361949</v>
      </c>
      <c r="L673" s="31" t="str" cm="1">
        <f t="array" aca="1" ref="L6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73" s="215"/>
      <c r="N673" s="30"/>
      <c r="O673" s="42">
        <f t="shared" si="34"/>
        <v>2025</v>
      </c>
      <c r="P673" s="42" t="str">
        <f t="shared" si="35"/>
        <v>202514965/2024</v>
      </c>
      <c r="Q673" s="42">
        <v>1</v>
      </c>
    </row>
    <row r="674" spans="1:17" ht="15" hidden="1">
      <c r="A674" s="192" t="s">
        <v>539</v>
      </c>
      <c r="B674" s="315" t="str">
        <f>IFERROR(INDEX(Projetos!$B$3:$B$129,MATCH(A674,Projetos!$A$3:$A$129,0))," ")</f>
        <v>Desenvolvimento do módulo de Sessão de Julgamento (PDPJ-Br)</v>
      </c>
      <c r="D674" s="214">
        <v>1</v>
      </c>
      <c r="E674" s="214">
        <v>0.90300000000000002</v>
      </c>
      <c r="F674" s="219">
        <v>45735</v>
      </c>
      <c r="G674" s="220">
        <v>45717</v>
      </c>
      <c r="H674" s="51" t="str">
        <f t="shared" si="33"/>
        <v>09630/202445717</v>
      </c>
      <c r="I674" s="473">
        <f>IFERROR(INDEX(Projetos!$M$2:$M$129,MATCH(Atualizações!A674,Projetos!$A$2:$A$129,0))," ")</f>
        <v>46387</v>
      </c>
      <c r="J674" s="221"/>
      <c r="K674" s="344">
        <f>IFERROR(Tb_Atualizações[[#This Row],[% EXECUTADO]]/Tb_Atualizações[[#This Row],[% PREVISTO]],"0%")</f>
        <v>0.90300000000000002</v>
      </c>
      <c r="L674" s="31" t="str" cm="1">
        <f t="array" aca="1" ref="L6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74" s="215"/>
      <c r="N674" s="30"/>
      <c r="O674" s="42">
        <f t="shared" si="34"/>
        <v>2025</v>
      </c>
      <c r="P674" s="42" t="str">
        <f t="shared" si="35"/>
        <v>202509630/2024</v>
      </c>
      <c r="Q674" s="42">
        <v>1</v>
      </c>
    </row>
    <row r="675" spans="1:17" ht="270" hidden="1">
      <c r="A675" s="192" t="s">
        <v>517</v>
      </c>
      <c r="B675" s="315" t="str">
        <f>IFERROR(INDEX(Projetos!$B$3:$B$129,MATCH(A675,Projetos!$A$3:$A$129,0))," ")</f>
        <v>Domicílio Judicial Eletrônico - Melhorias Evolutivas</v>
      </c>
      <c r="D675" s="214">
        <v>0.96799999999999997</v>
      </c>
      <c r="E675" s="214">
        <v>0.95599999999999996</v>
      </c>
      <c r="F675" s="219">
        <v>45737</v>
      </c>
      <c r="G675" s="220">
        <v>45717</v>
      </c>
      <c r="H675" s="51" t="str">
        <f t="shared" si="33"/>
        <v>09445/202345717</v>
      </c>
      <c r="I675" s="38">
        <f>IFERROR(INDEX(Projetos!$M$2:$M$129,MATCH(Atualizações!A674,Projetos!$A$2:$A$129,0))," ")</f>
        <v>46387</v>
      </c>
      <c r="J675" s="221" t="s">
        <v>1365</v>
      </c>
      <c r="K675" s="344">
        <f>IFERROR(Tb_Atualizações[[#This Row],[% EXECUTADO]]/Tb_Atualizações[[#This Row],[% PREVISTO]],"0%")</f>
        <v>0.98760330578512401</v>
      </c>
      <c r="L675" s="31" t="str" cm="1">
        <f t="array" aca="1" ref="L6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75" s="215"/>
      <c r="N675" s="30"/>
      <c r="O675" s="42">
        <f t="shared" si="34"/>
        <v>2025</v>
      </c>
      <c r="P675" s="42" t="str">
        <f t="shared" si="35"/>
        <v>202509445/2023</v>
      </c>
      <c r="Q675" s="42">
        <v>1</v>
      </c>
    </row>
    <row r="676" spans="1:17" ht="15" hidden="1">
      <c r="A676" s="192" t="s">
        <v>523</v>
      </c>
      <c r="B676" s="315" t="str">
        <f>IFERROR(INDEX(Projetos!$B$3:$B$129,MATCH(A676,Projetos!$A$3:$A$129,0))," ")</f>
        <v>Portal Jus BR</v>
      </c>
      <c r="D676" s="214">
        <v>0.82099999999999995</v>
      </c>
      <c r="E676" s="214">
        <v>0.8</v>
      </c>
      <c r="F676" s="219">
        <v>45737</v>
      </c>
      <c r="G676" s="220">
        <v>45717</v>
      </c>
      <c r="H676" s="51" t="str">
        <f t="shared" si="33"/>
        <v>09536/202445717</v>
      </c>
      <c r="I676" s="38">
        <f>IFERROR(INDEX(Projetos!$M$2:$M$129,MATCH(Atualizações!A675,Projetos!$A$2:$A$129,0))," ")</f>
        <v>46203</v>
      </c>
      <c r="J676" s="221"/>
      <c r="K676" s="344">
        <f>IFERROR(Tb_Atualizações[[#This Row],[% EXECUTADO]]/Tb_Atualizações[[#This Row],[% PREVISTO]],"0%")</f>
        <v>0.97442143727162012</v>
      </c>
      <c r="L676" s="31" t="str" cm="1">
        <f t="array" aca="1" ref="L6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76" s="215"/>
      <c r="N676" s="30"/>
      <c r="O676" s="42">
        <f t="shared" si="34"/>
        <v>2025</v>
      </c>
      <c r="P676" s="42" t="str">
        <f t="shared" si="35"/>
        <v>202509536/2024</v>
      </c>
      <c r="Q676" s="42">
        <v>1</v>
      </c>
    </row>
    <row r="677" spans="1:17" ht="15" hidden="1">
      <c r="A677" s="192" t="s">
        <v>209</v>
      </c>
      <c r="B677" s="315" t="str">
        <f>IFERROR(INDEX(Projetos!$B$3:$B$129,MATCH(A677,Projetos!$A$3:$A$129,0))," ")</f>
        <v>Capacitação técnica para desenvolvedores nas tecnologias da PDPJ - BR</v>
      </c>
      <c r="D677" s="214">
        <v>0.94299999999999995</v>
      </c>
      <c r="E677" s="214">
        <v>0.93200000000000005</v>
      </c>
      <c r="F677" s="219">
        <v>45740</v>
      </c>
      <c r="G677" s="220">
        <v>45717</v>
      </c>
      <c r="H677" s="51" t="str">
        <f t="shared" si="33"/>
        <v>01945/202245717</v>
      </c>
      <c r="I677" s="38" t="str">
        <f>IFERROR(INDEX(Projetos!$M$2:$M$129,MATCH(Atualizações!A676,Projetos!$A$2:$A$129,0))," ")</f>
        <v>30/10/2025</v>
      </c>
      <c r="J677" s="221"/>
      <c r="K677" s="344">
        <f>IFERROR(Tb_Atualizações[[#This Row],[% EXECUTADO]]/Tb_Atualizações[[#This Row],[% PREVISTO]],"0%")</f>
        <v>0.9883351007423119</v>
      </c>
      <c r="L677" s="31" t="str" cm="1">
        <f t="array" aca="1" ref="L6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77" s="215"/>
      <c r="N677" s="30"/>
      <c r="O677" s="42">
        <f t="shared" si="34"/>
        <v>2025</v>
      </c>
      <c r="P677" s="42" t="str">
        <f t="shared" si="35"/>
        <v>202501945/2022</v>
      </c>
      <c r="Q677" s="42">
        <v>1</v>
      </c>
    </row>
    <row r="678" spans="1:17" ht="15" hidden="1">
      <c r="A678" s="192" t="s">
        <v>509</v>
      </c>
      <c r="B678" s="315" t="str">
        <f>IFERROR(INDEX(Projetos!$B$3:$B$129,MATCH(A678,Projetos!$A$3:$A$129,0))," ")</f>
        <v>IA para Gestão de Precedentes Qualificados</v>
      </c>
      <c r="D678" s="214">
        <v>1</v>
      </c>
      <c r="E678" s="214">
        <v>1</v>
      </c>
      <c r="F678" s="219">
        <v>45742</v>
      </c>
      <c r="G678" s="220">
        <v>45717</v>
      </c>
      <c r="H678" s="51" t="str">
        <f t="shared" si="33"/>
        <v>09173/202445717</v>
      </c>
      <c r="I678" s="38">
        <f>IFERROR(INDEX(Projetos!$M$2:$M$129,MATCH(Atualizações!A677,Projetos!$A$2:$A$129,0))," ")</f>
        <v>45866</v>
      </c>
      <c r="J678" s="221"/>
      <c r="K678" s="344">
        <f>IFERROR(Tb_Atualizações[[#This Row],[% EXECUTADO]]/Tb_Atualizações[[#This Row],[% PREVISTO]],"0%")</f>
        <v>1</v>
      </c>
      <c r="L678" s="31" t="str" cm="1">
        <f t="array" aca="1" ref="L6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678" s="215"/>
      <c r="N678" s="30"/>
      <c r="O678" s="42">
        <f t="shared" si="34"/>
        <v>2025</v>
      </c>
      <c r="P678" s="42" t="str">
        <f t="shared" si="35"/>
        <v>202509173/2024</v>
      </c>
      <c r="Q678" s="42">
        <v>1</v>
      </c>
    </row>
    <row r="679" spans="1:17" ht="15" hidden="1">
      <c r="A679" s="192" t="s">
        <v>690</v>
      </c>
      <c r="B679" s="315" t="str">
        <f>IFERROR(INDEX(Projetos!$B$3:$B$129,MATCH(A679,Projetos!$A$3:$A$129,0))," ")</f>
        <v>Painel “Justiça Criminal e Sistema Prisional”</v>
      </c>
      <c r="D679" s="214">
        <v>0.76200000000000001</v>
      </c>
      <c r="E679" s="214">
        <v>0.75</v>
      </c>
      <c r="F679" s="219">
        <v>45742</v>
      </c>
      <c r="G679" s="220">
        <v>45717</v>
      </c>
      <c r="H679" s="51" t="str">
        <f t="shared" si="33"/>
        <v>12215/202345717</v>
      </c>
      <c r="I679" s="473">
        <f>IFERROR(INDEX(Projetos!$M$2:$M$129,MATCH(Atualizações!A679,Projetos!$A$2:$A$129,0))," ")</f>
        <v>46387</v>
      </c>
      <c r="J679" s="221"/>
      <c r="K679" s="344">
        <f>IFERROR(Tb_Atualizações[[#This Row],[% EXECUTADO]]/Tb_Atualizações[[#This Row],[% PREVISTO]],"0%")</f>
        <v>0.98425196850393704</v>
      </c>
      <c r="L679" s="31" t="str" cm="1">
        <f t="array" aca="1" ref="L6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79" s="215"/>
      <c r="N679" s="30"/>
      <c r="O679" s="42">
        <f t="shared" si="34"/>
        <v>2025</v>
      </c>
      <c r="P679" s="42" t="str">
        <f t="shared" si="35"/>
        <v>202512215/2023</v>
      </c>
      <c r="Q679" s="42">
        <v>1</v>
      </c>
    </row>
    <row r="680" spans="1:17" ht="15" hidden="1">
      <c r="A680" s="192" t="s">
        <v>350</v>
      </c>
      <c r="B680" s="315" t="str">
        <f>IFERROR(INDEX(Projetos!$B$3:$B$129,MATCH(A680,Projetos!$A$3:$A$129,0))," ")</f>
        <v>Painel de Estatística   - Justiça 4.0</v>
      </c>
      <c r="D680" s="214">
        <v>0.98799999999999999</v>
      </c>
      <c r="E680" s="214">
        <v>0.93899999999999995</v>
      </c>
      <c r="F680" s="219">
        <v>45742</v>
      </c>
      <c r="G680" s="220">
        <v>45717</v>
      </c>
      <c r="H680" s="51" t="str">
        <f t="shared" si="33"/>
        <v>03545/202145717</v>
      </c>
      <c r="I680" s="38">
        <f>IFERROR(INDEX(Projetos!$M$2:$M$129,MATCH(Atualizações!A679,Projetos!$A$2:$A$129,0))," ")</f>
        <v>46387</v>
      </c>
      <c r="J680" s="221"/>
      <c r="K680" s="344">
        <f>IFERROR(Tb_Atualizações[[#This Row],[% EXECUTADO]]/Tb_Atualizações[[#This Row],[% PREVISTO]],"0%")</f>
        <v>0.95040485829959509</v>
      </c>
      <c r="L680" s="31" t="str" cm="1">
        <f t="array" aca="1" ref="L6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80" s="215"/>
      <c r="N680" s="30"/>
      <c r="O680" s="42">
        <f t="shared" si="34"/>
        <v>2025</v>
      </c>
      <c r="P680" s="42" t="str">
        <f t="shared" si="35"/>
        <v>202503545/2021</v>
      </c>
      <c r="Q680" s="42">
        <v>1</v>
      </c>
    </row>
    <row r="681" spans="1:17" ht="15" hidden="1">
      <c r="A681" s="192" t="s">
        <v>83</v>
      </c>
      <c r="B681" s="315" t="str">
        <f>IFERROR(INDEX(Projetos!$B$3:$B$129,MATCH(A681,Projetos!$A$3:$A$129,0))," ")</f>
        <v>Painel do Programa Desjudicializa</v>
      </c>
      <c r="D681" s="214">
        <v>0.83199999999999996</v>
      </c>
      <c r="E681" s="214">
        <v>0.75</v>
      </c>
      <c r="F681" s="219">
        <v>45742</v>
      </c>
      <c r="G681" s="220">
        <v>45717</v>
      </c>
      <c r="H681" s="51" t="str">
        <f t="shared" si="33"/>
        <v>00484/202445717</v>
      </c>
      <c r="I681" s="473">
        <f>IFERROR(INDEX(Projetos!$M$2:$M$129,MATCH(Atualizações!A681,Projetos!$A$2:$A$129,0))," ")</f>
        <v>46387</v>
      </c>
      <c r="J681" s="221"/>
      <c r="K681" s="344">
        <f>IFERROR(Tb_Atualizações[[#This Row],[% EXECUTADO]]/Tb_Atualizações[[#This Row],[% PREVISTO]],"0%")</f>
        <v>0.90144230769230771</v>
      </c>
      <c r="L681" s="31" t="str" cm="1">
        <f t="array" aca="1" ref="L6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81" s="215"/>
      <c r="N681" s="30"/>
      <c r="O681" s="42">
        <f t="shared" si="34"/>
        <v>2025</v>
      </c>
      <c r="P681" s="42" t="str">
        <f t="shared" si="35"/>
        <v>202500484/2024</v>
      </c>
      <c r="Q681" s="42">
        <v>1</v>
      </c>
    </row>
    <row r="682" spans="1:17" ht="15" hidden="1">
      <c r="A682" s="192" t="s">
        <v>684</v>
      </c>
      <c r="B682" s="315" t="str">
        <f>IFERROR(INDEX(Projetos!$B$3:$B$129,MATCH(A682,Projetos!$A$3:$A$129,0))," ")</f>
        <v>Painel dos Grandes Litigantes</v>
      </c>
      <c r="D682" s="214">
        <v>0.96799999999999997</v>
      </c>
      <c r="E682" s="214">
        <v>0.96699999999999997</v>
      </c>
      <c r="F682" s="219">
        <v>45742</v>
      </c>
      <c r="G682" s="220">
        <v>45717</v>
      </c>
      <c r="H682" s="51" t="str">
        <f t="shared" si="33"/>
        <v>12135/202245717</v>
      </c>
      <c r="I682" s="38">
        <f>IFERROR(INDEX(Projetos!$M$2:$M$129,MATCH(Atualizações!A681,Projetos!$A$2:$A$129,0))," ")</f>
        <v>46387</v>
      </c>
      <c r="J682" s="221"/>
      <c r="K682" s="344">
        <f>IFERROR(Tb_Atualizações[[#This Row],[% EXECUTADO]]/Tb_Atualizações[[#This Row],[% PREVISTO]],"0%")</f>
        <v>0.99896694214876036</v>
      </c>
      <c r="L682" s="31" t="str" cm="1">
        <f t="array" aca="1" ref="L6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82" s="215"/>
      <c r="N682" s="30"/>
      <c r="O682" s="42">
        <f t="shared" si="34"/>
        <v>2025</v>
      </c>
      <c r="P682" s="42" t="str">
        <f t="shared" si="35"/>
        <v>202512135/2022</v>
      </c>
      <c r="Q682" s="42">
        <v>1</v>
      </c>
    </row>
    <row r="683" spans="1:17" ht="30" hidden="1">
      <c r="A683" s="192" t="s">
        <v>247</v>
      </c>
      <c r="B683" s="315" t="str">
        <f>IFERROR(INDEX(Projetos!$B$3:$B$129,MATCH(A683,Projetos!$A$3:$A$129,0))," ")</f>
        <v>Portal de Serviços</v>
      </c>
      <c r="D683" s="214">
        <v>0.81899999999999995</v>
      </c>
      <c r="E683" s="214">
        <v>0.66600000000000004</v>
      </c>
      <c r="F683" s="219">
        <v>45742</v>
      </c>
      <c r="G683" s="220">
        <v>45717</v>
      </c>
      <c r="H683" s="51" t="str">
        <f t="shared" si="33"/>
        <v>02394/202445717</v>
      </c>
      <c r="I683" s="473">
        <f>IFERROR(INDEX(Projetos!$M$2:$M$129,MATCH(Atualizações!A683,Projetos!$A$2:$A$129,0))," ")</f>
        <v>46387</v>
      </c>
      <c r="J683" s="221"/>
      <c r="K683" s="344">
        <f>IFERROR(Tb_Atualizações[[#This Row],[% EXECUTADO]]/Tb_Atualizações[[#This Row],[% PREVISTO]],"0%")</f>
        <v>0.8131868131868133</v>
      </c>
      <c r="L683" s="31" t="str" cm="1">
        <f t="array" aca="1" ref="L6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83" s="215"/>
      <c r="N683" s="30"/>
      <c r="O683" s="42">
        <f t="shared" si="34"/>
        <v>2025</v>
      </c>
      <c r="P683" s="42" t="str">
        <f t="shared" si="35"/>
        <v>202502394/2024</v>
      </c>
      <c r="Q683" s="42">
        <v>1</v>
      </c>
    </row>
    <row r="684" spans="1:17" ht="45" hidden="1">
      <c r="A684" s="370" t="s">
        <v>358</v>
      </c>
      <c r="B684" s="315" t="str">
        <f>IFERROR(INDEX(Projetos!$B$3:$B$129,MATCH(A684,Projetos!$A$3:$A$129,0))," ")</f>
        <v>Prevjud - Automação de Processos Previdenciários - Justiça 4.0</v>
      </c>
      <c r="D684" s="214">
        <v>0.999</v>
      </c>
      <c r="E684" s="214">
        <v>0.93100000000000005</v>
      </c>
      <c r="F684" s="219">
        <v>45742</v>
      </c>
      <c r="G684" s="220">
        <v>45717</v>
      </c>
      <c r="H684" s="51" t="str">
        <f t="shared" si="33"/>
        <v>03558/202145717</v>
      </c>
      <c r="I684" s="38">
        <f>IFERROR(INDEX(Projetos!$M$2:$M$129,MATCH(Atualizações!A683,Projetos!$A$2:$A$129,0))," ")</f>
        <v>46387</v>
      </c>
      <c r="J684" s="221" t="s">
        <v>1366</v>
      </c>
      <c r="K684" s="344">
        <f>IFERROR(Tb_Atualizações[[#This Row],[% EXECUTADO]]/Tb_Atualizações[[#This Row],[% PREVISTO]],"0%")</f>
        <v>0.93193193193193202</v>
      </c>
      <c r="L684" s="31" t="str" cm="1">
        <f t="array" aca="1" ref="L6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84" s="215"/>
      <c r="N684" s="397"/>
      <c r="O684" s="42">
        <f t="shared" si="34"/>
        <v>2025</v>
      </c>
      <c r="P684" s="42" t="str">
        <f t="shared" si="35"/>
        <v>202503558/2021</v>
      </c>
      <c r="Q684" s="42">
        <v>1</v>
      </c>
    </row>
    <row r="685" spans="1:17" ht="15" hidden="1">
      <c r="A685" s="192" t="s">
        <v>728</v>
      </c>
      <c r="B685" s="315" t="str">
        <f>IFERROR(INDEX(Projetos!$B$3:$B$129,MATCH(A685,Projetos!$A$3:$A$129,0))," ")</f>
        <v>Programa de Acessibilidade e Inclusão do Conselho Nacional de Justiça (CNJ)</v>
      </c>
      <c r="D685" s="214">
        <v>7.0000000000000007E-2</v>
      </c>
      <c r="E685" s="214">
        <v>7.0000000000000007E-2</v>
      </c>
      <c r="F685" s="219">
        <v>45742</v>
      </c>
      <c r="G685" s="220">
        <v>45717</v>
      </c>
      <c r="H685" s="51" t="str">
        <f t="shared" si="33"/>
        <v>15844/202445717</v>
      </c>
      <c r="I685" s="38" t="str">
        <f>IFERROR(INDEX(Projetos!$M$2:$M$129,MATCH(Atualizações!A684,Projetos!$A$2:$A$129,0))," ")</f>
        <v>31/03/2026</v>
      </c>
      <c r="J685" s="221"/>
      <c r="K685" s="344">
        <f>IFERROR(Tb_Atualizações[[#This Row],[% EXECUTADO]]/Tb_Atualizações[[#This Row],[% PREVISTO]],"0%")</f>
        <v>1</v>
      </c>
      <c r="L685" s="31" t="str" cm="1">
        <f t="array" aca="1" ref="L6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85" s="215"/>
      <c r="N685" s="397"/>
      <c r="O685" s="42">
        <f t="shared" si="34"/>
        <v>2025</v>
      </c>
      <c r="P685" s="42" t="str">
        <f t="shared" si="35"/>
        <v>202515844/2024</v>
      </c>
      <c r="Q685" s="42">
        <v>1</v>
      </c>
    </row>
    <row r="686" spans="1:17" ht="15" hidden="1">
      <c r="A686" s="192" t="s">
        <v>580</v>
      </c>
      <c r="B686" s="315" t="str">
        <f>IFERROR(INDEX(Projetos!$B$3:$B$129,MATCH(A686,Projetos!$A$3:$A$129,0))," ")</f>
        <v>SireneJud 2.0 - Evoluções</v>
      </c>
      <c r="D686" s="214">
        <v>0.33300000000000002</v>
      </c>
      <c r="E686" s="214">
        <v>0.63</v>
      </c>
      <c r="F686" s="219">
        <v>45742</v>
      </c>
      <c r="G686" s="220">
        <v>45717</v>
      </c>
      <c r="H686" s="51" t="str">
        <f t="shared" si="33"/>
        <v>10698/202445717</v>
      </c>
      <c r="I686" s="38">
        <f>IFERROR(INDEX(Projetos!$M$2:$M$129,MATCH(Atualizações!A685,Projetos!$A$2:$A$129,0))," ")</f>
        <v>46376</v>
      </c>
      <c r="J686" s="221"/>
      <c r="K686" s="344">
        <f>IFERROR(Tb_Atualizações[[#This Row],[% EXECUTADO]]/Tb_Atualizações[[#This Row],[% PREVISTO]],"0%")</f>
        <v>1.8918918918918919</v>
      </c>
      <c r="L686" s="31" t="str" cm="1">
        <f t="array" aca="1" ref="L6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86" s="215"/>
      <c r="N686" s="30"/>
      <c r="O686" s="42">
        <f t="shared" si="34"/>
        <v>2025</v>
      </c>
      <c r="P686" s="42" t="str">
        <f t="shared" si="35"/>
        <v>202510698/2024</v>
      </c>
      <c r="Q686" s="42">
        <v>1</v>
      </c>
    </row>
    <row r="687" spans="1:17" ht="15" hidden="1">
      <c r="A687" s="192" t="s">
        <v>638</v>
      </c>
      <c r="B687" s="315" t="str">
        <f>IFERROR(INDEX(Projetos!$B$3:$B$129,MATCH(A687,Projetos!$A$3:$A$129,0))," ")</f>
        <v>Sisperjud</v>
      </c>
      <c r="D687" s="214">
        <v>0.94299999999999995</v>
      </c>
      <c r="E687" s="214">
        <v>0.83199999999999996</v>
      </c>
      <c r="F687" s="219">
        <v>45742</v>
      </c>
      <c r="G687" s="220">
        <v>45717</v>
      </c>
      <c r="H687" s="51" t="str">
        <f t="shared" si="33"/>
        <v>11644/202245717</v>
      </c>
      <c r="I687" s="38">
        <f>IFERROR(INDEX(Projetos!$M$2:$M$129,MATCH(Atualizações!A686,Projetos!$A$2:$A$129,0))," ")</f>
        <v>46387</v>
      </c>
      <c r="J687" s="221"/>
      <c r="K687" s="344">
        <f>IFERROR(Tb_Atualizações[[#This Row],[% EXECUTADO]]/Tb_Atualizações[[#This Row],[% PREVISTO]],"0%")</f>
        <v>0.88229056203605516</v>
      </c>
      <c r="L687" s="31" t="str" cm="1">
        <f t="array" aca="1" ref="L6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87" s="215"/>
      <c r="N687" s="30"/>
      <c r="O687" s="42">
        <f t="shared" si="34"/>
        <v>2025</v>
      </c>
      <c r="P687" s="42" t="str">
        <f t="shared" si="35"/>
        <v>202511644/2022</v>
      </c>
      <c r="Q687" s="42">
        <v>1</v>
      </c>
    </row>
    <row r="688" spans="1:17" ht="15" hidden="1">
      <c r="A688" s="192" t="s">
        <v>458</v>
      </c>
      <c r="B688" s="315" t="str">
        <f>IFERROR(INDEX(Projetos!$B$3:$B$129,MATCH(A688,Projetos!$A$3:$A$129,0))," ")</f>
        <v>SNGB - Melhorias evolutivas</v>
      </c>
      <c r="D688" s="214">
        <v>0.623</v>
      </c>
      <c r="E688" s="214">
        <v>0.623</v>
      </c>
      <c r="F688" s="219">
        <v>45742</v>
      </c>
      <c r="G688" s="220">
        <v>45717</v>
      </c>
      <c r="H688" s="51" t="str">
        <f t="shared" si="33"/>
        <v>08370/202445717</v>
      </c>
      <c r="I688" s="473">
        <f>IFERROR(INDEX(Projetos!$M$2:$M$129,MATCH(Atualizações!A688,Projetos!$A$2:$A$129,0))," ")</f>
        <v>46101</v>
      </c>
      <c r="J688" s="221"/>
      <c r="K688" s="344">
        <f>IFERROR(Tb_Atualizações[[#This Row],[% EXECUTADO]]/Tb_Atualizações[[#This Row],[% PREVISTO]],"0%")</f>
        <v>1</v>
      </c>
      <c r="L688" s="31" t="str" cm="1">
        <f t="array" aca="1" ref="L6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88" s="215"/>
      <c r="N688" s="30"/>
      <c r="O688" s="42">
        <f t="shared" si="34"/>
        <v>2025</v>
      </c>
      <c r="P688" s="42" t="str">
        <f t="shared" si="35"/>
        <v>202508370/2024</v>
      </c>
      <c r="Q688" s="42">
        <v>1</v>
      </c>
    </row>
    <row r="689" spans="1:17" ht="15" hidden="1">
      <c r="A689" s="192" t="s">
        <v>431</v>
      </c>
      <c r="B689" s="315" t="str">
        <f>IFERROR(INDEX(Projetos!$B$3:$B$129,MATCH(A689,Projetos!$A$3:$A$129,0))," ")</f>
        <v>Sniper BC</v>
      </c>
      <c r="D689" s="214">
        <v>0.19400000000000001</v>
      </c>
      <c r="E689" s="214">
        <v>0.17</v>
      </c>
      <c r="F689" s="219">
        <v>45742</v>
      </c>
      <c r="G689" s="220">
        <v>45717</v>
      </c>
      <c r="H689" s="51" t="str">
        <f t="shared" si="33"/>
        <v>06826/202445717</v>
      </c>
      <c r="I689" s="38">
        <f>IFERROR(INDEX(Projetos!$M$2:$M$129,MATCH(Atualizações!A688,Projetos!$A$2:$A$129,0))," ")</f>
        <v>46101</v>
      </c>
      <c r="J689" s="221"/>
      <c r="K689" s="344">
        <f>IFERROR(Tb_Atualizações[[#This Row],[% EXECUTADO]]/Tb_Atualizações[[#This Row],[% PREVISTO]],"0%")</f>
        <v>0.87628865979381443</v>
      </c>
      <c r="L689" s="31" t="str" cm="1">
        <f t="array" aca="1" ref="L6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89" s="215"/>
      <c r="N689" s="30"/>
      <c r="O689" s="42">
        <f t="shared" si="34"/>
        <v>2025</v>
      </c>
      <c r="P689" s="42" t="str">
        <f t="shared" si="35"/>
        <v>202506826/2024</v>
      </c>
      <c r="Q689" s="42">
        <v>1</v>
      </c>
    </row>
    <row r="690" spans="1:17" ht="15" hidden="1">
      <c r="A690" s="192" t="s">
        <v>644</v>
      </c>
      <c r="B690" s="315" t="str">
        <f>IFERROR(INDEX(Projetos!$B$3:$B$129,MATCH(A690,Projetos!$A$3:$A$129,0))," ")</f>
        <v>BNP/Pangea</v>
      </c>
      <c r="D690" s="214">
        <v>0.81699999999999995</v>
      </c>
      <c r="E690" s="214">
        <v>0.76400000000000001</v>
      </c>
      <c r="F690" s="219">
        <v>45744</v>
      </c>
      <c r="G690" s="220">
        <v>45717</v>
      </c>
      <c r="H690" s="51" t="str">
        <f t="shared" si="33"/>
        <v>11645/202245717</v>
      </c>
      <c r="I690" s="38" t="str">
        <f>IFERROR(INDEX(Projetos!$M$2:$M$129,MATCH(Atualizações!A690,Projetos!$A$2:$A$129,0))," ")</f>
        <v>23/12/2026</v>
      </c>
      <c r="J690" s="221"/>
      <c r="K690" s="344">
        <f>IFERROR(Tb_Atualizações[[#This Row],[% EXECUTADO]]/Tb_Atualizações[[#This Row],[% PREVISTO]],"0%")</f>
        <v>0.93512851897184834</v>
      </c>
      <c r="L690" s="31" t="str" cm="1">
        <f t="array" aca="1" ref="L6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90" s="215"/>
      <c r="N690" s="30"/>
      <c r="O690" s="42">
        <f t="shared" si="34"/>
        <v>2025</v>
      </c>
      <c r="P690" s="42" t="str">
        <f t="shared" si="35"/>
        <v>202511645/2022</v>
      </c>
      <c r="Q690" s="42">
        <v>1</v>
      </c>
    </row>
    <row r="691" spans="1:17" ht="30" hidden="1">
      <c r="A691" s="192" t="s">
        <v>416</v>
      </c>
      <c r="B691" s="315" t="str">
        <f>IFERROR(INDEX(Projetos!$B$3:$B$129,MATCH(A691,Projetos!$A$3:$A$129,0))," ")</f>
        <v>Conecta</v>
      </c>
      <c r="D691" s="214">
        <v>0.56499999999999995</v>
      </c>
      <c r="E691" s="214">
        <v>0.47099999999999997</v>
      </c>
      <c r="F691" s="219">
        <v>45744</v>
      </c>
      <c r="G691" s="220">
        <v>45717</v>
      </c>
      <c r="H691" s="51" t="str">
        <f t="shared" si="33"/>
        <v>05578/202445717</v>
      </c>
      <c r="I691" s="38" t="str">
        <f>IFERROR(INDEX(Projetos!$M$2:$M$129,MATCH(Atualizações!A690,Projetos!$A$2:$A$129,0))," ")</f>
        <v>23/12/2026</v>
      </c>
      <c r="J691" s="221"/>
      <c r="K691" s="344">
        <f>IFERROR(Tb_Atualizações[[#This Row],[% EXECUTADO]]/Tb_Atualizações[[#This Row],[% PREVISTO]],"0%")</f>
        <v>0.83362831858407083</v>
      </c>
      <c r="L691" s="31" t="str" cm="1">
        <f t="array" aca="1" ref="L6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91" s="215"/>
      <c r="N691" s="30"/>
      <c r="O691" s="42">
        <f t="shared" si="34"/>
        <v>2025</v>
      </c>
      <c r="P691" s="42" t="str">
        <f t="shared" si="35"/>
        <v>202505578/2024</v>
      </c>
      <c r="Q691" s="42">
        <v>1</v>
      </c>
    </row>
    <row r="692" spans="1:17" ht="30" hidden="1">
      <c r="A692" s="192" t="s">
        <v>549</v>
      </c>
      <c r="B692" s="315" t="str">
        <f>IFERROR(INDEX(Projetos!$B$3:$B$129,MATCH(A692,Projetos!$A$3:$A$129,0))," ")</f>
        <v>Fluxo Nacional Automatizado das Execuções Fiscais (EFIN)</v>
      </c>
      <c r="D692" s="214">
        <v>0.88400000000000001</v>
      </c>
      <c r="E692" s="214">
        <v>0.74399999999999999</v>
      </c>
      <c r="F692" s="219">
        <v>45744</v>
      </c>
      <c r="G692" s="220">
        <v>45717</v>
      </c>
      <c r="H692" s="51" t="str">
        <f t="shared" si="33"/>
        <v>09796/202445717</v>
      </c>
      <c r="I692" s="38" t="str">
        <f>IFERROR(INDEX(Projetos!$M$2:$M$129,MATCH(Atualizações!A691,Projetos!$A$2:$A$129,0))," ")</f>
        <v>31/12/2026</v>
      </c>
      <c r="J692" s="221"/>
      <c r="K692" s="344">
        <f>IFERROR(Tb_Atualizações[[#This Row],[% EXECUTADO]]/Tb_Atualizações[[#This Row],[% PREVISTO]],"0%")</f>
        <v>0.84162895927601811</v>
      </c>
      <c r="L692" s="31" t="str" cm="1">
        <f t="array" aca="1" ref="L6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92" s="215"/>
      <c r="N692" s="30"/>
      <c r="O692" s="42">
        <f t="shared" si="34"/>
        <v>2025</v>
      </c>
      <c r="P692" s="42" t="str">
        <f t="shared" si="35"/>
        <v>202509796/2024</v>
      </c>
      <c r="Q692" s="42">
        <v>1</v>
      </c>
    </row>
    <row r="693" spans="1:17" ht="15" hidden="1">
      <c r="A693" s="192" t="s">
        <v>589</v>
      </c>
      <c r="B693" s="315" t="str">
        <f>IFERROR(INDEX(Projetos!$B$3:$B$129,MATCH(A693,Projetos!$A$3:$A$129,0))," ")</f>
        <v>Pacto Nacional do Judiciário pelos Direitos Humanos - 2ª Fase</v>
      </c>
      <c r="D693" s="214">
        <v>0.54</v>
      </c>
      <c r="E693" s="214">
        <v>0.54</v>
      </c>
      <c r="F693" s="219">
        <v>45744</v>
      </c>
      <c r="G693" s="220">
        <v>45717</v>
      </c>
      <c r="H693" s="51" t="str">
        <f t="shared" si="33"/>
        <v>10926/202445717</v>
      </c>
      <c r="I693" s="38">
        <f>IFERROR(INDEX(Projetos!$M$2:$M$129,MATCH(Atualizações!A692,Projetos!$A$2:$A$129,0))," ")</f>
        <v>46226</v>
      </c>
      <c r="J693" s="221"/>
      <c r="K693" s="344">
        <f>IFERROR(Tb_Atualizações[[#This Row],[% EXECUTADO]]/Tb_Atualizações[[#This Row],[% PREVISTO]],"0%")</f>
        <v>1</v>
      </c>
      <c r="L693" s="31" t="str" cm="1">
        <f t="array" aca="1" ref="L6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93" s="215"/>
      <c r="N693" s="397"/>
      <c r="O693" s="42">
        <f t="shared" si="34"/>
        <v>2025</v>
      </c>
      <c r="P693" s="42" t="str">
        <f t="shared" si="35"/>
        <v>202510926/2024</v>
      </c>
      <c r="Q693" s="42">
        <v>1</v>
      </c>
    </row>
    <row r="694" spans="1:17" ht="15" hidden="1">
      <c r="A694" s="192" t="s">
        <v>533</v>
      </c>
      <c r="B694" s="315" t="str">
        <f>IFERROR(INDEX(Projetos!$B$3:$B$129,MATCH(A694,Projetos!$A$3:$A$129,0))," ")</f>
        <v>Qualificação de Dados</v>
      </c>
      <c r="D694" s="214">
        <v>0.41899999999999998</v>
      </c>
      <c r="E694" s="214">
        <v>0.42599999999999999</v>
      </c>
      <c r="F694" s="219">
        <v>45747</v>
      </c>
      <c r="G694" s="220">
        <v>45717</v>
      </c>
      <c r="H694" s="51" t="str">
        <f t="shared" si="33"/>
        <v>09613/202445717</v>
      </c>
      <c r="I694" s="473">
        <f>IFERROR(INDEX(Projetos!$M$2:$M$129,MATCH(Atualizações!A694,Projetos!$A$2:$A$129,0))," ")</f>
        <v>46386</v>
      </c>
      <c r="J694" s="221"/>
      <c r="K694" s="344">
        <f>IFERROR(Tb_Atualizações[[#This Row],[% EXECUTADO]]/Tb_Atualizações[[#This Row],[% PREVISTO]],"0%")</f>
        <v>1.0167064439140812</v>
      </c>
      <c r="L694" s="31" t="str" cm="1">
        <f t="array" aca="1" ref="L6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94" s="215"/>
      <c r="N694" s="30"/>
      <c r="O694" s="42">
        <f t="shared" si="34"/>
        <v>2025</v>
      </c>
      <c r="P694" s="42" t="str">
        <f t="shared" si="35"/>
        <v>202509613/2024</v>
      </c>
      <c r="Q694" s="42">
        <v>1</v>
      </c>
    </row>
    <row r="695" spans="1:17" ht="255" hidden="1">
      <c r="A695" s="192" t="s">
        <v>310</v>
      </c>
      <c r="B695" s="315" t="str">
        <f>IFERROR(INDEX(Projetos!$B$3:$B$129,MATCH(A695,Projetos!$A$3:$A$129,0))," ")</f>
        <v>Apoio a implantação de soluções da PDPJ-Br</v>
      </c>
      <c r="D695" s="214">
        <v>0.80900000000000005</v>
      </c>
      <c r="E695" s="214">
        <v>0.62</v>
      </c>
      <c r="F695" s="219">
        <v>45748</v>
      </c>
      <c r="G695" s="220">
        <v>45717</v>
      </c>
      <c r="H695" s="51" t="str">
        <f t="shared" si="33"/>
        <v>02887/202445717</v>
      </c>
      <c r="I695" s="473">
        <f>IFERROR(INDEX(Projetos!$M$2:$M$129,MATCH(Atualizações!A695,Projetos!$A$2:$A$129,0))," ")</f>
        <v>46387</v>
      </c>
      <c r="J695" s="221" t="s">
        <v>1367</v>
      </c>
      <c r="K695" s="344">
        <f>IFERROR(Tb_Atualizações[[#This Row],[% EXECUTADO]]/Tb_Atualizações[[#This Row],[% PREVISTO]],"0%")</f>
        <v>0.76637824474660066</v>
      </c>
      <c r="L695" s="31" t="str" cm="1">
        <f t="array" aca="1" ref="L6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95" s="215"/>
      <c r="N695" s="30"/>
      <c r="O695" s="42">
        <f t="shared" si="34"/>
        <v>2025</v>
      </c>
      <c r="P695" s="42" t="str">
        <f t="shared" si="35"/>
        <v>202502887/2024</v>
      </c>
      <c r="Q695" s="42">
        <v>1</v>
      </c>
    </row>
    <row r="696" spans="1:17" ht="105" hidden="1">
      <c r="A696" s="192" t="s">
        <v>229</v>
      </c>
      <c r="B696" s="315" t="str">
        <f>IFERROR(INDEX(Projetos!$B$3:$B$129,MATCH(A696,Projetos!$A$3:$A$129,0))," ")</f>
        <v>Gabinete do Juízo</v>
      </c>
      <c r="D696" s="214">
        <v>0.90300000000000002</v>
      </c>
      <c r="E696" s="214">
        <v>0.83099999999999996</v>
      </c>
      <c r="F696" s="219">
        <v>45748</v>
      </c>
      <c r="G696" s="220">
        <v>45717</v>
      </c>
      <c r="H696" s="51" t="str">
        <f t="shared" si="33"/>
        <v>02080/202345717</v>
      </c>
      <c r="I696" s="38">
        <f>IFERROR(INDEX(Projetos!$M$2:$M$129,MATCH(Atualizações!A695,Projetos!$A$2:$A$129,0))," ")</f>
        <v>46387</v>
      </c>
      <c r="J696" s="221" t="s">
        <v>1368</v>
      </c>
      <c r="K696" s="344">
        <f>IFERROR(Tb_Atualizações[[#This Row],[% EXECUTADO]]/Tb_Atualizações[[#This Row],[% PREVISTO]],"0%")</f>
        <v>0.92026578073089693</v>
      </c>
      <c r="L696" s="31" t="str" cm="1">
        <f t="array" aca="1" ref="L6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696" s="215"/>
      <c r="N696" s="396"/>
      <c r="O696" s="42">
        <f t="shared" si="34"/>
        <v>2025</v>
      </c>
      <c r="P696" s="42" t="str">
        <f t="shared" si="35"/>
        <v>202502080/2023</v>
      </c>
      <c r="Q696" s="42">
        <v>1</v>
      </c>
    </row>
    <row r="697" spans="1:17" ht="135" hidden="1">
      <c r="A697" s="192" t="s">
        <v>58</v>
      </c>
      <c r="B697" s="315" t="str">
        <f>IFERROR(INDEX(Projetos!$B$3:$B$129,MATCH(A697,Projetos!$A$3:$A$129,0))," ")</f>
        <v>Phase-out: Transição Projetos X Operação</v>
      </c>
      <c r="D697" s="214">
        <v>0.45</v>
      </c>
      <c r="E697" s="214">
        <v>0.6</v>
      </c>
      <c r="F697" s="219">
        <v>45748</v>
      </c>
      <c r="G697" s="220">
        <v>45717</v>
      </c>
      <c r="H697" s="51" t="str">
        <f t="shared" si="33"/>
        <v>00030/202545717</v>
      </c>
      <c r="I697" s="38">
        <f>IFERROR(INDEX(Projetos!$M$2:$M$129,MATCH(Atualizações!A696,Projetos!$A$2:$A$129,0))," ")</f>
        <v>46379</v>
      </c>
      <c r="J697" s="221" t="s">
        <v>1369</v>
      </c>
      <c r="K697" s="344">
        <f>IFERROR(Tb_Atualizações[[#This Row],[% EXECUTADO]]/Tb_Atualizações[[#This Row],[% PREVISTO]],"0%")</f>
        <v>1.3333333333333333</v>
      </c>
      <c r="L697" s="31" t="str" cm="1">
        <f t="array" aca="1" ref="L6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97" s="215"/>
      <c r="N697" s="396"/>
      <c r="O697" s="42">
        <f t="shared" si="34"/>
        <v>2025</v>
      </c>
      <c r="P697" s="42" t="str">
        <f t="shared" si="35"/>
        <v>202500030/2025</v>
      </c>
      <c r="Q697" s="42">
        <v>1</v>
      </c>
    </row>
    <row r="698" spans="1:17" ht="30" hidden="1">
      <c r="A698" s="192" t="s">
        <v>273</v>
      </c>
      <c r="B698" s="315" t="str">
        <f>IFERROR(INDEX(Projetos!$B$3:$B$129,MATCH(A698,Projetos!$A$3:$A$129,0))," ")</f>
        <v>SNA – Novo Sistema Nacional de Adoção e Acolhimento</v>
      </c>
      <c r="D698" s="214">
        <v>0.624</v>
      </c>
      <c r="E698" s="214">
        <v>0.25800000000000001</v>
      </c>
      <c r="F698" s="219">
        <v>45748</v>
      </c>
      <c r="G698" s="220">
        <v>45717</v>
      </c>
      <c r="H698" s="51" t="str">
        <f t="shared" si="33"/>
        <v>02483/202345717</v>
      </c>
      <c r="I698" s="38">
        <f>IFERROR(INDEX(Projetos!$M$2:$M$129,MATCH(Atualizações!A697,Projetos!$A$2:$A$129,0))," ")</f>
        <v>46387</v>
      </c>
      <c r="J698" s="221"/>
      <c r="K698" s="344">
        <f>IFERROR(Tb_Atualizações[[#This Row],[% EXECUTADO]]/Tb_Atualizações[[#This Row],[% PREVISTO]],"0%")</f>
        <v>0.41346153846153849</v>
      </c>
      <c r="L698" s="31" t="str" cm="1">
        <f t="array" aca="1" ref="L6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698" s="215"/>
      <c r="N698" s="396"/>
      <c r="O698" s="42">
        <f t="shared" si="34"/>
        <v>2025</v>
      </c>
      <c r="P698" s="42" t="str">
        <f t="shared" si="35"/>
        <v>202502483/2023</v>
      </c>
      <c r="Q698" s="42">
        <v>1</v>
      </c>
    </row>
    <row r="699" spans="1:17" ht="15" hidden="1">
      <c r="A699" s="192" t="s">
        <v>257</v>
      </c>
      <c r="B699" s="315" t="str">
        <f>IFERROR(INDEX(Projetos!$B$3:$B$129,MATCH(A699,Projetos!$A$3:$A$129,0))," ")</f>
        <v>SisPreq – Sistema de Precatórios e Requisições de Pequeno Valor</v>
      </c>
      <c r="D699" s="214">
        <v>0.58899999999999997</v>
      </c>
      <c r="E699" s="214">
        <v>0.56000000000000005</v>
      </c>
      <c r="F699" s="219">
        <v>45749</v>
      </c>
      <c r="G699" s="220">
        <v>45717</v>
      </c>
      <c r="H699" s="51" t="str">
        <f t="shared" si="33"/>
        <v>02465/202445717</v>
      </c>
      <c r="I699" s="38">
        <f>IFERROR(INDEX(Projetos!$M$2:$M$129,MATCH(Atualizações!A698,Projetos!$A$2:$A$129,0))," ")</f>
        <v>46022</v>
      </c>
      <c r="J699" s="221"/>
      <c r="K699" s="344">
        <f>IFERROR(Tb_Atualizações[[#This Row],[% EXECUTADO]]/Tb_Atualizações[[#This Row],[% PREVISTO]],"0%")</f>
        <v>0.95076400679117157</v>
      </c>
      <c r="L699" s="31" t="str" cm="1">
        <f t="array" aca="1" ref="L6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699" s="215"/>
      <c r="N699" s="396"/>
      <c r="O699" s="42">
        <f t="shared" si="34"/>
        <v>2025</v>
      </c>
      <c r="P699" s="42" t="str">
        <f t="shared" si="35"/>
        <v>202502465/2024</v>
      </c>
      <c r="Q699" s="42">
        <v>1</v>
      </c>
    </row>
    <row r="700" spans="1:17" ht="15" hidden="1">
      <c r="A700" s="192" t="s">
        <v>396</v>
      </c>
      <c r="B700" s="315" t="str">
        <f>IFERROR(INDEX(Projetos!$B$3:$B$129,MATCH(A700,Projetos!$A$3:$A$129,0))," ")</f>
        <v>CODEX - Melhorias Evolutivas e Corretivas</v>
      </c>
      <c r="D700" s="214">
        <v>0.97799999999999998</v>
      </c>
      <c r="E700" s="214">
        <v>0.90400000000000003</v>
      </c>
      <c r="F700" s="219">
        <v>45751</v>
      </c>
      <c r="G700" s="220">
        <v>45717</v>
      </c>
      <c r="H700" s="51" t="str">
        <f t="shared" si="33"/>
        <v>04751/202245717</v>
      </c>
      <c r="I700" s="473">
        <f>IFERROR(INDEX(Projetos!$M$2:$M$129,MATCH(Atualizações!A700,Projetos!$A$2:$A$129,0))," ")</f>
        <v>46387</v>
      </c>
      <c r="J700" s="221"/>
      <c r="K700" s="344">
        <f>IFERROR(Tb_Atualizações[[#This Row],[% EXECUTADO]]/Tb_Atualizações[[#This Row],[% PREVISTO]],"0%")</f>
        <v>0.92433537832310841</v>
      </c>
      <c r="L700" s="31" t="str" cm="1">
        <f t="array" aca="1" ref="L7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00" s="215"/>
      <c r="N700" s="345"/>
      <c r="O700" s="42">
        <f t="shared" si="34"/>
        <v>2025</v>
      </c>
      <c r="P700" s="42" t="str">
        <f t="shared" si="35"/>
        <v>202504751/2022</v>
      </c>
      <c r="Q700" s="42">
        <v>1</v>
      </c>
    </row>
    <row r="701" spans="1:17" ht="30" hidden="1">
      <c r="A701" s="370" t="s">
        <v>675</v>
      </c>
      <c r="B701" s="315" t="str">
        <f>IFERROR(INDEX(Projetos!$B$3:$B$129,MATCH(A701,Projetos!$A$3:$A$129,0))," ")</f>
        <v>Pesquisa IA 2024 - Mapeamento dos projetos de Inteligência Artificial em desenvolvimento pelos tribunais brasileiros</v>
      </c>
      <c r="D701" s="214">
        <v>0.97599999999999998</v>
      </c>
      <c r="E701" s="214">
        <v>0.94199999999999995</v>
      </c>
      <c r="F701" s="219">
        <v>45754</v>
      </c>
      <c r="G701" s="220">
        <v>45717</v>
      </c>
      <c r="H701" s="51" t="str">
        <f t="shared" si="33"/>
        <v>11988/202445717</v>
      </c>
      <c r="I701" s="38">
        <f>IFERROR(INDEX(Projetos!$M$2:$M$129,MATCH(Atualizações!A700,Projetos!$A$2:$A$129,0))," ")</f>
        <v>46387</v>
      </c>
      <c r="J701" s="221"/>
      <c r="K701" s="344">
        <f>IFERROR(Tb_Atualizações[[#This Row],[% EXECUTADO]]/Tb_Atualizações[[#This Row],[% PREVISTO]],"0%")</f>
        <v>0.9651639344262295</v>
      </c>
      <c r="L701" s="31" t="str" cm="1">
        <f t="array" aca="1" ref="L7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1" s="215"/>
      <c r="N701" s="345"/>
      <c r="O701" s="42">
        <f t="shared" si="34"/>
        <v>2025</v>
      </c>
      <c r="P701" s="42" t="str">
        <f t="shared" si="35"/>
        <v>202511988/2024</v>
      </c>
      <c r="Q701" s="42">
        <v>1</v>
      </c>
    </row>
    <row r="702" spans="1:17" ht="15" hidden="1">
      <c r="A702" s="370" t="s">
        <v>722</v>
      </c>
      <c r="B702" s="315" t="str">
        <f>IFERROR(INDEX(Projetos!$B$3:$B$129,MATCH(A702,Projetos!$A$3:$A$129,0))," ")</f>
        <v>Serviços Estruturantes - Melhorias Evolutivas e Corretivas</v>
      </c>
      <c r="D702" s="214">
        <v>0.88600000000000001</v>
      </c>
      <c r="E702" s="214">
        <v>0.879</v>
      </c>
      <c r="F702" s="219">
        <v>45754</v>
      </c>
      <c r="G702" s="220">
        <v>45717</v>
      </c>
      <c r="H702" s="51" t="str">
        <f t="shared" si="33"/>
        <v>14965/202445717</v>
      </c>
      <c r="I702" s="473">
        <f>IFERROR(INDEX(Projetos!$M$2:$M$129,MATCH(Atualizações!A702,Projetos!$A$2:$A$129,0))," ")</f>
        <v>46387</v>
      </c>
      <c r="J702" s="221"/>
      <c r="K702" s="344">
        <f>IFERROR(Tb_Atualizações[[#This Row],[% EXECUTADO]]/Tb_Atualizações[[#This Row],[% PREVISTO]],"0%")</f>
        <v>0.99209932279909707</v>
      </c>
      <c r="L702" s="31" t="str" cm="1">
        <f t="array" aca="1" ref="L7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2" s="215"/>
      <c r="N702" s="345"/>
      <c r="O702" s="42">
        <f t="shared" si="34"/>
        <v>2025</v>
      </c>
      <c r="P702" s="42" t="str">
        <f t="shared" si="35"/>
        <v>202514965/2024</v>
      </c>
      <c r="Q702" s="42">
        <v>1</v>
      </c>
    </row>
    <row r="703" spans="1:17" ht="75" hidden="1">
      <c r="A703" s="370" t="s">
        <v>376</v>
      </c>
      <c r="B703" s="315" t="str">
        <f>IFERROR(INDEX(Projetos!$B$3:$B$129,MATCH(A703,Projetos!$A$3:$A$129,0))," ")</f>
        <v>Nacionalização SAREF - Sistema de Apresentação Remota por Reconhecimento Facial</v>
      </c>
      <c r="D703" s="214">
        <v>1</v>
      </c>
      <c r="E703" s="214">
        <v>1</v>
      </c>
      <c r="F703" s="219">
        <v>45755</v>
      </c>
      <c r="G703" s="220">
        <v>45717</v>
      </c>
      <c r="H703" s="51" t="str">
        <f t="shared" si="33"/>
        <v>03924/202345717</v>
      </c>
      <c r="I703" s="38">
        <f>IFERROR(INDEX(Projetos!$M$2:$M$129,MATCH(Atualizações!A702,Projetos!$A$2:$A$129,0))," ")</f>
        <v>46387</v>
      </c>
      <c r="J703" s="221" t="s">
        <v>1370</v>
      </c>
      <c r="K703" s="344">
        <f>IFERROR(Tb_Atualizações[[#This Row],[% EXECUTADO]]/Tb_Atualizações[[#This Row],[% PREVISTO]],"0%")</f>
        <v>1</v>
      </c>
      <c r="L703" s="31" t="str" cm="1">
        <f t="array" aca="1" ref="L7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703" s="215"/>
      <c r="N703" s="345"/>
      <c r="O703" s="42">
        <f t="shared" si="34"/>
        <v>2025</v>
      </c>
      <c r="P703" s="42" t="str">
        <f t="shared" si="35"/>
        <v>202503924/2023</v>
      </c>
      <c r="Q703" s="42">
        <v>1</v>
      </c>
    </row>
    <row r="704" spans="1:17" ht="30" hidden="1">
      <c r="A704" s="192" t="s">
        <v>112</v>
      </c>
      <c r="B704" s="315" t="str">
        <f>IFERROR(INDEX(Projetos!$B$3:$B$129,MATCH(A704,Projetos!$A$3:$A$129,0))," ")</f>
        <v>Programa Nacional de Promoção da Equidade Racial no Poder Judiciário - 2024</v>
      </c>
      <c r="D704" s="214">
        <v>0.625</v>
      </c>
      <c r="E704" s="214">
        <v>0.625</v>
      </c>
      <c r="F704" s="219">
        <v>45757</v>
      </c>
      <c r="G704" s="220">
        <v>45717</v>
      </c>
      <c r="H704" s="51" t="str">
        <f t="shared" si="33"/>
        <v>00600/202345717</v>
      </c>
      <c r="I704" s="38">
        <f>IFERROR(INDEX(Projetos!$M$2:$M$129,MATCH(Atualizações!A703,Projetos!$A$2:$A$129,0))," ")</f>
        <v>45565</v>
      </c>
      <c r="J704" s="221"/>
      <c r="K704" s="344">
        <f>IFERROR(Tb_Atualizações[[#This Row],[% EXECUTADO]]/Tb_Atualizações[[#This Row],[% PREVISTO]],"0%")</f>
        <v>1</v>
      </c>
      <c r="L704" s="31" t="str" cm="1">
        <f t="array" aca="1" ref="L7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04" s="215"/>
      <c r="N704" s="345"/>
      <c r="O704" s="42">
        <f t="shared" si="34"/>
        <v>2025</v>
      </c>
      <c r="P704" s="42" t="str">
        <f t="shared" si="35"/>
        <v>202500600/2023</v>
      </c>
      <c r="Q704" s="42">
        <v>1</v>
      </c>
    </row>
    <row r="705" spans="1:17" ht="15" hidden="1">
      <c r="A705" s="192" t="s">
        <v>523</v>
      </c>
      <c r="B705" s="315" t="str">
        <f>IFERROR(INDEX(Projetos!$B$3:$B$129,MATCH(A705,Projetos!$A$3:$A$129,0))," ")</f>
        <v>Portal Jus BR</v>
      </c>
      <c r="D705" s="214">
        <v>0.84399999999999997</v>
      </c>
      <c r="E705" s="214">
        <v>0.82</v>
      </c>
      <c r="F705" s="219">
        <v>45769</v>
      </c>
      <c r="G705" s="220">
        <v>45748</v>
      </c>
      <c r="H705" s="51" t="str">
        <f t="shared" si="33"/>
        <v>09536/202445748</v>
      </c>
      <c r="I705" s="38">
        <f>IFERROR(INDEX(Projetos!$M$2:$M$129,MATCH(Atualizações!A704,Projetos!$A$2:$A$129,0))," ")</f>
        <v>46022</v>
      </c>
      <c r="J705" s="221"/>
      <c r="K705" s="344">
        <f>IFERROR(Tb_Atualizações[[#This Row],[% EXECUTADO]]/Tb_Atualizações[[#This Row],[% PREVISTO]],"0%")</f>
        <v>0.97156398104265396</v>
      </c>
      <c r="L705" s="31" t="str" cm="1">
        <f t="array" aca="1" ref="L7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5" s="215"/>
      <c r="N705" s="345"/>
      <c r="O705" s="42">
        <f t="shared" si="34"/>
        <v>2025</v>
      </c>
      <c r="P705" s="42" t="str">
        <f t="shared" si="35"/>
        <v>202509536/2024</v>
      </c>
      <c r="Q705" s="42">
        <v>1</v>
      </c>
    </row>
    <row r="706" spans="1:17" ht="409.5" hidden="1">
      <c r="A706" s="192" t="s">
        <v>533</v>
      </c>
      <c r="B706" s="315" t="str">
        <f>IFERROR(INDEX(Projetos!$B$3:$B$129,MATCH(A706,Projetos!$A$3:$A$129,0))," ")</f>
        <v>Qualificação de Dados</v>
      </c>
      <c r="D706" s="214">
        <v>0.48</v>
      </c>
      <c r="E706" s="214">
        <v>0.45900000000000002</v>
      </c>
      <c r="F706" s="219">
        <v>45769</v>
      </c>
      <c r="G706" s="220">
        <v>45748</v>
      </c>
      <c r="H706" s="51" t="str">
        <f t="shared" si="33"/>
        <v>09613/202445748</v>
      </c>
      <c r="I706" s="473">
        <f>IFERROR(INDEX(Projetos!$M$2:$M$129,MATCH(Atualizações!A706,Projetos!$A$2:$A$129,0))," ")</f>
        <v>46386</v>
      </c>
      <c r="J706" s="221" t="s">
        <v>1371</v>
      </c>
      <c r="K706" s="344">
        <f>IFERROR(Tb_Atualizações[[#This Row],[% EXECUTADO]]/Tb_Atualizações[[#This Row],[% PREVISTO]],"0%")</f>
        <v>0.95625000000000004</v>
      </c>
      <c r="L706" s="31" t="str" cm="1">
        <f t="array" aca="1" ref="L7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6" s="215"/>
      <c r="N706" s="345"/>
      <c r="O706" s="42">
        <f t="shared" si="34"/>
        <v>2025</v>
      </c>
      <c r="P706" s="42" t="str">
        <f t="shared" si="35"/>
        <v>202509613/2024</v>
      </c>
      <c r="Q706" s="42">
        <v>1</v>
      </c>
    </row>
    <row r="707" spans="1:17" ht="45" hidden="1">
      <c r="A707" s="192" t="s">
        <v>219</v>
      </c>
      <c r="B707" s="315" t="str">
        <f>IFERROR(INDEX(Projetos!$B$3:$B$129,MATCH(A707,Projetos!$A$3:$A$129,0))," ")</f>
        <v xml:space="preserve">Aperfeiçoamento funcional em temáticas prioritárias para o CNJ e para Justiça Federal 
(cursos, capacitações, metodologias e ferramentas avançados) – Ciclo Avançado </v>
      </c>
      <c r="D707" s="214">
        <v>8.8999999999999996E-2</v>
      </c>
      <c r="E707" s="214">
        <v>8.6999999999999994E-2</v>
      </c>
      <c r="F707" s="219">
        <v>45770</v>
      </c>
      <c r="G707" s="220">
        <v>45748</v>
      </c>
      <c r="H707" s="51" t="str">
        <f t="shared" si="33"/>
        <v>02024/202445748</v>
      </c>
      <c r="I707" s="473">
        <f>IFERROR(INDEX(Projetos!$M$2:$M$129,MATCH(Atualizações!A707,Projetos!$A$2:$A$129,0))," ")</f>
        <v>46246</v>
      </c>
      <c r="J707" s="221"/>
      <c r="K707" s="344">
        <f>IFERROR(Tb_Atualizações[[#This Row],[% EXECUTADO]]/Tb_Atualizações[[#This Row],[% PREVISTO]],"0%")</f>
        <v>0.97752808988764039</v>
      </c>
      <c r="L707" s="31" t="str" cm="1">
        <f t="array" aca="1" ref="L7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7" s="215"/>
      <c r="N707" s="345"/>
      <c r="O707" s="42">
        <f t="shared" si="34"/>
        <v>2025</v>
      </c>
      <c r="P707" s="42" t="str">
        <f t="shared" si="35"/>
        <v>202502024/2024</v>
      </c>
      <c r="Q707" s="42">
        <v>1</v>
      </c>
    </row>
    <row r="708" spans="1:17" ht="15" hidden="1">
      <c r="A708" s="192" t="s">
        <v>209</v>
      </c>
      <c r="B708" s="315" t="str">
        <f>IFERROR(INDEX(Projetos!$B$3:$B$129,MATCH(A708,Projetos!$A$3:$A$129,0))," ")</f>
        <v>Capacitação técnica para desenvolvedores nas tecnologias da PDPJ - BR</v>
      </c>
      <c r="D708" s="214">
        <v>0.96</v>
      </c>
      <c r="E708" s="214">
        <v>0.94899999999999995</v>
      </c>
      <c r="F708" s="219">
        <v>45770</v>
      </c>
      <c r="G708" s="220">
        <v>45748</v>
      </c>
      <c r="H708" s="51" t="str">
        <f t="shared" si="33"/>
        <v>01945/202245748</v>
      </c>
      <c r="I708" s="38">
        <f>IFERROR(INDEX(Projetos!$M$2:$M$129,MATCH(Atualizações!A707,Projetos!$A$2:$A$129,0))," ")</f>
        <v>46246</v>
      </c>
      <c r="J708" s="221"/>
      <c r="K708" s="344">
        <f>IFERROR(Tb_Atualizações[[#This Row],[% EXECUTADO]]/Tb_Atualizações[[#This Row],[% PREVISTO]],"0%")</f>
        <v>0.98854166666666665</v>
      </c>
      <c r="L708" s="31" t="str" cm="1">
        <f t="array" aca="1" ref="L7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8" s="215"/>
      <c r="N708" s="345"/>
      <c r="O708" s="42">
        <f t="shared" si="34"/>
        <v>2025</v>
      </c>
      <c r="P708" s="42" t="str">
        <f t="shared" si="35"/>
        <v>202501945/2022</v>
      </c>
      <c r="Q708" s="42">
        <v>1</v>
      </c>
    </row>
    <row r="709" spans="1:17" ht="15" hidden="1">
      <c r="A709" s="192" t="s">
        <v>690</v>
      </c>
      <c r="B709" s="315" t="str">
        <f>IFERROR(INDEX(Projetos!$B$3:$B$129,MATCH(A709,Projetos!$A$3:$A$129,0))," ")</f>
        <v>Painel “Justiça Criminal e Sistema Prisional”</v>
      </c>
      <c r="D709" s="214">
        <v>0.76600000000000001</v>
      </c>
      <c r="E709" s="214">
        <v>0.75</v>
      </c>
      <c r="F709" s="219">
        <v>45770</v>
      </c>
      <c r="G709" s="220">
        <v>45748</v>
      </c>
      <c r="H709" s="51" t="str">
        <f t="shared" si="33"/>
        <v>12215/202345748</v>
      </c>
      <c r="I709" s="473">
        <f>IFERROR(INDEX(Projetos!$M$2:$M$129,MATCH(Atualizações!A709,Projetos!$A$2:$A$129,0))," ")</f>
        <v>46387</v>
      </c>
      <c r="J709" s="221"/>
      <c r="K709" s="344">
        <f>IFERROR(Tb_Atualizações[[#This Row],[% EXECUTADO]]/Tb_Atualizações[[#This Row],[% PREVISTO]],"0%")</f>
        <v>0.97911227154046998</v>
      </c>
      <c r="L709" s="31" t="str" cm="1">
        <f t="array" aca="1" ref="L7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09" s="215"/>
      <c r="N709" s="345"/>
      <c r="O709" s="42">
        <f t="shared" si="34"/>
        <v>2025</v>
      </c>
      <c r="P709" s="42" t="str">
        <f t="shared" si="35"/>
        <v>202512215/2023</v>
      </c>
      <c r="Q709" s="42">
        <v>1</v>
      </c>
    </row>
    <row r="710" spans="1:17" ht="15" hidden="1">
      <c r="A710" s="192" t="s">
        <v>350</v>
      </c>
      <c r="B710" s="315" t="str">
        <f>IFERROR(INDEX(Projetos!$B$3:$B$129,MATCH(A710,Projetos!$A$3:$A$129,0))," ")</f>
        <v>Painel de Estatística   - Justiça 4.0</v>
      </c>
      <c r="D710" s="214">
        <v>0.98899999999999999</v>
      </c>
      <c r="E710" s="214">
        <v>0.93899999999999995</v>
      </c>
      <c r="F710" s="219">
        <v>45770</v>
      </c>
      <c r="G710" s="220">
        <v>45748</v>
      </c>
      <c r="H710" s="51" t="str">
        <f t="shared" si="33"/>
        <v>03545/202145748</v>
      </c>
      <c r="I710" s="38">
        <f>IFERROR(INDEX(Projetos!$M$2:$M$129,MATCH(Atualizações!A709,Projetos!$A$2:$A$129,0))," ")</f>
        <v>46387</v>
      </c>
      <c r="J710" s="221"/>
      <c r="K710" s="344">
        <f>IFERROR(Tb_Atualizações[[#This Row],[% EXECUTADO]]/Tb_Atualizações[[#This Row],[% PREVISTO]],"0%")</f>
        <v>0.94944388270980784</v>
      </c>
      <c r="L710" s="31" t="str" cm="1">
        <f t="array" aca="1" ref="L7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10" s="215"/>
      <c r="N710" s="345"/>
      <c r="O710" s="42">
        <f t="shared" si="34"/>
        <v>2025</v>
      </c>
      <c r="P710" s="42" t="str">
        <f t="shared" si="35"/>
        <v>202503545/2021</v>
      </c>
      <c r="Q710" s="42">
        <v>1</v>
      </c>
    </row>
    <row r="711" spans="1:17" ht="15" hidden="1">
      <c r="A711" s="192" t="s">
        <v>83</v>
      </c>
      <c r="B711" s="315" t="str">
        <f>IFERROR(INDEX(Projetos!$B$3:$B$129,MATCH(A711,Projetos!$A$3:$A$129,0))," ")</f>
        <v>Painel do Programa Desjudicializa</v>
      </c>
      <c r="D711" s="214">
        <v>0.84099999999999997</v>
      </c>
      <c r="E711" s="214">
        <v>0.75</v>
      </c>
      <c r="F711" s="219">
        <v>45770</v>
      </c>
      <c r="G711" s="220">
        <v>45748</v>
      </c>
      <c r="H711" s="51" t="str">
        <f t="shared" si="33"/>
        <v>00484/202445748</v>
      </c>
      <c r="I711" s="473">
        <f>IFERROR(INDEX(Projetos!$M$2:$M$129,MATCH(Atualizações!A711,Projetos!$A$2:$A$129,0))," ")</f>
        <v>46387</v>
      </c>
      <c r="J711" s="221"/>
      <c r="K711" s="344">
        <f>IFERROR(Tb_Atualizações[[#This Row],[% EXECUTADO]]/Tb_Atualizações[[#This Row],[% PREVISTO]],"0%")</f>
        <v>0.89179548156956012</v>
      </c>
      <c r="L711" s="31" t="str" cm="1">
        <f t="array" aca="1" ref="L7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11" s="215"/>
      <c r="N711" s="345"/>
      <c r="O711" s="42">
        <f t="shared" si="34"/>
        <v>2025</v>
      </c>
      <c r="P711" s="42" t="str">
        <f t="shared" si="35"/>
        <v>202500484/2024</v>
      </c>
      <c r="Q711" s="42">
        <v>1</v>
      </c>
    </row>
    <row r="712" spans="1:17" ht="15" hidden="1">
      <c r="A712" s="192" t="s">
        <v>684</v>
      </c>
      <c r="B712" s="315" t="str">
        <f>IFERROR(INDEX(Projetos!$B$3:$B$129,MATCH(A712,Projetos!$A$3:$A$129,0))," ")</f>
        <v>Painel dos Grandes Litigantes</v>
      </c>
      <c r="D712" s="214">
        <v>0.97099999999999997</v>
      </c>
      <c r="E712" s="214">
        <v>0.96699999999999997</v>
      </c>
      <c r="F712" s="219">
        <v>45770</v>
      </c>
      <c r="G712" s="220">
        <v>45748</v>
      </c>
      <c r="H712" s="51" t="str">
        <f t="shared" si="33"/>
        <v>12135/202245748</v>
      </c>
      <c r="I712" s="38">
        <f>IFERROR(INDEX(Projetos!$M$2:$M$129,MATCH(Atualizações!A711,Projetos!$A$2:$A$129,0))," ")</f>
        <v>46387</v>
      </c>
      <c r="J712" s="221"/>
      <c r="K712" s="344">
        <f>IFERROR(Tb_Atualizações[[#This Row],[% EXECUTADO]]/Tb_Atualizações[[#This Row],[% PREVISTO]],"0%")</f>
        <v>0.99588053553038103</v>
      </c>
      <c r="L712" s="31" t="str" cm="1">
        <f t="array" aca="1" ref="L7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12" s="215"/>
      <c r="N712" s="345"/>
      <c r="O712" s="42">
        <f t="shared" si="34"/>
        <v>2025</v>
      </c>
      <c r="P712" s="42" t="str">
        <f t="shared" si="35"/>
        <v>202512135/2022</v>
      </c>
      <c r="Q712" s="42">
        <v>1</v>
      </c>
    </row>
    <row r="713" spans="1:17" ht="15" hidden="1">
      <c r="A713" s="192" t="s">
        <v>580</v>
      </c>
      <c r="B713" s="315" t="str">
        <f>IFERROR(INDEX(Projetos!$B$3:$B$129,MATCH(A713,Projetos!$A$3:$A$129,0))," ")</f>
        <v>SireneJud 2.0 - Evoluções</v>
      </c>
      <c r="D713" s="214">
        <v>0.36899999999999999</v>
      </c>
      <c r="E713" s="214">
        <v>0.63</v>
      </c>
      <c r="F713" s="219">
        <v>45770</v>
      </c>
      <c r="G713" s="220">
        <v>45748</v>
      </c>
      <c r="H713" s="51" t="str">
        <f t="shared" si="33"/>
        <v>10698/202445748</v>
      </c>
      <c r="I713" s="38" t="str">
        <f>IFERROR(INDEX(Projetos!$M$2:$M$129,MATCH(Atualizações!A712,Projetos!$A$2:$A$129,0))," ")</f>
        <v>30/06/26</v>
      </c>
      <c r="J713" s="221"/>
      <c r="K713" s="344">
        <f>IFERROR(Tb_Atualizações[[#This Row],[% EXECUTADO]]/Tb_Atualizações[[#This Row],[% PREVISTO]],"0%")</f>
        <v>1.7073170731707317</v>
      </c>
      <c r="L713" s="31" t="str" cm="1">
        <f t="array" aca="1" ref="L7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13" s="215"/>
      <c r="N713" s="345"/>
      <c r="O713" s="42">
        <f t="shared" si="34"/>
        <v>2025</v>
      </c>
      <c r="P713" s="42" t="str">
        <f t="shared" si="35"/>
        <v>202510698/2024</v>
      </c>
      <c r="Q713" s="42">
        <v>1</v>
      </c>
    </row>
    <row r="714" spans="1:17" ht="60" hidden="1">
      <c r="A714" s="192" t="s">
        <v>310</v>
      </c>
      <c r="B714" s="315" t="str">
        <f>IFERROR(INDEX(Projetos!$B$3:$B$129,MATCH(A714,Projetos!$A$3:$A$129,0))," ")</f>
        <v>Apoio a implantação de soluções da PDPJ-Br</v>
      </c>
      <c r="D714" s="214">
        <v>0.82799999999999996</v>
      </c>
      <c r="E714" s="214">
        <v>0.62</v>
      </c>
      <c r="F714" s="219">
        <v>45771</v>
      </c>
      <c r="G714" s="220">
        <v>45748</v>
      </c>
      <c r="H714" s="51" t="str">
        <f t="shared" si="33"/>
        <v>02887/202445748</v>
      </c>
      <c r="I714" s="473">
        <f>IFERROR(INDEX(Projetos!$M$2:$M$129,MATCH(Atualizações!A714,Projetos!$A$2:$A$129,0))," ")</f>
        <v>46387</v>
      </c>
      <c r="J714" s="221" t="s">
        <v>1372</v>
      </c>
      <c r="K714" s="344">
        <f>IFERROR(Tb_Atualizações[[#This Row],[% EXECUTADO]]/Tb_Atualizações[[#This Row],[% PREVISTO]],"0%")</f>
        <v>0.74879227053140096</v>
      </c>
      <c r="L714" s="31" t="str" cm="1">
        <f t="array" aca="1" ref="L7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14" s="215"/>
      <c r="N714" s="345"/>
      <c r="O714" s="42">
        <f t="shared" si="34"/>
        <v>2025</v>
      </c>
      <c r="P714" s="42" t="str">
        <f t="shared" si="35"/>
        <v>202502887/2024</v>
      </c>
      <c r="Q714" s="42">
        <v>1</v>
      </c>
    </row>
    <row r="715" spans="1:17" ht="75" hidden="1">
      <c r="A715" s="192" t="s">
        <v>229</v>
      </c>
      <c r="B715" s="315" t="str">
        <f>IFERROR(INDEX(Projetos!$B$3:$B$129,MATCH(A715,Projetos!$A$3:$A$129,0))," ")</f>
        <v>Gabinete do Juízo</v>
      </c>
      <c r="D715" s="214">
        <v>0.91200000000000003</v>
      </c>
      <c r="E715" s="214">
        <v>0.81499999999999995</v>
      </c>
      <c r="F715" s="219">
        <v>45771</v>
      </c>
      <c r="G715" s="220">
        <v>45748</v>
      </c>
      <c r="H715" s="51" t="str">
        <f t="shared" si="33"/>
        <v>02080/202345748</v>
      </c>
      <c r="I715" s="38">
        <f>IFERROR(INDEX(Projetos!$M$2:$M$129,MATCH(Atualizações!A714,Projetos!$A$2:$A$129,0))," ")</f>
        <v>46387</v>
      </c>
      <c r="J715" s="221" t="s">
        <v>1373</v>
      </c>
      <c r="K715" s="344">
        <f>IFERROR(Tb_Atualizações[[#This Row],[% EXECUTADO]]/Tb_Atualizações[[#This Row],[% PREVISTO]],"0%")</f>
        <v>0.89364035087719285</v>
      </c>
      <c r="L715" s="31" t="str" cm="1">
        <f t="array" aca="1" ref="L7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15" s="215"/>
      <c r="N715" s="345"/>
      <c r="O715" s="42">
        <f t="shared" si="34"/>
        <v>2025</v>
      </c>
      <c r="P715" s="42" t="str">
        <f t="shared" si="35"/>
        <v>202502080/2023</v>
      </c>
      <c r="Q715" s="42">
        <v>1</v>
      </c>
    </row>
    <row r="716" spans="1:17" ht="165" hidden="1">
      <c r="A716" s="192" t="s">
        <v>58</v>
      </c>
      <c r="B716" s="315" t="str">
        <f>IFERROR(INDEX(Projetos!$B$3:$B$129,MATCH(A716,Projetos!$A$3:$A$129,0))," ")</f>
        <v>Phase-out: Transição Projetos X Operação</v>
      </c>
      <c r="D716" s="214">
        <v>0.49</v>
      </c>
      <c r="E716" s="214">
        <v>0.61499999999999999</v>
      </c>
      <c r="F716" s="219">
        <v>45771</v>
      </c>
      <c r="G716" s="220">
        <v>45748</v>
      </c>
      <c r="H716" s="51" t="str">
        <f t="shared" si="33"/>
        <v>00030/202545748</v>
      </c>
      <c r="I716" s="38">
        <f>IFERROR(INDEX(Projetos!$M$2:$M$129,MATCH(Atualizações!A715,Projetos!$A$2:$A$129,0))," ")</f>
        <v>46379</v>
      </c>
      <c r="J716" s="221" t="s">
        <v>1374</v>
      </c>
      <c r="K716" s="344">
        <f>IFERROR(Tb_Atualizações[[#This Row],[% EXECUTADO]]/Tb_Atualizações[[#This Row],[% PREVISTO]],"0%")</f>
        <v>1.2551020408163265</v>
      </c>
      <c r="L716" s="31" t="str" cm="1">
        <f t="array" aca="1" ref="L7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16" s="215"/>
      <c r="N716" s="345"/>
      <c r="O716" s="42">
        <f t="shared" si="34"/>
        <v>2025</v>
      </c>
      <c r="P716" s="42" t="str">
        <f t="shared" si="35"/>
        <v>202500030/2025</v>
      </c>
      <c r="Q716" s="42">
        <v>1</v>
      </c>
    </row>
    <row r="717" spans="1:17" ht="30" hidden="1">
      <c r="A717" s="192" t="s">
        <v>247</v>
      </c>
      <c r="B717" s="315" t="str">
        <f>IFERROR(INDEX(Projetos!$B$3:$B$129,MATCH(A717,Projetos!$A$3:$A$129,0))," ")</f>
        <v>Portal de Serviços</v>
      </c>
      <c r="D717" s="214">
        <v>0.86799999999999999</v>
      </c>
      <c r="E717" s="214">
        <v>0.66600000000000004</v>
      </c>
      <c r="F717" s="219">
        <v>45775</v>
      </c>
      <c r="G717" s="220">
        <v>45748</v>
      </c>
      <c r="H717" s="51" t="str">
        <f t="shared" si="33"/>
        <v>02394/202445748</v>
      </c>
      <c r="I717" s="473">
        <f>IFERROR(INDEX(Projetos!$M$2:$M$129,MATCH(Atualizações!A717,Projetos!$A$2:$A$129,0))," ")</f>
        <v>46387</v>
      </c>
      <c r="J717" s="221"/>
      <c r="K717" s="344">
        <f>IFERROR(Tb_Atualizações[[#This Row],[% EXECUTADO]]/Tb_Atualizações[[#This Row],[% PREVISTO]],"0%")</f>
        <v>0.76728110599078347</v>
      </c>
      <c r="L717" s="31" t="str" cm="1">
        <f t="array" aca="1" ref="L7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17" s="215"/>
      <c r="N717" s="345"/>
      <c r="O717" s="42">
        <f t="shared" si="34"/>
        <v>2025</v>
      </c>
      <c r="P717" s="42" t="str">
        <f t="shared" si="35"/>
        <v>202502394/2024</v>
      </c>
      <c r="Q717" s="42">
        <v>1</v>
      </c>
    </row>
    <row r="718" spans="1:17" ht="30" hidden="1">
      <c r="A718" s="192" t="s">
        <v>416</v>
      </c>
      <c r="B718" s="315" t="str">
        <f>IFERROR(INDEX(Projetos!$B$3:$B$129,MATCH(A718,Projetos!$A$3:$A$129,0))," ")</f>
        <v>Conecta</v>
      </c>
      <c r="D718" s="214">
        <v>0.60299999999999998</v>
      </c>
      <c r="E718" s="214">
        <v>0.47799999999999998</v>
      </c>
      <c r="F718" s="219">
        <v>45776</v>
      </c>
      <c r="G718" s="220">
        <v>45748</v>
      </c>
      <c r="H718" s="51" t="str">
        <f t="shared" si="33"/>
        <v>05578/202445748</v>
      </c>
      <c r="I718" s="38">
        <f>IFERROR(INDEX(Projetos!$M$2:$M$129,MATCH(Atualizações!A717,Projetos!$A$2:$A$129,0))," ")</f>
        <v>46387</v>
      </c>
      <c r="J718" s="221"/>
      <c r="K718" s="344">
        <f>IFERROR(Tb_Atualizações[[#This Row],[% EXECUTADO]]/Tb_Atualizações[[#This Row],[% PREVISTO]],"0%")</f>
        <v>0.79270315091210608</v>
      </c>
      <c r="L718" s="31" t="str" cm="1">
        <f t="array" aca="1" ref="L7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18" s="215"/>
      <c r="N718" s="345"/>
      <c r="O718" s="42">
        <f t="shared" si="34"/>
        <v>2025</v>
      </c>
      <c r="P718" s="42" t="str">
        <f t="shared" si="35"/>
        <v>202505578/2024</v>
      </c>
      <c r="Q718" s="42">
        <v>1</v>
      </c>
    </row>
    <row r="719" spans="1:17" ht="345" hidden="1">
      <c r="A719" s="192" t="s">
        <v>517</v>
      </c>
      <c r="B719" s="315" t="str">
        <f>IFERROR(INDEX(Projetos!$B$3:$B$129,MATCH(A719,Projetos!$A$3:$A$129,0))," ")</f>
        <v>Domicílio Judicial Eletrônico - Melhorias Evolutivas</v>
      </c>
      <c r="D719" s="214">
        <v>0.97099999999999997</v>
      </c>
      <c r="E719" s="214">
        <v>0.96899999999999997</v>
      </c>
      <c r="F719" s="219">
        <v>45776</v>
      </c>
      <c r="G719" s="220">
        <v>45748</v>
      </c>
      <c r="H719" s="51" t="str">
        <f t="shared" si="33"/>
        <v>09445/202345748</v>
      </c>
      <c r="I719" s="38" t="str">
        <f>IFERROR(INDEX(Projetos!$M$2:$M$129,MATCH(Atualizações!A718,Projetos!$A$2:$A$129,0))," ")</f>
        <v>31/12/2026</v>
      </c>
      <c r="J719" s="221" t="s">
        <v>1375</v>
      </c>
      <c r="K719" s="344">
        <f>IFERROR(Tb_Atualizações[[#This Row],[% EXECUTADO]]/Tb_Atualizações[[#This Row],[% PREVISTO]],"0%")</f>
        <v>0.99794026776519051</v>
      </c>
      <c r="L719" s="31" t="str" cm="1">
        <f t="array" aca="1" ref="L7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19" s="215"/>
      <c r="N719" s="345"/>
      <c r="O719" s="42">
        <f t="shared" si="34"/>
        <v>2025</v>
      </c>
      <c r="P719" s="42" t="str">
        <f t="shared" si="35"/>
        <v>202509445/2023</v>
      </c>
      <c r="Q719" s="42">
        <v>1</v>
      </c>
    </row>
    <row r="720" spans="1:17" ht="30" hidden="1">
      <c r="A720" s="192" t="s">
        <v>549</v>
      </c>
      <c r="B720" s="315" t="str">
        <f>IFERROR(INDEX(Projetos!$B$3:$B$129,MATCH(A720,Projetos!$A$3:$A$129,0))," ")</f>
        <v>Fluxo Nacional Automatizado das Execuções Fiscais (EFIN)</v>
      </c>
      <c r="D720" s="214">
        <v>0.93400000000000005</v>
      </c>
      <c r="E720" s="214">
        <v>0.77900000000000003</v>
      </c>
      <c r="F720" s="219">
        <v>45776</v>
      </c>
      <c r="G720" s="220">
        <v>45748</v>
      </c>
      <c r="H720" s="51" t="str">
        <f t="shared" si="33"/>
        <v>09796/202445748</v>
      </c>
      <c r="I720" s="38">
        <f>IFERROR(INDEX(Projetos!$M$2:$M$129,MATCH(Atualizações!A719,Projetos!$A$2:$A$129,0))," ")</f>
        <v>46203</v>
      </c>
      <c r="J720" s="221"/>
      <c r="K720" s="344">
        <f>IFERROR(Tb_Atualizações[[#This Row],[% EXECUTADO]]/Tb_Atualizações[[#This Row],[% PREVISTO]],"0%")</f>
        <v>0.83404710920770875</v>
      </c>
      <c r="L720" s="31" t="str" cm="1">
        <f t="array" aca="1" ref="L7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20" s="215"/>
      <c r="N720" s="345"/>
      <c r="O720" s="42">
        <f t="shared" si="34"/>
        <v>2025</v>
      </c>
      <c r="P720" s="42" t="str">
        <f t="shared" si="35"/>
        <v>202509796/2024</v>
      </c>
      <c r="Q720" s="42">
        <v>1</v>
      </c>
    </row>
    <row r="721" spans="1:17" ht="15" hidden="1">
      <c r="A721" s="192" t="s">
        <v>257</v>
      </c>
      <c r="B721" s="315" t="str">
        <f>IFERROR(INDEX(Projetos!$B$3:$B$129,MATCH(A721,Projetos!$A$3:$A$129,0))," ")</f>
        <v>SisPreq – Sistema de Precatórios e Requisições de Pequeno Valor</v>
      </c>
      <c r="D721" s="214">
        <v>0.60699999999999998</v>
      </c>
      <c r="E721" s="214">
        <v>0.57299999999999995</v>
      </c>
      <c r="F721" s="219">
        <v>45776</v>
      </c>
      <c r="G721" s="220">
        <v>45748</v>
      </c>
      <c r="H721" s="51" t="str">
        <f t="shared" si="33"/>
        <v>02465/202445748</v>
      </c>
      <c r="I721" s="38">
        <f>IFERROR(INDEX(Projetos!$M$2:$M$129,MATCH(Atualizações!A720,Projetos!$A$2:$A$129,0))," ")</f>
        <v>46226</v>
      </c>
      <c r="J721" s="221"/>
      <c r="K721" s="344">
        <f>IFERROR(Tb_Atualizações[[#This Row],[% EXECUTADO]]/Tb_Atualizações[[#This Row],[% PREVISTO]],"0%")</f>
        <v>0.94398682042833604</v>
      </c>
      <c r="L721" s="31" t="str" cm="1">
        <f t="array" aca="1" ref="L7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21" s="215"/>
      <c r="N721" s="345"/>
      <c r="O721" s="42">
        <f t="shared" si="34"/>
        <v>2025</v>
      </c>
      <c r="P721" s="42" t="str">
        <f t="shared" si="35"/>
        <v>202502465/2024</v>
      </c>
      <c r="Q721" s="42">
        <v>1</v>
      </c>
    </row>
    <row r="722" spans="1:17" ht="30" hidden="1">
      <c r="A722" s="192" t="s">
        <v>431</v>
      </c>
      <c r="B722" s="315" t="str">
        <f>IFERROR(INDEX(Projetos!$B$3:$B$129,MATCH(A722,Projetos!$A$3:$A$129,0))," ")</f>
        <v>Sniper BC</v>
      </c>
      <c r="D722" s="214">
        <v>0.30299999999999999</v>
      </c>
      <c r="E722" s="214">
        <v>0.24099999999999999</v>
      </c>
      <c r="F722" s="219">
        <v>45776</v>
      </c>
      <c r="G722" s="220">
        <v>45748</v>
      </c>
      <c r="H722" s="51" t="str">
        <f t="shared" si="33"/>
        <v>06826/202445748</v>
      </c>
      <c r="I722" s="38" t="str">
        <f>IFERROR(INDEX(Projetos!$M$2:$M$129,MATCH(Atualizações!A721,Projetos!$A$2:$A$129,0))," ")</f>
        <v>15/12/2026</v>
      </c>
      <c r="J722" s="221"/>
      <c r="K722" s="344">
        <f>IFERROR(Tb_Atualizações[[#This Row],[% EXECUTADO]]/Tb_Atualizações[[#This Row],[% PREVISTO]],"0%")</f>
        <v>0.79537953795379535</v>
      </c>
      <c r="L722" s="31" t="str" cm="1">
        <f t="array" aca="1" ref="L7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22" s="215"/>
      <c r="N722" s="345"/>
      <c r="O722" s="42">
        <f t="shared" si="34"/>
        <v>2025</v>
      </c>
      <c r="P722" s="42" t="str">
        <f t="shared" si="35"/>
        <v>202506826/2024</v>
      </c>
      <c r="Q722" s="42">
        <v>1</v>
      </c>
    </row>
    <row r="723" spans="1:17" ht="15" hidden="1">
      <c r="A723" s="192" t="s">
        <v>773</v>
      </c>
      <c r="B723" s="315" t="str">
        <f>IFERROR(INDEX(Projetos!$B$3:$B$129,MATCH(A723,Projetos!$A$3:$A$129,0))," ")</f>
        <v>API de Pessoas</v>
      </c>
      <c r="D723" s="214">
        <v>0.51100000000000001</v>
      </c>
      <c r="E723" s="214">
        <v>0.44</v>
      </c>
      <c r="F723" s="219">
        <v>45777</v>
      </c>
      <c r="G723" s="220">
        <v>45748</v>
      </c>
      <c r="H723" s="51" t="str">
        <f t="shared" ref="H723:H786" si="36">A723&amp;G723</f>
        <v>17372/2024 45748</v>
      </c>
      <c r="I723" s="473">
        <f>IFERROR(INDEX(Projetos!$M$2:$M$129,MATCH(Atualizações!A723,Projetos!$A$2:$A$129,0))," ")</f>
        <v>46371</v>
      </c>
      <c r="J723" s="221" t="s">
        <v>1376</v>
      </c>
      <c r="K723" s="344">
        <f>IFERROR(Tb_Atualizações[[#This Row],[% EXECUTADO]]/Tb_Atualizações[[#This Row],[% PREVISTO]],"0%")</f>
        <v>0.86105675146771032</v>
      </c>
      <c r="L723" s="31" t="str" cm="1">
        <f t="array" aca="1" ref="L7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23" s="215"/>
      <c r="N723" s="345"/>
      <c r="O723" s="42">
        <f t="shared" ref="O723:O786" si="37">YEAR(F723)</f>
        <v>2025</v>
      </c>
      <c r="P723" s="42" t="str">
        <f t="shared" ref="P723:P786" si="38">O723&amp;A723</f>
        <v xml:space="preserve">202517372/2024 </v>
      </c>
      <c r="Q723" s="42">
        <v>1</v>
      </c>
    </row>
    <row r="724" spans="1:17" ht="15" hidden="1">
      <c r="A724" s="192" t="s">
        <v>644</v>
      </c>
      <c r="B724" s="315" t="str">
        <f>IFERROR(INDEX(Projetos!$B$3:$B$129,MATCH(A724,Projetos!$A$3:$A$129,0))," ")</f>
        <v>BNP/Pangea</v>
      </c>
      <c r="D724" s="214">
        <v>0.65600000000000003</v>
      </c>
      <c r="E724" s="214">
        <v>0.66600000000000004</v>
      </c>
      <c r="F724" s="219">
        <v>45777</v>
      </c>
      <c r="G724" s="220">
        <v>45748</v>
      </c>
      <c r="H724" s="51" t="str">
        <f t="shared" si="36"/>
        <v>11645/202245748</v>
      </c>
      <c r="I724" s="38" t="str">
        <f>IFERROR(INDEX(Projetos!$M$2:$M$129,MATCH(Atualizações!A724,Projetos!$A$2:$A$129,0))," ")</f>
        <v>23/12/2026</v>
      </c>
      <c r="J724" s="221"/>
      <c r="K724" s="344">
        <f>IFERROR(Tb_Atualizações[[#This Row],[% EXECUTADO]]/Tb_Atualizações[[#This Row],[% PREVISTO]],"0%")</f>
        <v>1.0152439024390243</v>
      </c>
      <c r="L724" s="31" t="str" cm="1">
        <f t="array" aca="1" ref="L7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24" s="215"/>
      <c r="N724" s="345"/>
      <c r="O724" s="42">
        <f t="shared" si="37"/>
        <v>2025</v>
      </c>
      <c r="P724" s="42" t="str">
        <f t="shared" si="38"/>
        <v>202511645/2022</v>
      </c>
      <c r="Q724" s="42">
        <v>1</v>
      </c>
    </row>
    <row r="725" spans="1:17" ht="120" hidden="1">
      <c r="A725" s="192" t="s">
        <v>539</v>
      </c>
      <c r="B725" s="315" t="str">
        <f>IFERROR(INDEX(Projetos!$B$3:$B$129,MATCH(A725,Projetos!$A$3:$A$129,0))," ")</f>
        <v>Desenvolvimento do módulo de Sessão de Julgamento (PDPJ-Br)</v>
      </c>
      <c r="D725" s="214">
        <v>0.77100000000000002</v>
      </c>
      <c r="E725" s="214">
        <v>0.69499999999999995</v>
      </c>
      <c r="F725" s="219">
        <v>45777</v>
      </c>
      <c r="G725" s="220">
        <v>45748</v>
      </c>
      <c r="H725" s="51" t="str">
        <f t="shared" si="36"/>
        <v>09630/202445748</v>
      </c>
      <c r="I725" s="473">
        <f>IFERROR(INDEX(Projetos!$M$2:$M$129,MATCH(Atualizações!A725,Projetos!$A$2:$A$129,0))," ")</f>
        <v>46387</v>
      </c>
      <c r="J725" s="221" t="s">
        <v>1377</v>
      </c>
      <c r="K725" s="344">
        <f>IFERROR(Tb_Atualizações[[#This Row],[% EXECUTADO]]/Tb_Atualizações[[#This Row],[% PREVISTO]],"0%")</f>
        <v>0.90142671854734102</v>
      </c>
      <c r="L725" s="31" t="str" cm="1">
        <f t="array" aca="1" ref="L7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25" s="215"/>
      <c r="N725" s="345"/>
      <c r="O725" s="42">
        <f t="shared" si="37"/>
        <v>2025</v>
      </c>
      <c r="P725" s="42" t="str">
        <f t="shared" si="38"/>
        <v>202509630/2024</v>
      </c>
      <c r="Q725" s="42">
        <v>1</v>
      </c>
    </row>
    <row r="726" spans="1:17" ht="15" hidden="1">
      <c r="A726" s="192" t="s">
        <v>358</v>
      </c>
      <c r="B726" s="315" t="str">
        <f>IFERROR(INDEX(Projetos!$B$3:$B$129,MATCH(A726,Projetos!$A$3:$A$129,0))," ")</f>
        <v>Prevjud - Automação de Processos Previdenciários - Justiça 4.0</v>
      </c>
      <c r="D726" s="214">
        <v>1</v>
      </c>
      <c r="E726" s="214">
        <v>0.96599999999999997</v>
      </c>
      <c r="F726" s="219">
        <v>45777</v>
      </c>
      <c r="G726" s="220">
        <v>45748</v>
      </c>
      <c r="H726" s="51" t="str">
        <f t="shared" si="36"/>
        <v>03558/202145748</v>
      </c>
      <c r="I726" s="38">
        <f>IFERROR(INDEX(Projetos!$M$2:$M$129,MATCH(Atualizações!A725,Projetos!$A$2:$A$129,0))," ")</f>
        <v>46387</v>
      </c>
      <c r="J726" s="221"/>
      <c r="K726" s="344">
        <f>IFERROR(Tb_Atualizações[[#This Row],[% EXECUTADO]]/Tb_Atualizações[[#This Row],[% PREVISTO]],"0%")</f>
        <v>0.96599999999999997</v>
      </c>
      <c r="L726" s="31" t="str" cm="1">
        <f t="array" aca="1" ref="L7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26" s="215"/>
      <c r="N726" s="345"/>
      <c r="O726" s="42">
        <f t="shared" si="37"/>
        <v>2025</v>
      </c>
      <c r="P726" s="42" t="str">
        <f t="shared" si="38"/>
        <v>202503558/2021</v>
      </c>
      <c r="Q726" s="42">
        <v>1</v>
      </c>
    </row>
    <row r="727" spans="1:17" ht="15" hidden="1">
      <c r="A727" s="192" t="s">
        <v>638</v>
      </c>
      <c r="B727" s="315" t="str">
        <f>IFERROR(INDEX(Projetos!$B$3:$B$129,MATCH(A727,Projetos!$A$3:$A$129,0))," ")</f>
        <v>Sisperjud</v>
      </c>
      <c r="D727" s="214">
        <v>0.96699999999999997</v>
      </c>
      <c r="E727" s="214">
        <v>0.83499999999999996</v>
      </c>
      <c r="F727" s="219">
        <v>45777</v>
      </c>
      <c r="G727" s="220">
        <v>45748</v>
      </c>
      <c r="H727" s="51" t="str">
        <f t="shared" si="36"/>
        <v>11644/202245748</v>
      </c>
      <c r="I727" s="38" t="str">
        <f>IFERROR(INDEX(Projetos!$M$2:$M$129,MATCH(Atualizações!A726,Projetos!$A$2:$A$129,0))," ")</f>
        <v>31/03/2026</v>
      </c>
      <c r="J727" s="221"/>
      <c r="K727" s="344">
        <f>IFERROR(Tb_Atualizações[[#This Row],[% EXECUTADO]]/Tb_Atualizações[[#This Row],[% PREVISTO]],"0%")</f>
        <v>0.86349534643226478</v>
      </c>
      <c r="L727" s="31" t="str" cm="1">
        <f t="array" aca="1" ref="L7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27" s="215"/>
      <c r="N727" s="345"/>
      <c r="O727" s="42">
        <f t="shared" si="37"/>
        <v>2025</v>
      </c>
      <c r="P727" s="42" t="str">
        <f t="shared" si="38"/>
        <v>202511644/2022</v>
      </c>
      <c r="Q727" s="42">
        <v>1</v>
      </c>
    </row>
    <row r="728" spans="1:17" ht="30" hidden="1">
      <c r="A728" s="192" t="s">
        <v>273</v>
      </c>
      <c r="B728" s="315" t="str">
        <f>IFERROR(INDEX(Projetos!$B$3:$B$129,MATCH(A728,Projetos!$A$3:$A$129,0))," ")</f>
        <v>SNA – Novo Sistema Nacional de Adoção e Acolhimento</v>
      </c>
      <c r="D728" s="214">
        <v>0.65700000000000003</v>
      </c>
      <c r="E728" s="214">
        <v>0.26200000000000001</v>
      </c>
      <c r="F728" s="219">
        <v>45777</v>
      </c>
      <c r="G728" s="220">
        <v>45748</v>
      </c>
      <c r="H728" s="51" t="str">
        <f t="shared" si="36"/>
        <v>02483/202345748</v>
      </c>
      <c r="I728" s="38">
        <f>IFERROR(INDEX(Projetos!$M$2:$M$129,MATCH(Atualizações!A727,Projetos!$A$2:$A$129,0))," ")</f>
        <v>46352</v>
      </c>
      <c r="J728" s="221"/>
      <c r="K728" s="344">
        <f>IFERROR(Tb_Atualizações[[#This Row],[% EXECUTADO]]/Tb_Atualizações[[#This Row],[% PREVISTO]],"0%")</f>
        <v>0.39878234398782342</v>
      </c>
      <c r="L728" s="31" t="str" cm="1">
        <f t="array" aca="1" ref="L7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28" s="215"/>
      <c r="N728" s="345"/>
      <c r="O728" s="42">
        <f t="shared" si="37"/>
        <v>2025</v>
      </c>
      <c r="P728" s="42" t="str">
        <f t="shared" si="38"/>
        <v>202502483/2023</v>
      </c>
      <c r="Q728" s="42">
        <v>1</v>
      </c>
    </row>
    <row r="729" spans="1:17" ht="15" hidden="1">
      <c r="A729" s="192" t="s">
        <v>396</v>
      </c>
      <c r="B729" s="315" t="str">
        <f>IFERROR(INDEX(Projetos!$B$3:$B$129,MATCH(A729,Projetos!$A$3:$A$129,0))," ")</f>
        <v>CODEX - Melhorias Evolutivas e Corretivas</v>
      </c>
      <c r="D729" s="214">
        <v>0.98099999999999998</v>
      </c>
      <c r="E729" s="214">
        <v>0.91500000000000004</v>
      </c>
      <c r="F729" s="219">
        <v>45782</v>
      </c>
      <c r="G729" s="220">
        <v>45748</v>
      </c>
      <c r="H729" s="51" t="str">
        <f t="shared" si="36"/>
        <v>04751/202245748</v>
      </c>
      <c r="I729" s="473">
        <f>IFERROR(INDEX(Projetos!$M$2:$M$129,MATCH(Atualizações!A729,Projetos!$A$2:$A$129,0))," ")</f>
        <v>46387</v>
      </c>
      <c r="J729" s="221"/>
      <c r="K729" s="344">
        <f>IFERROR(Tb_Atualizações[[#This Row],[% EXECUTADO]]/Tb_Atualizações[[#This Row],[% PREVISTO]],"0%")</f>
        <v>0.93272171253822633</v>
      </c>
      <c r="L729" s="31" t="str" cm="1">
        <f t="array" aca="1" ref="L7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29" s="215"/>
      <c r="N729" s="345"/>
      <c r="O729" s="42">
        <f t="shared" si="37"/>
        <v>2025</v>
      </c>
      <c r="P729" s="42" t="str">
        <f t="shared" si="38"/>
        <v>202504751/2022</v>
      </c>
      <c r="Q729" s="42">
        <v>1</v>
      </c>
    </row>
    <row r="730" spans="1:17" ht="30" hidden="1">
      <c r="A730" s="192" t="s">
        <v>675</v>
      </c>
      <c r="B730" s="315" t="str">
        <f>IFERROR(INDEX(Projetos!$B$3:$B$129,MATCH(A730,Projetos!$A$3:$A$129,0))," ")</f>
        <v>Pesquisa IA 2024 - Mapeamento dos projetos de Inteligência Artificial em desenvolvimento pelos tribunais brasileiros</v>
      </c>
      <c r="D730" s="214">
        <v>0.99099999999999999</v>
      </c>
      <c r="E730" s="214">
        <v>0.97</v>
      </c>
      <c r="F730" s="219">
        <v>45782</v>
      </c>
      <c r="G730" s="220">
        <v>45748</v>
      </c>
      <c r="H730" s="51" t="str">
        <f t="shared" si="36"/>
        <v>11988/202445748</v>
      </c>
      <c r="I730" s="38">
        <f>IFERROR(INDEX(Projetos!$M$2:$M$129,MATCH(Atualizações!A729,Projetos!$A$2:$A$129,0))," ")</f>
        <v>46387</v>
      </c>
      <c r="J730" s="221" t="s">
        <v>1378</v>
      </c>
      <c r="K730" s="344">
        <f>IFERROR(Tb_Atualizações[[#This Row],[% EXECUTADO]]/Tb_Atualizações[[#This Row],[% PREVISTO]],"0%")</f>
        <v>0.97880928355196772</v>
      </c>
      <c r="L730" s="31" t="str" cm="1">
        <f t="array" aca="1" ref="L7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0" s="215"/>
      <c r="N730" s="345"/>
      <c r="O730" s="42">
        <f t="shared" si="37"/>
        <v>2025</v>
      </c>
      <c r="P730" s="42" t="str">
        <f t="shared" si="38"/>
        <v>202511988/2024</v>
      </c>
      <c r="Q730" s="42">
        <v>1</v>
      </c>
    </row>
    <row r="731" spans="1:17" ht="15" hidden="1">
      <c r="A731" s="192" t="s">
        <v>722</v>
      </c>
      <c r="B731" s="315" t="str">
        <f>IFERROR(INDEX(Projetos!$B$3:$B$129,MATCH(A731,Projetos!$A$3:$A$129,0))," ")</f>
        <v>Serviços Estruturantes - Melhorias Evolutivas e Corretivas</v>
      </c>
      <c r="D731" s="214">
        <v>0.91600000000000004</v>
      </c>
      <c r="E731" s="214">
        <v>0.90300000000000002</v>
      </c>
      <c r="F731" s="219">
        <v>45782</v>
      </c>
      <c r="G731" s="220">
        <v>45748</v>
      </c>
      <c r="H731" s="51" t="str">
        <f t="shared" si="36"/>
        <v>14965/202445748</v>
      </c>
      <c r="I731" s="473">
        <f>IFERROR(INDEX(Projetos!$M$2:$M$129,MATCH(Atualizações!A731,Projetos!$A$2:$A$129,0))," ")</f>
        <v>46387</v>
      </c>
      <c r="J731" s="221"/>
      <c r="K731" s="344">
        <f>IFERROR(Tb_Atualizações[[#This Row],[% EXECUTADO]]/Tb_Atualizações[[#This Row],[% PREVISTO]],"0%")</f>
        <v>0.98580786026200873</v>
      </c>
      <c r="L731" s="31" t="str" cm="1">
        <f t="array" aca="1" ref="L7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1" s="215"/>
      <c r="N731" s="345"/>
      <c r="O731" s="42">
        <f t="shared" si="37"/>
        <v>2025</v>
      </c>
      <c r="P731" s="42" t="str">
        <f t="shared" si="38"/>
        <v>202514965/2024</v>
      </c>
      <c r="Q731" s="42">
        <v>1</v>
      </c>
    </row>
    <row r="732" spans="1:17" ht="15" hidden="1">
      <c r="A732" s="192" t="s">
        <v>458</v>
      </c>
      <c r="B732" s="315" t="str">
        <f>IFERROR(INDEX(Projetos!$B$3:$B$129,MATCH(A732,Projetos!$A$3:$A$129,0))," ")</f>
        <v>SNGB - Melhorias evolutivas</v>
      </c>
      <c r="D732" s="214">
        <v>0.75</v>
      </c>
      <c r="E732" s="214">
        <v>0.749</v>
      </c>
      <c r="F732" s="219">
        <v>45782</v>
      </c>
      <c r="G732" s="220">
        <v>45748</v>
      </c>
      <c r="H732" s="51" t="str">
        <f t="shared" si="36"/>
        <v>08370/202445748</v>
      </c>
      <c r="I732" s="473">
        <f>IFERROR(INDEX(Projetos!$M$2:$M$129,MATCH(Atualizações!A732,Projetos!$A$2:$A$129,0))," ")</f>
        <v>46101</v>
      </c>
      <c r="J732" s="221"/>
      <c r="K732" s="344">
        <f>IFERROR(Tb_Atualizações[[#This Row],[% EXECUTADO]]/Tb_Atualizações[[#This Row],[% PREVISTO]],"0%")</f>
        <v>0.9986666666666667</v>
      </c>
      <c r="L732" s="31" t="str" cm="1">
        <f t="array" aca="1" ref="L7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2" s="215"/>
      <c r="N732" s="345"/>
      <c r="O732" s="42">
        <f t="shared" si="37"/>
        <v>2025</v>
      </c>
      <c r="P732" s="42" t="str">
        <f t="shared" si="38"/>
        <v>202508370/2024</v>
      </c>
      <c r="Q732" s="42">
        <v>1</v>
      </c>
    </row>
    <row r="733" spans="1:17" ht="15" hidden="1">
      <c r="A733" s="192" t="s">
        <v>517</v>
      </c>
      <c r="B733" s="315" t="str">
        <f>IFERROR(INDEX(Projetos!$B$3:$B$129,MATCH(A733,Projetos!$A$3:$A$129,0))," ")</f>
        <v>Domicílio Judicial Eletrônico - Melhorias Evolutivas</v>
      </c>
      <c r="D733" s="214">
        <v>0.99199999999999999</v>
      </c>
      <c r="E733" s="214">
        <v>0.96899999999999997</v>
      </c>
      <c r="F733" s="219">
        <v>45792</v>
      </c>
      <c r="G733" s="220">
        <v>45778</v>
      </c>
      <c r="H733" s="51" t="str">
        <f t="shared" si="36"/>
        <v>09445/202345778</v>
      </c>
      <c r="I733" s="38">
        <f>IFERROR(INDEX(Projetos!$M$2:$M$129,MATCH(Atualizações!A732,Projetos!$A$2:$A$129,0))," ")</f>
        <v>46101</v>
      </c>
      <c r="J733" s="221"/>
      <c r="K733" s="344">
        <f>IFERROR(Tb_Atualizações[[#This Row],[% EXECUTADO]]/Tb_Atualizações[[#This Row],[% PREVISTO]],"0%")</f>
        <v>0.97681451612903225</v>
      </c>
      <c r="L733" s="31" t="str" cm="1">
        <f t="array" aca="1" ref="L7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3" s="215"/>
      <c r="N733" s="345"/>
      <c r="O733" s="42">
        <f t="shared" si="37"/>
        <v>2025</v>
      </c>
      <c r="P733" s="42" t="str">
        <f t="shared" si="38"/>
        <v>202509445/2023</v>
      </c>
      <c r="Q733" s="42">
        <v>1</v>
      </c>
    </row>
    <row r="734" spans="1:17" ht="15" hidden="1">
      <c r="A734" s="192" t="s">
        <v>384</v>
      </c>
      <c r="B734" s="315" t="str">
        <f>IFERROR(INDEX(Projetos!$B$3:$B$129,MATCH(A734,Projetos!$A$3:$A$129,0))," ")</f>
        <v>Integra - Serviço de Monitoramento de Atos do CNJ</v>
      </c>
      <c r="D734" s="214">
        <v>0.76</v>
      </c>
      <c r="E734" s="214">
        <v>0.73</v>
      </c>
      <c r="F734" s="219">
        <v>45792</v>
      </c>
      <c r="G734" s="220">
        <v>45778</v>
      </c>
      <c r="H734" s="51" t="str">
        <f t="shared" si="36"/>
        <v>04137/202445778</v>
      </c>
      <c r="I734" s="38">
        <f>IFERROR(INDEX(Projetos!$M$2:$M$129,MATCH(Atualizações!A733,Projetos!$A$2:$A$129,0))," ")</f>
        <v>46203</v>
      </c>
      <c r="J734" s="221"/>
      <c r="K734" s="344">
        <f>IFERROR(Tb_Atualizações[[#This Row],[% EXECUTADO]]/Tb_Atualizações[[#This Row],[% PREVISTO]],"0%")</f>
        <v>0.96052631578947367</v>
      </c>
      <c r="L734" s="31" t="str" cm="1">
        <f t="array" aca="1" ref="L7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4" s="215"/>
      <c r="N734" s="345"/>
      <c r="O734" s="42">
        <f t="shared" si="37"/>
        <v>2025</v>
      </c>
      <c r="P734" s="42" t="str">
        <f t="shared" si="38"/>
        <v>202504137/2024</v>
      </c>
      <c r="Q734" s="42">
        <v>1</v>
      </c>
    </row>
    <row r="735" spans="1:17" ht="45" hidden="1">
      <c r="A735" s="192" t="s">
        <v>70</v>
      </c>
      <c r="B735" s="315" t="str">
        <f>IFERROR(INDEX(Projetos!$B$3:$B$129,MATCH(A735,Projetos!$A$3:$A$129,0))," ")</f>
        <v>Mapa Nacional do Tribunal do Júri</v>
      </c>
      <c r="D735" s="214">
        <v>0.77</v>
      </c>
      <c r="E735" s="214">
        <v>0.7</v>
      </c>
      <c r="F735" s="219">
        <v>45792</v>
      </c>
      <c r="G735" s="220">
        <v>45778</v>
      </c>
      <c r="H735" s="51" t="str">
        <f t="shared" si="36"/>
        <v>00139/202445778</v>
      </c>
      <c r="I735" s="38">
        <f>IFERROR(INDEX(Projetos!$M$2:$M$129,MATCH(Atualizações!A734,Projetos!$A$2:$A$129,0))," ")</f>
        <v>46285</v>
      </c>
      <c r="J735" s="221" t="s">
        <v>1379</v>
      </c>
      <c r="K735" s="344">
        <f>IFERROR(Tb_Atualizações[[#This Row],[% EXECUTADO]]/Tb_Atualizações[[#This Row],[% PREVISTO]],"0%")</f>
        <v>0.90909090909090906</v>
      </c>
      <c r="L735" s="31" t="str" cm="1">
        <f t="array" aca="1" ref="L7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35" s="215"/>
      <c r="N735" s="345"/>
      <c r="O735" s="42">
        <f t="shared" si="37"/>
        <v>2025</v>
      </c>
      <c r="P735" s="42" t="str">
        <f t="shared" si="38"/>
        <v>202500139/2024</v>
      </c>
      <c r="Q735" s="42">
        <v>1</v>
      </c>
    </row>
    <row r="736" spans="1:17" ht="15" hidden="1">
      <c r="A736" s="370" t="s">
        <v>629</v>
      </c>
      <c r="B736" s="315" t="str">
        <f>IFERROR(INDEX(Projetos!$B$3:$B$129,MATCH(A736,Projetos!$A$3:$A$129,0))," ")</f>
        <v>2º Edital da 7ª Edição da Série Justiça Pesquisa - Exercício 2024/2025</v>
      </c>
      <c r="D736" s="214">
        <v>0.05</v>
      </c>
      <c r="E736" s="214">
        <v>0.05</v>
      </c>
      <c r="F736" s="637">
        <v>45793</v>
      </c>
      <c r="G736" s="637">
        <v>45778</v>
      </c>
      <c r="H736" s="51" t="str">
        <f t="shared" si="36"/>
        <v>11449/202445778</v>
      </c>
      <c r="I736" s="38">
        <f>IFERROR(INDEX(Projetos!$M$2:$M$129,MATCH(Atualizações!A735,Projetos!$A$2:$A$129,0))," ")</f>
        <v>46658</v>
      </c>
      <c r="J736" s="221"/>
      <c r="K736" s="344">
        <f>IFERROR(Tb_Atualizações[[#This Row],[% EXECUTADO]]/Tb_Atualizações[[#This Row],[% PREVISTO]],"0%")</f>
        <v>1</v>
      </c>
      <c r="L736" s="31" t="str" cm="1">
        <f t="array" aca="1" ref="L7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6" s="215"/>
      <c r="N736" s="345"/>
      <c r="O736" s="42">
        <f t="shared" si="37"/>
        <v>2025</v>
      </c>
      <c r="P736" s="42" t="str">
        <f t="shared" si="38"/>
        <v>202511449/2024</v>
      </c>
      <c r="Q736" s="42">
        <v>1</v>
      </c>
    </row>
    <row r="737" spans="1:17" ht="15" hidden="1">
      <c r="A737" s="370" t="s">
        <v>410</v>
      </c>
      <c r="B737" s="315" t="str">
        <f>IFERROR(INDEX(Projetos!$B$3:$B$129,MATCH(A737,Projetos!$A$3:$A$129,0))," ")</f>
        <v>7ª Edição da Série Justiça Pesquisa - Exercício 2024/2025</v>
      </c>
      <c r="D737" s="214">
        <v>0.27500000000000002</v>
      </c>
      <c r="E737" s="214">
        <v>0.27500000000000002</v>
      </c>
      <c r="F737" s="637">
        <v>45793</v>
      </c>
      <c r="G737" s="637">
        <v>45778</v>
      </c>
      <c r="H737" s="51" t="str">
        <f t="shared" si="36"/>
        <v>05150/202445778</v>
      </c>
      <c r="I737" s="38" t="str">
        <f>IFERROR(INDEX(Projetos!$M$2:$M$129,MATCH(Atualizações!A736,Projetos!$A$2:$A$129,0))," ")</f>
        <v>27/8/2026</v>
      </c>
      <c r="J737" s="221"/>
      <c r="K737" s="344">
        <f>IFERROR(Tb_Atualizações[[#This Row],[% EXECUTADO]]/Tb_Atualizações[[#This Row],[% PREVISTO]],"0%")</f>
        <v>1</v>
      </c>
      <c r="L737" s="31" t="str" cm="1">
        <f t="array" aca="1" ref="L7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7" s="215"/>
      <c r="N737" s="345"/>
      <c r="O737" s="42">
        <f t="shared" si="37"/>
        <v>2025</v>
      </c>
      <c r="P737" s="42" t="str">
        <f t="shared" si="38"/>
        <v>202505150/2024</v>
      </c>
      <c r="Q737" s="42">
        <v>1</v>
      </c>
    </row>
    <row r="738" spans="1:17" ht="15" hidden="1">
      <c r="A738" s="192" t="s">
        <v>523</v>
      </c>
      <c r="B738" s="315" t="str">
        <f>IFERROR(INDEX(Projetos!$B$3:$B$129,MATCH(A738,Projetos!$A$3:$A$129,0))," ")</f>
        <v>Portal Jus BR</v>
      </c>
      <c r="D738" s="214">
        <v>0.84499999999999997</v>
      </c>
      <c r="E738" s="214">
        <v>0.83299999999999996</v>
      </c>
      <c r="F738" s="219">
        <v>45797</v>
      </c>
      <c r="G738" s="220">
        <v>45778</v>
      </c>
      <c r="H738" s="51" t="str">
        <f t="shared" si="36"/>
        <v>09536/202445778</v>
      </c>
      <c r="I738" s="38">
        <f>IFERROR(INDEX(Projetos!$M$2:$M$129,MATCH(Atualizações!A737,Projetos!$A$2:$A$129,0))," ")</f>
        <v>46011</v>
      </c>
      <c r="J738" s="221"/>
      <c r="K738" s="344">
        <f>IFERROR(Tb_Atualizações[[#This Row],[% EXECUTADO]]/Tb_Atualizações[[#This Row],[% PREVISTO]],"0%")</f>
        <v>0.98579881656804735</v>
      </c>
      <c r="L738" s="31" t="str" cm="1">
        <f t="array" aca="1" ref="L7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8" s="215"/>
      <c r="N738" s="345"/>
      <c r="O738" s="42">
        <f t="shared" si="37"/>
        <v>2025</v>
      </c>
      <c r="P738" s="42" t="str">
        <f t="shared" si="38"/>
        <v>202509536/2024</v>
      </c>
      <c r="Q738" s="42">
        <v>1</v>
      </c>
    </row>
    <row r="739" spans="1:17" ht="15" hidden="1">
      <c r="A739" s="192" t="s">
        <v>112</v>
      </c>
      <c r="B739" s="315" t="str">
        <f>IFERROR(INDEX(Projetos!$B$3:$B$129,MATCH(A739,Projetos!$A$3:$A$129,0))," ")</f>
        <v>Programa Nacional de Promoção da Equidade Racial no Poder Judiciário - 2024</v>
      </c>
      <c r="D739" s="214">
        <v>0.62829999999999997</v>
      </c>
      <c r="E739" s="214">
        <v>0.62829999999999997</v>
      </c>
      <c r="F739" s="219">
        <v>45799</v>
      </c>
      <c r="G739" s="220">
        <v>45748</v>
      </c>
      <c r="H739" s="51" t="str">
        <f t="shared" si="36"/>
        <v>00600/202345748</v>
      </c>
      <c r="I739" s="38" t="str">
        <f>IFERROR(INDEX(Projetos!$M$2:$M$129,MATCH(Atualizações!A738,Projetos!$A$2:$A$129,0))," ")</f>
        <v>30/10/2025</v>
      </c>
      <c r="J739" s="221"/>
      <c r="K739" s="344">
        <f>IFERROR(Tb_Atualizações[[#This Row],[% EXECUTADO]]/Tb_Atualizações[[#This Row],[% PREVISTO]],"0%")</f>
        <v>1</v>
      </c>
      <c r="L739" s="31" t="str" cm="1">
        <f t="array" aca="1" ref="L7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39" s="215"/>
      <c r="N739" s="345"/>
      <c r="O739" s="42">
        <f t="shared" si="37"/>
        <v>2025</v>
      </c>
      <c r="P739" s="42" t="str">
        <f t="shared" si="38"/>
        <v>202500600/2023</v>
      </c>
      <c r="Q739" s="42">
        <v>1</v>
      </c>
    </row>
    <row r="740" spans="1:17" ht="15" hidden="1">
      <c r="A740" s="192" t="s">
        <v>539</v>
      </c>
      <c r="B740" s="315" t="str">
        <f>IFERROR(INDEX(Projetos!$B$3:$B$129,MATCH(A740,Projetos!$A$3:$A$129,0))," ")</f>
        <v>Desenvolvimento do módulo de Sessão de Julgamento (PDPJ-Br)</v>
      </c>
      <c r="D740" s="214">
        <v>0.83099999999999996</v>
      </c>
      <c r="E740" s="214">
        <v>0.74</v>
      </c>
      <c r="F740" s="219">
        <v>45799</v>
      </c>
      <c r="G740" s="220">
        <v>45778</v>
      </c>
      <c r="H740" s="51" t="str">
        <f t="shared" si="36"/>
        <v>09630/202445778</v>
      </c>
      <c r="I740" s="473">
        <f>IFERROR(INDEX(Projetos!$M$2:$M$129,MATCH(Atualizações!A740,Projetos!$A$2:$A$129,0))," ")</f>
        <v>46387</v>
      </c>
      <c r="J740" s="221"/>
      <c r="K740" s="344">
        <f>IFERROR(Tb_Atualizações[[#This Row],[% EXECUTADO]]/Tb_Atualizações[[#This Row],[% PREVISTO]],"0%")</f>
        <v>0.89049338146811075</v>
      </c>
      <c r="L740" s="31" t="str" cm="1">
        <f t="array" aca="1" ref="L7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40" s="215"/>
      <c r="N740" s="345"/>
      <c r="O740" s="42">
        <f t="shared" si="37"/>
        <v>2025</v>
      </c>
      <c r="P740" s="42" t="str">
        <f t="shared" si="38"/>
        <v>202509630/2024</v>
      </c>
      <c r="Q740" s="42">
        <v>1</v>
      </c>
    </row>
    <row r="741" spans="1:17" ht="15" hidden="1">
      <c r="A741" s="192" t="s">
        <v>559</v>
      </c>
      <c r="B741" s="315" t="str">
        <f>IFERROR(INDEX(Projetos!$B$3:$B$129,MATCH(A741,Projetos!$A$3:$A$129,0))," ")</f>
        <v>Fonajus itinerante</v>
      </c>
      <c r="D741" s="214">
        <v>0.87</v>
      </c>
      <c r="E741" s="214">
        <v>0.87</v>
      </c>
      <c r="F741" s="219">
        <v>45800</v>
      </c>
      <c r="G741" s="220">
        <v>45778</v>
      </c>
      <c r="H741" s="51" t="str">
        <f t="shared" si="36"/>
        <v>10101/202445778</v>
      </c>
      <c r="I741" s="38">
        <f>IFERROR(INDEX(Projetos!$M$2:$M$129,MATCH(Atualizações!A740,Projetos!$A$2:$A$129,0))," ")</f>
        <v>46387</v>
      </c>
      <c r="J741" s="221"/>
      <c r="K741" s="344">
        <f>IFERROR(Tb_Atualizações[[#This Row],[% EXECUTADO]]/Tb_Atualizações[[#This Row],[% PREVISTO]],"0%")</f>
        <v>1</v>
      </c>
      <c r="L741" s="31" t="str" cm="1">
        <f t="array" aca="1" ref="L7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1" s="215"/>
      <c r="N741" s="345"/>
      <c r="O741" s="42">
        <f t="shared" si="37"/>
        <v>2025</v>
      </c>
      <c r="P741" s="42" t="str">
        <f t="shared" si="38"/>
        <v>202510101/2024</v>
      </c>
      <c r="Q741" s="42">
        <v>1</v>
      </c>
    </row>
    <row r="742" spans="1:17" ht="15" hidden="1">
      <c r="A742" s="192" t="s">
        <v>690</v>
      </c>
      <c r="B742" s="315" t="str">
        <f>IFERROR(INDEX(Projetos!$B$3:$B$129,MATCH(A742,Projetos!$A$3:$A$129,0))," ")</f>
        <v>Painel “Justiça Criminal e Sistema Prisional”</v>
      </c>
      <c r="D742" s="214">
        <v>0.77100000000000002</v>
      </c>
      <c r="E742" s="214">
        <v>0.75</v>
      </c>
      <c r="F742" s="219">
        <v>45803</v>
      </c>
      <c r="G742" s="220">
        <v>45778</v>
      </c>
      <c r="H742" s="51" t="str">
        <f t="shared" si="36"/>
        <v>12215/202345778</v>
      </c>
      <c r="I742" s="473">
        <f>IFERROR(INDEX(Projetos!$M$2:$M$129,MATCH(Atualizações!A742,Projetos!$A$2:$A$129,0))," ")</f>
        <v>46387</v>
      </c>
      <c r="J742" s="221"/>
      <c r="K742" s="344">
        <f>IFERROR(Tb_Atualizações[[#This Row],[% EXECUTADO]]/Tb_Atualizações[[#This Row],[% PREVISTO]],"0%")</f>
        <v>0.97276264591439687</v>
      </c>
      <c r="L742" s="31" t="str" cm="1">
        <f t="array" aca="1" ref="L7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2" s="215"/>
      <c r="N742" s="345"/>
      <c r="O742" s="42">
        <f t="shared" si="37"/>
        <v>2025</v>
      </c>
      <c r="P742" s="42" t="str">
        <f t="shared" si="38"/>
        <v>202512215/2023</v>
      </c>
      <c r="Q742" s="42">
        <v>1</v>
      </c>
    </row>
    <row r="743" spans="1:17" ht="15" hidden="1">
      <c r="A743" s="192" t="s">
        <v>350</v>
      </c>
      <c r="B743" s="315" t="str">
        <f>IFERROR(INDEX(Projetos!$B$3:$B$129,MATCH(A743,Projetos!$A$3:$A$129,0))," ")</f>
        <v>Painel de Estatística   - Justiça 4.0</v>
      </c>
      <c r="D743" s="214">
        <v>0.99</v>
      </c>
      <c r="E743" s="214">
        <v>0.93899999999999995</v>
      </c>
      <c r="F743" s="219">
        <v>45803</v>
      </c>
      <c r="G743" s="220">
        <v>45778</v>
      </c>
      <c r="H743" s="51" t="str">
        <f t="shared" si="36"/>
        <v>03545/202145778</v>
      </c>
      <c r="I743" s="38">
        <f>IFERROR(INDEX(Projetos!$M$2:$M$129,MATCH(Atualizações!A742,Projetos!$A$2:$A$129,0))," ")</f>
        <v>46387</v>
      </c>
      <c r="J743" s="221"/>
      <c r="K743" s="344">
        <f>IFERROR(Tb_Atualizações[[#This Row],[% EXECUTADO]]/Tb_Atualizações[[#This Row],[% PREVISTO]],"0%")</f>
        <v>0.94848484848484849</v>
      </c>
      <c r="L743" s="31" t="str" cm="1">
        <f t="array" aca="1" ref="L7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43" s="215"/>
      <c r="N743" s="345"/>
      <c r="O743" s="42">
        <f t="shared" si="37"/>
        <v>2025</v>
      </c>
      <c r="P743" s="42" t="str">
        <f t="shared" si="38"/>
        <v>202503545/2021</v>
      </c>
      <c r="Q743" s="42">
        <v>1</v>
      </c>
    </row>
    <row r="744" spans="1:17" ht="15" hidden="1">
      <c r="A744" s="192" t="s">
        <v>83</v>
      </c>
      <c r="B744" s="315" t="str">
        <f>IFERROR(INDEX(Projetos!$B$3:$B$129,MATCH(A744,Projetos!$A$3:$A$129,0))," ")</f>
        <v>Painel do Programa Desjudicializa</v>
      </c>
      <c r="D744" s="214">
        <v>0.85</v>
      </c>
      <c r="E744" s="214">
        <v>0.75</v>
      </c>
      <c r="F744" s="219">
        <v>45803</v>
      </c>
      <c r="G744" s="220">
        <v>45778</v>
      </c>
      <c r="H744" s="51" t="str">
        <f t="shared" si="36"/>
        <v>00484/202445778</v>
      </c>
      <c r="I744" s="473">
        <f>IFERROR(INDEX(Projetos!$M$2:$M$129,MATCH(Atualizações!A744,Projetos!$A$2:$A$129,0))," ")</f>
        <v>46387</v>
      </c>
      <c r="J744" s="221"/>
      <c r="K744" s="344">
        <f>IFERROR(Tb_Atualizações[[#This Row],[% EXECUTADO]]/Tb_Atualizações[[#This Row],[% PREVISTO]],"0%")</f>
        <v>0.88235294117647056</v>
      </c>
      <c r="L744" s="31" t="str" cm="1">
        <f t="array" aca="1" ref="L7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44" s="215"/>
      <c r="N744" s="345"/>
      <c r="O744" s="42">
        <f t="shared" si="37"/>
        <v>2025</v>
      </c>
      <c r="P744" s="42" t="str">
        <f t="shared" si="38"/>
        <v>202500484/2024</v>
      </c>
      <c r="Q744" s="42">
        <v>1</v>
      </c>
    </row>
    <row r="745" spans="1:17" ht="15" hidden="1">
      <c r="A745" s="192" t="s">
        <v>684</v>
      </c>
      <c r="B745" s="315" t="str">
        <f>IFERROR(INDEX(Projetos!$B$3:$B$129,MATCH(A745,Projetos!$A$3:$A$129,0))," ")</f>
        <v>Painel dos Grandes Litigantes</v>
      </c>
      <c r="D745" s="214">
        <v>0.97499999999999998</v>
      </c>
      <c r="E745" s="214">
        <v>0.96699999999999997</v>
      </c>
      <c r="F745" s="219">
        <v>45803</v>
      </c>
      <c r="G745" s="220">
        <v>45778</v>
      </c>
      <c r="H745" s="51" t="str">
        <f t="shared" si="36"/>
        <v>12135/202245778</v>
      </c>
      <c r="I745" s="38">
        <f>IFERROR(INDEX(Projetos!$M$2:$M$129,MATCH(Atualizações!A744,Projetos!$A$2:$A$129,0))," ")</f>
        <v>46387</v>
      </c>
      <c r="J745" s="221"/>
      <c r="K745" s="344">
        <f>IFERROR(Tb_Atualizações[[#This Row],[% EXECUTADO]]/Tb_Atualizações[[#This Row],[% PREVISTO]],"0%")</f>
        <v>0.9917948717948718</v>
      </c>
      <c r="L745" s="31" t="str" cm="1">
        <f t="array" aca="1" ref="L7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5" s="215"/>
      <c r="N745" s="345"/>
      <c r="O745" s="42">
        <f t="shared" si="37"/>
        <v>2025</v>
      </c>
      <c r="P745" s="42" t="str">
        <f t="shared" si="38"/>
        <v>202512135/2022</v>
      </c>
      <c r="Q745" s="42">
        <v>1</v>
      </c>
    </row>
    <row r="746" spans="1:17" ht="57.75" hidden="1" customHeight="1">
      <c r="A746" s="192" t="s">
        <v>580</v>
      </c>
      <c r="B746" s="315" t="str">
        <f>IFERROR(INDEX(Projetos!$B$3:$B$129,MATCH(A746,Projetos!$A$3:$A$129,0))," ")</f>
        <v>SireneJud 2.0 - Evoluções</v>
      </c>
      <c r="D746" s="214">
        <v>0.41099999999999998</v>
      </c>
      <c r="E746" s="214">
        <v>0.63</v>
      </c>
      <c r="F746" s="219">
        <v>45803</v>
      </c>
      <c r="G746" s="220">
        <v>45778</v>
      </c>
      <c r="H746" s="51" t="str">
        <f t="shared" si="36"/>
        <v>10698/202445778</v>
      </c>
      <c r="I746" s="38" t="str">
        <f>IFERROR(INDEX(Projetos!$M$2:$M$129,MATCH(Atualizações!A745,Projetos!$A$2:$A$129,0))," ")</f>
        <v>30/06/26</v>
      </c>
      <c r="J746" s="221"/>
      <c r="K746" s="344">
        <f>IFERROR(Tb_Atualizações[[#This Row],[% EXECUTADO]]/Tb_Atualizações[[#This Row],[% PREVISTO]],"0%")</f>
        <v>1.5328467153284673</v>
      </c>
      <c r="L746" s="31" t="str" cm="1">
        <f t="array" aca="1" ref="L7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6" s="215"/>
      <c r="N746" s="345"/>
      <c r="O746" s="42">
        <f t="shared" si="37"/>
        <v>2025</v>
      </c>
      <c r="P746" s="42" t="str">
        <f t="shared" si="38"/>
        <v>202510698/2024</v>
      </c>
      <c r="Q746" s="42">
        <v>1</v>
      </c>
    </row>
    <row r="747" spans="1:17" ht="45" hidden="1">
      <c r="A747" s="192" t="s">
        <v>219</v>
      </c>
      <c r="B747" s="315" t="str">
        <f>IFERROR(INDEX(Projetos!$B$3:$B$129,MATCH(A747,Projetos!$A$3:$A$129,0))," ")</f>
        <v xml:space="preserve">Aperfeiçoamento funcional em temáticas prioritárias para o CNJ e para Justiça Federal 
(cursos, capacitações, metodologias e ferramentas avançados) – Ciclo Avançado </v>
      </c>
      <c r="D747" s="214">
        <v>0.108</v>
      </c>
      <c r="E747" s="214">
        <v>0.106</v>
      </c>
      <c r="F747" s="219">
        <v>45804</v>
      </c>
      <c r="G747" s="220">
        <v>45778</v>
      </c>
      <c r="H747" s="51" t="str">
        <f t="shared" si="36"/>
        <v>02024/202445778</v>
      </c>
      <c r="I747" s="473">
        <f>IFERROR(INDEX(Projetos!$M$2:$M$129,MATCH(Atualizações!A747,Projetos!$A$2:$A$129,0))," ")</f>
        <v>46246</v>
      </c>
      <c r="J747" s="221"/>
      <c r="K747" s="344">
        <f>IFERROR(Tb_Atualizações[[#This Row],[% EXECUTADO]]/Tb_Atualizações[[#This Row],[% PREVISTO]],"0%")</f>
        <v>0.98148148148148151</v>
      </c>
      <c r="L747" s="31" t="str" cm="1">
        <f t="array" aca="1" ref="L7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7" s="215"/>
      <c r="N747" s="345"/>
      <c r="O747" s="42">
        <f t="shared" si="37"/>
        <v>2025</v>
      </c>
      <c r="P747" s="42" t="str">
        <f t="shared" si="38"/>
        <v>202502024/2024</v>
      </c>
      <c r="Q747" s="42">
        <v>1</v>
      </c>
    </row>
    <row r="748" spans="1:17" ht="255" hidden="1">
      <c r="A748" s="192" t="s">
        <v>310</v>
      </c>
      <c r="B748" s="315" t="str">
        <f>IFERROR(INDEX(Projetos!$B$3:$B$129,MATCH(A748,Projetos!$A$3:$A$129,0))," ")</f>
        <v>Apoio a implantação de soluções da PDPJ-Br</v>
      </c>
      <c r="D748" s="214">
        <v>0.877</v>
      </c>
      <c r="E748" s="214">
        <v>0.62</v>
      </c>
      <c r="F748" s="219">
        <v>45804</v>
      </c>
      <c r="G748" s="220">
        <v>45778</v>
      </c>
      <c r="H748" s="51" t="str">
        <f t="shared" si="36"/>
        <v>02887/202445778</v>
      </c>
      <c r="I748" s="473">
        <f>IFERROR(INDEX(Projetos!$M$2:$M$129,MATCH(Atualizações!A748,Projetos!$A$2:$A$129,0))," ")</f>
        <v>46387</v>
      </c>
      <c r="J748" s="221" t="s">
        <v>1380</v>
      </c>
      <c r="K748" s="344">
        <f>IFERROR(Tb_Atualizações[[#This Row],[% EXECUTADO]]/Tb_Atualizações[[#This Row],[% PREVISTO]],"0%")</f>
        <v>0.7069555302166477</v>
      </c>
      <c r="L748" s="31" t="str" cm="1">
        <f t="array" aca="1" ref="L7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48" s="215"/>
      <c r="N748" s="345"/>
      <c r="O748" s="42">
        <f t="shared" si="37"/>
        <v>2025</v>
      </c>
      <c r="P748" s="42" t="str">
        <f t="shared" si="38"/>
        <v>202502887/2024</v>
      </c>
      <c r="Q748" s="42">
        <v>1</v>
      </c>
    </row>
    <row r="749" spans="1:17" ht="30" hidden="1">
      <c r="A749" s="192" t="s">
        <v>644</v>
      </c>
      <c r="B749" s="315" t="str">
        <f>IFERROR(INDEX(Projetos!$B$3:$B$129,MATCH(A749,Projetos!$A$3:$A$129,0))," ")</f>
        <v>BNP/Pangea</v>
      </c>
      <c r="D749" s="214">
        <v>0.71</v>
      </c>
      <c r="E749" s="214">
        <v>0.68300000000000005</v>
      </c>
      <c r="F749" s="219">
        <v>45804</v>
      </c>
      <c r="G749" s="220">
        <v>45778</v>
      </c>
      <c r="H749" s="51" t="str">
        <f t="shared" si="36"/>
        <v>11645/202245778</v>
      </c>
      <c r="I749" s="38" t="str">
        <f>IFERROR(INDEX(Projetos!$M$2:$M$129,MATCH(Atualizações!A749,Projetos!$A$2:$A$129,0))," ")</f>
        <v>23/12/2026</v>
      </c>
      <c r="J749" s="221" t="s">
        <v>1381</v>
      </c>
      <c r="K749" s="344">
        <f>IFERROR(Tb_Atualizações[[#This Row],[% EXECUTADO]]/Tb_Atualizações[[#This Row],[% PREVISTO]],"0%")</f>
        <v>0.96197183098591565</v>
      </c>
      <c r="L749" s="31" t="str" cm="1">
        <f t="array" aca="1" ref="L7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49" s="215"/>
      <c r="N749" s="345"/>
      <c r="O749" s="42">
        <f t="shared" si="37"/>
        <v>2025</v>
      </c>
      <c r="P749" s="42" t="str">
        <f t="shared" si="38"/>
        <v>202511645/2022</v>
      </c>
      <c r="Q749" s="42">
        <v>1</v>
      </c>
    </row>
    <row r="750" spans="1:17" ht="15" hidden="1">
      <c r="A750" s="192" t="s">
        <v>209</v>
      </c>
      <c r="B750" s="315" t="str">
        <f>IFERROR(INDEX(Projetos!$B$3:$B$129,MATCH(A750,Projetos!$A$3:$A$129,0))," ")</f>
        <v>Capacitação técnica para desenvolvedores nas tecnologias da PDPJ - BR</v>
      </c>
      <c r="D750" s="214">
        <v>0.996</v>
      </c>
      <c r="E750" s="214">
        <v>0.95499999999999996</v>
      </c>
      <c r="F750" s="219">
        <v>45804</v>
      </c>
      <c r="G750" s="220">
        <v>45778</v>
      </c>
      <c r="H750" s="51" t="str">
        <f t="shared" si="36"/>
        <v>01945/202245778</v>
      </c>
      <c r="I750" s="38" t="str">
        <f>IFERROR(INDEX(Projetos!$M$2:$M$129,MATCH(Atualizações!A749,Projetos!$A$2:$A$129,0))," ")</f>
        <v>23/12/2026</v>
      </c>
      <c r="J750" s="221"/>
      <c r="K750" s="344">
        <f>IFERROR(Tb_Atualizações[[#This Row],[% EXECUTADO]]/Tb_Atualizações[[#This Row],[% PREVISTO]],"0%")</f>
        <v>0.95883534136546178</v>
      </c>
      <c r="L750" s="31" t="str" cm="1">
        <f t="array" aca="1" ref="L7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50" s="215"/>
      <c r="N750" s="345"/>
      <c r="O750" s="42">
        <f t="shared" si="37"/>
        <v>2025</v>
      </c>
      <c r="P750" s="42" t="str">
        <f t="shared" si="38"/>
        <v>202501945/2022</v>
      </c>
      <c r="Q750" s="42">
        <v>1</v>
      </c>
    </row>
    <row r="751" spans="1:17" ht="30" hidden="1">
      <c r="A751" s="192" t="s">
        <v>416</v>
      </c>
      <c r="B751" s="315" t="str">
        <f>IFERROR(INDEX(Projetos!$B$3:$B$129,MATCH(A751,Projetos!$A$3:$A$129,0))," ")</f>
        <v>Conecta</v>
      </c>
      <c r="D751" s="214">
        <v>0.64700000000000002</v>
      </c>
      <c r="E751" s="214">
        <v>0.496</v>
      </c>
      <c r="F751" s="219">
        <v>45804</v>
      </c>
      <c r="G751" s="220">
        <v>45778</v>
      </c>
      <c r="H751" s="51" t="str">
        <f t="shared" si="36"/>
        <v>05578/202445778</v>
      </c>
      <c r="I751" s="38">
        <f>IFERROR(INDEX(Projetos!$M$2:$M$129,MATCH(Atualizações!A750,Projetos!$A$2:$A$129,0))," ")</f>
        <v>45866</v>
      </c>
      <c r="J751" s="221"/>
      <c r="K751" s="344">
        <f>IFERROR(Tb_Atualizações[[#This Row],[% EXECUTADO]]/Tb_Atualizações[[#This Row],[% PREVISTO]],"0%")</f>
        <v>0.76661514683153009</v>
      </c>
      <c r="L751" s="31" t="str" cm="1">
        <f t="array" aca="1" ref="L7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51" s="215"/>
      <c r="N751" s="345"/>
      <c r="O751" s="42">
        <f t="shared" si="37"/>
        <v>2025</v>
      </c>
      <c r="P751" s="42" t="str">
        <f t="shared" si="38"/>
        <v>202505578/2024</v>
      </c>
      <c r="Q751" s="42">
        <v>1</v>
      </c>
    </row>
    <row r="752" spans="1:17" ht="45" hidden="1">
      <c r="A752" s="192" t="s">
        <v>549</v>
      </c>
      <c r="B752" s="315" t="str">
        <f>IFERROR(INDEX(Projetos!$B$3:$B$129,MATCH(A752,Projetos!$A$3:$A$129,0))," ")</f>
        <v>Fluxo Nacional Automatizado das Execuções Fiscais (EFIN)</v>
      </c>
      <c r="D752" s="214">
        <v>0.88</v>
      </c>
      <c r="E752" s="214">
        <v>0.79</v>
      </c>
      <c r="F752" s="219">
        <v>45804</v>
      </c>
      <c r="G752" s="220">
        <v>45778</v>
      </c>
      <c r="H752" s="51" t="str">
        <f t="shared" si="36"/>
        <v>09796/202445778</v>
      </c>
      <c r="I752" s="38" t="str">
        <f>IFERROR(INDEX(Projetos!$M$2:$M$129,MATCH(Atualizações!A751,Projetos!$A$2:$A$129,0))," ")</f>
        <v>31/12/2026</v>
      </c>
      <c r="J752" s="221" t="s">
        <v>1382</v>
      </c>
      <c r="K752" s="344">
        <f>IFERROR(Tb_Atualizações[[#This Row],[% EXECUTADO]]/Tb_Atualizações[[#This Row],[% PREVISTO]],"0%")</f>
        <v>0.89772727272727282</v>
      </c>
      <c r="L752" s="31" t="str" cm="1">
        <f t="array" aca="1" ref="L7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52" s="215"/>
      <c r="N752" s="345"/>
      <c r="O752" s="42">
        <f t="shared" si="37"/>
        <v>2025</v>
      </c>
      <c r="P752" s="42" t="str">
        <f t="shared" si="38"/>
        <v>202509796/2024</v>
      </c>
      <c r="Q752" s="42">
        <v>1</v>
      </c>
    </row>
    <row r="753" spans="1:17" ht="409.5" hidden="1">
      <c r="A753" s="192" t="s">
        <v>58</v>
      </c>
      <c r="B753" s="315" t="str">
        <f>IFERROR(INDEX(Projetos!$B$3:$B$129,MATCH(A753,Projetos!$A$3:$A$129,0))," ")</f>
        <v>Phase-out: Transição Projetos X Operação</v>
      </c>
      <c r="D753" s="214">
        <v>0.56299999999999994</v>
      </c>
      <c r="E753" s="214">
        <v>0.64</v>
      </c>
      <c r="F753" s="219">
        <v>45804</v>
      </c>
      <c r="G753" s="220">
        <v>45778</v>
      </c>
      <c r="H753" s="51" t="str">
        <f t="shared" si="36"/>
        <v>00030/202545778</v>
      </c>
      <c r="I753" s="38">
        <f>IFERROR(INDEX(Projetos!$M$2:$M$129,MATCH(Atualizações!A752,Projetos!$A$2:$A$129,0))," ")</f>
        <v>46226</v>
      </c>
      <c r="J753" s="221" t="s">
        <v>1383</v>
      </c>
      <c r="K753" s="344">
        <f>IFERROR(Tb_Atualizações[[#This Row],[% EXECUTADO]]/Tb_Atualizações[[#This Row],[% PREVISTO]],"0%")</f>
        <v>1.1367673179396094</v>
      </c>
      <c r="L753" s="31" t="str" cm="1">
        <f t="array" aca="1" ref="L7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53" s="215"/>
      <c r="N753" s="345"/>
      <c r="O753" s="42">
        <f t="shared" si="37"/>
        <v>2025</v>
      </c>
      <c r="P753" s="42" t="str">
        <f t="shared" si="38"/>
        <v>202500030/2025</v>
      </c>
      <c r="Q753" s="42">
        <v>1</v>
      </c>
    </row>
    <row r="754" spans="1:17" ht="270" hidden="1">
      <c r="A754" s="192" t="s">
        <v>358</v>
      </c>
      <c r="B754" s="315" t="str">
        <f>IFERROR(INDEX(Projetos!$B$3:$B$129,MATCH(A754,Projetos!$A$3:$A$129,0))," ")</f>
        <v>Prevjud - Automação de Processos Previdenciários - Justiça 4.0</v>
      </c>
      <c r="D754" s="214">
        <v>1</v>
      </c>
      <c r="E754" s="214">
        <v>0.97199999999999998</v>
      </c>
      <c r="F754" s="219">
        <v>45804</v>
      </c>
      <c r="G754" s="220">
        <v>45778</v>
      </c>
      <c r="H754" s="51" t="str">
        <f t="shared" si="36"/>
        <v>03558/202145778</v>
      </c>
      <c r="I754" s="38">
        <f>IFERROR(INDEX(Projetos!$M$2:$M$129,MATCH(Atualizações!A753,Projetos!$A$2:$A$129,0))," ")</f>
        <v>46387</v>
      </c>
      <c r="J754" s="221" t="s">
        <v>1384</v>
      </c>
      <c r="K754" s="344">
        <f>IFERROR(Tb_Atualizações[[#This Row],[% EXECUTADO]]/Tb_Atualizações[[#This Row],[% PREVISTO]],"0%")</f>
        <v>0.97199999999999998</v>
      </c>
      <c r="L754" s="31" t="str" cm="1">
        <f t="array" aca="1" ref="L7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54" s="215"/>
      <c r="N754" s="345"/>
      <c r="O754" s="42">
        <f t="shared" si="37"/>
        <v>2025</v>
      </c>
      <c r="P754" s="42" t="str">
        <f t="shared" si="38"/>
        <v>202503558/2021</v>
      </c>
      <c r="Q754" s="42">
        <v>1</v>
      </c>
    </row>
    <row r="755" spans="1:17" ht="15" hidden="1">
      <c r="A755" s="192" t="s">
        <v>638</v>
      </c>
      <c r="B755" s="315" t="str">
        <f>IFERROR(INDEX(Projetos!$B$3:$B$129,MATCH(A755,Projetos!$A$3:$A$129,0))," ")</f>
        <v>Sisperjud</v>
      </c>
      <c r="D755" s="214">
        <v>0.97699999999999998</v>
      </c>
      <c r="E755" s="214">
        <v>0.84499999999999997</v>
      </c>
      <c r="F755" s="219">
        <v>45804</v>
      </c>
      <c r="G755" s="220">
        <v>45778</v>
      </c>
      <c r="H755" s="51" t="str">
        <f t="shared" si="36"/>
        <v>11644/202245778</v>
      </c>
      <c r="I755" s="38" t="str">
        <f>IFERROR(INDEX(Projetos!$M$2:$M$129,MATCH(Atualizações!A754,Projetos!$A$2:$A$129,0))," ")</f>
        <v>31/03/2026</v>
      </c>
      <c r="J755" s="221"/>
      <c r="K755" s="344">
        <f>IFERROR(Tb_Atualizações[[#This Row],[% EXECUTADO]]/Tb_Atualizações[[#This Row],[% PREVISTO]],"0%")</f>
        <v>0.86489252814738993</v>
      </c>
      <c r="L755" s="31" t="str" cm="1">
        <f t="array" aca="1" ref="L7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55" s="215"/>
      <c r="N755" s="345"/>
      <c r="O755" s="42">
        <f t="shared" si="37"/>
        <v>2025</v>
      </c>
      <c r="P755" s="42" t="str">
        <f t="shared" si="38"/>
        <v>202511644/2022</v>
      </c>
      <c r="Q755" s="42">
        <v>1</v>
      </c>
    </row>
    <row r="756" spans="1:17" ht="45" hidden="1">
      <c r="A756" s="192" t="s">
        <v>661</v>
      </c>
      <c r="B756" s="315" t="str">
        <f>IFERROR(INDEX(Projetos!$B$3:$B$129,MATCH(A756,Projetos!$A$3:$A$129,0))," ")</f>
        <v>BNMP – Banco Nacional de Medidas Penais e Prisões – Melhorias Evolutivas</v>
      </c>
      <c r="D756" s="214">
        <v>0.34</v>
      </c>
      <c r="E756" s="214">
        <v>0.34</v>
      </c>
      <c r="F756" s="219">
        <v>45805</v>
      </c>
      <c r="G756" s="220">
        <v>45778</v>
      </c>
      <c r="H756" s="51" t="str">
        <f t="shared" si="36"/>
        <v>11776/202445778</v>
      </c>
      <c r="I756" s="38">
        <f>IFERROR(INDEX(Projetos!$M$2:$M$129,MATCH(Atualizações!A755,Projetos!$A$2:$A$129,0))," ")</f>
        <v>46352</v>
      </c>
      <c r="J756" s="221" t="s">
        <v>1385</v>
      </c>
      <c r="K756" s="344">
        <f>IFERROR(Tb_Atualizações[[#This Row],[% EXECUTADO]]/Tb_Atualizações[[#This Row],[% PREVISTO]],"0%")</f>
        <v>1</v>
      </c>
      <c r="L756" s="31" t="str" cm="1">
        <f t="array" aca="1" ref="L7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56" s="215"/>
      <c r="N756" s="345"/>
      <c r="O756" s="42">
        <f t="shared" si="37"/>
        <v>2025</v>
      </c>
      <c r="P756" s="42" t="str">
        <f t="shared" si="38"/>
        <v>202511776/2024</v>
      </c>
      <c r="Q756" s="42">
        <v>1</v>
      </c>
    </row>
    <row r="757" spans="1:17" ht="15" hidden="1">
      <c r="A757" s="192" t="s">
        <v>458</v>
      </c>
      <c r="B757" s="315" t="str">
        <f>IFERROR(INDEX(Projetos!$B$3:$B$129,MATCH(A757,Projetos!$A$3:$A$129,0))," ")</f>
        <v>SNGB - Melhorias evolutivas</v>
      </c>
      <c r="D757" s="214">
        <v>0.80500000000000005</v>
      </c>
      <c r="E757" s="214">
        <v>0.80500000000000005</v>
      </c>
      <c r="F757" s="219">
        <v>45805</v>
      </c>
      <c r="G757" s="220">
        <v>45778</v>
      </c>
      <c r="H757" s="51" t="str">
        <f t="shared" si="36"/>
        <v>08370/202445778</v>
      </c>
      <c r="I757" s="473">
        <f>IFERROR(INDEX(Projetos!$M$2:$M$129,MATCH(Atualizações!A757,Projetos!$A$2:$A$129,0))," ")</f>
        <v>46101</v>
      </c>
      <c r="J757" s="221"/>
      <c r="K757" s="344">
        <f>IFERROR(Tb_Atualizações[[#This Row],[% EXECUTADO]]/Tb_Atualizações[[#This Row],[% PREVISTO]],"0%")</f>
        <v>1</v>
      </c>
      <c r="L757" s="31" t="str" cm="1">
        <f t="array" aca="1" ref="L7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57" s="215"/>
      <c r="N757" s="345"/>
      <c r="O757" s="42">
        <f t="shared" si="37"/>
        <v>2025</v>
      </c>
      <c r="P757" s="42" t="str">
        <f t="shared" si="38"/>
        <v>202508370/2024</v>
      </c>
      <c r="Q757" s="42">
        <v>1</v>
      </c>
    </row>
    <row r="758" spans="1:17" ht="15" hidden="1">
      <c r="A758" s="192" t="s">
        <v>152</v>
      </c>
      <c r="B758" s="315" t="str">
        <f>IFERROR(INDEX(Projetos!$B$3:$B$129,MATCH(A758,Projetos!$A$3:$A$129,0))," ")</f>
        <v>Painel da Fazenda Nacional.</v>
      </c>
      <c r="D758" s="214">
        <v>0</v>
      </c>
      <c r="E758" s="214">
        <v>0</v>
      </c>
      <c r="F758" s="219">
        <v>45807</v>
      </c>
      <c r="G758" s="220">
        <v>45778</v>
      </c>
      <c r="H758" s="51" t="str">
        <f t="shared" si="36"/>
        <v>01247/202545778</v>
      </c>
      <c r="I758" s="38">
        <f>IFERROR(INDEX(Projetos!$M$2:$M$129,MATCH(Atualizações!A757,Projetos!$A$2:$A$129,0))," ")</f>
        <v>46101</v>
      </c>
      <c r="J758" s="221" t="s">
        <v>1386</v>
      </c>
      <c r="K758" s="344" t="str">
        <f>IFERROR(Tb_Atualizações[[#This Row],[% EXECUTADO]]/Tb_Atualizações[[#This Row],[% PREVISTO]],"0%")</f>
        <v>0%</v>
      </c>
      <c r="L758" s="31" t="str" cm="1">
        <f t="array" aca="1" ref="L7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758" s="215"/>
      <c r="N758" s="345"/>
      <c r="O758" s="42">
        <f t="shared" si="37"/>
        <v>2025</v>
      </c>
      <c r="P758" s="42" t="str">
        <f t="shared" si="38"/>
        <v>202501247/2025</v>
      </c>
      <c r="Q758" s="42">
        <v>1</v>
      </c>
    </row>
    <row r="759" spans="1:17" ht="409.5" hidden="1">
      <c r="A759" s="192" t="s">
        <v>533</v>
      </c>
      <c r="B759" s="315" t="str">
        <f>IFERROR(INDEX(Projetos!$B$3:$B$129,MATCH(A759,Projetos!$A$3:$A$129,0))," ")</f>
        <v>Qualificação de Dados</v>
      </c>
      <c r="D759" s="214">
        <v>0.58499999999999996</v>
      </c>
      <c r="E759" s="214">
        <v>0.57299999999999995</v>
      </c>
      <c r="F759" s="219">
        <v>45807</v>
      </c>
      <c r="G759" s="220">
        <v>45778</v>
      </c>
      <c r="H759" s="51" t="str">
        <f t="shared" si="36"/>
        <v>09613/202445778</v>
      </c>
      <c r="I759" s="473">
        <f>IFERROR(INDEX(Projetos!$M$2:$M$129,MATCH(Atualizações!A759,Projetos!$A$2:$A$129,0))," ")</f>
        <v>46386</v>
      </c>
      <c r="J759" s="221" t="s">
        <v>1387</v>
      </c>
      <c r="K759" s="344">
        <f>IFERROR(Tb_Atualizações[[#This Row],[% EXECUTADO]]/Tb_Atualizações[[#This Row],[% PREVISTO]],"0%")</f>
        <v>0.97948717948717945</v>
      </c>
      <c r="L759" s="31" t="str" cm="1">
        <f t="array" aca="1" ref="L7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59" s="215"/>
      <c r="N759" s="345"/>
      <c r="O759" s="42">
        <f t="shared" si="37"/>
        <v>2025</v>
      </c>
      <c r="P759" s="42" t="str">
        <f t="shared" si="38"/>
        <v>202509613/2024</v>
      </c>
      <c r="Q759" s="42">
        <v>1</v>
      </c>
    </row>
    <row r="760" spans="1:17" ht="30" hidden="1">
      <c r="A760" s="192" t="s">
        <v>431</v>
      </c>
      <c r="B760" s="315" t="str">
        <f>IFERROR(INDEX(Projetos!$B$3:$B$129,MATCH(A760,Projetos!$A$3:$A$129,0))," ")</f>
        <v>Sniper BC</v>
      </c>
      <c r="D760" s="214">
        <v>0.379</v>
      </c>
      <c r="E760" s="214">
        <v>0.33400000000000002</v>
      </c>
      <c r="F760" s="219">
        <v>45807</v>
      </c>
      <c r="G760" s="220">
        <v>45778</v>
      </c>
      <c r="H760" s="51" t="str">
        <f t="shared" si="36"/>
        <v>06826/202445778</v>
      </c>
      <c r="I760" s="38">
        <f>IFERROR(INDEX(Projetos!$M$2:$M$129,MATCH(Atualizações!A759,Projetos!$A$2:$A$129,0))," ")</f>
        <v>46386</v>
      </c>
      <c r="J760" s="221" t="s">
        <v>1388</v>
      </c>
      <c r="K760" s="344">
        <f>IFERROR(Tb_Atualizações[[#This Row],[% EXECUTADO]]/Tb_Atualizações[[#This Row],[% PREVISTO]],"0%")</f>
        <v>0.8812664907651715</v>
      </c>
      <c r="L760" s="31" t="str" cm="1">
        <f t="array" aca="1" ref="L7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60" s="215"/>
      <c r="N760" s="345"/>
      <c r="O760" s="42">
        <f t="shared" si="37"/>
        <v>2025</v>
      </c>
      <c r="P760" s="42" t="str">
        <f t="shared" si="38"/>
        <v>202506826/2024</v>
      </c>
      <c r="Q760" s="42">
        <v>1</v>
      </c>
    </row>
    <row r="761" spans="1:17" ht="30" hidden="1">
      <c r="A761" s="192" t="s">
        <v>247</v>
      </c>
      <c r="B761" s="315" t="str">
        <f>IFERROR(INDEX(Projetos!$B$3:$B$129,MATCH(A761,Projetos!$A$3:$A$129,0))," ")</f>
        <v>Portal de Serviços</v>
      </c>
      <c r="D761" s="214">
        <v>0.91500000000000004</v>
      </c>
      <c r="E761" s="214">
        <v>0.67100000000000004</v>
      </c>
      <c r="F761" s="219">
        <v>45810</v>
      </c>
      <c r="G761" s="220">
        <v>45778</v>
      </c>
      <c r="H761" s="51" t="str">
        <f t="shared" si="36"/>
        <v>02394/202445778</v>
      </c>
      <c r="I761" s="473">
        <f>IFERROR(INDEX(Projetos!$M$2:$M$129,MATCH(Atualizações!A761,Projetos!$A$2:$A$129,0))," ")</f>
        <v>46387</v>
      </c>
      <c r="J761" s="221"/>
      <c r="K761" s="344">
        <f>IFERROR(Tb_Atualizações[[#This Row],[% EXECUTADO]]/Tb_Atualizações[[#This Row],[% PREVISTO]],"0%")</f>
        <v>0.73333333333333339</v>
      </c>
      <c r="L761" s="31" t="str" cm="1">
        <f t="array" aca="1" ref="L7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61" s="215"/>
      <c r="N761" s="345"/>
      <c r="O761" s="42">
        <f t="shared" si="37"/>
        <v>2025</v>
      </c>
      <c r="P761" s="42" t="str">
        <f t="shared" si="38"/>
        <v>202502394/2024</v>
      </c>
      <c r="Q761" s="42">
        <v>1</v>
      </c>
    </row>
    <row r="762" spans="1:17" ht="15" hidden="1">
      <c r="A762" s="192" t="s">
        <v>714</v>
      </c>
      <c r="B762" s="315" t="str">
        <f>IFERROR(INDEX(Projetos!$B$3:$B$129,MATCH(A762,Projetos!$A$3:$A$129,0))," ")</f>
        <v>Programa Novos Caminhos</v>
      </c>
      <c r="D762" s="214">
        <v>0.82</v>
      </c>
      <c r="E762" s="214">
        <v>0.79</v>
      </c>
      <c r="F762" s="219">
        <v>45810</v>
      </c>
      <c r="G762" s="220">
        <v>45778</v>
      </c>
      <c r="H762" s="51" t="str">
        <f t="shared" si="36"/>
        <v>14204/202445778</v>
      </c>
      <c r="I762" s="38">
        <f>IFERROR(INDEX(Projetos!$M$2:$M$129,MATCH(Atualizações!A761,Projetos!$A$2:$A$129,0))," ")</f>
        <v>46387</v>
      </c>
      <c r="J762" s="221"/>
      <c r="K762" s="344">
        <f>IFERROR(Tb_Atualizações[[#This Row],[% EXECUTADO]]/Tb_Atualizações[[#This Row],[% PREVISTO]],"0%")</f>
        <v>0.96341463414634154</v>
      </c>
      <c r="L762" s="31" t="str" cm="1">
        <f t="array" aca="1" ref="L7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62" s="215"/>
      <c r="N762" s="345"/>
      <c r="O762" s="42">
        <f t="shared" si="37"/>
        <v>2025</v>
      </c>
      <c r="P762" s="42" t="str">
        <f t="shared" si="38"/>
        <v>202514204/2024</v>
      </c>
      <c r="Q762" s="42">
        <v>1</v>
      </c>
    </row>
    <row r="763" spans="1:17" ht="15" hidden="1">
      <c r="A763" s="192" t="s">
        <v>129</v>
      </c>
      <c r="B763" s="315" t="str">
        <f>IFERROR(INDEX(Projetos!$B$3:$B$129,MATCH(A763,Projetos!$A$3:$A$129,0))," ")</f>
        <v>Data Lake - Melhorias Evolutivas e Corretivas</v>
      </c>
      <c r="D763" s="214">
        <v>0</v>
      </c>
      <c r="E763" s="214">
        <v>0</v>
      </c>
      <c r="F763" s="219">
        <v>45811</v>
      </c>
      <c r="G763" s="220">
        <v>45778</v>
      </c>
      <c r="H763" s="51" t="str">
        <f t="shared" si="36"/>
        <v>01167/202545778</v>
      </c>
      <c r="I763" s="38">
        <f>IFERROR(INDEX(Projetos!$M$2:$M$129,MATCH(Atualizações!A762,Projetos!$A$2:$A$129,0))," ")</f>
        <v>46293</v>
      </c>
      <c r="J763" s="221" t="s">
        <v>1386</v>
      </c>
      <c r="K763" s="344" t="str">
        <f>IFERROR(Tb_Atualizações[[#This Row],[% EXECUTADO]]/Tb_Atualizações[[#This Row],[% PREVISTO]],"0%")</f>
        <v>0%</v>
      </c>
      <c r="L763" s="31" t="str" cm="1">
        <f t="array" aca="1" ref="L7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763" s="215"/>
      <c r="N763" s="345"/>
      <c r="O763" s="42">
        <f t="shared" si="37"/>
        <v>2025</v>
      </c>
      <c r="P763" s="42" t="str">
        <f t="shared" si="38"/>
        <v>202501167/2025</v>
      </c>
      <c r="Q763" s="42">
        <v>1</v>
      </c>
    </row>
    <row r="764" spans="1:17" ht="120" hidden="1">
      <c r="A764" s="192" t="s">
        <v>404</v>
      </c>
      <c r="B764" s="315" t="str">
        <f>IFERROR(INDEX(Projetos!$B$3:$B$129,MATCH(A764,Projetos!$A$3:$A$129,0))," ")</f>
        <v>Consulta Nacional de Pessoas (FAC Nacional)</v>
      </c>
      <c r="D764" s="214">
        <v>0.67</v>
      </c>
      <c r="E764" s="214">
        <v>0.67</v>
      </c>
      <c r="F764" s="219">
        <v>45812</v>
      </c>
      <c r="G764" s="220">
        <v>45778</v>
      </c>
      <c r="H764" s="51" t="str">
        <f t="shared" si="36"/>
        <v>05138/202445778</v>
      </c>
      <c r="I764" s="38">
        <f>IFERROR(INDEX(Projetos!$M$2:$M$129,MATCH(Atualizações!A763,Projetos!$A$2:$A$129,0))," ")</f>
        <v>46387</v>
      </c>
      <c r="J764" s="221" t="s">
        <v>1389</v>
      </c>
      <c r="K764" s="344">
        <f>IFERROR(Tb_Atualizações[[#This Row],[% EXECUTADO]]/Tb_Atualizações[[#This Row],[% PREVISTO]],"0%")</f>
        <v>1</v>
      </c>
      <c r="L764" s="31" t="str" cm="1">
        <f t="array" aca="1" ref="L7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64" s="215"/>
      <c r="N764" s="345"/>
      <c r="O764" s="42">
        <f t="shared" si="37"/>
        <v>2025</v>
      </c>
      <c r="P764" s="42" t="str">
        <f t="shared" si="38"/>
        <v>202505138/2024</v>
      </c>
      <c r="Q764" s="42">
        <v>1</v>
      </c>
    </row>
    <row r="765" spans="1:17" ht="15" hidden="1">
      <c r="A765" s="192" t="s">
        <v>257</v>
      </c>
      <c r="B765" s="315" t="str">
        <f>IFERROR(INDEX(Projetos!$B$3:$B$129,MATCH(A765,Projetos!$A$3:$A$129,0))," ")</f>
        <v>SisPreq – Sistema de Precatórios e Requisições de Pequeno Valor</v>
      </c>
      <c r="D765" s="214">
        <v>0.64</v>
      </c>
      <c r="E765" s="214">
        <v>0.59199999999999997</v>
      </c>
      <c r="F765" s="219">
        <v>45812</v>
      </c>
      <c r="G765" s="220">
        <v>45778</v>
      </c>
      <c r="H765" s="51" t="str">
        <f t="shared" si="36"/>
        <v>02465/202445778</v>
      </c>
      <c r="I765" s="38">
        <f>IFERROR(INDEX(Projetos!$M$2:$M$129,MATCH(Atualizações!A764,Projetos!$A$2:$A$129,0))," ")</f>
        <v>45993</v>
      </c>
      <c r="J765" s="221"/>
      <c r="K765" s="344">
        <f>IFERROR(Tb_Atualizações[[#This Row],[% EXECUTADO]]/Tb_Atualizações[[#This Row],[% PREVISTO]],"0%")</f>
        <v>0.92499999999999993</v>
      </c>
      <c r="L765" s="31" t="str" cm="1">
        <f t="array" aca="1" ref="L7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65" s="215"/>
      <c r="N765" s="345"/>
      <c r="O765" s="42">
        <f t="shared" si="37"/>
        <v>2025</v>
      </c>
      <c r="P765" s="42" t="str">
        <f t="shared" si="38"/>
        <v>202502465/2024</v>
      </c>
      <c r="Q765" s="42">
        <v>1</v>
      </c>
    </row>
    <row r="766" spans="1:17" ht="30" hidden="1">
      <c r="A766" s="192" t="s">
        <v>773</v>
      </c>
      <c r="B766" s="315" t="str">
        <f>IFERROR(INDEX(Projetos!$B$3:$B$129,MATCH(A766,Projetos!$A$3:$A$129,0))," ")</f>
        <v>API de Pessoas</v>
      </c>
      <c r="D766" s="214">
        <v>0.94799999999999995</v>
      </c>
      <c r="E766" s="214">
        <v>0.73899999999999999</v>
      </c>
      <c r="F766" s="219">
        <v>45813</v>
      </c>
      <c r="G766" s="220">
        <v>45778</v>
      </c>
      <c r="H766" s="51" t="str">
        <f t="shared" si="36"/>
        <v>17372/2024 45778</v>
      </c>
      <c r="I766" s="473">
        <f>IFERROR(INDEX(Projetos!$M$2:$M$129,MATCH(Atualizações!A766,Projetos!$A$2:$A$129,0))," ")</f>
        <v>46371</v>
      </c>
      <c r="J766" s="221"/>
      <c r="K766" s="344">
        <f>IFERROR(Tb_Atualizações[[#This Row],[% EXECUTADO]]/Tb_Atualizações[[#This Row],[% PREVISTO]],"0%")</f>
        <v>0.77953586497890293</v>
      </c>
      <c r="L766" s="31" t="str" cm="1">
        <f t="array" aca="1" ref="L7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66" s="215"/>
      <c r="N766" s="345"/>
      <c r="O766" s="42">
        <f t="shared" si="37"/>
        <v>2025</v>
      </c>
      <c r="P766" s="42" t="str">
        <f t="shared" si="38"/>
        <v xml:space="preserve">202517372/2024 </v>
      </c>
      <c r="Q766" s="42">
        <v>1</v>
      </c>
    </row>
    <row r="767" spans="1:17" ht="75" hidden="1">
      <c r="A767" s="192" t="s">
        <v>396</v>
      </c>
      <c r="B767" s="315" t="str">
        <f>IFERROR(INDEX(Projetos!$B$3:$B$129,MATCH(A767,Projetos!$A$3:$A$129,0))," ")</f>
        <v>CODEX - Melhorias Evolutivas e Corretivas</v>
      </c>
      <c r="D767" s="214">
        <v>0.94599999999999995</v>
      </c>
      <c r="E767" s="214">
        <v>0.91900000000000004</v>
      </c>
      <c r="F767" s="219">
        <v>45813</v>
      </c>
      <c r="G767" s="220">
        <v>45778</v>
      </c>
      <c r="H767" s="51" t="str">
        <f t="shared" si="36"/>
        <v>04751/202245778</v>
      </c>
      <c r="I767" s="473">
        <f>IFERROR(INDEX(Projetos!$M$2:$M$129,MATCH(Atualizações!A767,Projetos!$A$2:$A$129,0))," ")</f>
        <v>46387</v>
      </c>
      <c r="J767" s="221" t="s">
        <v>1390</v>
      </c>
      <c r="K767" s="344">
        <f>IFERROR(Tb_Atualizações[[#This Row],[% EXECUTADO]]/Tb_Atualizações[[#This Row],[% PREVISTO]],"0%")</f>
        <v>0.9714587737843553</v>
      </c>
      <c r="L767" s="31" t="str" cm="1">
        <f t="array" aca="1" ref="L7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67" s="215"/>
      <c r="N767" s="345"/>
      <c r="O767" s="42">
        <f t="shared" si="37"/>
        <v>2025</v>
      </c>
      <c r="P767" s="42" t="str">
        <f t="shared" si="38"/>
        <v>202504751/2022</v>
      </c>
      <c r="Q767" s="42">
        <v>1</v>
      </c>
    </row>
    <row r="768" spans="1:17" ht="15" hidden="1">
      <c r="A768" s="192" t="s">
        <v>229</v>
      </c>
      <c r="B768" s="315" t="str">
        <f>IFERROR(INDEX(Projetos!$B$3:$B$129,MATCH(A768,Projetos!$A$3:$A$129,0))," ")</f>
        <v>Gabinete do Juízo</v>
      </c>
      <c r="D768" s="214">
        <v>0.95299999999999996</v>
      </c>
      <c r="E768" s="214">
        <v>0.83399999999999996</v>
      </c>
      <c r="F768" s="219">
        <v>45813</v>
      </c>
      <c r="G768" s="220">
        <v>45778</v>
      </c>
      <c r="H768" s="51" t="str">
        <f t="shared" si="36"/>
        <v>02080/202345778</v>
      </c>
      <c r="I768" s="38">
        <f>IFERROR(INDEX(Projetos!$M$2:$M$129,MATCH(Atualizações!A767,Projetos!$A$2:$A$129,0))," ")</f>
        <v>46387</v>
      </c>
      <c r="J768" s="221"/>
      <c r="K768" s="344">
        <f>IFERROR(Tb_Atualizações[[#This Row],[% EXECUTADO]]/Tb_Atualizações[[#This Row],[% PREVISTO]],"0%")</f>
        <v>0.87513116474291708</v>
      </c>
      <c r="L768" s="31" t="str" cm="1">
        <f t="array" aca="1" ref="L7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68" s="215"/>
      <c r="N768" s="345"/>
      <c r="O768" s="42">
        <f t="shared" si="37"/>
        <v>2025</v>
      </c>
      <c r="P768" s="42" t="str">
        <f t="shared" si="38"/>
        <v>202502080/2023</v>
      </c>
      <c r="Q768" s="42">
        <v>1</v>
      </c>
    </row>
    <row r="769" spans="1:17" ht="45" hidden="1">
      <c r="A769" s="192" t="s">
        <v>273</v>
      </c>
      <c r="B769" s="315" t="str">
        <f>IFERROR(INDEX(Projetos!$B$3:$B$129,MATCH(A769,Projetos!$A$3:$A$129,0))," ")</f>
        <v>SNA – Novo Sistema Nacional de Adoção e Acolhimento</v>
      </c>
      <c r="D769" s="214">
        <v>0.66400000000000003</v>
      </c>
      <c r="E769" s="214">
        <v>0.26200000000000001</v>
      </c>
      <c r="F769" s="219">
        <v>45813</v>
      </c>
      <c r="G769" s="220">
        <v>45778</v>
      </c>
      <c r="H769" s="51" t="str">
        <f t="shared" si="36"/>
        <v>02483/202345778</v>
      </c>
      <c r="I769" s="38">
        <f>IFERROR(INDEX(Projetos!$M$2:$M$129,MATCH(Atualizações!A768,Projetos!$A$2:$A$129,0))," ")</f>
        <v>46379</v>
      </c>
      <c r="J769" s="221" t="s">
        <v>1391</v>
      </c>
      <c r="K769" s="344">
        <f>IFERROR(Tb_Atualizações[[#This Row],[% EXECUTADO]]/Tb_Atualizações[[#This Row],[% PREVISTO]],"0%")</f>
        <v>0.39457831325301207</v>
      </c>
      <c r="L769" s="31" t="str" cm="1">
        <f t="array" aca="1" ref="L7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69" s="215"/>
      <c r="N769" s="345"/>
      <c r="O769" s="42">
        <f t="shared" si="37"/>
        <v>2025</v>
      </c>
      <c r="P769" s="42" t="str">
        <f t="shared" si="38"/>
        <v>202502483/2023</v>
      </c>
      <c r="Q769" s="42">
        <v>1</v>
      </c>
    </row>
    <row r="770" spans="1:17" ht="15" hidden="1">
      <c r="A770" s="192" t="s">
        <v>661</v>
      </c>
      <c r="B770" s="315" t="str">
        <f>IFERROR(INDEX(Projetos!$B$3:$B$129,MATCH(A770,Projetos!$A$3:$A$129,0))," ")</f>
        <v>BNMP – Banco Nacional de Medidas Penais e Prisões – Melhorias Evolutivas</v>
      </c>
      <c r="D770" s="214">
        <v>0.38800000000000001</v>
      </c>
      <c r="E770" s="214">
        <v>0.33800000000000002</v>
      </c>
      <c r="F770" s="219">
        <v>45814</v>
      </c>
      <c r="G770" s="220">
        <v>45778</v>
      </c>
      <c r="H770" s="51" t="str">
        <f t="shared" si="36"/>
        <v>11776/202445778</v>
      </c>
      <c r="I770" s="38">
        <f>IFERROR(INDEX(Projetos!$M$2:$M$129,MATCH(Atualizações!A769,Projetos!$A$2:$A$129,0))," ")</f>
        <v>46022</v>
      </c>
      <c r="J770" s="221"/>
      <c r="K770" s="344">
        <f>IFERROR(Tb_Atualizações[[#This Row],[% EXECUTADO]]/Tb_Atualizações[[#This Row],[% PREVISTO]],"0%")</f>
        <v>0.87113402061855671</v>
      </c>
      <c r="L770" s="31" t="str" cm="1">
        <f t="array" aca="1" ref="L7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70" s="215"/>
      <c r="N770" s="345"/>
      <c r="O770" s="42">
        <f t="shared" si="37"/>
        <v>2025</v>
      </c>
      <c r="P770" s="42" t="str">
        <f t="shared" si="38"/>
        <v>202511776/2024</v>
      </c>
      <c r="Q770" s="42">
        <v>1</v>
      </c>
    </row>
    <row r="771" spans="1:17" ht="45" hidden="1">
      <c r="A771" s="192" t="s">
        <v>675</v>
      </c>
      <c r="B771" s="315" t="str">
        <f>IFERROR(INDEX(Projetos!$B$3:$B$129,MATCH(A771,Projetos!$A$3:$A$129,0))," ")</f>
        <v>Pesquisa IA 2024 - Mapeamento dos projetos de Inteligência Artificial em desenvolvimento pelos tribunais brasileiros</v>
      </c>
      <c r="D771" s="214">
        <v>0.996</v>
      </c>
      <c r="E771" s="214">
        <v>0.98299999999999998</v>
      </c>
      <c r="F771" s="219">
        <v>45814</v>
      </c>
      <c r="G771" s="220">
        <v>45778</v>
      </c>
      <c r="H771" s="51" t="str">
        <f t="shared" si="36"/>
        <v>11988/202445778</v>
      </c>
      <c r="I771" s="38">
        <f>IFERROR(INDEX(Projetos!$M$2:$M$129,MATCH(Atualizações!A770,Projetos!$A$2:$A$129,0))," ")</f>
        <v>46379</v>
      </c>
      <c r="J771" s="221" t="s">
        <v>1392</v>
      </c>
      <c r="K771" s="344">
        <f>IFERROR(Tb_Atualizações[[#This Row],[% EXECUTADO]]/Tb_Atualizações[[#This Row],[% PREVISTO]],"0%")</f>
        <v>0.98694779116465858</v>
      </c>
      <c r="L771" s="31" t="str" cm="1">
        <f t="array" aca="1" ref="L7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71" s="215"/>
      <c r="N771" s="345"/>
      <c r="O771" s="42">
        <f t="shared" si="37"/>
        <v>2025</v>
      </c>
      <c r="P771" s="42" t="str">
        <f t="shared" si="38"/>
        <v>202511988/2024</v>
      </c>
      <c r="Q771" s="42">
        <v>1</v>
      </c>
    </row>
    <row r="772" spans="1:17" ht="15" hidden="1">
      <c r="A772" s="192" t="s">
        <v>722</v>
      </c>
      <c r="B772" s="315" t="str">
        <f>IFERROR(INDEX(Projetos!$B$3:$B$129,MATCH(A772,Projetos!$A$3:$A$129,0))," ")</f>
        <v>Serviços Estruturantes - Melhorias Evolutivas e Corretivas</v>
      </c>
      <c r="D772" s="214">
        <v>0.95</v>
      </c>
      <c r="E772" s="214">
        <v>0.94</v>
      </c>
      <c r="F772" s="219">
        <v>45814</v>
      </c>
      <c r="G772" s="220">
        <v>45778</v>
      </c>
      <c r="H772" s="51" t="str">
        <f t="shared" si="36"/>
        <v>14965/202445778</v>
      </c>
      <c r="I772" s="473">
        <f>IFERROR(INDEX(Projetos!$M$2:$M$129,MATCH(Atualizações!A772,Projetos!$A$2:$A$129,0))," ")</f>
        <v>46387</v>
      </c>
      <c r="J772" s="221"/>
      <c r="K772" s="344">
        <f>IFERROR(Tb_Atualizações[[#This Row],[% EXECUTADO]]/Tb_Atualizações[[#This Row],[% PREVISTO]],"0%")</f>
        <v>0.98947368421052628</v>
      </c>
      <c r="L772" s="31" t="str" cm="1">
        <f t="array" aca="1" ref="L7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72" s="215"/>
      <c r="N772" s="345"/>
      <c r="O772" s="42">
        <f t="shared" si="37"/>
        <v>2025</v>
      </c>
      <c r="P772" s="42" t="str">
        <f t="shared" si="38"/>
        <v>202514965/2024</v>
      </c>
      <c r="Q772" s="42">
        <v>1</v>
      </c>
    </row>
    <row r="773" spans="1:17" ht="45" hidden="1">
      <c r="A773" s="192" t="s">
        <v>219</v>
      </c>
      <c r="B773" s="315" t="str">
        <f>IFERROR(INDEX(Projetos!$B$3:$B$129,MATCH(A773,Projetos!$A$3:$A$129,0))," ")</f>
        <v xml:space="preserve">Aperfeiçoamento funcional em temáticas prioritárias para o CNJ e para Justiça Federal 
(cursos, capacitações, metodologias e ferramentas avançados) – Ciclo Avançado </v>
      </c>
      <c r="D773" s="214">
        <v>0.3</v>
      </c>
      <c r="E773" s="214">
        <v>0.17599999999999999</v>
      </c>
      <c r="F773" s="219">
        <v>45832</v>
      </c>
      <c r="G773" s="220">
        <v>45809</v>
      </c>
      <c r="H773" s="51" t="str">
        <f t="shared" si="36"/>
        <v>02024/202445809</v>
      </c>
      <c r="I773" s="473">
        <f>IFERROR(INDEX(Projetos!$M$2:$M$129,MATCH(Atualizações!A773,Projetos!$A$2:$A$129,0))," ")</f>
        <v>46246</v>
      </c>
      <c r="J773" s="221"/>
      <c r="K773" s="344">
        <f>IFERROR(Tb_Atualizações[[#This Row],[% EXECUTADO]]/Tb_Atualizações[[#This Row],[% PREVISTO]],"0%")</f>
        <v>0.58666666666666667</v>
      </c>
      <c r="L773" s="31" t="str" cm="1">
        <f t="array" aca="1" ref="L7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73" s="215"/>
      <c r="N773" s="345"/>
      <c r="O773" s="42">
        <f t="shared" si="37"/>
        <v>2025</v>
      </c>
      <c r="P773" s="42" t="str">
        <f t="shared" si="38"/>
        <v>202502024/2024</v>
      </c>
      <c r="Q773" s="42">
        <v>1</v>
      </c>
    </row>
    <row r="774" spans="1:17" ht="30" hidden="1">
      <c r="A774" s="192" t="s">
        <v>209</v>
      </c>
      <c r="B774" s="315" t="str">
        <f>IFERROR(INDEX(Projetos!$B$3:$B$129,MATCH(A774,Projetos!$A$3:$A$129,0))," ")</f>
        <v>Capacitação técnica para desenvolvedores nas tecnologias da PDPJ - BR</v>
      </c>
      <c r="D774" s="214">
        <v>0.98399999999999999</v>
      </c>
      <c r="E774" s="214">
        <v>0.95499999999999996</v>
      </c>
      <c r="F774" s="219">
        <v>45832</v>
      </c>
      <c r="G774" s="220">
        <v>45809</v>
      </c>
      <c r="H774" s="51" t="str">
        <f t="shared" si="36"/>
        <v>01945/202245809</v>
      </c>
      <c r="I774" s="38">
        <f>IFERROR(INDEX(Projetos!$M$2:$M$129,MATCH(Atualizações!A773,Projetos!$A$2:$A$129,0))," ")</f>
        <v>46246</v>
      </c>
      <c r="J774" s="221" t="s">
        <v>1393</v>
      </c>
      <c r="K774" s="344">
        <f>IFERROR(Tb_Atualizações[[#This Row],[% EXECUTADO]]/Tb_Atualizações[[#This Row],[% PREVISTO]],"0%")</f>
        <v>0.97052845528455278</v>
      </c>
      <c r="L774" s="31" t="str" cm="1">
        <f t="array" aca="1" ref="L7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74" s="215"/>
      <c r="N774" s="345"/>
      <c r="O774" s="42">
        <f t="shared" si="37"/>
        <v>2025</v>
      </c>
      <c r="P774" s="42" t="str">
        <f t="shared" si="38"/>
        <v>202501945/2022</v>
      </c>
      <c r="Q774" s="42">
        <v>1</v>
      </c>
    </row>
    <row r="775" spans="1:17" ht="409.5" hidden="1">
      <c r="A775" s="192" t="s">
        <v>533</v>
      </c>
      <c r="B775" s="315" t="str">
        <f>IFERROR(INDEX(Projetos!$B$3:$B$129,MATCH(A775,Projetos!$A$3:$A$129,0))," ")</f>
        <v>Qualificação de Dados</v>
      </c>
      <c r="D775" s="214">
        <v>0.65400000000000003</v>
      </c>
      <c r="E775" s="214">
        <v>0.65</v>
      </c>
      <c r="F775" s="219">
        <v>45832</v>
      </c>
      <c r="G775" s="220">
        <v>45809</v>
      </c>
      <c r="H775" s="51" t="str">
        <f t="shared" si="36"/>
        <v>09613/202445809</v>
      </c>
      <c r="I775" s="473">
        <f>IFERROR(INDEX(Projetos!$M$2:$M$129,MATCH(Atualizações!A775,Projetos!$A$2:$A$129,0))," ")</f>
        <v>46386</v>
      </c>
      <c r="J775" s="221" t="s">
        <v>1394</v>
      </c>
      <c r="K775" s="344">
        <f>IFERROR(Tb_Atualizações[[#This Row],[% EXECUTADO]]/Tb_Atualizações[[#This Row],[% PREVISTO]],"0%")</f>
        <v>0.99388379204892963</v>
      </c>
      <c r="L775" s="31" t="str" cm="1">
        <f t="array" aca="1" ref="L7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75" s="215"/>
      <c r="N775" s="345"/>
      <c r="O775" s="42">
        <f t="shared" si="37"/>
        <v>2025</v>
      </c>
      <c r="P775" s="42" t="str">
        <f t="shared" si="38"/>
        <v>202509613/2024</v>
      </c>
      <c r="Q775" s="42">
        <v>1</v>
      </c>
    </row>
    <row r="776" spans="1:17" ht="409.5" hidden="1">
      <c r="A776" s="192" t="s">
        <v>310</v>
      </c>
      <c r="B776" s="315" t="str">
        <f>IFERROR(INDEX(Projetos!$B$3:$B$129,MATCH(A776,Projetos!$A$3:$A$129,0))," ")</f>
        <v>Apoio a implantação de soluções da PDPJ-Br</v>
      </c>
      <c r="D776" s="214">
        <v>0.92400000000000004</v>
      </c>
      <c r="E776" s="214">
        <v>0.65900000000000003</v>
      </c>
      <c r="F776" s="219">
        <v>45833</v>
      </c>
      <c r="G776" s="220">
        <v>45809</v>
      </c>
      <c r="H776" s="51" t="str">
        <f t="shared" si="36"/>
        <v>02887/202445809</v>
      </c>
      <c r="I776" s="473">
        <f>IFERROR(INDEX(Projetos!$M$2:$M$129,MATCH(Atualizações!A776,Projetos!$A$2:$A$129,0))," ")</f>
        <v>46387</v>
      </c>
      <c r="J776" s="221" t="s">
        <v>1395</v>
      </c>
      <c r="K776" s="344">
        <f>IFERROR(Tb_Atualizações[[#This Row],[% EXECUTADO]]/Tb_Atualizações[[#This Row],[% PREVISTO]],"0%")</f>
        <v>0.71320346320346317</v>
      </c>
      <c r="L776" s="31" t="str" cm="1">
        <f t="array" aca="1" ref="L7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76" s="215"/>
      <c r="N776" s="345"/>
      <c r="O776" s="42">
        <f t="shared" si="37"/>
        <v>2025</v>
      </c>
      <c r="P776" s="42" t="str">
        <f t="shared" si="38"/>
        <v>202502887/2024</v>
      </c>
      <c r="Q776" s="42">
        <v>1</v>
      </c>
    </row>
    <row r="777" spans="1:17" ht="30" hidden="1">
      <c r="A777" s="192" t="s">
        <v>539</v>
      </c>
      <c r="B777" s="315" t="str">
        <f>IFERROR(INDEX(Projetos!$B$3:$B$129,MATCH(A777,Projetos!$A$3:$A$129,0))," ")</f>
        <v>Desenvolvimento do módulo de Sessão de Julgamento (PDPJ-Br)</v>
      </c>
      <c r="D777" s="214">
        <v>0.98199999999999998</v>
      </c>
      <c r="E777" s="214">
        <v>0.78300000000000003</v>
      </c>
      <c r="F777" s="219">
        <v>45833</v>
      </c>
      <c r="G777" s="220">
        <v>45809</v>
      </c>
      <c r="H777" s="51" t="str">
        <f t="shared" si="36"/>
        <v>09630/202445809</v>
      </c>
      <c r="I777" s="473">
        <f>IFERROR(INDEX(Projetos!$M$2:$M$129,MATCH(Atualizações!A777,Projetos!$A$2:$A$129,0))," ")</f>
        <v>46387</v>
      </c>
      <c r="J777" s="221"/>
      <c r="K777" s="344">
        <f>IFERROR(Tb_Atualizações[[#This Row],[% EXECUTADO]]/Tb_Atualizações[[#This Row],[% PREVISTO]],"0%")</f>
        <v>0.79735234215885953</v>
      </c>
      <c r="L777" s="31" t="str" cm="1">
        <f t="array" aca="1" ref="L7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77" s="215"/>
      <c r="N777" s="345"/>
      <c r="O777" s="42">
        <f t="shared" si="37"/>
        <v>2025</v>
      </c>
      <c r="P777" s="42" t="str">
        <f t="shared" si="38"/>
        <v>202509630/2024</v>
      </c>
      <c r="Q777" s="42">
        <v>1</v>
      </c>
    </row>
    <row r="778" spans="1:17" ht="15" hidden="1">
      <c r="A778" s="192" t="s">
        <v>229</v>
      </c>
      <c r="B778" s="315" t="str">
        <f>IFERROR(INDEX(Projetos!$B$3:$B$129,MATCH(A778,Projetos!$A$3:$A$129,0))," ")</f>
        <v>Gabinete do Juízo</v>
      </c>
      <c r="D778" s="214">
        <v>0.97599999999999998</v>
      </c>
      <c r="E778" s="214">
        <v>0.84699999999999998</v>
      </c>
      <c r="F778" s="219">
        <v>45833</v>
      </c>
      <c r="G778" s="220">
        <v>45809</v>
      </c>
      <c r="H778" s="51" t="str">
        <f t="shared" si="36"/>
        <v>02080/202345809</v>
      </c>
      <c r="I778" s="38">
        <f>IFERROR(INDEX(Projetos!$M$2:$M$129,MATCH(Atualizações!A777,Projetos!$A$2:$A$129,0))," ")</f>
        <v>46387</v>
      </c>
      <c r="J778" s="221"/>
      <c r="K778" s="344">
        <f>IFERROR(Tb_Atualizações[[#This Row],[% EXECUTADO]]/Tb_Atualizações[[#This Row],[% PREVISTO]],"0%")</f>
        <v>0.86782786885245899</v>
      </c>
      <c r="L778" s="31" t="str" cm="1">
        <f t="array" aca="1" ref="L7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78" s="215"/>
      <c r="N778" s="345"/>
      <c r="O778" s="42">
        <f t="shared" si="37"/>
        <v>2025</v>
      </c>
      <c r="P778" s="42" t="str">
        <f t="shared" si="38"/>
        <v>202502080/2023</v>
      </c>
      <c r="Q778" s="42">
        <v>1</v>
      </c>
    </row>
    <row r="779" spans="1:17" ht="409.5" hidden="1">
      <c r="A779" s="192" t="s">
        <v>58</v>
      </c>
      <c r="B779" s="315" t="str">
        <f>IFERROR(INDEX(Projetos!$B$3:$B$129,MATCH(A779,Projetos!$A$3:$A$129,0))," ")</f>
        <v>Phase-out: Transição Projetos X Operação</v>
      </c>
      <c r="D779" s="214">
        <v>0.77500000000000002</v>
      </c>
      <c r="E779" s="214">
        <v>0.81299999999999994</v>
      </c>
      <c r="F779" s="219">
        <v>45833</v>
      </c>
      <c r="G779" s="220">
        <v>45809</v>
      </c>
      <c r="H779" s="51" t="str">
        <f t="shared" si="36"/>
        <v>00030/202545809</v>
      </c>
      <c r="I779" s="38">
        <f>IFERROR(INDEX(Projetos!$M$2:$M$129,MATCH(Atualizações!A778,Projetos!$A$2:$A$129,0))," ")</f>
        <v>46379</v>
      </c>
      <c r="J779" s="221" t="s">
        <v>1396</v>
      </c>
      <c r="K779" s="344">
        <f>IFERROR(Tb_Atualizações[[#This Row],[% EXECUTADO]]/Tb_Atualizações[[#This Row],[% PREVISTO]],"0%")</f>
        <v>1.0490322580645159</v>
      </c>
      <c r="L779" s="31" t="str" cm="1">
        <f t="array" aca="1" ref="L7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79" s="215"/>
      <c r="N779" s="345"/>
      <c r="O779" s="42">
        <f t="shared" si="37"/>
        <v>2025</v>
      </c>
      <c r="P779" s="42" t="str">
        <f t="shared" si="38"/>
        <v>202500030/2025</v>
      </c>
      <c r="Q779" s="42">
        <v>1</v>
      </c>
    </row>
    <row r="780" spans="1:17" ht="15" hidden="1">
      <c r="A780" s="192" t="s">
        <v>644</v>
      </c>
      <c r="B780" s="315" t="str">
        <f>IFERROR(INDEX(Projetos!$B$3:$B$129,MATCH(A780,Projetos!$A$3:$A$129,0))," ")</f>
        <v>BNP/Pangea</v>
      </c>
      <c r="D780" s="214">
        <v>0.75600000000000001</v>
      </c>
      <c r="E780" s="214">
        <v>0.72499999999999998</v>
      </c>
      <c r="F780" s="219">
        <v>45834</v>
      </c>
      <c r="G780" s="220">
        <v>45809</v>
      </c>
      <c r="H780" s="51" t="str">
        <f t="shared" si="36"/>
        <v>11645/202245809</v>
      </c>
      <c r="I780" s="38" t="str">
        <f>IFERROR(INDEX(Projetos!$M$2:$M$129,MATCH(Atualizações!A780,Projetos!$A$2:$A$129,0))," ")</f>
        <v>23/12/2026</v>
      </c>
      <c r="J780" s="221"/>
      <c r="K780" s="344">
        <f>IFERROR(Tb_Atualizações[[#This Row],[% EXECUTADO]]/Tb_Atualizações[[#This Row],[% PREVISTO]],"0%")</f>
        <v>0.95899470899470896</v>
      </c>
      <c r="L780" s="31" t="str" cm="1">
        <f t="array" aca="1" ref="L7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0" s="215"/>
      <c r="N780" s="345"/>
      <c r="O780" s="42">
        <f t="shared" si="37"/>
        <v>2025</v>
      </c>
      <c r="P780" s="42" t="str">
        <f t="shared" si="38"/>
        <v>202511645/2022</v>
      </c>
      <c r="Q780" s="42">
        <v>1</v>
      </c>
    </row>
    <row r="781" spans="1:17" ht="30" hidden="1">
      <c r="A781" s="192" t="s">
        <v>416</v>
      </c>
      <c r="B781" s="315" t="str">
        <f>IFERROR(INDEX(Projetos!$B$3:$B$129,MATCH(A781,Projetos!$A$3:$A$129,0))," ")</f>
        <v>Conecta</v>
      </c>
      <c r="D781" s="214">
        <v>0.64300000000000002</v>
      </c>
      <c r="E781" s="214">
        <v>0.45900000000000002</v>
      </c>
      <c r="F781" s="219">
        <v>45834</v>
      </c>
      <c r="G781" s="220">
        <v>45809</v>
      </c>
      <c r="H781" s="51" t="str">
        <f t="shared" si="36"/>
        <v>05578/202445809</v>
      </c>
      <c r="I781" s="38" t="str">
        <f>IFERROR(INDEX(Projetos!$M$2:$M$129,MATCH(Atualizações!A780,Projetos!$A$2:$A$129,0))," ")</f>
        <v>23/12/2026</v>
      </c>
      <c r="J781" s="221"/>
      <c r="K781" s="344">
        <f>IFERROR(Tb_Atualizações[[#This Row],[% EXECUTADO]]/Tb_Atualizações[[#This Row],[% PREVISTO]],"0%")</f>
        <v>0.713841368584759</v>
      </c>
      <c r="L781" s="31" t="str" cm="1">
        <f t="array" aca="1" ref="L7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81" s="215"/>
      <c r="N781" s="345"/>
      <c r="O781" s="42">
        <f t="shared" si="37"/>
        <v>2025</v>
      </c>
      <c r="P781" s="42" t="str">
        <f t="shared" si="38"/>
        <v>202505578/2024</v>
      </c>
      <c r="Q781" s="42">
        <v>1</v>
      </c>
    </row>
    <row r="782" spans="1:17" ht="15" hidden="1">
      <c r="A782" s="192" t="s">
        <v>690</v>
      </c>
      <c r="B782" s="315" t="str">
        <f>IFERROR(INDEX(Projetos!$B$3:$B$129,MATCH(A782,Projetos!$A$3:$A$129,0))," ")</f>
        <v>Painel “Justiça Criminal e Sistema Prisional”</v>
      </c>
      <c r="D782" s="214">
        <v>0.77500000000000002</v>
      </c>
      <c r="E782" s="214">
        <v>0.75</v>
      </c>
      <c r="F782" s="219">
        <v>45834</v>
      </c>
      <c r="G782" s="220">
        <v>45809</v>
      </c>
      <c r="H782" s="51" t="str">
        <f t="shared" si="36"/>
        <v>12215/202345809</v>
      </c>
      <c r="I782" s="473">
        <f>IFERROR(INDEX(Projetos!$M$2:$M$129,MATCH(Atualizações!A782,Projetos!$A$2:$A$129,0))," ")</f>
        <v>46387</v>
      </c>
      <c r="J782" s="221"/>
      <c r="K782" s="344">
        <f>IFERROR(Tb_Atualizações[[#This Row],[% EXECUTADO]]/Tb_Atualizações[[#This Row],[% PREVISTO]],"0%")</f>
        <v>0.96774193548387089</v>
      </c>
      <c r="L782" s="31" t="str" cm="1">
        <f t="array" aca="1" ref="L7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2" s="215"/>
      <c r="N782" s="345"/>
      <c r="O782" s="42">
        <f t="shared" si="37"/>
        <v>2025</v>
      </c>
      <c r="P782" s="42" t="str">
        <f t="shared" si="38"/>
        <v>202512215/2023</v>
      </c>
      <c r="Q782" s="42">
        <v>1</v>
      </c>
    </row>
    <row r="783" spans="1:17" ht="15" hidden="1">
      <c r="A783" s="192" t="s">
        <v>350</v>
      </c>
      <c r="B783" s="315" t="str">
        <f>IFERROR(INDEX(Projetos!$B$3:$B$129,MATCH(A783,Projetos!$A$3:$A$129,0))," ")</f>
        <v>Painel de Estatística   - Justiça 4.0</v>
      </c>
      <c r="D783" s="214">
        <v>0.99</v>
      </c>
      <c r="E783" s="214">
        <v>0.93899999999999995</v>
      </c>
      <c r="F783" s="219">
        <v>45834</v>
      </c>
      <c r="G783" s="220">
        <v>45809</v>
      </c>
      <c r="H783" s="51" t="str">
        <f t="shared" si="36"/>
        <v>03545/202145809</v>
      </c>
      <c r="I783" s="38">
        <f>IFERROR(INDEX(Projetos!$M$2:$M$129,MATCH(Atualizações!A782,Projetos!$A$2:$A$129,0))," ")</f>
        <v>46387</v>
      </c>
      <c r="J783" s="221"/>
      <c r="K783" s="344">
        <f>IFERROR(Tb_Atualizações[[#This Row],[% EXECUTADO]]/Tb_Atualizações[[#This Row],[% PREVISTO]],"0%")</f>
        <v>0.94848484848484849</v>
      </c>
      <c r="L783" s="31" t="str" cm="1">
        <f t="array" aca="1" ref="L7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83" s="215"/>
      <c r="N783" s="345"/>
      <c r="O783" s="42">
        <f t="shared" si="37"/>
        <v>2025</v>
      </c>
      <c r="P783" s="42" t="str">
        <f t="shared" si="38"/>
        <v>202503545/2021</v>
      </c>
      <c r="Q783" s="42">
        <v>1</v>
      </c>
    </row>
    <row r="784" spans="1:17" ht="30" hidden="1">
      <c r="A784" s="192" t="s">
        <v>83</v>
      </c>
      <c r="B784" s="315" t="str">
        <f>IFERROR(INDEX(Projetos!$B$3:$B$129,MATCH(A784,Projetos!$A$3:$A$129,0))," ")</f>
        <v>Painel do Programa Desjudicializa</v>
      </c>
      <c r="D784" s="214">
        <v>1</v>
      </c>
      <c r="E784" s="214">
        <v>0.75</v>
      </c>
      <c r="F784" s="219">
        <v>45834</v>
      </c>
      <c r="G784" s="220">
        <v>45809</v>
      </c>
      <c r="H784" s="51" t="str">
        <f t="shared" si="36"/>
        <v>00484/202445809</v>
      </c>
      <c r="I784" s="473">
        <f>IFERROR(INDEX(Projetos!$M$2:$M$129,MATCH(Atualizações!A784,Projetos!$A$2:$A$129,0))," ")</f>
        <v>46387</v>
      </c>
      <c r="J784" s="221"/>
      <c r="K784" s="344">
        <f>IFERROR(Tb_Atualizações[[#This Row],[% EXECUTADO]]/Tb_Atualizações[[#This Row],[% PREVISTO]],"0%")</f>
        <v>0.75</v>
      </c>
      <c r="L784" s="31" t="str" cm="1">
        <f t="array" aca="1" ref="L7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84" s="215"/>
      <c r="N784" s="345"/>
      <c r="O784" s="42">
        <f t="shared" si="37"/>
        <v>2025</v>
      </c>
      <c r="P784" s="42" t="str">
        <f t="shared" si="38"/>
        <v>202500484/2024</v>
      </c>
      <c r="Q784" s="42">
        <v>1</v>
      </c>
    </row>
    <row r="785" spans="1:17" ht="15" hidden="1">
      <c r="A785" s="192" t="s">
        <v>684</v>
      </c>
      <c r="B785" s="315" t="str">
        <f>IFERROR(INDEX(Projetos!$B$3:$B$129,MATCH(A785,Projetos!$A$3:$A$129,0))," ")</f>
        <v>Painel dos Grandes Litigantes</v>
      </c>
      <c r="D785" s="214">
        <v>0.97899999999999998</v>
      </c>
      <c r="E785" s="214">
        <v>0.96699999999999997</v>
      </c>
      <c r="F785" s="219">
        <v>45834</v>
      </c>
      <c r="G785" s="220">
        <v>45809</v>
      </c>
      <c r="H785" s="51" t="str">
        <f t="shared" si="36"/>
        <v>12135/202245809</v>
      </c>
      <c r="I785" s="38">
        <f>IFERROR(INDEX(Projetos!$M$2:$M$129,MATCH(Atualizações!A784,Projetos!$A$2:$A$129,0))," ")</f>
        <v>46387</v>
      </c>
      <c r="J785" s="221"/>
      <c r="K785" s="344">
        <f>IFERROR(Tb_Atualizações[[#This Row],[% EXECUTADO]]/Tb_Atualizações[[#This Row],[% PREVISTO]],"0%")</f>
        <v>0.98774259448416746</v>
      </c>
      <c r="L785" s="31" t="str" cm="1">
        <f t="array" aca="1" ref="L7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5" s="215"/>
      <c r="N785" s="345"/>
      <c r="O785" s="42">
        <f t="shared" si="37"/>
        <v>2025</v>
      </c>
      <c r="P785" s="42" t="str">
        <f t="shared" si="38"/>
        <v>202512135/2022</v>
      </c>
      <c r="Q785" s="42">
        <v>1</v>
      </c>
    </row>
    <row r="786" spans="1:17" ht="45" hidden="1">
      <c r="A786" s="192" t="s">
        <v>358</v>
      </c>
      <c r="B786" s="315" t="str">
        <f>IFERROR(INDEX(Projetos!$B$3:$B$129,MATCH(A786,Projetos!$A$3:$A$129,0))," ")</f>
        <v>Prevjud - Automação de Processos Previdenciários - Justiça 4.0</v>
      </c>
      <c r="D786" s="214">
        <v>0.91100000000000003</v>
      </c>
      <c r="E786" s="214">
        <v>0.9</v>
      </c>
      <c r="F786" s="219">
        <v>45834</v>
      </c>
      <c r="G786" s="220">
        <v>45809</v>
      </c>
      <c r="H786" s="51" t="str">
        <f t="shared" si="36"/>
        <v>03558/202145809</v>
      </c>
      <c r="I786" s="38" t="str">
        <f>IFERROR(INDEX(Projetos!$M$2:$M$129,MATCH(Atualizações!A785,Projetos!$A$2:$A$129,0))," ")</f>
        <v>30/06/26</v>
      </c>
      <c r="J786" s="221" t="s">
        <v>1397</v>
      </c>
      <c r="K786" s="344">
        <f>IFERROR(Tb_Atualizações[[#This Row],[% EXECUTADO]]/Tb_Atualizações[[#This Row],[% PREVISTO]],"0%")</f>
        <v>0.98792535675082327</v>
      </c>
      <c r="L786" s="31" t="str" cm="1">
        <f t="array" aca="1" ref="L7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6" s="215"/>
      <c r="N786" s="345"/>
      <c r="O786" s="42">
        <f t="shared" si="37"/>
        <v>2025</v>
      </c>
      <c r="P786" s="42" t="str">
        <f t="shared" si="38"/>
        <v>202503558/2021</v>
      </c>
      <c r="Q786" s="42">
        <v>1</v>
      </c>
    </row>
    <row r="787" spans="1:17" ht="15" hidden="1">
      <c r="A787" s="192" t="s">
        <v>580</v>
      </c>
      <c r="B787" s="315" t="str">
        <f>IFERROR(INDEX(Projetos!$B$3:$B$129,MATCH(A787,Projetos!$A$3:$A$129,0))," ")</f>
        <v>SireneJud 2.0 - Evoluções</v>
      </c>
      <c r="D787" s="214">
        <v>0.45</v>
      </c>
      <c r="E787" s="214">
        <v>0.63</v>
      </c>
      <c r="F787" s="219">
        <v>45834</v>
      </c>
      <c r="G787" s="220">
        <v>45809</v>
      </c>
      <c r="H787" s="51" t="str">
        <f t="shared" ref="H787:H850" si="39">A787&amp;G787</f>
        <v>10698/202445809</v>
      </c>
      <c r="I787" s="38" t="str">
        <f>IFERROR(INDEX(Projetos!$M$2:$M$129,MATCH(Atualizações!A786,Projetos!$A$2:$A$129,0))," ")</f>
        <v>31/03/2026</v>
      </c>
      <c r="J787" s="221"/>
      <c r="K787" s="344">
        <f>IFERROR(Tb_Atualizações[[#This Row],[% EXECUTADO]]/Tb_Atualizações[[#This Row],[% PREVISTO]],"0%")</f>
        <v>1.4</v>
      </c>
      <c r="L787" s="31" t="str" cm="1">
        <f t="array" aca="1" ref="L7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7" s="215"/>
      <c r="N787" s="345"/>
      <c r="O787" s="42">
        <f t="shared" ref="O787:O850" si="40">YEAR(F787)</f>
        <v>2025</v>
      </c>
      <c r="P787" s="42" t="str">
        <f t="shared" ref="P787:P850" si="41">O787&amp;A787</f>
        <v>202510698/2024</v>
      </c>
      <c r="Q787" s="42">
        <v>1</v>
      </c>
    </row>
    <row r="788" spans="1:17" ht="15" hidden="1">
      <c r="A788" s="192" t="s">
        <v>638</v>
      </c>
      <c r="B788" s="315" t="str">
        <f>IFERROR(INDEX(Projetos!$B$3:$B$129,MATCH(A788,Projetos!$A$3:$A$129,0))," ")</f>
        <v>Sisperjud</v>
      </c>
      <c r="D788" s="214">
        <v>0.99399999999999999</v>
      </c>
      <c r="E788" s="214">
        <v>0.871</v>
      </c>
      <c r="F788" s="219">
        <v>45834</v>
      </c>
      <c r="G788" s="220">
        <v>45809</v>
      </c>
      <c r="H788" s="51" t="str">
        <f t="shared" si="39"/>
        <v>11644/202245809</v>
      </c>
      <c r="I788" s="38">
        <f>IFERROR(INDEX(Projetos!$M$2:$M$129,MATCH(Atualizações!A787,Projetos!$A$2:$A$129,0))," ")</f>
        <v>46387</v>
      </c>
      <c r="J788" s="221"/>
      <c r="K788" s="344">
        <f>IFERROR(Tb_Atualizações[[#This Row],[% EXECUTADO]]/Tb_Atualizações[[#This Row],[% PREVISTO]],"0%")</f>
        <v>0.8762575452716298</v>
      </c>
      <c r="L788" s="31" t="str" cm="1">
        <f t="array" aca="1" ref="L7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88" s="215"/>
      <c r="N788" s="345"/>
      <c r="O788" s="42">
        <f t="shared" si="40"/>
        <v>2025</v>
      </c>
      <c r="P788" s="42" t="str">
        <f t="shared" si="41"/>
        <v>202511644/2022</v>
      </c>
      <c r="Q788" s="42">
        <v>1</v>
      </c>
    </row>
    <row r="789" spans="1:17" ht="15" hidden="1">
      <c r="A789" s="192" t="s">
        <v>517</v>
      </c>
      <c r="B789" s="315" t="str">
        <f>IFERROR(INDEX(Projetos!$B$3:$B$129,MATCH(A789,Projetos!$A$3:$A$129,0))," ")</f>
        <v>Domicílio Judicial Eletrônico - Melhorias Evolutivas</v>
      </c>
      <c r="D789" s="214">
        <v>1</v>
      </c>
      <c r="E789" s="214">
        <v>0.97399999999999998</v>
      </c>
      <c r="F789" s="219">
        <v>45838</v>
      </c>
      <c r="G789" s="220">
        <v>45809</v>
      </c>
      <c r="H789" s="51" t="str">
        <f t="shared" si="39"/>
        <v>09445/202345809</v>
      </c>
      <c r="I789" s="38">
        <f>IFERROR(INDEX(Projetos!$M$2:$M$129,MATCH(Atualizações!A788,Projetos!$A$2:$A$129,0))," ")</f>
        <v>46352</v>
      </c>
      <c r="J789" s="221"/>
      <c r="K789" s="344">
        <f>IFERROR(Tb_Atualizações[[#This Row],[% EXECUTADO]]/Tb_Atualizações[[#This Row],[% PREVISTO]],"0%")</f>
        <v>0.97399999999999998</v>
      </c>
      <c r="L789" s="31" t="str" cm="1">
        <f t="array" aca="1" ref="L7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89" s="215"/>
      <c r="N789" s="345"/>
      <c r="O789" s="42">
        <f t="shared" si="40"/>
        <v>2025</v>
      </c>
      <c r="P789" s="42" t="str">
        <f t="shared" si="41"/>
        <v>202509445/2023</v>
      </c>
      <c r="Q789" s="42">
        <v>1</v>
      </c>
    </row>
    <row r="790" spans="1:17" ht="15" hidden="1">
      <c r="A790" s="192" t="s">
        <v>549</v>
      </c>
      <c r="B790" s="315" t="str">
        <f>IFERROR(INDEX(Projetos!$B$3:$B$129,MATCH(A790,Projetos!$A$3:$A$129,0))," ")</f>
        <v>Fluxo Nacional Automatizado das Execuções Fiscais (EFIN)</v>
      </c>
      <c r="D790" s="214">
        <v>0.93</v>
      </c>
      <c r="E790" s="214">
        <v>0.81</v>
      </c>
      <c r="F790" s="219">
        <v>45838</v>
      </c>
      <c r="G790" s="220">
        <v>45809</v>
      </c>
      <c r="H790" s="51" t="str">
        <f t="shared" si="39"/>
        <v>09796/202445809</v>
      </c>
      <c r="I790" s="38">
        <f>IFERROR(INDEX(Projetos!$M$2:$M$129,MATCH(Atualizações!A789,Projetos!$A$2:$A$129,0))," ")</f>
        <v>46203</v>
      </c>
      <c r="J790" s="221" t="s">
        <v>1398</v>
      </c>
      <c r="K790" s="344">
        <f>IFERROR(Tb_Atualizações[[#This Row],[% EXECUTADO]]/Tb_Atualizações[[#This Row],[% PREVISTO]],"0%")</f>
        <v>0.87096774193548387</v>
      </c>
      <c r="L790" s="31" t="str" cm="1">
        <f t="array" aca="1" ref="L7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90" s="215"/>
      <c r="N790" s="345"/>
      <c r="O790" s="42">
        <f t="shared" si="40"/>
        <v>2025</v>
      </c>
      <c r="P790" s="42" t="str">
        <f t="shared" si="41"/>
        <v>202509796/2024</v>
      </c>
      <c r="Q790" s="42">
        <v>1</v>
      </c>
    </row>
    <row r="791" spans="1:17" ht="30" hidden="1">
      <c r="A791" s="192" t="s">
        <v>247</v>
      </c>
      <c r="B791" s="315" t="str">
        <f>IFERROR(INDEX(Projetos!$B$3:$B$129,MATCH(A791,Projetos!$A$3:$A$129,0))," ")</f>
        <v>Portal de Serviços</v>
      </c>
      <c r="D791" s="214">
        <v>0.96599999999999997</v>
      </c>
      <c r="E791" s="214">
        <v>0.71599999999999997</v>
      </c>
      <c r="F791" s="219">
        <v>45838</v>
      </c>
      <c r="G791" s="220">
        <v>45809</v>
      </c>
      <c r="H791" s="51" t="str">
        <f t="shared" si="39"/>
        <v>02394/202445809</v>
      </c>
      <c r="I791" s="473">
        <f>IFERROR(INDEX(Projetos!$M$2:$M$129,MATCH(Atualizações!A791,Projetos!$A$2:$A$129,0))," ")</f>
        <v>46387</v>
      </c>
      <c r="J791" s="221"/>
      <c r="K791" s="344">
        <f>IFERROR(Tb_Atualizações[[#This Row],[% EXECUTADO]]/Tb_Atualizações[[#This Row],[% PREVISTO]],"0%")</f>
        <v>0.74120082815734989</v>
      </c>
      <c r="L791" s="31" t="str" cm="1">
        <f t="array" aca="1" ref="L7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91" s="215"/>
      <c r="N791" s="345"/>
      <c r="O791" s="42">
        <f t="shared" si="40"/>
        <v>2025</v>
      </c>
      <c r="P791" s="42" t="str">
        <f t="shared" si="41"/>
        <v>202502394/2024</v>
      </c>
      <c r="Q791" s="42">
        <v>1</v>
      </c>
    </row>
    <row r="792" spans="1:17" ht="300" hidden="1">
      <c r="A792" s="192" t="s">
        <v>458</v>
      </c>
      <c r="B792" s="315" t="str">
        <f>IFERROR(INDEX(Projetos!$B$3:$B$129,MATCH(A792,Projetos!$A$3:$A$129,0))," ")</f>
        <v>SNGB - Melhorias evolutivas</v>
      </c>
      <c r="D792" s="214">
        <v>0.71899999999999997</v>
      </c>
      <c r="E792" s="214">
        <v>0.71899999999999997</v>
      </c>
      <c r="F792" s="219">
        <v>45838</v>
      </c>
      <c r="G792" s="220">
        <v>45809</v>
      </c>
      <c r="H792" s="51" t="str">
        <f t="shared" si="39"/>
        <v>08370/202445809</v>
      </c>
      <c r="I792" s="473">
        <f>IFERROR(INDEX(Projetos!$M$2:$M$129,MATCH(Atualizações!A792,Projetos!$A$2:$A$129,0))," ")</f>
        <v>46101</v>
      </c>
      <c r="J792" s="221" t="s">
        <v>1399</v>
      </c>
      <c r="K792" s="344">
        <f>IFERROR(Tb_Atualizações[[#This Row],[% EXECUTADO]]/Tb_Atualizações[[#This Row],[% PREVISTO]],"0%")</f>
        <v>1</v>
      </c>
      <c r="L792" s="31" t="str" cm="1">
        <f t="array" aca="1" ref="L7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92" s="215"/>
      <c r="N792" s="345"/>
      <c r="O792" s="42">
        <f t="shared" si="40"/>
        <v>2025</v>
      </c>
      <c r="P792" s="42" t="str">
        <f t="shared" si="41"/>
        <v>202508370/2024</v>
      </c>
      <c r="Q792" s="42">
        <v>1</v>
      </c>
    </row>
    <row r="793" spans="1:17" ht="15" hidden="1">
      <c r="A793" s="192" t="s">
        <v>431</v>
      </c>
      <c r="B793" s="315" t="str">
        <f>IFERROR(INDEX(Projetos!$B$3:$B$129,MATCH(A793,Projetos!$A$3:$A$129,0))," ")</f>
        <v>Sniper BC</v>
      </c>
      <c r="D793" s="214">
        <v>0.45700000000000002</v>
      </c>
      <c r="E793" s="214">
        <v>0.42499999999999999</v>
      </c>
      <c r="F793" s="219">
        <v>45838</v>
      </c>
      <c r="G793" s="220">
        <v>45809</v>
      </c>
      <c r="H793" s="51" t="str">
        <f t="shared" si="39"/>
        <v>06826/202445809</v>
      </c>
      <c r="I793" s="38">
        <f>IFERROR(INDEX(Projetos!$M$2:$M$129,MATCH(Atualizações!A792,Projetos!$A$2:$A$129,0))," ")</f>
        <v>46101</v>
      </c>
      <c r="J793" s="221"/>
      <c r="K793" s="344">
        <f>IFERROR(Tb_Atualizações[[#This Row],[% EXECUTADO]]/Tb_Atualizações[[#This Row],[% PREVISTO]],"0%")</f>
        <v>0.92997811816192555</v>
      </c>
      <c r="L793" s="31" t="str" cm="1">
        <f t="array" aca="1" ref="L7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93" s="215"/>
      <c r="N793" s="345"/>
      <c r="O793" s="42">
        <f t="shared" si="40"/>
        <v>2025</v>
      </c>
      <c r="P793" s="42" t="str">
        <f t="shared" si="41"/>
        <v>202506826/2024</v>
      </c>
      <c r="Q793" s="42">
        <v>1</v>
      </c>
    </row>
    <row r="794" spans="1:17" ht="30" hidden="1">
      <c r="A794" s="192" t="s">
        <v>773</v>
      </c>
      <c r="B794" s="315" t="str">
        <f>IFERROR(INDEX(Projetos!$B$3:$B$129,MATCH(A794,Projetos!$A$3:$A$129,0))," ")</f>
        <v>API de Pessoas</v>
      </c>
      <c r="D794" s="214">
        <v>1</v>
      </c>
      <c r="E794" s="214">
        <v>0.83599999999999997</v>
      </c>
      <c r="F794" s="219">
        <v>45839</v>
      </c>
      <c r="G794" s="220">
        <v>45809</v>
      </c>
      <c r="H794" s="51" t="str">
        <f t="shared" si="39"/>
        <v>17372/2024 45809</v>
      </c>
      <c r="I794" s="473">
        <f>IFERROR(INDEX(Projetos!$M$2:$M$129,MATCH(Atualizações!A794,Projetos!$A$2:$A$129,0))," ")</f>
        <v>46371</v>
      </c>
      <c r="J794" s="221"/>
      <c r="K794" s="344">
        <f>IFERROR(Tb_Atualizações[[#This Row],[% EXECUTADO]]/Tb_Atualizações[[#This Row],[% PREVISTO]],"0%")</f>
        <v>0.83599999999999997</v>
      </c>
      <c r="L794" s="31" t="str" cm="1">
        <f t="array" aca="1" ref="L7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94" s="215"/>
      <c r="N794" s="345"/>
      <c r="O794" s="42">
        <f t="shared" si="40"/>
        <v>2025</v>
      </c>
      <c r="P794" s="42" t="str">
        <f t="shared" si="41"/>
        <v xml:space="preserve">202517372/2024 </v>
      </c>
      <c r="Q794" s="42">
        <v>1</v>
      </c>
    </row>
    <row r="795" spans="1:17" ht="15" hidden="1">
      <c r="A795" s="192" t="s">
        <v>257</v>
      </c>
      <c r="B795" s="315" t="str">
        <f>IFERROR(INDEX(Projetos!$B$3:$B$129,MATCH(A795,Projetos!$A$3:$A$129,0))," ")</f>
        <v>SisPreq – Sistema de Precatórios e Requisições de Pequeno Valor</v>
      </c>
      <c r="D795" s="214">
        <v>0.66700000000000004</v>
      </c>
      <c r="E795" s="214">
        <v>0.61299999999999999</v>
      </c>
      <c r="F795" s="219">
        <v>45840</v>
      </c>
      <c r="G795" s="220">
        <v>45809</v>
      </c>
      <c r="H795" s="51" t="str">
        <f t="shared" si="39"/>
        <v>02465/202445809</v>
      </c>
      <c r="I795" s="38">
        <f>IFERROR(INDEX(Projetos!$M$2:$M$129,MATCH(Atualizações!A794,Projetos!$A$2:$A$129,0))," ")</f>
        <v>46371</v>
      </c>
      <c r="J795" s="221"/>
      <c r="K795" s="344">
        <f>IFERROR(Tb_Atualizações[[#This Row],[% EXECUTADO]]/Tb_Atualizações[[#This Row],[% PREVISTO]],"0%")</f>
        <v>0.91904047976011982</v>
      </c>
      <c r="L795" s="31" t="str" cm="1">
        <f t="array" aca="1" ref="L7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795" s="215"/>
      <c r="N795" s="345"/>
      <c r="O795" s="42">
        <f t="shared" si="40"/>
        <v>2025</v>
      </c>
      <c r="P795" s="42" t="str">
        <f t="shared" si="41"/>
        <v>202502465/2024</v>
      </c>
      <c r="Q795" s="42">
        <v>1</v>
      </c>
    </row>
    <row r="796" spans="1:17" ht="30" hidden="1">
      <c r="A796" s="192" t="s">
        <v>661</v>
      </c>
      <c r="B796" s="315" t="str">
        <f>IFERROR(INDEX(Projetos!$B$3:$B$129,MATCH(A796,Projetos!$A$3:$A$129,0))," ")</f>
        <v>BNMP – Banco Nacional de Medidas Penais e Prisões – Melhorias Evolutivas</v>
      </c>
      <c r="D796" s="214">
        <v>0.46400000000000002</v>
      </c>
      <c r="E796" s="214">
        <v>0.33800000000000002</v>
      </c>
      <c r="F796" s="219">
        <v>45842</v>
      </c>
      <c r="G796" s="220">
        <v>45809</v>
      </c>
      <c r="H796" s="51" t="str">
        <f t="shared" si="39"/>
        <v>11776/202445809</v>
      </c>
      <c r="I796" s="38" t="str">
        <f>IFERROR(INDEX(Projetos!$M$2:$M$129,MATCH(Atualizações!A795,Projetos!$A$2:$A$129,0))," ")</f>
        <v>15/12/2026</v>
      </c>
      <c r="J796" s="221"/>
      <c r="K796" s="344">
        <f>IFERROR(Tb_Atualizações[[#This Row],[% EXECUTADO]]/Tb_Atualizações[[#This Row],[% PREVISTO]],"0%")</f>
        <v>0.72844827586206895</v>
      </c>
      <c r="L796" s="31" t="str" cm="1">
        <f t="array" aca="1" ref="L7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796" s="215"/>
      <c r="N796" s="345"/>
      <c r="O796" s="42">
        <f t="shared" si="40"/>
        <v>2025</v>
      </c>
      <c r="P796" s="42" t="str">
        <f t="shared" si="41"/>
        <v>202511776/2024</v>
      </c>
      <c r="Q796" s="42">
        <v>1</v>
      </c>
    </row>
    <row r="797" spans="1:17" ht="15" hidden="1">
      <c r="A797" s="192" t="s">
        <v>396</v>
      </c>
      <c r="B797" s="315" t="str">
        <f>IFERROR(INDEX(Projetos!$B$3:$B$129,MATCH(A797,Projetos!$A$3:$A$129,0))," ")</f>
        <v>CODEX - Melhorias Evolutivas e Corretivas</v>
      </c>
      <c r="D797" s="214">
        <v>0.94299999999999995</v>
      </c>
      <c r="E797" s="214">
        <v>0.92200000000000004</v>
      </c>
      <c r="F797" s="219">
        <v>45842</v>
      </c>
      <c r="G797" s="220">
        <v>45809</v>
      </c>
      <c r="H797" s="51" t="str">
        <f t="shared" si="39"/>
        <v>04751/202245809</v>
      </c>
      <c r="I797" s="473">
        <f>IFERROR(INDEX(Projetos!$M$2:$M$129,MATCH(Atualizações!A797,Projetos!$A$2:$A$129,0))," ")</f>
        <v>46387</v>
      </c>
      <c r="J797" s="221"/>
      <c r="K797" s="344">
        <f>IFERROR(Tb_Atualizações[[#This Row],[% EXECUTADO]]/Tb_Atualizações[[#This Row],[% PREVISTO]],"0%")</f>
        <v>0.9777306468716862</v>
      </c>
      <c r="L797" s="31" t="str" cm="1">
        <f t="array" aca="1" ref="L7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97" s="215"/>
      <c r="N797" s="345"/>
      <c r="O797" s="42">
        <f t="shared" si="40"/>
        <v>2025</v>
      </c>
      <c r="P797" s="42" t="str">
        <f t="shared" si="41"/>
        <v>202504751/2022</v>
      </c>
      <c r="Q797" s="42">
        <v>1</v>
      </c>
    </row>
    <row r="798" spans="1:17" ht="15" hidden="1">
      <c r="A798" s="192" t="s">
        <v>129</v>
      </c>
      <c r="B798" s="315" t="str">
        <f>IFERROR(INDEX(Projetos!$B$3:$B$129,MATCH(A798,Projetos!$A$3:$A$129,0))," ")</f>
        <v>Data Lake - Melhorias Evolutivas e Corretivas</v>
      </c>
      <c r="D798" s="214">
        <v>0.3</v>
      </c>
      <c r="E798" s="214">
        <v>0.34</v>
      </c>
      <c r="F798" s="219">
        <v>45842</v>
      </c>
      <c r="G798" s="220">
        <v>45809</v>
      </c>
      <c r="H798" s="51" t="str">
        <f t="shared" si="39"/>
        <v>01167/202545809</v>
      </c>
      <c r="I798" s="38">
        <f>IFERROR(INDEX(Projetos!$M$2:$M$129,MATCH(Atualizações!A797,Projetos!$A$2:$A$129,0))," ")</f>
        <v>46387</v>
      </c>
      <c r="J798" s="221"/>
      <c r="K798" s="344">
        <f>IFERROR(Tb_Atualizações[[#This Row],[% EXECUTADO]]/Tb_Atualizações[[#This Row],[% PREVISTO]],"0%")</f>
        <v>1.1333333333333335</v>
      </c>
      <c r="L798" s="31" t="str" cm="1">
        <f t="array" aca="1" ref="L7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98" s="215"/>
      <c r="N798" s="345"/>
      <c r="O798" s="42">
        <f t="shared" si="40"/>
        <v>2025</v>
      </c>
      <c r="P798" s="42" t="str">
        <f t="shared" si="41"/>
        <v>202501167/2025</v>
      </c>
      <c r="Q798" s="42">
        <v>1</v>
      </c>
    </row>
    <row r="799" spans="1:17" ht="30" hidden="1">
      <c r="A799" s="192" t="s">
        <v>675</v>
      </c>
      <c r="B799" s="315" t="str">
        <f>IFERROR(INDEX(Projetos!$B$3:$B$129,MATCH(A799,Projetos!$A$3:$A$129,0))," ")</f>
        <v>Pesquisa IA 2024 - Mapeamento dos projetos de Inteligência Artificial em desenvolvimento pelos tribunais brasileiros</v>
      </c>
      <c r="D799" s="214">
        <v>1</v>
      </c>
      <c r="E799" s="214">
        <v>0.98799999999999999</v>
      </c>
      <c r="F799" s="219">
        <v>45842</v>
      </c>
      <c r="G799" s="220">
        <v>45809</v>
      </c>
      <c r="H799" s="51" t="str">
        <f t="shared" si="39"/>
        <v>11988/202445809</v>
      </c>
      <c r="I799" s="38">
        <f>IFERROR(INDEX(Projetos!$M$2:$M$129,MATCH(Atualizações!A798,Projetos!$A$2:$A$129,0))," ")</f>
        <v>46387</v>
      </c>
      <c r="J799" s="221" t="s">
        <v>1400</v>
      </c>
      <c r="K799" s="344">
        <f>IFERROR(Tb_Atualizações[[#This Row],[% EXECUTADO]]/Tb_Atualizações[[#This Row],[% PREVISTO]],"0%")</f>
        <v>0.98799999999999999</v>
      </c>
      <c r="L799" s="31" t="str" cm="1">
        <f t="array" aca="1" ref="L7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799" s="215"/>
      <c r="N799" s="345"/>
      <c r="O799" s="42">
        <f t="shared" si="40"/>
        <v>2025</v>
      </c>
      <c r="P799" s="42" t="str">
        <f t="shared" si="41"/>
        <v>202511988/2024</v>
      </c>
      <c r="Q799" s="42">
        <v>1</v>
      </c>
    </row>
    <row r="800" spans="1:17" ht="15" hidden="1">
      <c r="A800" s="192" t="s">
        <v>722</v>
      </c>
      <c r="B800" s="315" t="str">
        <f>IFERROR(INDEX(Projetos!$B$3:$B$129,MATCH(A800,Projetos!$A$3:$A$129,0))," ")</f>
        <v>Serviços Estruturantes - Melhorias Evolutivas e Corretivas</v>
      </c>
      <c r="D800" s="214">
        <v>0.95399999999999996</v>
      </c>
      <c r="E800" s="214">
        <v>0.95799999999999996</v>
      </c>
      <c r="F800" s="219">
        <v>45842</v>
      </c>
      <c r="G800" s="220">
        <v>45809</v>
      </c>
      <c r="H800" s="51" t="str">
        <f t="shared" si="39"/>
        <v>14965/202445809</v>
      </c>
      <c r="I800" s="473">
        <f>IFERROR(INDEX(Projetos!$M$2:$M$129,MATCH(Atualizações!A800,Projetos!$A$2:$A$129,0))," ")</f>
        <v>46387</v>
      </c>
      <c r="J800" s="221"/>
      <c r="K800" s="344">
        <f>IFERROR(Tb_Atualizações[[#This Row],[% EXECUTADO]]/Tb_Atualizações[[#This Row],[% PREVISTO]],"0%")</f>
        <v>1.0041928721174005</v>
      </c>
      <c r="L800" s="31" t="str" cm="1">
        <f t="array" aca="1" ref="L8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0" s="215"/>
      <c r="N800" s="345"/>
      <c r="O800" s="42">
        <f t="shared" si="40"/>
        <v>2025</v>
      </c>
      <c r="P800" s="42" t="str">
        <f t="shared" si="41"/>
        <v>202514965/2024</v>
      </c>
      <c r="Q800" s="42">
        <v>1</v>
      </c>
    </row>
    <row r="801" spans="1:17" ht="30" hidden="1">
      <c r="A801" s="192" t="s">
        <v>290</v>
      </c>
      <c r="B801" s="315" t="str">
        <f>IFERROR(INDEX(Projetos!$B$3:$B$129,MATCH(A801,Projetos!$A$3:$A$129,0))," ")</f>
        <v>Itinerância Cooperativa na Amazônia Legal – Edição de 2025 – Boca do Acre (AM) e Xapuri (AC)</v>
      </c>
      <c r="D801" s="214">
        <v>0</v>
      </c>
      <c r="E801" s="214">
        <v>0</v>
      </c>
      <c r="F801" s="219">
        <v>45845</v>
      </c>
      <c r="G801" s="220">
        <v>45809</v>
      </c>
      <c r="H801" s="51" t="str">
        <f t="shared" si="39"/>
        <v>02633/202545809</v>
      </c>
      <c r="I801" s="38">
        <f>IFERROR(INDEX(Projetos!$M$2:$M$129,MATCH(Atualizações!A800,Projetos!$A$2:$A$129,0))," ")</f>
        <v>46387</v>
      </c>
      <c r="J801" s="221" t="s">
        <v>1401</v>
      </c>
      <c r="K801" s="344" t="str">
        <f>IFERROR(Tb_Atualizações[[#This Row],[% EXECUTADO]]/Tb_Atualizações[[#This Row],[% PREVISTO]],"0%")</f>
        <v>0%</v>
      </c>
      <c r="L801" s="31" t="str" cm="1">
        <f t="array" aca="1" ref="L8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801" s="215"/>
      <c r="N801" s="345"/>
      <c r="O801" s="42">
        <f t="shared" si="40"/>
        <v>2025</v>
      </c>
      <c r="P801" s="42" t="str">
        <f t="shared" si="41"/>
        <v>202502633/2025</v>
      </c>
      <c r="Q801" s="42">
        <v>1</v>
      </c>
    </row>
    <row r="802" spans="1:17" ht="60" hidden="1">
      <c r="A802" s="192" t="s">
        <v>182</v>
      </c>
      <c r="B802" s="315" t="str">
        <f>IFERROR(INDEX(Projetos!$B$3:$B$129,MATCH(A802,Projetos!$A$3:$A$129,0))," ")</f>
        <v xml:space="preserve">Mineração de Processos do Pje </v>
      </c>
      <c r="D802" s="214">
        <v>0.98</v>
      </c>
      <c r="E802" s="214">
        <v>0.98</v>
      </c>
      <c r="F802" s="219">
        <v>45845</v>
      </c>
      <c r="G802" s="220">
        <v>45809</v>
      </c>
      <c r="H802" s="51" t="str">
        <f t="shared" si="39"/>
        <v>01764/202045809</v>
      </c>
      <c r="I802" s="38">
        <f>IFERROR(INDEX(Projetos!$M$2:$M$129,MATCH(Atualizações!A801,Projetos!$A$2:$A$129,0))," ")</f>
        <v>45912</v>
      </c>
      <c r="J802" s="221" t="s">
        <v>1402</v>
      </c>
      <c r="K802" s="344">
        <f>IFERROR(Tb_Atualizações[[#This Row],[% EXECUTADO]]/Tb_Atualizações[[#This Row],[% PREVISTO]],"0%")</f>
        <v>1</v>
      </c>
      <c r="L802" s="31" t="str" cm="1">
        <f t="array" aca="1" ref="L8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2" s="215"/>
      <c r="N802" s="345"/>
      <c r="O802" s="42">
        <f t="shared" si="40"/>
        <v>2025</v>
      </c>
      <c r="P802" s="42" t="str">
        <f t="shared" si="41"/>
        <v>202501764/2020</v>
      </c>
      <c r="Q802" s="42">
        <v>1</v>
      </c>
    </row>
    <row r="803" spans="1:17" ht="15" hidden="1">
      <c r="A803" s="192" t="s">
        <v>152</v>
      </c>
      <c r="B803" s="315" t="str">
        <f>IFERROR(INDEX(Projetos!$B$3:$B$129,MATCH(A803,Projetos!$A$3:$A$129,0))," ")</f>
        <v>Painel da Fazenda Nacional.</v>
      </c>
      <c r="D803" s="214">
        <v>0.13</v>
      </c>
      <c r="E803" s="214">
        <v>0.13</v>
      </c>
      <c r="F803" s="219">
        <v>45845</v>
      </c>
      <c r="G803" s="220">
        <v>45809</v>
      </c>
      <c r="H803" s="51" t="str">
        <f t="shared" si="39"/>
        <v>01247/202545809</v>
      </c>
      <c r="I803" s="38">
        <f>IFERROR(INDEX(Projetos!$M$2:$M$129,MATCH(Atualizações!A802,Projetos!$A$2:$A$129,0))," ")</f>
        <v>46630</v>
      </c>
      <c r="J803" s="221" t="s">
        <v>1403</v>
      </c>
      <c r="K803" s="344">
        <f>IFERROR(Tb_Atualizações[[#This Row],[% EXECUTADO]]/Tb_Atualizações[[#This Row],[% PREVISTO]],"0%")</f>
        <v>1</v>
      </c>
      <c r="L803" s="31" t="str" cm="1">
        <f t="array" aca="1" ref="L8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3" s="215"/>
      <c r="N803" s="345"/>
      <c r="O803" s="42">
        <f t="shared" si="40"/>
        <v>2025</v>
      </c>
      <c r="P803" s="42" t="str">
        <f t="shared" si="41"/>
        <v>202501247/2025</v>
      </c>
      <c r="Q803" s="42">
        <v>1</v>
      </c>
    </row>
    <row r="804" spans="1:17" ht="15" hidden="1">
      <c r="A804" s="192" t="s">
        <v>523</v>
      </c>
      <c r="B804" s="315" t="str">
        <f>IFERROR(INDEX(Projetos!$B$3:$B$129,MATCH(A804,Projetos!$A$3:$A$129,0))," ")</f>
        <v>Portal Jus BR</v>
      </c>
      <c r="D804" s="214">
        <v>0.88700000000000001</v>
      </c>
      <c r="E804" s="214">
        <v>0.87</v>
      </c>
      <c r="F804" s="219">
        <v>45845</v>
      </c>
      <c r="G804" s="220">
        <v>45809</v>
      </c>
      <c r="H804" s="51" t="str">
        <f t="shared" si="39"/>
        <v>09536/202445809</v>
      </c>
      <c r="I804" s="38">
        <f>IFERROR(INDEX(Projetos!$M$2:$M$129,MATCH(Atualizações!A803,Projetos!$A$2:$A$129,0))," ")</f>
        <v>46387</v>
      </c>
      <c r="J804" s="221"/>
      <c r="K804" s="344">
        <f>IFERROR(Tb_Atualizações[[#This Row],[% EXECUTADO]]/Tb_Atualizações[[#This Row],[% PREVISTO]],"0%")</f>
        <v>0.98083427282976321</v>
      </c>
      <c r="L804" s="31" t="str" cm="1">
        <f t="array" aca="1" ref="L8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4" s="215"/>
      <c r="N804" s="345"/>
      <c r="O804" s="42">
        <f t="shared" si="40"/>
        <v>2025</v>
      </c>
      <c r="P804" s="42" t="str">
        <f t="shared" si="41"/>
        <v>202509536/2024</v>
      </c>
      <c r="Q804" s="42">
        <v>1</v>
      </c>
    </row>
    <row r="805" spans="1:17" ht="90" hidden="1">
      <c r="A805" s="192" t="s">
        <v>559</v>
      </c>
      <c r="B805" s="315" t="str">
        <f>IFERROR(INDEX(Projetos!$B$3:$B$129,MATCH(A805,Projetos!$A$3:$A$129,0))," ")</f>
        <v>Fonajus itinerante</v>
      </c>
      <c r="D805" s="214">
        <v>0.83</v>
      </c>
      <c r="E805" s="214">
        <v>0.83</v>
      </c>
      <c r="F805" s="219">
        <v>45848</v>
      </c>
      <c r="G805" s="220">
        <v>45809</v>
      </c>
      <c r="H805" s="51" t="str">
        <f t="shared" si="39"/>
        <v>10101/202445809</v>
      </c>
      <c r="I805" s="38" t="str">
        <f>IFERROR(INDEX(Projetos!$M$2:$M$129,MATCH(Atualizações!A804,Projetos!$A$2:$A$129,0))," ")</f>
        <v>30/10/2025</v>
      </c>
      <c r="J805" s="221" t="s">
        <v>1404</v>
      </c>
      <c r="K805" s="344">
        <f>IFERROR(Tb_Atualizações[[#This Row],[% EXECUTADO]]/Tb_Atualizações[[#This Row],[% PREVISTO]],"0%")</f>
        <v>1</v>
      </c>
      <c r="L805" s="31" t="str" cm="1">
        <f t="array" aca="1" ref="L8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5" s="215"/>
      <c r="N805" s="345"/>
      <c r="O805" s="42">
        <f t="shared" si="40"/>
        <v>2025</v>
      </c>
      <c r="P805" s="42" t="str">
        <f t="shared" si="41"/>
        <v>202510101/2024</v>
      </c>
      <c r="Q805" s="42">
        <v>1</v>
      </c>
    </row>
    <row r="806" spans="1:17" ht="60" hidden="1">
      <c r="A806" s="192" t="s">
        <v>714</v>
      </c>
      <c r="B806" s="315" t="str">
        <f>IFERROR(INDEX(Projetos!$B$3:$B$129,MATCH(A806,Projetos!$A$3:$A$129,0))," ")</f>
        <v>Programa Novos Caminhos</v>
      </c>
      <c r="D806" s="214">
        <v>0.84</v>
      </c>
      <c r="E806" s="214">
        <v>0.79</v>
      </c>
      <c r="F806" s="219">
        <v>45849</v>
      </c>
      <c r="G806" s="220">
        <v>45809</v>
      </c>
      <c r="H806" s="51" t="str">
        <f t="shared" si="39"/>
        <v>14204/202445809</v>
      </c>
      <c r="I806" s="38" t="str">
        <f>IFERROR(INDEX(Projetos!$M$2:$M$129,MATCH(Atualizações!A805,Projetos!$A$2:$A$129,0))," ")</f>
        <v>30/4/2026</v>
      </c>
      <c r="J806" s="221" t="s">
        <v>1405</v>
      </c>
      <c r="K806" s="344">
        <f>IFERROR(Tb_Atualizações[[#This Row],[% EXECUTADO]]/Tb_Atualizações[[#This Row],[% PREVISTO]],"0%")</f>
        <v>0.94047619047619058</v>
      </c>
      <c r="L806" s="31" t="str" cm="1">
        <f t="array" aca="1" ref="L8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06" s="215"/>
      <c r="N806" s="345"/>
      <c r="O806" s="42">
        <f t="shared" si="40"/>
        <v>2025</v>
      </c>
      <c r="P806" s="42" t="str">
        <f t="shared" si="41"/>
        <v>202514204/2024</v>
      </c>
      <c r="Q806" s="42">
        <v>1</v>
      </c>
    </row>
    <row r="807" spans="1:17" ht="45" hidden="1">
      <c r="A807" s="192" t="s">
        <v>539</v>
      </c>
      <c r="B807" s="315" t="str">
        <f>IFERROR(INDEX(Projetos!$B$3:$B$129,MATCH(A807,Projetos!$A$3:$A$129,0))," ")</f>
        <v>Desenvolvimento do módulo de Sessão de Julgamento (PDPJ-Br)</v>
      </c>
      <c r="D807" s="214">
        <v>0.87</v>
      </c>
      <c r="E807" s="214">
        <v>0.87</v>
      </c>
      <c r="F807" s="219">
        <v>45859</v>
      </c>
      <c r="G807" s="220">
        <v>45809</v>
      </c>
      <c r="H807" s="51" t="str">
        <f t="shared" si="39"/>
        <v>09630/202445809</v>
      </c>
      <c r="I807" s="473">
        <f>IFERROR(INDEX(Projetos!$M$2:$M$129,MATCH(Atualizações!A807,Projetos!$A$2:$A$129,0))," ")</f>
        <v>46387</v>
      </c>
      <c r="J807" s="221" t="s">
        <v>1406</v>
      </c>
      <c r="K807" s="344">
        <f>IFERROR(Tb_Atualizações[[#This Row],[% EXECUTADO]]/Tb_Atualizações[[#This Row],[% PREVISTO]],"0%")</f>
        <v>1</v>
      </c>
      <c r="L807" s="31" t="str" cm="1">
        <f t="array" aca="1" ref="L8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7" s="215"/>
      <c r="N807" s="345"/>
      <c r="O807" s="42">
        <f t="shared" si="40"/>
        <v>2025</v>
      </c>
      <c r="P807" s="42" t="str">
        <f t="shared" si="41"/>
        <v>202509630/2024</v>
      </c>
      <c r="Q807" s="42">
        <v>1</v>
      </c>
    </row>
    <row r="808" spans="1:17" ht="120" hidden="1">
      <c r="A808" s="192" t="s">
        <v>70</v>
      </c>
      <c r="B808" s="315" t="str">
        <f>IFERROR(INDEX(Projetos!$B$3:$B$129,MATCH(A808,Projetos!$A$3:$A$129,0))," ")</f>
        <v>Mapa Nacional do Tribunal do Júri</v>
      </c>
      <c r="D808" s="214">
        <v>0.81</v>
      </c>
      <c r="E808" s="214">
        <v>0.89</v>
      </c>
      <c r="F808" s="219">
        <v>45860</v>
      </c>
      <c r="G808" s="220">
        <v>45839</v>
      </c>
      <c r="H808" s="51" t="str">
        <f t="shared" si="39"/>
        <v>00139/202445839</v>
      </c>
      <c r="I808" s="38">
        <f>IFERROR(INDEX(Projetos!$M$2:$M$129,MATCH(Atualizações!A807,Projetos!$A$2:$A$129,0))," ")</f>
        <v>46387</v>
      </c>
      <c r="J808" s="221" t="s">
        <v>1407</v>
      </c>
      <c r="K808" s="344">
        <f>IFERROR(Tb_Atualizações[[#This Row],[% EXECUTADO]]/Tb_Atualizações[[#This Row],[% PREVISTO]],"0%")</f>
        <v>1.0987654320987654</v>
      </c>
      <c r="L808" s="31" t="str" cm="1">
        <f t="array" aca="1" ref="L8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08" s="215"/>
      <c r="N808" s="345"/>
      <c r="O808" s="42">
        <f t="shared" si="40"/>
        <v>2025</v>
      </c>
      <c r="P808" s="42" t="str">
        <f t="shared" si="41"/>
        <v>202500139/2024</v>
      </c>
      <c r="Q808" s="42">
        <v>1</v>
      </c>
    </row>
    <row r="809" spans="1:17" ht="409.5" hidden="1">
      <c r="A809" s="192" t="s">
        <v>58</v>
      </c>
      <c r="B809" s="315" t="str">
        <f>IFERROR(INDEX(Projetos!$B$3:$B$129,MATCH(A809,Projetos!$A$3:$A$129,0))," ")</f>
        <v>Phase-out: Transição Projetos X Operação</v>
      </c>
      <c r="D809" s="214">
        <v>0.97499999999999998</v>
      </c>
      <c r="E809" s="214">
        <v>0.9</v>
      </c>
      <c r="F809" s="219">
        <v>45863</v>
      </c>
      <c r="G809" s="220">
        <v>45839</v>
      </c>
      <c r="H809" s="51" t="str">
        <f t="shared" si="39"/>
        <v>00030/202545839</v>
      </c>
      <c r="I809" s="38">
        <f>IFERROR(INDEX(Projetos!$M$2:$M$129,MATCH(Atualizações!A808,Projetos!$A$2:$A$129,0))," ")</f>
        <v>46658</v>
      </c>
      <c r="J809" s="221" t="s">
        <v>1408</v>
      </c>
      <c r="K809" s="344">
        <f>IFERROR(Tb_Atualizações[[#This Row],[% EXECUTADO]]/Tb_Atualizações[[#This Row],[% PREVISTO]],"0%")</f>
        <v>0.92307692307692313</v>
      </c>
      <c r="L809" s="31" t="str" cm="1">
        <f t="array" aca="1" ref="L8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09" s="215"/>
      <c r="N809" s="345"/>
      <c r="O809" s="42">
        <f t="shared" si="40"/>
        <v>2025</v>
      </c>
      <c r="P809" s="42" t="str">
        <f t="shared" si="41"/>
        <v>202500030/2025</v>
      </c>
      <c r="Q809" s="42">
        <v>1</v>
      </c>
    </row>
    <row r="810" spans="1:17" ht="255" hidden="1">
      <c r="A810" s="192" t="s">
        <v>310</v>
      </c>
      <c r="B810" s="315" t="str">
        <f>IFERROR(INDEX(Projetos!$B$3:$B$129,MATCH(A810,Projetos!$A$3:$A$129,0))," ")</f>
        <v>Apoio a implantação de soluções da PDPJ-Br</v>
      </c>
      <c r="D810" s="214">
        <v>0.995</v>
      </c>
      <c r="E810" s="214">
        <v>0.65900000000000003</v>
      </c>
      <c r="F810" s="219">
        <v>45866</v>
      </c>
      <c r="G810" s="220">
        <v>45839</v>
      </c>
      <c r="H810" s="51" t="str">
        <f t="shared" si="39"/>
        <v>02887/202445839</v>
      </c>
      <c r="I810" s="473">
        <f>IFERROR(INDEX(Projetos!$M$2:$M$129,MATCH(Atualizações!A810,Projetos!$A$2:$A$129,0))," ")</f>
        <v>46387</v>
      </c>
      <c r="J810" s="221" t="s">
        <v>1409</v>
      </c>
      <c r="K810" s="344">
        <f>IFERROR(Tb_Atualizações[[#This Row],[% EXECUTADO]]/Tb_Atualizações[[#This Row],[% PREVISTO]],"0%")</f>
        <v>0.66231155778894479</v>
      </c>
      <c r="L810" s="31" t="str" cm="1">
        <f t="array" aca="1" ref="L8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10" s="215"/>
      <c r="N810" s="345"/>
      <c r="O810" s="42">
        <f t="shared" si="40"/>
        <v>2025</v>
      </c>
      <c r="P810" s="42" t="str">
        <f t="shared" si="41"/>
        <v>202502887/2024</v>
      </c>
      <c r="Q810" s="42">
        <v>1</v>
      </c>
    </row>
    <row r="811" spans="1:17" ht="30" hidden="1">
      <c r="A811" s="192" t="s">
        <v>152</v>
      </c>
      <c r="B811" s="315" t="str">
        <f>IFERROR(INDEX(Projetos!$B$3:$B$129,MATCH(A811,Projetos!$A$3:$A$129,0))," ")</f>
        <v>Painel da Fazenda Nacional.</v>
      </c>
      <c r="D811" s="214">
        <v>0.17</v>
      </c>
      <c r="E811" s="214">
        <v>0.17</v>
      </c>
      <c r="F811" s="219">
        <v>45866</v>
      </c>
      <c r="G811" s="220">
        <v>45839</v>
      </c>
      <c r="H811" s="51" t="str">
        <f t="shared" si="39"/>
        <v>01247/202545839</v>
      </c>
      <c r="I811" s="38">
        <f>IFERROR(INDEX(Projetos!$M$2:$M$129,MATCH(Atualizações!A810,Projetos!$A$2:$A$129,0))," ")</f>
        <v>46387</v>
      </c>
      <c r="J811" s="221" t="s">
        <v>1410</v>
      </c>
      <c r="K811" s="344">
        <f>IFERROR(Tb_Atualizações[[#This Row],[% EXECUTADO]]/Tb_Atualizações[[#This Row],[% PREVISTO]],"0%")</f>
        <v>1</v>
      </c>
      <c r="L811" s="31" t="str" cm="1">
        <f t="array" aca="1" ref="L8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11" s="215"/>
      <c r="N811" s="345"/>
      <c r="O811" s="42">
        <f t="shared" si="40"/>
        <v>2025</v>
      </c>
      <c r="P811" s="42" t="str">
        <f t="shared" si="41"/>
        <v>202501247/2025</v>
      </c>
      <c r="Q811" s="42">
        <v>1</v>
      </c>
    </row>
    <row r="812" spans="1:17" ht="15" hidden="1">
      <c r="A812" s="192" t="s">
        <v>431</v>
      </c>
      <c r="B812" s="315" t="str">
        <f>IFERROR(INDEX(Projetos!$B$3:$B$129,MATCH(A812,Projetos!$A$3:$A$129,0))," ")</f>
        <v>Sniper BC</v>
      </c>
      <c r="D812" s="214">
        <v>0.54400000000000004</v>
      </c>
      <c r="E812" s="214">
        <v>0.46700000000000003</v>
      </c>
      <c r="F812" s="219">
        <v>45867</v>
      </c>
      <c r="G812" s="220">
        <v>45839</v>
      </c>
      <c r="H812" s="51" t="str">
        <f t="shared" si="39"/>
        <v>06826/202445839</v>
      </c>
      <c r="I812" s="38">
        <f>IFERROR(INDEX(Projetos!$M$2:$M$129,MATCH(Atualizações!A811,Projetos!$A$2:$A$129,0))," ")</f>
        <v>46387</v>
      </c>
      <c r="J812" s="221"/>
      <c r="K812" s="344">
        <f>IFERROR(Tb_Atualizações[[#This Row],[% EXECUTADO]]/Tb_Atualizações[[#This Row],[% PREVISTO]],"0%")</f>
        <v>0.85845588235294112</v>
      </c>
      <c r="L812" s="31" t="str" cm="1">
        <f t="array" aca="1" ref="L8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12" s="215"/>
      <c r="N812" s="345"/>
      <c r="O812" s="42">
        <f t="shared" si="40"/>
        <v>2025</v>
      </c>
      <c r="P812" s="42" t="str">
        <f t="shared" si="41"/>
        <v>202506826/2024</v>
      </c>
      <c r="Q812" s="42">
        <v>1</v>
      </c>
    </row>
    <row r="813" spans="1:17" ht="405" hidden="1">
      <c r="A813" s="192" t="s">
        <v>533</v>
      </c>
      <c r="B813" s="315" t="str">
        <f>IFERROR(INDEX(Projetos!$B$3:$B$129,MATCH(A813,Projetos!$A$3:$A$129,0))," ")</f>
        <v>Qualificação de Dados</v>
      </c>
      <c r="D813" s="214">
        <v>0.74</v>
      </c>
      <c r="E813" s="214">
        <v>0.71</v>
      </c>
      <c r="F813" s="219">
        <v>45867</v>
      </c>
      <c r="G813" s="220">
        <v>45839</v>
      </c>
      <c r="H813" s="51" t="str">
        <f t="shared" si="39"/>
        <v>09613/202445839</v>
      </c>
      <c r="I813" s="473">
        <f>IFERROR(INDEX(Projetos!$M$2:$M$129,MATCH(Atualizações!A813,Projetos!$A$2:$A$129,0))," ")</f>
        <v>46386</v>
      </c>
      <c r="J813" s="221" t="s">
        <v>1411</v>
      </c>
      <c r="K813" s="344">
        <f>IFERROR(Tb_Atualizações[[#This Row],[% EXECUTADO]]/Tb_Atualizações[[#This Row],[% PREVISTO]],"0%")</f>
        <v>0.95945945945945943</v>
      </c>
      <c r="L813" s="31" t="str" cm="1">
        <f t="array" aca="1" ref="L8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13" s="215"/>
      <c r="N813" s="345"/>
      <c r="O813" s="42">
        <f t="shared" si="40"/>
        <v>2025</v>
      </c>
      <c r="P813" s="42" t="str">
        <f t="shared" si="41"/>
        <v>202509613/2024</v>
      </c>
      <c r="Q813" s="42">
        <v>1</v>
      </c>
    </row>
    <row r="814" spans="1:17" ht="15" hidden="1">
      <c r="A814" s="192" t="s">
        <v>350</v>
      </c>
      <c r="B814" s="315" t="str">
        <f>IFERROR(INDEX(Projetos!$B$3:$B$129,MATCH(A814,Projetos!$A$3:$A$129,0))," ")</f>
        <v>Painel de Estatística   - Justiça 4.0</v>
      </c>
      <c r="D814" s="214">
        <v>0.98599999999999999</v>
      </c>
      <c r="E814" s="214">
        <v>0.93899999999999995</v>
      </c>
      <c r="F814" s="219">
        <v>45868</v>
      </c>
      <c r="G814" s="220">
        <v>45839</v>
      </c>
      <c r="H814" s="51" t="str">
        <f t="shared" si="39"/>
        <v>03545/202145839</v>
      </c>
      <c r="I814" s="38">
        <f>IFERROR(INDEX(Projetos!$M$2:$M$129,MATCH(Atualizações!A813,Projetos!$A$2:$A$129,0))," ")</f>
        <v>46386</v>
      </c>
      <c r="J814" s="221"/>
      <c r="K814" s="344">
        <f>IFERROR(Tb_Atualizações[[#This Row],[% EXECUTADO]]/Tb_Atualizações[[#This Row],[% PREVISTO]],"0%")</f>
        <v>0.95233265720081128</v>
      </c>
      <c r="L814" s="31" t="str" cm="1">
        <f t="array" aca="1" ref="L8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14" s="215"/>
      <c r="N814" s="345"/>
      <c r="O814" s="42">
        <f t="shared" si="40"/>
        <v>2025</v>
      </c>
      <c r="P814" s="42" t="str">
        <f t="shared" si="41"/>
        <v>202503545/2021</v>
      </c>
      <c r="Q814" s="42">
        <v>1</v>
      </c>
    </row>
    <row r="815" spans="1:17" ht="15" hidden="1">
      <c r="A815" s="192" t="s">
        <v>684</v>
      </c>
      <c r="B815" s="315" t="str">
        <f>IFERROR(INDEX(Projetos!$B$3:$B$129,MATCH(A815,Projetos!$A$3:$A$129,0))," ")</f>
        <v>Painel dos Grandes Litigantes</v>
      </c>
      <c r="D815" s="214">
        <v>0.98299999999999998</v>
      </c>
      <c r="E815" s="214">
        <v>0.96699999999999997</v>
      </c>
      <c r="F815" s="219">
        <v>45868</v>
      </c>
      <c r="G815" s="220">
        <v>45839</v>
      </c>
      <c r="H815" s="51" t="str">
        <f t="shared" si="39"/>
        <v>12135/202245839</v>
      </c>
      <c r="I815" s="38">
        <f>IFERROR(INDEX(Projetos!$M$2:$M$129,MATCH(Atualizações!A814,Projetos!$A$2:$A$129,0))," ")</f>
        <v>46387</v>
      </c>
      <c r="J815" s="221"/>
      <c r="K815" s="344">
        <f>IFERROR(Tb_Atualizações[[#This Row],[% EXECUTADO]]/Tb_Atualizações[[#This Row],[% PREVISTO]],"0%")</f>
        <v>0.98372329603255337</v>
      </c>
      <c r="L815" s="31" t="str" cm="1">
        <f t="array" aca="1" ref="L8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15" s="215"/>
      <c r="N815" s="345"/>
      <c r="O815" s="42">
        <f t="shared" si="40"/>
        <v>2025</v>
      </c>
      <c r="P815" s="42" t="str">
        <f t="shared" si="41"/>
        <v>202512135/2022</v>
      </c>
      <c r="Q815" s="42">
        <v>1</v>
      </c>
    </row>
    <row r="816" spans="1:17" ht="15" hidden="1">
      <c r="A816" s="192" t="s">
        <v>690</v>
      </c>
      <c r="B816" s="315" t="str">
        <f>IFERROR(INDEX(Projetos!$B$3:$B$129,MATCH(A816,Projetos!$A$3:$A$129,0))," ")</f>
        <v>Painel “Justiça Criminal e Sistema Prisional”</v>
      </c>
      <c r="D816" s="214">
        <v>0.78</v>
      </c>
      <c r="E816" s="214">
        <v>0.75</v>
      </c>
      <c r="F816" s="219">
        <v>45868</v>
      </c>
      <c r="G816" s="220">
        <v>45839</v>
      </c>
      <c r="H816" s="51" t="str">
        <f t="shared" si="39"/>
        <v>12215/202345839</v>
      </c>
      <c r="I816" s="473">
        <f>IFERROR(INDEX(Projetos!$M$2:$M$129,MATCH(Atualizações!A816,Projetos!$A$2:$A$129,0))," ")</f>
        <v>46387</v>
      </c>
      <c r="J816" s="221"/>
      <c r="K816" s="344">
        <f>IFERROR(Tb_Atualizações[[#This Row],[% EXECUTADO]]/Tb_Atualizações[[#This Row],[% PREVISTO]],"0%")</f>
        <v>0.96153846153846145</v>
      </c>
      <c r="L816" s="31" t="str" cm="1">
        <f t="array" aca="1" ref="L8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16" s="215"/>
      <c r="N816" s="345"/>
      <c r="O816" s="42">
        <f t="shared" si="40"/>
        <v>2025</v>
      </c>
      <c r="P816" s="42" t="str">
        <f t="shared" si="41"/>
        <v>202512215/2023</v>
      </c>
      <c r="Q816" s="42">
        <v>1</v>
      </c>
    </row>
    <row r="817" spans="1:17" ht="15" hidden="1">
      <c r="A817" s="192" t="s">
        <v>83</v>
      </c>
      <c r="B817" s="315" t="str">
        <f>IFERROR(INDEX(Projetos!$B$3:$B$129,MATCH(A817,Projetos!$A$3:$A$129,0))," ")</f>
        <v>Painel do Programa Desjudicializa</v>
      </c>
      <c r="D817" s="214">
        <v>0.86399999999999999</v>
      </c>
      <c r="E817" s="214">
        <v>0.75</v>
      </c>
      <c r="F817" s="219">
        <v>45868</v>
      </c>
      <c r="G817" s="220">
        <v>45839</v>
      </c>
      <c r="H817" s="51" t="str">
        <f t="shared" si="39"/>
        <v>00484/202445839</v>
      </c>
      <c r="I817" s="473">
        <f>IFERROR(INDEX(Projetos!$M$2:$M$129,MATCH(Atualizações!A817,Projetos!$A$2:$A$129,0))," ")</f>
        <v>46387</v>
      </c>
      <c r="J817" s="221" t="s">
        <v>1412</v>
      </c>
      <c r="K817" s="344">
        <f>IFERROR(Tb_Atualizações[[#This Row],[% EXECUTADO]]/Tb_Atualizações[[#This Row],[% PREVISTO]],"0%")</f>
        <v>0.86805555555555558</v>
      </c>
      <c r="L817" s="31" t="str" cm="1">
        <f t="array" aca="1" ref="L8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17" s="215"/>
      <c r="N817" s="345"/>
      <c r="O817" s="42">
        <f t="shared" si="40"/>
        <v>2025</v>
      </c>
      <c r="P817" s="42" t="str">
        <f t="shared" si="41"/>
        <v>202500484/2024</v>
      </c>
      <c r="Q817" s="42">
        <v>1</v>
      </c>
    </row>
    <row r="818" spans="1:17" ht="15" hidden="1">
      <c r="A818" s="192" t="s">
        <v>580</v>
      </c>
      <c r="B818" s="315" t="str">
        <f>IFERROR(INDEX(Projetos!$B$3:$B$129,MATCH(A818,Projetos!$A$3:$A$129,0))," ")</f>
        <v>SireneJud 2.0 - Evoluções</v>
      </c>
      <c r="D818" s="214">
        <v>0.49299999999999999</v>
      </c>
      <c r="E818" s="214">
        <v>0.63</v>
      </c>
      <c r="F818" s="219">
        <v>45868</v>
      </c>
      <c r="G818" s="220">
        <v>45839</v>
      </c>
      <c r="H818" s="51" t="str">
        <f t="shared" si="39"/>
        <v>10698/202445839</v>
      </c>
      <c r="I818" s="38">
        <f>IFERROR(INDEX(Projetos!$M$2:$M$129,MATCH(Atualizações!A817,Projetos!$A$2:$A$129,0))," ")</f>
        <v>46387</v>
      </c>
      <c r="J818" s="221"/>
      <c r="K818" s="344">
        <f>IFERROR(Tb_Atualizações[[#This Row],[% EXECUTADO]]/Tb_Atualizações[[#This Row],[% PREVISTO]],"0%")</f>
        <v>1.2778904665314401</v>
      </c>
      <c r="L818" s="31" t="str" cm="1">
        <f t="array" aca="1" ref="L8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18" s="215"/>
      <c r="N818" s="345"/>
      <c r="O818" s="42">
        <f t="shared" si="40"/>
        <v>2025</v>
      </c>
      <c r="P818" s="42" t="str">
        <f t="shared" si="41"/>
        <v>202510698/2024</v>
      </c>
      <c r="Q818" s="42">
        <v>1</v>
      </c>
    </row>
    <row r="819" spans="1:17" ht="15" hidden="1">
      <c r="A819" s="192" t="s">
        <v>358</v>
      </c>
      <c r="B819" s="315" t="str">
        <f>IFERROR(INDEX(Projetos!$B$3:$B$129,MATCH(A819,Projetos!$A$3:$A$129,0))," ")</f>
        <v>Prevjud - Automação de Processos Previdenciários - Justiça 4.0</v>
      </c>
      <c r="D819" s="214">
        <v>0.98099999999999998</v>
      </c>
      <c r="E819" s="214">
        <v>0.90100000000000002</v>
      </c>
      <c r="F819" s="219">
        <v>45869</v>
      </c>
      <c r="G819" s="220">
        <v>45839</v>
      </c>
      <c r="H819" s="51" t="str">
        <f t="shared" si="39"/>
        <v>03558/202145839</v>
      </c>
      <c r="I819" s="38">
        <f>IFERROR(INDEX(Projetos!$M$2:$M$129,MATCH(Atualizações!A818,Projetos!$A$2:$A$129,0))," ")</f>
        <v>46387</v>
      </c>
      <c r="J819" s="221"/>
      <c r="K819" s="344">
        <f>IFERROR(Tb_Atualizações[[#This Row],[% EXECUTADO]]/Tb_Atualizações[[#This Row],[% PREVISTO]],"0%")</f>
        <v>0.91845056065239561</v>
      </c>
      <c r="L819" s="31" t="str" cm="1">
        <f t="array" aca="1" ref="L8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19" s="215"/>
      <c r="N819" s="345"/>
      <c r="O819" s="42">
        <f t="shared" si="40"/>
        <v>2025</v>
      </c>
      <c r="P819" s="42" t="str">
        <f t="shared" si="41"/>
        <v>202503558/2021</v>
      </c>
      <c r="Q819" s="42">
        <v>1</v>
      </c>
    </row>
    <row r="820" spans="1:17" ht="30" hidden="1">
      <c r="A820" s="192" t="s">
        <v>638</v>
      </c>
      <c r="B820" s="315" t="str">
        <f>IFERROR(INDEX(Projetos!$B$3:$B$129,MATCH(A820,Projetos!$A$3:$A$129,0))," ")</f>
        <v>Sisperjud</v>
      </c>
      <c r="D820" s="214">
        <v>0.998</v>
      </c>
      <c r="E820" s="214">
        <v>0.86099999999999999</v>
      </c>
      <c r="F820" s="219">
        <v>45869</v>
      </c>
      <c r="G820" s="220">
        <v>45839</v>
      </c>
      <c r="H820" s="51" t="str">
        <f t="shared" si="39"/>
        <v>11644/202245839</v>
      </c>
      <c r="I820" s="38" t="str">
        <f>IFERROR(INDEX(Projetos!$M$2:$M$129,MATCH(Atualizações!A819,Projetos!$A$2:$A$129,0))," ")</f>
        <v>31/03/2026</v>
      </c>
      <c r="J820" s="221" t="s">
        <v>1413</v>
      </c>
      <c r="K820" s="344">
        <f>IFERROR(Tb_Atualizações[[#This Row],[% EXECUTADO]]/Tb_Atualizações[[#This Row],[% PREVISTO]],"0%")</f>
        <v>0.86272545090180364</v>
      </c>
      <c r="L820" s="31" t="str" cm="1">
        <f t="array" aca="1" ref="L8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20" s="215"/>
      <c r="N820" s="345"/>
      <c r="O820" s="42">
        <f t="shared" si="40"/>
        <v>2025</v>
      </c>
      <c r="P820" s="42" t="str">
        <f t="shared" si="41"/>
        <v>202511644/2022</v>
      </c>
      <c r="Q820" s="42">
        <v>1</v>
      </c>
    </row>
    <row r="821" spans="1:17" ht="30" hidden="1">
      <c r="A821" s="192" t="s">
        <v>644</v>
      </c>
      <c r="B821" s="315" t="str">
        <f>IFERROR(INDEX(Projetos!$B$3:$B$129,MATCH(A821,Projetos!$A$3:$A$129,0))," ")</f>
        <v>BNP/Pangea</v>
      </c>
      <c r="D821" s="214">
        <v>0.80300000000000005</v>
      </c>
      <c r="E821" s="214">
        <v>0.74</v>
      </c>
      <c r="F821" s="219">
        <v>45869</v>
      </c>
      <c r="G821" s="220">
        <v>45839</v>
      </c>
      <c r="H821" s="51" t="str">
        <f t="shared" si="39"/>
        <v>11645/202245839</v>
      </c>
      <c r="I821" s="38" t="str">
        <f>IFERROR(INDEX(Projetos!$M$2:$M$129,MATCH(Atualizações!A821,Projetos!$A$2:$A$129,0))," ")</f>
        <v>23/12/2026</v>
      </c>
      <c r="J821" s="221" t="s">
        <v>1414</v>
      </c>
      <c r="K821" s="344">
        <f>IFERROR(Tb_Atualizações[[#This Row],[% EXECUTADO]]/Tb_Atualizações[[#This Row],[% PREVISTO]],"0%")</f>
        <v>0.921544209215442</v>
      </c>
      <c r="L821" s="31" t="str" cm="1">
        <f t="array" aca="1" ref="L8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21" s="215"/>
      <c r="N821" s="345"/>
      <c r="O821" s="42">
        <f t="shared" si="40"/>
        <v>2025</v>
      </c>
      <c r="P821" s="42" t="str">
        <f t="shared" si="41"/>
        <v>202511645/2022</v>
      </c>
      <c r="Q821" s="42">
        <v>1</v>
      </c>
    </row>
    <row r="822" spans="1:17" ht="15" hidden="1">
      <c r="A822" s="192" t="s">
        <v>888</v>
      </c>
      <c r="B822" s="315" t="str">
        <f>IFERROR(INDEX(Projetos!$B$3:$B$129,MATCH(A822,Projetos!$A$3:$A$129,0))," ")</f>
        <v>Central de Regulação de Vagas (sistema penal)</v>
      </c>
      <c r="D822" s="214">
        <v>1</v>
      </c>
      <c r="E822" s="214">
        <v>1</v>
      </c>
      <c r="F822" s="219">
        <v>45874</v>
      </c>
      <c r="G822" s="220">
        <v>45839</v>
      </c>
      <c r="H822" s="51" t="str">
        <f t="shared" si="39"/>
        <v>174663/202445839</v>
      </c>
      <c r="I822" s="38" t="str">
        <f>IFERROR(INDEX(Projetos!$M$2:$M$129,MATCH(Atualizações!A821,Projetos!$A$2:$A$129,0))," ")</f>
        <v>23/12/2026</v>
      </c>
      <c r="J822" s="221"/>
      <c r="K822" s="344">
        <f>IFERROR(Tb_Atualizações[[#This Row],[% EXECUTADO]]/Tb_Atualizações[[#This Row],[% PREVISTO]],"0%")</f>
        <v>1</v>
      </c>
      <c r="L822" s="31" t="str" cm="1">
        <f t="array" aca="1" ref="L8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822" s="215"/>
      <c r="N822" s="345"/>
      <c r="O822" s="42">
        <f t="shared" si="40"/>
        <v>2025</v>
      </c>
      <c r="P822" s="42" t="str">
        <f t="shared" si="41"/>
        <v>2025174663/2024</v>
      </c>
      <c r="Q822" s="42">
        <v>1</v>
      </c>
    </row>
    <row r="823" spans="1:17" ht="15" hidden="1">
      <c r="A823" s="192" t="s">
        <v>893</v>
      </c>
      <c r="B823" s="315" t="str">
        <f>IFERROR(INDEX(Projetos!$B$3:$B$129,MATCH(A823,Projetos!$A$3:$A$129,0))," ")</f>
        <v>Ação Nacional de Trabalho e Renda (sistema penal)</v>
      </c>
      <c r="D823" s="214">
        <v>0.75</v>
      </c>
      <c r="E823" s="214">
        <v>0.75</v>
      </c>
      <c r="F823" s="219">
        <v>45874</v>
      </c>
      <c r="G823" s="220">
        <v>45839</v>
      </c>
      <c r="H823" s="51" t="str">
        <f t="shared" si="39"/>
        <v>174664/202445839</v>
      </c>
      <c r="I823" s="38">
        <f>IFERROR(INDEX(Projetos!$M$2:$M$129,MATCH(Atualizações!A822,Projetos!$A$2:$A$129,0))," ")</f>
        <v>45962</v>
      </c>
      <c r="J823" s="221"/>
      <c r="K823" s="344">
        <f>IFERROR(Tb_Atualizações[[#This Row],[% EXECUTADO]]/Tb_Atualizações[[#This Row],[% PREVISTO]],"0%")</f>
        <v>1</v>
      </c>
      <c r="L823" s="31" t="str" cm="1">
        <f t="array" aca="1" ref="L8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23" s="215"/>
      <c r="N823" s="345"/>
      <c r="O823" s="42">
        <f t="shared" si="40"/>
        <v>2025</v>
      </c>
      <c r="P823" s="42" t="str">
        <f t="shared" si="41"/>
        <v>2025174664/2024</v>
      </c>
      <c r="Q823" s="42">
        <v>1</v>
      </c>
    </row>
    <row r="824" spans="1:17" ht="15" hidden="1">
      <c r="A824" s="192" t="s">
        <v>901</v>
      </c>
      <c r="B824" s="315" t="str">
        <f>IFERROR(INDEX(Projetos!$B$3:$B$129,MATCH(A824,Projetos!$A$3:$A$129,0))," ")</f>
        <v>Plano Nacional de Fomento ao Esporte e Lazer (sistema penal)</v>
      </c>
      <c r="D824" s="214">
        <v>0.5</v>
      </c>
      <c r="E824" s="214">
        <v>0.5</v>
      </c>
      <c r="F824" s="219">
        <v>45874</v>
      </c>
      <c r="G824" s="220">
        <v>45839</v>
      </c>
      <c r="H824" s="51" t="str">
        <f t="shared" si="39"/>
        <v>174666/202445839</v>
      </c>
      <c r="I824" s="38">
        <f>IFERROR(INDEX(Projetos!$M$2:$M$129,MATCH(Atualizações!A823,Projetos!$A$2:$A$129,0))," ")</f>
        <v>45900</v>
      </c>
      <c r="J824" s="221"/>
      <c r="K824" s="344">
        <f>IFERROR(Tb_Atualizações[[#This Row],[% EXECUTADO]]/Tb_Atualizações[[#This Row],[% PREVISTO]],"0%")</f>
        <v>1</v>
      </c>
      <c r="L824" s="31" t="str" cm="1">
        <f t="array" aca="1" ref="L8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24" s="215"/>
      <c r="N824" s="345"/>
      <c r="O824" s="42">
        <f t="shared" si="40"/>
        <v>2025</v>
      </c>
      <c r="P824" s="42" t="str">
        <f t="shared" si="41"/>
        <v>2025174666/2024</v>
      </c>
      <c r="Q824" s="42">
        <v>1</v>
      </c>
    </row>
    <row r="825" spans="1:17" ht="15" hidden="1">
      <c r="A825" s="192" t="s">
        <v>834</v>
      </c>
      <c r="B825" s="315" t="str">
        <f>IFERROR(INDEX(Projetos!$B$3:$B$129,MATCH(A825,Projetos!$A$3:$A$129,0))," ")</f>
        <v>Inspeção Judicial</v>
      </c>
      <c r="D825" s="214">
        <v>0.75</v>
      </c>
      <c r="E825" s="214">
        <v>0.75</v>
      </c>
      <c r="F825" s="219">
        <v>45874</v>
      </c>
      <c r="G825" s="220">
        <v>45839</v>
      </c>
      <c r="H825" s="51" t="str">
        <f t="shared" si="39"/>
        <v>1746619/202445839</v>
      </c>
      <c r="I825" s="38">
        <f>IFERROR(INDEX(Projetos!$M$2:$M$129,MATCH(Atualizações!A824,Projetos!$A$2:$A$129,0))," ")</f>
        <v>46203</v>
      </c>
      <c r="J825" s="221"/>
      <c r="K825" s="344">
        <f>IFERROR(Tb_Atualizações[[#This Row],[% EXECUTADO]]/Tb_Atualizações[[#This Row],[% PREVISTO]],"0%")</f>
        <v>1</v>
      </c>
      <c r="L825" s="31" t="str" cm="1">
        <f t="array" aca="1" ref="L8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25" s="215"/>
      <c r="N825" s="345"/>
      <c r="O825" s="42">
        <f t="shared" si="40"/>
        <v>2025</v>
      </c>
      <c r="P825" s="42" t="str">
        <f t="shared" si="41"/>
        <v>20251746619/2024</v>
      </c>
      <c r="Q825" s="42">
        <v>1</v>
      </c>
    </row>
    <row r="826" spans="1:17" ht="15" hidden="1">
      <c r="A826" s="192" t="s">
        <v>844</v>
      </c>
      <c r="B826" s="315" t="str">
        <f>IFERROR(INDEX(Projetos!$B$3:$B$129,MATCH(A826,Projetos!$A$3:$A$129,0))," ")</f>
        <v>Enfrentamento da Tortura</v>
      </c>
      <c r="D826" s="214">
        <v>0.75</v>
      </c>
      <c r="E826" s="214">
        <v>0.75</v>
      </c>
      <c r="F826" s="219">
        <v>45874</v>
      </c>
      <c r="G826" s="220">
        <v>45839</v>
      </c>
      <c r="H826" s="51" t="str">
        <f t="shared" si="39"/>
        <v>1746620/202445839</v>
      </c>
      <c r="I826" s="38">
        <f>IFERROR(INDEX(Projetos!$M$2:$M$129,MATCH(Atualizações!A825,Projetos!$A$2:$A$129,0))," ")</f>
        <v>46011</v>
      </c>
      <c r="J826" s="221"/>
      <c r="K826" s="344">
        <f>IFERROR(Tb_Atualizações[[#This Row],[% EXECUTADO]]/Tb_Atualizações[[#This Row],[% PREVISTO]],"0%")</f>
        <v>1</v>
      </c>
      <c r="L826" s="31" t="str" cm="1">
        <f t="array" aca="1" ref="L8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26" s="215"/>
      <c r="N826" s="345"/>
      <c r="O826" s="42">
        <f t="shared" si="40"/>
        <v>2025</v>
      </c>
      <c r="P826" s="42" t="str">
        <f t="shared" si="41"/>
        <v>20251746620/2024</v>
      </c>
      <c r="Q826" s="42">
        <v>1</v>
      </c>
    </row>
    <row r="827" spans="1:17" ht="30" hidden="1">
      <c r="A827" s="192" t="s">
        <v>865</v>
      </c>
      <c r="B827" s="315" t="str">
        <f>IFERROR(INDEX(Projetos!$B$3:$B$129,MATCH(A827,Projetos!$A$3:$A$129,0))," ")</f>
        <v>Articulação Internacional e Proteção dos Direitos Humanos</v>
      </c>
      <c r="D827" s="214">
        <v>0.5</v>
      </c>
      <c r="E827" s="214">
        <v>0.5</v>
      </c>
      <c r="F827" s="219">
        <v>45874</v>
      </c>
      <c r="G827" s="220">
        <v>45839</v>
      </c>
      <c r="H827" s="51" t="str">
        <f t="shared" si="39"/>
        <v>1746625/202445839</v>
      </c>
      <c r="I827" s="38">
        <f>IFERROR(INDEX(Projetos!$M$2:$M$129,MATCH(Atualizações!A826,Projetos!$A$2:$A$129,0))," ")</f>
        <v>46387</v>
      </c>
      <c r="J827" s="221" t="s">
        <v>1415</v>
      </c>
      <c r="K827" s="344">
        <f>IFERROR(Tb_Atualizações[[#This Row],[% EXECUTADO]]/Tb_Atualizações[[#This Row],[% PREVISTO]],"0%")</f>
        <v>1</v>
      </c>
      <c r="L827" s="31" t="str" cm="1">
        <f t="array" aca="1" ref="L8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27" s="215"/>
      <c r="N827" s="345"/>
      <c r="O827" s="42">
        <f t="shared" si="40"/>
        <v>2025</v>
      </c>
      <c r="P827" s="42" t="str">
        <f t="shared" si="41"/>
        <v>20251746625/2024</v>
      </c>
      <c r="Q827" s="42">
        <v>1</v>
      </c>
    </row>
    <row r="828" spans="1:17" ht="15" hidden="1">
      <c r="A828" s="192" t="s">
        <v>209</v>
      </c>
      <c r="B828" s="315" t="str">
        <f>IFERROR(INDEX(Projetos!$B$3:$B$129,MATCH(A828,Projetos!$A$3:$A$129,0))," ")</f>
        <v>Capacitação técnica para desenvolvedores nas tecnologias da PDPJ - BR</v>
      </c>
      <c r="D828" s="214">
        <v>1</v>
      </c>
      <c r="E828" s="214">
        <v>0.99</v>
      </c>
      <c r="F828" s="219">
        <v>45874</v>
      </c>
      <c r="G828" s="220">
        <v>45839</v>
      </c>
      <c r="H828" s="51" t="str">
        <f t="shared" si="39"/>
        <v>01945/202245839</v>
      </c>
      <c r="I828" s="38">
        <f>IFERROR(INDEX(Projetos!$M$2:$M$129,MATCH(Atualizações!A827,Projetos!$A$2:$A$129,0))," ")</f>
        <v>46233</v>
      </c>
      <c r="J828" s="221" t="s">
        <v>1416</v>
      </c>
      <c r="K828" s="344">
        <f>IFERROR(Tb_Atualizações[[#This Row],[% EXECUTADO]]/Tb_Atualizações[[#This Row],[% PREVISTO]],"0%")</f>
        <v>0.99</v>
      </c>
      <c r="L828" s="31" t="str" cm="1">
        <f t="array" aca="1" ref="L8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28" s="215"/>
      <c r="N828" s="345"/>
      <c r="O828" s="42">
        <f t="shared" si="40"/>
        <v>2025</v>
      </c>
      <c r="P828" s="42" t="str">
        <f t="shared" si="41"/>
        <v>202501945/2022</v>
      </c>
      <c r="Q828" s="42">
        <v>1</v>
      </c>
    </row>
    <row r="829" spans="1:17" ht="30" hidden="1">
      <c r="A829" s="192" t="s">
        <v>229</v>
      </c>
      <c r="B829" s="315" t="str">
        <f>IFERROR(INDEX(Projetos!$B$3:$B$129,MATCH(A829,Projetos!$A$3:$A$129,0))," ")</f>
        <v>Gabinete do Juízo</v>
      </c>
      <c r="D829" s="214">
        <v>0.98899999999999999</v>
      </c>
      <c r="E829" s="214">
        <v>0.85399999999999998</v>
      </c>
      <c r="F829" s="219">
        <v>45874</v>
      </c>
      <c r="G829" s="220">
        <v>45839</v>
      </c>
      <c r="H829" s="51" t="str">
        <f t="shared" si="39"/>
        <v>02080/202345839</v>
      </c>
      <c r="I829" s="38">
        <f>IFERROR(INDEX(Projetos!$M$2:$M$129,MATCH(Atualizações!A828,Projetos!$A$2:$A$129,0))," ")</f>
        <v>45866</v>
      </c>
      <c r="J829" s="221"/>
      <c r="K829" s="344">
        <f>IFERROR(Tb_Atualizações[[#This Row],[% EXECUTADO]]/Tb_Atualizações[[#This Row],[% PREVISTO]],"0%")</f>
        <v>0.86349848331648127</v>
      </c>
      <c r="L829" s="31" t="str" cm="1">
        <f t="array" aca="1" ref="L8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29" s="215"/>
      <c r="N829" s="345"/>
      <c r="O829" s="42">
        <f t="shared" si="40"/>
        <v>2025</v>
      </c>
      <c r="P829" s="42" t="str">
        <f t="shared" si="41"/>
        <v>202502080/2023</v>
      </c>
      <c r="Q829" s="42">
        <v>1</v>
      </c>
    </row>
    <row r="830" spans="1:17" ht="15" hidden="1">
      <c r="A830" s="192" t="s">
        <v>257</v>
      </c>
      <c r="B830" s="315" t="str">
        <f>IFERROR(INDEX(Projetos!$B$3:$B$129,MATCH(A830,Projetos!$A$3:$A$129,0))," ")</f>
        <v>SisPreq – Sistema de Precatórios e Requisições de Pequeno Valor</v>
      </c>
      <c r="D830" s="214">
        <v>0.7</v>
      </c>
      <c r="E830" s="214">
        <v>0.63</v>
      </c>
      <c r="F830" s="219">
        <v>45874</v>
      </c>
      <c r="G830" s="220">
        <v>45839</v>
      </c>
      <c r="H830" s="51" t="str">
        <f t="shared" si="39"/>
        <v>02465/202445839</v>
      </c>
      <c r="I830" s="38">
        <f>IFERROR(INDEX(Projetos!$M$2:$M$129,MATCH(Atualizações!A829,Projetos!$A$2:$A$129,0))," ")</f>
        <v>46379</v>
      </c>
      <c r="J830" s="221"/>
      <c r="K830" s="344">
        <f>IFERROR(Tb_Atualizações[[#This Row],[% EXECUTADO]]/Tb_Atualizações[[#This Row],[% PREVISTO]],"0%")</f>
        <v>0.9</v>
      </c>
      <c r="L830" s="31" t="str" cm="1">
        <f t="array" aca="1" ref="L8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30" s="215"/>
      <c r="N830" s="345"/>
      <c r="O830" s="42">
        <f t="shared" si="40"/>
        <v>2025</v>
      </c>
      <c r="P830" s="42" t="str">
        <f t="shared" si="41"/>
        <v>202502465/2024</v>
      </c>
      <c r="Q830" s="42">
        <v>1</v>
      </c>
    </row>
    <row r="831" spans="1:17" ht="30" hidden="1">
      <c r="A831" s="192" t="s">
        <v>549</v>
      </c>
      <c r="B831" s="315" t="str">
        <f>IFERROR(INDEX(Projetos!$B$3:$B$129,MATCH(A831,Projetos!$A$3:$A$129,0))," ")</f>
        <v>Fluxo Nacional Automatizado das Execuções Fiscais (EFIN)</v>
      </c>
      <c r="D831" s="214">
        <v>0.93</v>
      </c>
      <c r="E831" s="214">
        <v>0.83699999999999997</v>
      </c>
      <c r="F831" s="219">
        <v>45874</v>
      </c>
      <c r="G831" s="220">
        <v>45839</v>
      </c>
      <c r="H831" s="51" t="str">
        <f t="shared" si="39"/>
        <v>09796/202445839</v>
      </c>
      <c r="I831" s="38" t="str">
        <f>IFERROR(INDEX(Projetos!$M$2:$M$129,MATCH(Atualizações!A830,Projetos!$A$2:$A$129,0))," ")</f>
        <v>15/12/2026</v>
      </c>
      <c r="J831" s="221" t="s">
        <v>1417</v>
      </c>
      <c r="K831" s="344">
        <f>IFERROR(Tb_Atualizações[[#This Row],[% EXECUTADO]]/Tb_Atualizações[[#This Row],[% PREVISTO]],"0%")</f>
        <v>0.89999999999999991</v>
      </c>
      <c r="L831" s="31" t="str" cm="1">
        <f t="array" aca="1" ref="L8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31" s="215"/>
      <c r="N831" s="345"/>
      <c r="O831" s="42">
        <f t="shared" si="40"/>
        <v>2025</v>
      </c>
      <c r="P831" s="42" t="str">
        <f t="shared" si="41"/>
        <v>202509796/2024</v>
      </c>
      <c r="Q831" s="42">
        <v>1</v>
      </c>
    </row>
    <row r="832" spans="1:17" ht="15" hidden="1">
      <c r="A832" s="192" t="s">
        <v>458</v>
      </c>
      <c r="B832" s="315" t="str">
        <f>IFERROR(INDEX(Projetos!$B$3:$B$129,MATCH(A832,Projetos!$A$3:$A$129,0))," ")</f>
        <v>SNGB - Melhorias evolutivas</v>
      </c>
      <c r="D832" s="214">
        <v>0.79200000000000004</v>
      </c>
      <c r="E832" s="214">
        <v>0.754</v>
      </c>
      <c r="F832" s="219">
        <v>45874</v>
      </c>
      <c r="G832" s="220">
        <v>45839</v>
      </c>
      <c r="H832" s="51" t="str">
        <f t="shared" si="39"/>
        <v>08370/202445839</v>
      </c>
      <c r="I832" s="473">
        <f>IFERROR(INDEX(Projetos!$M$2:$M$129,MATCH(Atualizações!A832,Projetos!$A$2:$A$129,0))," ")</f>
        <v>46101</v>
      </c>
      <c r="J832" s="221"/>
      <c r="K832" s="344">
        <f>IFERROR(Tb_Atualizações[[#This Row],[% EXECUTADO]]/Tb_Atualizações[[#This Row],[% PREVISTO]],"0%")</f>
        <v>0.95202020202020199</v>
      </c>
      <c r="L832" s="31" t="str" cm="1">
        <f t="array" aca="1" ref="L8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32" s="215"/>
      <c r="N832" s="345"/>
      <c r="O832" s="42">
        <f t="shared" si="40"/>
        <v>2025</v>
      </c>
      <c r="P832" s="42" t="str">
        <f t="shared" si="41"/>
        <v>202508370/2024</v>
      </c>
      <c r="Q832" s="42">
        <v>1</v>
      </c>
    </row>
    <row r="833" spans="1:17" ht="15" hidden="1">
      <c r="A833" s="192" t="s">
        <v>523</v>
      </c>
      <c r="B833" s="315" t="str">
        <f>IFERROR(INDEX(Projetos!$B$3:$B$129,MATCH(A833,Projetos!$A$3:$A$129,0))," ")</f>
        <v>Portal Jus BR</v>
      </c>
      <c r="D833" s="214">
        <v>0.91100000000000003</v>
      </c>
      <c r="E833" s="214">
        <v>0.88</v>
      </c>
      <c r="F833" s="219">
        <v>45874</v>
      </c>
      <c r="G833" s="220">
        <v>45839</v>
      </c>
      <c r="H833" s="51" t="str">
        <f t="shared" si="39"/>
        <v>09536/202445839</v>
      </c>
      <c r="I833" s="38">
        <f>IFERROR(INDEX(Projetos!$M$2:$M$129,MATCH(Atualizações!A832,Projetos!$A$2:$A$129,0))," ")</f>
        <v>46101</v>
      </c>
      <c r="J833" s="221"/>
      <c r="K833" s="344">
        <f>IFERROR(Tb_Atualizações[[#This Row],[% EXECUTADO]]/Tb_Atualizações[[#This Row],[% PREVISTO]],"0%")</f>
        <v>0.96597145993413824</v>
      </c>
      <c r="L833" s="31" t="str" cm="1">
        <f t="array" aca="1" ref="L8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33" s="215"/>
      <c r="N833" s="345"/>
      <c r="O833" s="42">
        <f t="shared" si="40"/>
        <v>2025</v>
      </c>
      <c r="P833" s="42" t="str">
        <f t="shared" si="41"/>
        <v>202509536/2024</v>
      </c>
      <c r="Q833" s="42">
        <v>1</v>
      </c>
    </row>
    <row r="834" spans="1:17" ht="30" hidden="1">
      <c r="A834" s="192" t="s">
        <v>247</v>
      </c>
      <c r="B834" s="315" t="str">
        <f>IFERROR(INDEX(Projetos!$B$3:$B$129,MATCH(A834,Projetos!$A$3:$A$129,0))," ")</f>
        <v>Portal de Serviços</v>
      </c>
      <c r="D834" s="214">
        <v>1</v>
      </c>
      <c r="E834" s="214">
        <v>0.71599999999999997</v>
      </c>
      <c r="F834" s="219">
        <v>45874</v>
      </c>
      <c r="G834" s="220">
        <v>45839</v>
      </c>
      <c r="H834" s="51" t="str">
        <f t="shared" si="39"/>
        <v>02394/202445839</v>
      </c>
      <c r="I834" s="473">
        <f>IFERROR(INDEX(Projetos!$M$2:$M$129,MATCH(Atualizações!A834,Projetos!$A$2:$A$129,0))," ")</f>
        <v>46387</v>
      </c>
      <c r="J834" s="221"/>
      <c r="K834" s="344">
        <f>IFERROR(Tb_Atualizações[[#This Row],[% EXECUTADO]]/Tb_Atualizações[[#This Row],[% PREVISTO]],"0%")</f>
        <v>0.71599999999999997</v>
      </c>
      <c r="L834" s="31" t="str" cm="1">
        <f t="array" aca="1" ref="L8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34" s="215"/>
      <c r="N834" s="345"/>
      <c r="O834" s="42">
        <f t="shared" si="40"/>
        <v>2025</v>
      </c>
      <c r="P834" s="42" t="str">
        <f t="shared" si="41"/>
        <v>202502394/2024</v>
      </c>
      <c r="Q834" s="42">
        <v>1</v>
      </c>
    </row>
    <row r="835" spans="1:17" ht="30" hidden="1">
      <c r="A835" s="192" t="s">
        <v>517</v>
      </c>
      <c r="B835" s="315" t="str">
        <f>IFERROR(INDEX(Projetos!$B$3:$B$129,MATCH(A835,Projetos!$A$3:$A$129,0))," ")</f>
        <v>Domicílio Judicial Eletrônico - Melhorias Evolutivas</v>
      </c>
      <c r="D835" s="214">
        <v>0.94</v>
      </c>
      <c r="E835" s="214">
        <v>0.93899999999999995</v>
      </c>
      <c r="F835" s="219">
        <v>45874</v>
      </c>
      <c r="G835" s="220">
        <v>45839</v>
      </c>
      <c r="H835" s="51" t="str">
        <f t="shared" si="39"/>
        <v>09445/202345839</v>
      </c>
      <c r="I835" s="38">
        <f>IFERROR(INDEX(Projetos!$M$2:$M$129,MATCH(Atualizações!A834,Projetos!$A$2:$A$129,0))," ")</f>
        <v>46387</v>
      </c>
      <c r="J835" s="221" t="s">
        <v>1418</v>
      </c>
      <c r="K835" s="344">
        <f>IFERROR(Tb_Atualizações[[#This Row],[% EXECUTADO]]/Tb_Atualizações[[#This Row],[% PREVISTO]],"0%")</f>
        <v>0.99893617021276593</v>
      </c>
      <c r="L835" s="31" t="str" cm="1">
        <f t="array" aca="1" ref="L8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35" s="215"/>
      <c r="N835" s="345"/>
      <c r="O835" s="42">
        <f t="shared" si="40"/>
        <v>2025</v>
      </c>
      <c r="P835" s="42" t="str">
        <f t="shared" si="41"/>
        <v>202509445/2023</v>
      </c>
      <c r="Q835" s="42">
        <v>1</v>
      </c>
    </row>
    <row r="836" spans="1:17" ht="30" hidden="1">
      <c r="A836" s="192" t="s">
        <v>675</v>
      </c>
      <c r="B836" s="315" t="str">
        <f>IFERROR(INDEX(Projetos!$B$3:$B$129,MATCH(A836,Projetos!$A$3:$A$129,0))," ")</f>
        <v>Pesquisa IA 2024 - Mapeamento dos projetos de Inteligência Artificial em desenvolvimento pelos tribunais brasileiros</v>
      </c>
      <c r="D836" s="214">
        <v>1</v>
      </c>
      <c r="E836" s="214">
        <v>0.98799999999999999</v>
      </c>
      <c r="F836" s="219">
        <v>45874</v>
      </c>
      <c r="G836" s="220">
        <v>45839</v>
      </c>
      <c r="H836" s="51" t="str">
        <f t="shared" si="39"/>
        <v>11988/202445839</v>
      </c>
      <c r="I836" s="38">
        <f>IFERROR(INDEX(Projetos!$M$2:$M$129,MATCH(Atualizações!A835,Projetos!$A$2:$A$129,0))," ")</f>
        <v>46203</v>
      </c>
      <c r="J836" s="221"/>
      <c r="K836" s="344">
        <f>IFERROR(Tb_Atualizações[[#This Row],[% EXECUTADO]]/Tb_Atualizações[[#This Row],[% PREVISTO]],"0%")</f>
        <v>0.98799999999999999</v>
      </c>
      <c r="L836" s="31" t="str" cm="1">
        <f t="array" aca="1" ref="L8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36" s="215"/>
      <c r="N836" s="345"/>
      <c r="O836" s="42">
        <f t="shared" si="40"/>
        <v>2025</v>
      </c>
      <c r="P836" s="42" t="str">
        <f t="shared" si="41"/>
        <v>202511988/2024</v>
      </c>
      <c r="Q836" s="42">
        <v>1</v>
      </c>
    </row>
    <row r="837" spans="1:17" ht="30" hidden="1">
      <c r="A837" s="192" t="s">
        <v>773</v>
      </c>
      <c r="B837" s="315" t="str">
        <f>IFERROR(INDEX(Projetos!$B$3:$B$129,MATCH(A837,Projetos!$A$3:$A$129,0))," ")</f>
        <v>API de Pessoas</v>
      </c>
      <c r="D837" s="214">
        <v>1</v>
      </c>
      <c r="E837" s="214">
        <v>0.84599999999999997</v>
      </c>
      <c r="F837" s="219">
        <v>45874</v>
      </c>
      <c r="G837" s="220">
        <v>45839</v>
      </c>
      <c r="H837" s="51" t="str">
        <f t="shared" si="39"/>
        <v>17372/2024 45839</v>
      </c>
      <c r="I837" s="473">
        <f>IFERROR(INDEX(Projetos!$M$2:$M$129,MATCH(Atualizações!A837,Projetos!$A$2:$A$129,0))," ")</f>
        <v>46371</v>
      </c>
      <c r="J837" s="221"/>
      <c r="K837" s="344">
        <f>IFERROR(Tb_Atualizações[[#This Row],[% EXECUTADO]]/Tb_Atualizações[[#This Row],[% PREVISTO]],"0%")</f>
        <v>0.84599999999999997</v>
      </c>
      <c r="L837" s="31" t="str" cm="1">
        <f t="array" aca="1" ref="L8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37" s="215"/>
      <c r="N837" s="345"/>
      <c r="O837" s="42">
        <f t="shared" si="40"/>
        <v>2025</v>
      </c>
      <c r="P837" s="42" t="str">
        <f t="shared" si="41"/>
        <v xml:space="preserve">202517372/2024 </v>
      </c>
      <c r="Q837" s="42">
        <v>1</v>
      </c>
    </row>
    <row r="838" spans="1:17" ht="45" hidden="1">
      <c r="A838" s="192" t="s">
        <v>219</v>
      </c>
      <c r="B838" s="315" t="str">
        <f>IFERROR(INDEX(Projetos!$B$3:$B$129,MATCH(A838,Projetos!$A$3:$A$129,0))," ")</f>
        <v xml:space="preserve">Aperfeiçoamento funcional em temáticas prioritárias para o CNJ e para Justiça Federal 
(cursos, capacitações, metodologias e ferramentas avançados) – Ciclo Avançado </v>
      </c>
      <c r="D838" s="214">
        <v>0.438</v>
      </c>
      <c r="E838" s="214">
        <v>0.33900000000000002</v>
      </c>
      <c r="F838" s="219">
        <v>45874</v>
      </c>
      <c r="G838" s="220">
        <v>45839</v>
      </c>
      <c r="H838" s="51" t="str">
        <f t="shared" si="39"/>
        <v>02024/202445839</v>
      </c>
      <c r="I838" s="473">
        <f>IFERROR(INDEX(Projetos!$M$2:$M$129,MATCH(Atualizações!A838,Projetos!$A$2:$A$129,0))," ")</f>
        <v>46246</v>
      </c>
      <c r="J838" s="221"/>
      <c r="K838" s="344">
        <f>IFERROR(Tb_Atualizações[[#This Row],[% EXECUTADO]]/Tb_Atualizações[[#This Row],[% PREVISTO]],"0%")</f>
        <v>0.77397260273972612</v>
      </c>
      <c r="L838" s="31" t="str" cm="1">
        <f t="array" aca="1" ref="L8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38" s="215"/>
      <c r="N838" s="345"/>
      <c r="O838" s="42">
        <f t="shared" si="40"/>
        <v>2025</v>
      </c>
      <c r="P838" s="42" t="str">
        <f t="shared" si="41"/>
        <v>202502024/2024</v>
      </c>
      <c r="Q838" s="42">
        <v>1</v>
      </c>
    </row>
    <row r="839" spans="1:17" ht="30" hidden="1">
      <c r="A839" s="192" t="s">
        <v>661</v>
      </c>
      <c r="B839" s="315" t="str">
        <f>IFERROR(INDEX(Projetos!$B$3:$B$129,MATCH(A839,Projetos!$A$3:$A$129,0))," ")</f>
        <v>BNMP – Banco Nacional de Medidas Penais e Prisões – Melhorias Evolutivas</v>
      </c>
      <c r="D839" s="214">
        <v>0.51700000000000002</v>
      </c>
      <c r="E839" s="214">
        <v>0.33800000000000002</v>
      </c>
      <c r="F839" s="219">
        <v>45874</v>
      </c>
      <c r="G839" s="220">
        <v>45839</v>
      </c>
      <c r="H839" s="51" t="str">
        <f t="shared" si="39"/>
        <v>11776/202445839</v>
      </c>
      <c r="I839" s="38">
        <f>IFERROR(INDEX(Projetos!$M$2:$M$129,MATCH(Atualizações!A838,Projetos!$A$2:$A$129,0))," ")</f>
        <v>46246</v>
      </c>
      <c r="J839" s="221"/>
      <c r="K839" s="344">
        <f>IFERROR(Tb_Atualizações[[#This Row],[% EXECUTADO]]/Tb_Atualizações[[#This Row],[% PREVISTO]],"0%")</f>
        <v>0.65377176015473892</v>
      </c>
      <c r="L839" s="31" t="str" cm="1">
        <f t="array" aca="1" ref="L8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39" s="215"/>
      <c r="N839" s="345"/>
      <c r="O839" s="42">
        <f t="shared" si="40"/>
        <v>2025</v>
      </c>
      <c r="P839" s="42" t="str">
        <f t="shared" si="41"/>
        <v>202511776/2024</v>
      </c>
      <c r="Q839" s="42">
        <v>1</v>
      </c>
    </row>
    <row r="840" spans="1:17" ht="15" hidden="1">
      <c r="A840" s="192" t="s">
        <v>129</v>
      </c>
      <c r="B840" s="315" t="str">
        <f>IFERROR(INDEX(Projetos!$B$3:$B$129,MATCH(A840,Projetos!$A$3:$A$129,0))," ")</f>
        <v>Data Lake - Melhorias Evolutivas e Corretivas</v>
      </c>
      <c r="D840" s="214">
        <v>0.36</v>
      </c>
      <c r="E840" s="214">
        <v>0.35699999999999998</v>
      </c>
      <c r="F840" s="219">
        <v>45874</v>
      </c>
      <c r="G840" s="220">
        <v>45839</v>
      </c>
      <c r="H840" s="51" t="str">
        <f t="shared" si="39"/>
        <v>01167/202545839</v>
      </c>
      <c r="I840" s="38">
        <f>IFERROR(INDEX(Projetos!$M$2:$M$129,MATCH(Atualizações!A839,Projetos!$A$2:$A$129,0))," ")</f>
        <v>46379</v>
      </c>
      <c r="J840" s="221"/>
      <c r="K840" s="344">
        <f>IFERROR(Tb_Atualizações[[#This Row],[% EXECUTADO]]/Tb_Atualizações[[#This Row],[% PREVISTO]],"0%")</f>
        <v>0.9916666666666667</v>
      </c>
      <c r="L840" s="31" t="str" cm="1">
        <f t="array" aca="1" ref="L8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40" s="215"/>
      <c r="N840" s="345"/>
      <c r="O840" s="42">
        <f t="shared" si="40"/>
        <v>2025</v>
      </c>
      <c r="P840" s="42" t="str">
        <f t="shared" si="41"/>
        <v>202501167/2025</v>
      </c>
      <c r="Q840" s="42">
        <v>1</v>
      </c>
    </row>
    <row r="841" spans="1:17" ht="30" hidden="1">
      <c r="A841" s="457" t="s">
        <v>189</v>
      </c>
      <c r="B841" s="315" t="str">
        <f>IFERROR(INDEX(Projetos!$B$3:$B$129,MATCH(A841,Projetos!$A$3:$A$129,0))," ")</f>
        <v>Gestão de Clientes</v>
      </c>
      <c r="D841" s="214">
        <v>0.76100000000000001</v>
      </c>
      <c r="E841" s="214">
        <v>0.46500000000000002</v>
      </c>
      <c r="F841" s="219">
        <v>45874</v>
      </c>
      <c r="G841" s="406">
        <v>45839</v>
      </c>
      <c r="H841" s="51" t="str">
        <f t="shared" si="39"/>
        <v>01809/202545839</v>
      </c>
      <c r="I841" s="38">
        <f>IFERROR(INDEX(Projetos!$M$2:$M$129,MATCH(Atualizações!A841,Projetos!$A$2:$A$129,0))," ")</f>
        <v>46083</v>
      </c>
      <c r="J841" s="221"/>
      <c r="K841" s="344">
        <f>IFERROR(Tb_Atualizações[[#This Row],[% EXECUTADO]]/Tb_Atualizações[[#This Row],[% PREVISTO]],"0%")</f>
        <v>0.61103810775295664</v>
      </c>
      <c r="L841" s="31" t="str" cm="1">
        <f t="array" aca="1" ref="L8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41" s="215"/>
      <c r="N841" s="345"/>
      <c r="O841" s="42">
        <f t="shared" si="40"/>
        <v>2025</v>
      </c>
      <c r="P841" s="42" t="str">
        <f t="shared" si="41"/>
        <v>202501809/2025</v>
      </c>
      <c r="Q841" s="42">
        <v>1</v>
      </c>
    </row>
    <row r="842" spans="1:17" ht="15" hidden="1">
      <c r="A842" s="192" t="s">
        <v>652</v>
      </c>
      <c r="B842" s="315" t="str">
        <f>IFERROR(INDEX(Projetos!$B$3:$B$129,MATCH(A842,Projetos!$A$3:$A$129,0))," ")</f>
        <v>Projeto Piloto – Rede de Apoio para Avaliação Externa, com base no IA-CM</v>
      </c>
      <c r="D842" s="214">
        <v>0</v>
      </c>
      <c r="E842" s="214">
        <v>0</v>
      </c>
      <c r="F842" s="219">
        <v>45875</v>
      </c>
      <c r="G842" s="220">
        <v>45839</v>
      </c>
      <c r="H842" s="51" t="str">
        <f t="shared" si="39"/>
        <v>11729/202545839</v>
      </c>
      <c r="I842" s="38">
        <f>IFERROR(INDEX(Projetos!$M$2:$M$129,MATCH(Atualizações!A841,Projetos!$A$2:$A$129,0))," ")</f>
        <v>46083</v>
      </c>
      <c r="J842" s="221" t="s">
        <v>1419</v>
      </c>
      <c r="K842" s="344" t="str">
        <f>IFERROR(Tb_Atualizações[[#This Row],[% EXECUTADO]]/Tb_Atualizações[[#This Row],[% PREVISTO]],"0%")</f>
        <v>0%</v>
      </c>
      <c r="L842" s="31" t="str" cm="1">
        <f t="array" aca="1" ref="L8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842" s="215"/>
      <c r="N842" s="345"/>
      <c r="O842" s="42">
        <f t="shared" si="40"/>
        <v>2025</v>
      </c>
      <c r="P842" s="42" t="str">
        <f t="shared" si="41"/>
        <v>202511729/2025</v>
      </c>
      <c r="Q842" s="42">
        <v>1</v>
      </c>
    </row>
    <row r="843" spans="1:17" ht="30" hidden="1">
      <c r="A843" s="192" t="s">
        <v>416</v>
      </c>
      <c r="B843" s="315" t="str">
        <f>IFERROR(INDEX(Projetos!$B$3:$B$129,MATCH(A843,Projetos!$A$3:$A$129,0))," ")</f>
        <v>Conecta</v>
      </c>
      <c r="D843" s="214">
        <v>0.70099999999999996</v>
      </c>
      <c r="E843" s="214">
        <v>0.48</v>
      </c>
      <c r="F843" s="219">
        <v>45875</v>
      </c>
      <c r="G843" s="220">
        <v>45839</v>
      </c>
      <c r="H843" s="51" t="str">
        <f t="shared" si="39"/>
        <v>05578/202445839</v>
      </c>
      <c r="I843" s="38">
        <f>IFERROR(INDEX(Projetos!$M$2:$M$129,MATCH(Atualizações!A842,Projetos!$A$2:$A$129,0))," ")</f>
        <v>46265</v>
      </c>
      <c r="J843" s="221"/>
      <c r="K843" s="344">
        <f>IFERROR(Tb_Atualizações[[#This Row],[% EXECUTADO]]/Tb_Atualizações[[#This Row],[% PREVISTO]],"0%")</f>
        <v>0.6847360912981455</v>
      </c>
      <c r="L843" s="31" t="str" cm="1">
        <f t="array" aca="1" ref="L8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43" s="215"/>
      <c r="N843" s="345"/>
      <c r="O843" s="42">
        <f t="shared" si="40"/>
        <v>2025</v>
      </c>
      <c r="P843" s="42" t="str">
        <f t="shared" si="41"/>
        <v>202505578/2024</v>
      </c>
      <c r="Q843" s="42">
        <v>1</v>
      </c>
    </row>
    <row r="844" spans="1:17" ht="30" hidden="1">
      <c r="A844" s="192" t="s">
        <v>539</v>
      </c>
      <c r="B844" s="315" t="str">
        <f>IFERROR(INDEX(Projetos!$B$3:$B$129,MATCH(A844,Projetos!$A$3:$A$129,0))," ")</f>
        <v>Desenvolvimento do módulo de Sessão de Julgamento (PDPJ-Br)</v>
      </c>
      <c r="D844" s="214">
        <v>1</v>
      </c>
      <c r="E844" s="214">
        <v>0.80900000000000005</v>
      </c>
      <c r="F844" s="219">
        <v>45875</v>
      </c>
      <c r="G844" s="220">
        <v>45839</v>
      </c>
      <c r="H844" s="51" t="str">
        <f t="shared" si="39"/>
        <v>09630/202445839</v>
      </c>
      <c r="I844" s="473">
        <f>IFERROR(INDEX(Projetos!$M$2:$M$129,MATCH(Atualizações!A844,Projetos!$A$2:$A$129,0))," ")</f>
        <v>46387</v>
      </c>
      <c r="J844" s="221"/>
      <c r="K844" s="344">
        <f>IFERROR(Tb_Atualizações[[#This Row],[% EXECUTADO]]/Tb_Atualizações[[#This Row],[% PREVISTO]],"0%")</f>
        <v>0.80900000000000005</v>
      </c>
      <c r="L844" s="31" t="str" cm="1">
        <f t="array" aca="1" ref="L8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44" s="215"/>
      <c r="N844" s="345"/>
      <c r="O844" s="42">
        <f t="shared" si="40"/>
        <v>2025</v>
      </c>
      <c r="P844" s="42" t="str">
        <f t="shared" si="41"/>
        <v>202509630/2024</v>
      </c>
      <c r="Q844" s="42">
        <v>1</v>
      </c>
    </row>
    <row r="845" spans="1:17" ht="15" hidden="1">
      <c r="A845" s="192" t="s">
        <v>722</v>
      </c>
      <c r="B845" s="315" t="str">
        <f>IFERROR(INDEX(Projetos!$B$3:$B$129,MATCH(A845,Projetos!$A$3:$A$129,0))," ")</f>
        <v>Serviços Estruturantes - Melhorias Evolutivas e Corretivas</v>
      </c>
      <c r="D845" s="214">
        <v>0.97499999999999998</v>
      </c>
      <c r="E845" s="214">
        <v>0.96399999999999997</v>
      </c>
      <c r="F845" s="219">
        <v>45875</v>
      </c>
      <c r="G845" s="220">
        <v>45839</v>
      </c>
      <c r="H845" s="51" t="str">
        <f t="shared" si="39"/>
        <v>14965/202445839</v>
      </c>
      <c r="I845" s="473">
        <f>IFERROR(INDEX(Projetos!$M$2:$M$129,MATCH(Atualizações!A845,Projetos!$A$2:$A$129,0))," ")</f>
        <v>46387</v>
      </c>
      <c r="J845" s="221"/>
      <c r="K845" s="344">
        <f>IFERROR(Tb_Atualizações[[#This Row],[% EXECUTADO]]/Tb_Atualizações[[#This Row],[% PREVISTO]],"0%")</f>
        <v>0.98871794871794871</v>
      </c>
      <c r="L845" s="31" t="str" cm="1">
        <f t="array" aca="1" ref="L8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45" s="215"/>
      <c r="N845" s="345"/>
      <c r="O845" s="42">
        <f t="shared" si="40"/>
        <v>2025</v>
      </c>
      <c r="P845" s="42" t="str">
        <f t="shared" si="41"/>
        <v>202514965/2024</v>
      </c>
      <c r="Q845" s="42">
        <v>1</v>
      </c>
    </row>
    <row r="846" spans="1:17" ht="15" hidden="1">
      <c r="A846" s="192" t="s">
        <v>384</v>
      </c>
      <c r="B846" s="315" t="str">
        <f>IFERROR(INDEX(Projetos!$B$3:$B$129,MATCH(A846,Projetos!$A$3:$A$129,0))," ")</f>
        <v>Integra - Serviço de Monitoramento de Atos do CNJ</v>
      </c>
      <c r="D846" s="214">
        <v>0.76</v>
      </c>
      <c r="E846" s="214">
        <v>0.74</v>
      </c>
      <c r="F846" s="219">
        <v>45875</v>
      </c>
      <c r="G846" s="220">
        <v>45870</v>
      </c>
      <c r="H846" s="51" t="str">
        <f t="shared" si="39"/>
        <v>04137/202445870</v>
      </c>
      <c r="I846" s="38">
        <f>IFERROR(INDEX(Projetos!$M$2:$M$129,MATCH(Atualizações!A845,Projetos!$A$2:$A$129,0))," ")</f>
        <v>46387</v>
      </c>
      <c r="J846" s="221"/>
      <c r="K846" s="344">
        <f>IFERROR(Tb_Atualizações[[#This Row],[% EXECUTADO]]/Tb_Atualizações[[#This Row],[% PREVISTO]],"0%")</f>
        <v>0.97368421052631582</v>
      </c>
      <c r="L846" s="31" t="str" cm="1">
        <f t="array" aca="1" ref="L8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46" s="215"/>
      <c r="N846" s="345"/>
      <c r="O846" s="42">
        <f t="shared" si="40"/>
        <v>2025</v>
      </c>
      <c r="P846" s="42" t="str">
        <f t="shared" si="41"/>
        <v>202504137/2024</v>
      </c>
      <c r="Q846" s="42">
        <v>1</v>
      </c>
    </row>
    <row r="847" spans="1:17" ht="315" hidden="1">
      <c r="A847" s="370" t="s">
        <v>396</v>
      </c>
      <c r="B847" s="315" t="str">
        <f>IFERROR(INDEX(Projetos!$B$3:$B$129,MATCH(A847,Projetos!$A$3:$A$129,0))," ")</f>
        <v>CODEX - Melhorias Evolutivas e Corretivas</v>
      </c>
      <c r="D847" s="214">
        <v>0.95499999999999996</v>
      </c>
      <c r="E847" s="214">
        <v>0.92200000000000004</v>
      </c>
      <c r="F847" s="219">
        <v>45881</v>
      </c>
      <c r="G847" s="220">
        <v>45839</v>
      </c>
      <c r="H847" s="51" t="str">
        <f t="shared" si="39"/>
        <v>04751/202245839</v>
      </c>
      <c r="I847" s="473">
        <f>IFERROR(INDEX(Projetos!$M$2:$M$129,MATCH(Atualizações!A847,Projetos!$A$2:$A$129,0))," ")</f>
        <v>46387</v>
      </c>
      <c r="J847" s="221" t="s">
        <v>1420</v>
      </c>
      <c r="K847" s="344">
        <f>IFERROR(Tb_Atualizações[[#This Row],[% EXECUTADO]]/Tb_Atualizações[[#This Row],[% PREVISTO]],"0%")</f>
        <v>0.96544502617801053</v>
      </c>
      <c r="L847" s="31" t="str" cm="1">
        <f t="array" aca="1" ref="L8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47" s="215"/>
      <c r="N847" s="345"/>
      <c r="O847" s="42">
        <f t="shared" si="40"/>
        <v>2025</v>
      </c>
      <c r="P847" s="42" t="str">
        <f t="shared" si="41"/>
        <v>202504751/2022</v>
      </c>
      <c r="Q847" s="42">
        <v>1</v>
      </c>
    </row>
    <row r="848" spans="1:17" ht="30" hidden="1">
      <c r="A848" s="540" t="s">
        <v>152</v>
      </c>
      <c r="B848" s="315" t="str">
        <f>IFERROR(INDEX(Projetos!$B$3:$B$129,MATCH(A848,Projetos!$A$3:$A$129,0))," ")</f>
        <v>Painel da Fazenda Nacional.</v>
      </c>
      <c r="D848" s="214">
        <v>0.36</v>
      </c>
      <c r="E848" s="214">
        <v>0.13</v>
      </c>
      <c r="F848" s="219">
        <v>45881</v>
      </c>
      <c r="G848" s="220">
        <v>45839</v>
      </c>
      <c r="H848" s="51" t="str">
        <f t="shared" si="39"/>
        <v>01247/202545839</v>
      </c>
      <c r="I848" s="38">
        <f>IFERROR(INDEX(Projetos!$M$2:$M$129,MATCH(Atualizações!A847,Projetos!$A$2:$A$129,0))," ")</f>
        <v>46387</v>
      </c>
      <c r="J848" s="221" t="s">
        <v>1421</v>
      </c>
      <c r="K848" s="344">
        <f>IFERROR(Tb_Atualizações[[#This Row],[% EXECUTADO]]/Tb_Atualizações[[#This Row],[% PREVISTO]],"0%")</f>
        <v>0.36111111111111116</v>
      </c>
      <c r="L848" s="31" t="str" cm="1">
        <f t="array" aca="1" ref="L8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48" s="215"/>
      <c r="N848" s="345"/>
      <c r="O848" s="42">
        <f t="shared" si="40"/>
        <v>2025</v>
      </c>
      <c r="P848" s="42" t="str">
        <f t="shared" si="41"/>
        <v>202501247/2025</v>
      </c>
      <c r="Q848" s="42">
        <v>1</v>
      </c>
    </row>
    <row r="849" spans="1:17" ht="15" hidden="1">
      <c r="A849" s="192" t="s">
        <v>589</v>
      </c>
      <c r="B849" s="315" t="str">
        <f>IFERROR(INDEX(Projetos!$B$3:$B$129,MATCH(A849,Projetos!$A$3:$A$129,0))," ")</f>
        <v>Pacto Nacional do Judiciário pelos Direitos Humanos - 2ª Fase</v>
      </c>
      <c r="D849" s="214">
        <v>0.76</v>
      </c>
      <c r="E849" s="214">
        <v>0.76</v>
      </c>
      <c r="F849" s="219">
        <v>45882</v>
      </c>
      <c r="G849" s="220">
        <v>45839</v>
      </c>
      <c r="H849" s="51" t="str">
        <f t="shared" si="39"/>
        <v>10926/202445839</v>
      </c>
      <c r="I849" s="38">
        <f>IFERROR(INDEX(Projetos!$M$2:$M$129,MATCH(Atualizações!A848,Projetos!$A$2:$A$129,0))," ")</f>
        <v>46387</v>
      </c>
      <c r="J849" s="221"/>
      <c r="K849" s="344">
        <f>IFERROR(Tb_Atualizações[[#This Row],[% EXECUTADO]]/Tb_Atualizações[[#This Row],[% PREVISTO]],"0%")</f>
        <v>1</v>
      </c>
      <c r="L849" s="31" t="str" cm="1">
        <f t="array" aca="1" ref="L8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49" s="215"/>
      <c r="N849" s="345"/>
      <c r="O849" s="42">
        <f t="shared" si="40"/>
        <v>2025</v>
      </c>
      <c r="P849" s="42" t="str">
        <f t="shared" si="41"/>
        <v>202510926/2024</v>
      </c>
      <c r="Q849" s="42">
        <v>1</v>
      </c>
    </row>
    <row r="850" spans="1:17" ht="30" hidden="1">
      <c r="A850" s="192" t="s">
        <v>198</v>
      </c>
      <c r="B850" s="315" t="str">
        <f>IFERROR(INDEX(Projetos!$B$3:$B$129,MATCH(A850,Projetos!$A$3:$A$129,0))," ")</f>
        <v>Desenvolvimento de um Conjunto de Solução em Gestão de Dados para a Corregedoria Nacional de Justiça</v>
      </c>
      <c r="D850" s="214">
        <v>1</v>
      </c>
      <c r="E850" s="214">
        <v>1</v>
      </c>
      <c r="F850" s="219">
        <v>45887</v>
      </c>
      <c r="G850" s="220">
        <v>45839</v>
      </c>
      <c r="H850" s="51" t="str">
        <f t="shared" si="39"/>
        <v>01913/202545839</v>
      </c>
      <c r="I850" s="38">
        <f>IFERROR(INDEX(Projetos!$M$2:$M$129,MATCH(Atualizações!A849,Projetos!$A$2:$A$129,0))," ")</f>
        <v>46233</v>
      </c>
      <c r="J850" s="221" t="s">
        <v>1422</v>
      </c>
      <c r="K850" s="344">
        <f>IFERROR(Tb_Atualizações[[#This Row],[% EXECUTADO]]/Tb_Atualizações[[#This Row],[% PREVISTO]],"0%")</f>
        <v>1</v>
      </c>
      <c r="L850" s="31" t="str" cm="1">
        <f t="array" aca="1" ref="L8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850" s="215"/>
      <c r="N850" s="345"/>
      <c r="O850" s="42">
        <f t="shared" si="40"/>
        <v>2025</v>
      </c>
      <c r="P850" s="42" t="str">
        <f t="shared" si="41"/>
        <v>202501913/2025</v>
      </c>
      <c r="Q850" s="42">
        <v>1</v>
      </c>
    </row>
    <row r="851" spans="1:17" ht="30" hidden="1">
      <c r="A851" s="192" t="s">
        <v>257</v>
      </c>
      <c r="B851" s="315" t="str">
        <f>IFERROR(INDEX(Projetos!$B$3:$B$129,MATCH(A851,Projetos!$A$3:$A$129,0))," ")</f>
        <v>SisPreq – Sistema de Precatórios e Requisições de Pequeno Valor</v>
      </c>
      <c r="D851" s="214">
        <v>0.81</v>
      </c>
      <c r="E851" s="214">
        <v>0.6</v>
      </c>
      <c r="F851" s="219">
        <v>45889</v>
      </c>
      <c r="G851" s="220">
        <v>45870</v>
      </c>
      <c r="H851" s="51" t="str">
        <f t="shared" ref="H851:H914" si="42">A851&amp;G851</f>
        <v>02465/202445870</v>
      </c>
      <c r="I851" s="38">
        <f>IFERROR(INDEX(Projetos!$M$2:$M$129,MATCH(Atualizações!A850,Projetos!$A$2:$A$129,0))," ")</f>
        <v>45807</v>
      </c>
      <c r="J851" s="221" t="s">
        <v>1423</v>
      </c>
      <c r="K851" s="344">
        <f>IFERROR(Tb_Atualizações[[#This Row],[% EXECUTADO]]/Tb_Atualizações[[#This Row],[% PREVISTO]],"0%")</f>
        <v>0.7407407407407407</v>
      </c>
      <c r="L851" s="31" t="str" cm="1">
        <f t="array" aca="1" ref="L8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51" s="215"/>
      <c r="N851" s="345"/>
      <c r="O851" s="42">
        <f t="shared" ref="O851:O914" si="43">YEAR(F851)</f>
        <v>2025</v>
      </c>
      <c r="P851" s="42" t="str">
        <f t="shared" ref="P851:P914" si="44">O851&amp;A851</f>
        <v>202502465/2024</v>
      </c>
      <c r="Q851" s="42">
        <v>1</v>
      </c>
    </row>
    <row r="852" spans="1:17" ht="45" hidden="1">
      <c r="A852" s="192" t="s">
        <v>638</v>
      </c>
      <c r="B852" s="315" t="str">
        <f>IFERROR(INDEX(Projetos!$B$3:$B$129,MATCH(A852,Projetos!$A$3:$A$129,0))," ")</f>
        <v>Sisperjud</v>
      </c>
      <c r="D852" s="214">
        <v>0.84</v>
      </c>
      <c r="E852" s="214">
        <v>0.62</v>
      </c>
      <c r="F852" s="219">
        <v>45889</v>
      </c>
      <c r="G852" s="220">
        <v>45870</v>
      </c>
      <c r="H852" s="51" t="str">
        <f t="shared" si="42"/>
        <v>11644/202245870</v>
      </c>
      <c r="I852" s="38" t="str">
        <f>IFERROR(INDEX(Projetos!$M$2:$M$129,MATCH(Atualizações!A851,Projetos!$A$2:$A$129,0))," ")</f>
        <v>15/12/2026</v>
      </c>
      <c r="J852" s="221" t="s">
        <v>1424</v>
      </c>
      <c r="K852" s="344">
        <f>IFERROR(Tb_Atualizações[[#This Row],[% EXECUTADO]]/Tb_Atualizações[[#This Row],[% PREVISTO]],"0%")</f>
        <v>0.73809523809523814</v>
      </c>
      <c r="L852" s="31" t="str" cm="1">
        <f t="array" aca="1" ref="L8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52" s="215"/>
      <c r="N852" s="345"/>
      <c r="O852" s="42">
        <f t="shared" si="43"/>
        <v>2025</v>
      </c>
      <c r="P852" s="42" t="str">
        <f t="shared" si="44"/>
        <v>202511644/2022</v>
      </c>
      <c r="Q852" s="42">
        <v>1</v>
      </c>
    </row>
    <row r="853" spans="1:17" ht="45" hidden="1">
      <c r="A853" s="192" t="s">
        <v>431</v>
      </c>
      <c r="B853" s="315" t="str">
        <f>IFERROR(INDEX(Projetos!$B$3:$B$129,MATCH(A853,Projetos!$A$3:$A$129,0))," ")</f>
        <v>Sniper BC</v>
      </c>
      <c r="D853" s="214">
        <v>0.51</v>
      </c>
      <c r="E853" s="214">
        <v>0.41</v>
      </c>
      <c r="F853" s="219">
        <v>45889</v>
      </c>
      <c r="G853" s="220">
        <v>45870</v>
      </c>
      <c r="H853" s="51" t="str">
        <f t="shared" si="42"/>
        <v>06826/202445870</v>
      </c>
      <c r="I853" s="38">
        <f>IFERROR(INDEX(Projetos!$M$2:$M$129,MATCH(Atualizações!A852,Projetos!$A$2:$A$129,0))," ")</f>
        <v>46352</v>
      </c>
      <c r="J853" s="221" t="s">
        <v>1425</v>
      </c>
      <c r="K853" s="344">
        <f>IFERROR(Tb_Atualizações[[#This Row],[% EXECUTADO]]/Tb_Atualizações[[#This Row],[% PREVISTO]],"0%")</f>
        <v>0.8039215686274509</v>
      </c>
      <c r="L853" s="31" t="str" cm="1">
        <f t="array" aca="1" ref="L8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53" s="215"/>
      <c r="N853" s="345"/>
      <c r="O853" s="42">
        <f t="shared" si="43"/>
        <v>2025</v>
      </c>
      <c r="P853" s="42" t="str">
        <f t="shared" si="44"/>
        <v>202506826/2024</v>
      </c>
      <c r="Q853" s="42">
        <v>1</v>
      </c>
    </row>
    <row r="854" spans="1:17" ht="60" hidden="1">
      <c r="A854" s="192" t="s">
        <v>229</v>
      </c>
      <c r="B854" s="315" t="str">
        <f>IFERROR(INDEX(Projetos!$B$3:$B$129,MATCH(A854,Projetos!$A$3:$A$129,0))," ")</f>
        <v>Gabinete do Juízo</v>
      </c>
      <c r="D854" s="214">
        <v>0.89</v>
      </c>
      <c r="E854" s="214">
        <v>0.84</v>
      </c>
      <c r="F854" s="219">
        <v>45890</v>
      </c>
      <c r="G854" s="220">
        <v>45870</v>
      </c>
      <c r="H854" s="51" t="str">
        <f t="shared" si="42"/>
        <v>02080/202345870</v>
      </c>
      <c r="I854" s="38">
        <f>IFERROR(INDEX(Projetos!$M$2:$M$129,MATCH(Atualizações!A853,Projetos!$A$2:$A$129,0))," ")</f>
        <v>46281</v>
      </c>
      <c r="J854" s="221" t="s">
        <v>1426</v>
      </c>
      <c r="K854" s="344">
        <f>IFERROR(Tb_Atualizações[[#This Row],[% EXECUTADO]]/Tb_Atualizações[[#This Row],[% PREVISTO]],"0%")</f>
        <v>0.9438202247191011</v>
      </c>
      <c r="L854" s="31" t="str" cm="1">
        <f t="array" aca="1" ref="L8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54" s="215"/>
      <c r="N854" s="345"/>
      <c r="O854" s="42">
        <f t="shared" si="43"/>
        <v>2025</v>
      </c>
      <c r="P854" s="42" t="str">
        <f t="shared" si="44"/>
        <v>202502080/2023</v>
      </c>
      <c r="Q854" s="42">
        <v>1</v>
      </c>
    </row>
    <row r="855" spans="1:17" ht="30" hidden="1">
      <c r="A855" s="192" t="s">
        <v>358</v>
      </c>
      <c r="B855" s="315" t="str">
        <f>IFERROR(INDEX(Projetos!$B$3:$B$129,MATCH(A855,Projetos!$A$3:$A$129,0))," ")</f>
        <v>Prevjud - Automação de Processos Previdenciários - Justiça 4.0</v>
      </c>
      <c r="D855" s="214">
        <v>0.92</v>
      </c>
      <c r="E855" s="214">
        <v>0.99</v>
      </c>
      <c r="F855" s="219">
        <v>45890</v>
      </c>
      <c r="G855" s="220">
        <v>45870</v>
      </c>
      <c r="H855" s="51" t="str">
        <f t="shared" si="42"/>
        <v>03558/202145870</v>
      </c>
      <c r="I855" s="38">
        <f>IFERROR(INDEX(Projetos!$M$2:$M$129,MATCH(Atualizações!A854,Projetos!$A$2:$A$129,0))," ")</f>
        <v>46379</v>
      </c>
      <c r="J855" s="221" t="s">
        <v>1423</v>
      </c>
      <c r="K855" s="344">
        <f>IFERROR(Tb_Atualizações[[#This Row],[% EXECUTADO]]/Tb_Atualizações[[#This Row],[% PREVISTO]],"0%")</f>
        <v>1.076086956521739</v>
      </c>
      <c r="L855" s="31" t="str" cm="1">
        <f t="array" aca="1" ref="L8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55" s="215"/>
      <c r="N855" s="345"/>
      <c r="O855" s="42">
        <f t="shared" si="43"/>
        <v>2025</v>
      </c>
      <c r="P855" s="42" t="str">
        <f t="shared" si="44"/>
        <v>202503558/2021</v>
      </c>
      <c r="Q855" s="42">
        <v>1</v>
      </c>
    </row>
    <row r="856" spans="1:17" ht="45" hidden="1">
      <c r="A856" s="192" t="s">
        <v>416</v>
      </c>
      <c r="B856" s="315" t="str">
        <f>IFERROR(INDEX(Projetos!$B$3:$B$129,MATCH(A856,Projetos!$A$3:$A$129,0))," ")</f>
        <v>Conecta</v>
      </c>
      <c r="D856" s="214">
        <v>0.48</v>
      </c>
      <c r="E856" s="214">
        <v>0.4</v>
      </c>
      <c r="F856" s="219">
        <v>45890</v>
      </c>
      <c r="G856" s="220">
        <v>45870</v>
      </c>
      <c r="H856" s="51" t="str">
        <f t="shared" si="42"/>
        <v>05578/202445870</v>
      </c>
      <c r="I856" s="38" t="str">
        <f>IFERROR(INDEX(Projetos!$M$2:$M$129,MATCH(Atualizações!A855,Projetos!$A$2:$A$129,0))," ")</f>
        <v>31/03/2026</v>
      </c>
      <c r="J856" s="221" t="s">
        <v>1424</v>
      </c>
      <c r="K856" s="344">
        <f>IFERROR(Tb_Atualizações[[#This Row],[% EXECUTADO]]/Tb_Atualizações[[#This Row],[% PREVISTO]],"0%")</f>
        <v>0.83333333333333337</v>
      </c>
      <c r="L856" s="31" t="str" cm="1">
        <f t="array" aca="1" ref="L8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56" s="215"/>
      <c r="N856" s="345"/>
      <c r="O856" s="42">
        <f t="shared" si="43"/>
        <v>2025</v>
      </c>
      <c r="P856" s="42" t="str">
        <f t="shared" si="44"/>
        <v>202505578/2024</v>
      </c>
      <c r="Q856" s="42">
        <v>1</v>
      </c>
    </row>
    <row r="857" spans="1:17" ht="15" hidden="1">
      <c r="A857" s="192" t="s">
        <v>684</v>
      </c>
      <c r="B857" s="315" t="str">
        <f>IFERROR(INDEX(Projetos!$B$3:$B$129,MATCH(A857,Projetos!$A$3:$A$129,0))," ")</f>
        <v>Painel dos Grandes Litigantes</v>
      </c>
      <c r="D857" s="214">
        <v>0.89</v>
      </c>
      <c r="E857" s="214">
        <v>0.99</v>
      </c>
      <c r="F857" s="219">
        <v>45890</v>
      </c>
      <c r="G857" s="220">
        <v>45870</v>
      </c>
      <c r="H857" s="51" t="str">
        <f t="shared" si="42"/>
        <v>12135/202245870</v>
      </c>
      <c r="I857" s="38" t="str">
        <f>IFERROR(INDEX(Projetos!$M$2:$M$129,MATCH(Atualizações!A856,Projetos!$A$2:$A$129,0))," ")</f>
        <v>31/12/2026</v>
      </c>
      <c r="J857" s="221"/>
      <c r="K857" s="344">
        <f>IFERROR(Tb_Atualizações[[#This Row],[% EXECUTADO]]/Tb_Atualizações[[#This Row],[% PREVISTO]],"0%")</f>
        <v>1.1123595505617978</v>
      </c>
      <c r="L857" s="31" t="str" cm="1">
        <f t="array" aca="1" ref="L8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57" s="215"/>
      <c r="N857" s="345"/>
      <c r="O857" s="42">
        <f t="shared" si="43"/>
        <v>2025</v>
      </c>
      <c r="P857" s="42" t="str">
        <f t="shared" si="44"/>
        <v>202512135/2022</v>
      </c>
      <c r="Q857" s="42">
        <v>1</v>
      </c>
    </row>
    <row r="858" spans="1:17" ht="75" hidden="1">
      <c r="A858" s="192" t="s">
        <v>549</v>
      </c>
      <c r="B858" s="315" t="str">
        <f>IFERROR(INDEX(Projetos!$B$3:$B$129,MATCH(A858,Projetos!$A$3:$A$129,0))," ")</f>
        <v>Fluxo Nacional Automatizado das Execuções Fiscais (EFIN)</v>
      </c>
      <c r="D858" s="214">
        <v>0.83</v>
      </c>
      <c r="E858" s="214">
        <v>0.56999999999999995</v>
      </c>
      <c r="F858" s="219">
        <v>45890</v>
      </c>
      <c r="G858" s="220">
        <v>45870</v>
      </c>
      <c r="H858" s="51" t="str">
        <f t="shared" si="42"/>
        <v>09796/202445870</v>
      </c>
      <c r="I858" s="38" t="str">
        <f>IFERROR(INDEX(Projetos!$M$2:$M$129,MATCH(Atualizações!A857,Projetos!$A$2:$A$129,0))," ")</f>
        <v>30/06/26</v>
      </c>
      <c r="J858" s="221" t="s">
        <v>1427</v>
      </c>
      <c r="K858" s="344">
        <f>IFERROR(Tb_Atualizações[[#This Row],[% EXECUTADO]]/Tb_Atualizações[[#This Row],[% PREVISTO]],"0%")</f>
        <v>0.68674698795180722</v>
      </c>
      <c r="L858" s="31" t="str" cm="1">
        <f t="array" aca="1" ref="L8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58" s="215"/>
      <c r="N858" s="345"/>
      <c r="O858" s="42">
        <f t="shared" si="43"/>
        <v>2025</v>
      </c>
      <c r="P858" s="42" t="str">
        <f t="shared" si="44"/>
        <v>202509796/2024</v>
      </c>
      <c r="Q858" s="42">
        <v>1</v>
      </c>
    </row>
    <row r="859" spans="1:17" ht="15" hidden="1">
      <c r="A859" s="192" t="s">
        <v>533</v>
      </c>
      <c r="B859" s="315" t="str">
        <f>IFERROR(INDEX(Projetos!$B$3:$B$129,MATCH(A859,Projetos!$A$3:$A$129,0))," ")</f>
        <v>Qualificação de Dados</v>
      </c>
      <c r="D859" s="214">
        <v>0.77</v>
      </c>
      <c r="E859" s="214">
        <v>0.75</v>
      </c>
      <c r="F859" s="219">
        <v>45890</v>
      </c>
      <c r="G859" s="220">
        <v>45870</v>
      </c>
      <c r="H859" s="51" t="str">
        <f t="shared" si="42"/>
        <v>09613/202445870</v>
      </c>
      <c r="I859" s="473">
        <f>IFERROR(INDEX(Projetos!$M$2:$M$129,MATCH(Atualizações!A859,Projetos!$A$2:$A$129,0))," ")</f>
        <v>46386</v>
      </c>
      <c r="J859" s="221"/>
      <c r="K859" s="344">
        <f>IFERROR(Tb_Atualizações[[#This Row],[% EXECUTADO]]/Tb_Atualizações[[#This Row],[% PREVISTO]],"0%")</f>
        <v>0.97402597402597402</v>
      </c>
      <c r="L859" s="31" t="str" cm="1">
        <f t="array" aca="1" ref="L8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59" s="215"/>
      <c r="N859" s="345"/>
      <c r="O859" s="42">
        <f t="shared" si="43"/>
        <v>2025</v>
      </c>
      <c r="P859" s="42" t="str">
        <f t="shared" si="44"/>
        <v>202509613/2024</v>
      </c>
      <c r="Q859" s="42">
        <v>1</v>
      </c>
    </row>
    <row r="860" spans="1:17" ht="75" hidden="1">
      <c r="A860" s="192" t="s">
        <v>310</v>
      </c>
      <c r="B860" s="315" t="str">
        <f>IFERROR(INDEX(Projetos!$B$3:$B$129,MATCH(A860,Projetos!$A$3:$A$129,0))," ")</f>
        <v>Apoio a implantação de soluções da PDPJ-Br</v>
      </c>
      <c r="D860" s="214">
        <v>0.68</v>
      </c>
      <c r="E860" s="214">
        <v>0.56000000000000005</v>
      </c>
      <c r="F860" s="219">
        <v>45890</v>
      </c>
      <c r="G860" s="220">
        <v>45870</v>
      </c>
      <c r="H860" s="51" t="str">
        <f t="shared" si="42"/>
        <v>02887/202445870</v>
      </c>
      <c r="I860" s="473">
        <f>IFERROR(INDEX(Projetos!$M$2:$M$129,MATCH(Atualizações!A860,Projetos!$A$2:$A$129,0))," ")</f>
        <v>46387</v>
      </c>
      <c r="J860" s="221" t="s">
        <v>1428</v>
      </c>
      <c r="K860" s="344">
        <f>IFERROR(Tb_Atualizações[[#This Row],[% EXECUTADO]]/Tb_Atualizações[[#This Row],[% PREVISTO]],"0%")</f>
        <v>0.82352941176470595</v>
      </c>
      <c r="L860" s="31" t="str" cm="1">
        <f t="array" aca="1" ref="L8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60" s="215"/>
      <c r="N860" s="345"/>
      <c r="O860" s="42">
        <f t="shared" si="43"/>
        <v>2025</v>
      </c>
      <c r="P860" s="42" t="str">
        <f t="shared" si="44"/>
        <v>202502887/2024</v>
      </c>
      <c r="Q860" s="42">
        <v>1</v>
      </c>
    </row>
    <row r="861" spans="1:17" ht="75" hidden="1">
      <c r="A861" s="457" t="s">
        <v>773</v>
      </c>
      <c r="B861" s="315" t="str">
        <f>IFERROR(INDEX(Projetos!$B$3:$B$129,MATCH(A861,Projetos!$A$3:$A$129,0))," ")</f>
        <v>API de Pessoas</v>
      </c>
      <c r="D861" s="214">
        <v>0.48</v>
      </c>
      <c r="E861" s="214">
        <v>0.51</v>
      </c>
      <c r="F861" s="219">
        <v>45890</v>
      </c>
      <c r="G861" s="220">
        <v>45870</v>
      </c>
      <c r="H861" s="51" t="str">
        <f t="shared" si="42"/>
        <v>17372/2024 45870</v>
      </c>
      <c r="I861" s="473">
        <f>IFERROR(INDEX(Projetos!$M$2:$M$129,MATCH(Atualizações!A861,Projetos!$A$2:$A$129,0))," ")</f>
        <v>46371</v>
      </c>
      <c r="J861" s="221" t="s">
        <v>1429</v>
      </c>
      <c r="K861" s="344">
        <f>IFERROR(Tb_Atualizações[[#This Row],[% EXECUTADO]]/Tb_Atualizações[[#This Row],[% PREVISTO]],"0%")</f>
        <v>1.0625</v>
      </c>
      <c r="L861" s="31" t="str" cm="1">
        <f t="array" aca="1" ref="L8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1" s="215"/>
      <c r="N861" s="345"/>
      <c r="O861" s="42">
        <f t="shared" si="43"/>
        <v>2025</v>
      </c>
      <c r="P861" s="42" t="str">
        <f t="shared" si="44"/>
        <v xml:space="preserve">202517372/2024 </v>
      </c>
      <c r="Q861" s="42">
        <v>1</v>
      </c>
    </row>
    <row r="862" spans="1:17" ht="60" hidden="1">
      <c r="A862" s="370" t="s">
        <v>129</v>
      </c>
      <c r="B862" s="315" t="str">
        <f>IFERROR(INDEX(Projetos!$B$3:$B$129,MATCH(A862,Projetos!$A$3:$A$129,0))," ")</f>
        <v>Data Lake - Melhorias Evolutivas e Corretivas</v>
      </c>
      <c r="D862" s="214">
        <v>0.31</v>
      </c>
      <c r="E862" s="214">
        <v>0.35</v>
      </c>
      <c r="F862" s="219">
        <v>45890</v>
      </c>
      <c r="G862" s="220">
        <v>45870</v>
      </c>
      <c r="H862" s="51" t="str">
        <f t="shared" si="42"/>
        <v>01167/202545870</v>
      </c>
      <c r="I862" s="38">
        <f>IFERROR(INDEX(Projetos!$M$2:$M$129,MATCH(Atualizações!A861,Projetos!$A$2:$A$129,0))," ")</f>
        <v>46371</v>
      </c>
      <c r="J862" s="221" t="s">
        <v>1430</v>
      </c>
      <c r="K862" s="344">
        <f>IFERROR(Tb_Atualizações[[#This Row],[% EXECUTADO]]/Tb_Atualizações[[#This Row],[% PREVISTO]],"0%")</f>
        <v>1.129032258064516</v>
      </c>
      <c r="L862" s="31" t="str" cm="1">
        <f t="array" aca="1" ref="L8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2" s="215"/>
      <c r="N862" s="345"/>
      <c r="O862" s="42">
        <f t="shared" si="43"/>
        <v>2025</v>
      </c>
      <c r="P862" s="42" t="str">
        <f t="shared" si="44"/>
        <v>202501167/2025</v>
      </c>
      <c r="Q862" s="42">
        <v>1</v>
      </c>
    </row>
    <row r="863" spans="1:17" ht="15" hidden="1">
      <c r="A863" s="192" t="s">
        <v>738</v>
      </c>
      <c r="B863" s="315" t="str">
        <f>IFERROR(INDEX(Projetos!$B$3:$B$129,MATCH(A863,Projetos!$A$3:$A$129,0))," ")</f>
        <v>FONAR - Formulário Nacional de Avaliação de Risco e Formulário Rogéria</v>
      </c>
      <c r="D863" s="214">
        <v>0.53</v>
      </c>
      <c r="E863" s="214">
        <v>0.51</v>
      </c>
      <c r="F863" s="219">
        <v>45890</v>
      </c>
      <c r="G863" s="220">
        <v>45870</v>
      </c>
      <c r="H863" s="51" t="str">
        <f t="shared" si="42"/>
        <v>16319/202445870</v>
      </c>
      <c r="I863" s="38">
        <f>IFERROR(INDEX(Projetos!$M$2:$M$129,MATCH(Atualizações!A862,Projetos!$A$2:$A$129,0))," ")</f>
        <v>46387</v>
      </c>
      <c r="J863" s="221"/>
      <c r="K863" s="344">
        <f>IFERROR(Tb_Atualizações[[#This Row],[% EXECUTADO]]/Tb_Atualizações[[#This Row],[% PREVISTO]],"0%")</f>
        <v>0.96226415094339623</v>
      </c>
      <c r="L863" s="31" t="str" cm="1">
        <f t="array" aca="1" ref="L8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3" s="215"/>
      <c r="N863" s="345"/>
      <c r="O863" s="42">
        <f t="shared" si="43"/>
        <v>2025</v>
      </c>
      <c r="P863" s="42" t="str">
        <f t="shared" si="44"/>
        <v>202516319/2024</v>
      </c>
      <c r="Q863" s="42">
        <v>1</v>
      </c>
    </row>
    <row r="864" spans="1:17" ht="30" hidden="1">
      <c r="A864" s="192" t="s">
        <v>644</v>
      </c>
      <c r="B864" s="315" t="str">
        <f>IFERROR(INDEX(Projetos!$B$3:$B$129,MATCH(A864,Projetos!$A$3:$A$129,0))," ")</f>
        <v>BNP/Pangea</v>
      </c>
      <c r="D864" s="214">
        <v>0.86</v>
      </c>
      <c r="E864" s="214">
        <v>0.89</v>
      </c>
      <c r="F864" s="219">
        <v>45890</v>
      </c>
      <c r="G864" s="220">
        <v>45870</v>
      </c>
      <c r="H864" s="51" t="str">
        <f t="shared" si="42"/>
        <v>11645/202245870</v>
      </c>
      <c r="I864" s="38" t="str">
        <f>IFERROR(INDEX(Projetos!$M$2:$M$129,MATCH(Atualizações!A864,Projetos!$A$2:$A$129,0))," ")</f>
        <v>23/12/2026</v>
      </c>
      <c r="J864" s="221" t="s">
        <v>1431</v>
      </c>
      <c r="K864" s="344">
        <f>IFERROR(Tb_Atualizações[[#This Row],[% EXECUTADO]]/Tb_Atualizações[[#This Row],[% PREVISTO]],"0%")</f>
        <v>1.0348837209302326</v>
      </c>
      <c r="L864" s="31" t="str" cm="1">
        <f t="array" aca="1" ref="L8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4" s="215"/>
      <c r="N864" s="345"/>
      <c r="O864" s="42">
        <f t="shared" si="43"/>
        <v>2025</v>
      </c>
      <c r="P864" s="42" t="str">
        <f t="shared" si="44"/>
        <v>202511645/2022</v>
      </c>
      <c r="Q864" s="42">
        <v>1</v>
      </c>
    </row>
    <row r="865" spans="1:17" ht="75" hidden="1">
      <c r="A865" s="192" t="s">
        <v>350</v>
      </c>
      <c r="B865" s="315" t="str">
        <f>IFERROR(INDEX(Projetos!$B$3:$B$129,MATCH(A865,Projetos!$A$3:$A$129,0))," ")</f>
        <v>Painel de Estatística   - Justiça 4.0</v>
      </c>
      <c r="D865" s="214">
        <v>0.76</v>
      </c>
      <c r="E865" s="214">
        <v>0.56000000000000005</v>
      </c>
      <c r="F865" s="219">
        <v>45891</v>
      </c>
      <c r="G865" s="220">
        <v>45870</v>
      </c>
      <c r="H865" s="51" t="str">
        <f t="shared" si="42"/>
        <v>03545/202145870</v>
      </c>
      <c r="I865" s="38">
        <f>IFERROR(INDEX(Projetos!$M$2:$M$129,MATCH(Atualizações!A863,Projetos!$A$2:$A$129,0))," ")</f>
        <v>46195</v>
      </c>
      <c r="J865" s="221" t="s">
        <v>1432</v>
      </c>
      <c r="K865" s="344">
        <f>IFERROR(Tb_Atualizações[[#This Row],[% EXECUTADO]]/Tb_Atualizações[[#This Row],[% PREVISTO]],"0%")</f>
        <v>0.73684210526315796</v>
      </c>
      <c r="L865" s="31" t="str" cm="1">
        <f t="array" aca="1" ref="L8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65" s="215"/>
      <c r="N865" s="345"/>
      <c r="O865" s="42">
        <f t="shared" si="43"/>
        <v>2025</v>
      </c>
      <c r="P865" s="42" t="str">
        <f t="shared" si="44"/>
        <v>202503545/2021</v>
      </c>
      <c r="Q865" s="42">
        <v>1</v>
      </c>
    </row>
    <row r="866" spans="1:17" ht="45" hidden="1">
      <c r="A866" s="192" t="s">
        <v>690</v>
      </c>
      <c r="B866" s="315" t="str">
        <f>IFERROR(INDEX(Projetos!$B$3:$B$129,MATCH(A866,Projetos!$A$3:$A$129,0))," ")</f>
        <v>Painel “Justiça Criminal e Sistema Prisional”</v>
      </c>
      <c r="D866" s="214">
        <v>0.56999999999999995</v>
      </c>
      <c r="E866" s="214">
        <v>0.42</v>
      </c>
      <c r="F866" s="219">
        <v>45891</v>
      </c>
      <c r="G866" s="220">
        <v>45870</v>
      </c>
      <c r="H866" s="51" t="str">
        <f t="shared" si="42"/>
        <v>12215/202345870</v>
      </c>
      <c r="I866" s="473">
        <f>IFERROR(INDEX(Projetos!$M$2:$M$129,MATCH(Atualizações!A866,Projetos!$A$2:$A$129,0))," ")</f>
        <v>46387</v>
      </c>
      <c r="J866" s="221" t="s">
        <v>1424</v>
      </c>
      <c r="K866" s="344">
        <f>IFERROR(Tb_Atualizações[[#This Row],[% EXECUTADO]]/Tb_Atualizações[[#This Row],[% PREVISTO]],"0%")</f>
        <v>0.73684210526315796</v>
      </c>
      <c r="L866" s="31" t="str" cm="1">
        <f t="array" aca="1" ref="L8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66" s="215"/>
      <c r="N866" s="345"/>
      <c r="O866" s="42">
        <f t="shared" si="43"/>
        <v>2025</v>
      </c>
      <c r="P866" s="42" t="str">
        <f t="shared" si="44"/>
        <v>202512215/2023</v>
      </c>
      <c r="Q866" s="42">
        <v>1</v>
      </c>
    </row>
    <row r="867" spans="1:17" ht="15" hidden="1">
      <c r="A867" s="192" t="s">
        <v>458</v>
      </c>
      <c r="B867" s="315" t="str">
        <f>IFERROR(INDEX(Projetos!$B$3:$B$129,MATCH(A867,Projetos!$A$3:$A$129,0))," ")</f>
        <v>SNGB - Melhorias evolutivas</v>
      </c>
      <c r="D867" s="214">
        <v>0.89</v>
      </c>
      <c r="E867" s="214">
        <v>0.96</v>
      </c>
      <c r="F867" s="219">
        <v>45891</v>
      </c>
      <c r="G867" s="220">
        <v>45870</v>
      </c>
      <c r="H867" s="51" t="str">
        <f t="shared" si="42"/>
        <v>08370/202445870</v>
      </c>
      <c r="I867" s="473">
        <f>IFERROR(INDEX(Projetos!$M$2:$M$129,MATCH(Atualizações!A867,Projetos!$A$2:$A$129,0))," ")</f>
        <v>46101</v>
      </c>
      <c r="J867" s="221"/>
      <c r="K867" s="344">
        <f>IFERROR(Tb_Atualizações[[#This Row],[% EXECUTADO]]/Tb_Atualizações[[#This Row],[% PREVISTO]],"0%")</f>
        <v>1.0786516853932584</v>
      </c>
      <c r="L867" s="31" t="str" cm="1">
        <f t="array" aca="1" ref="L8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7" s="215"/>
      <c r="N867" s="345"/>
      <c r="O867" s="42">
        <f t="shared" si="43"/>
        <v>2025</v>
      </c>
      <c r="P867" s="42" t="str">
        <f t="shared" si="44"/>
        <v>202508370/2024</v>
      </c>
      <c r="Q867" s="42">
        <v>1</v>
      </c>
    </row>
    <row r="868" spans="1:17" ht="45" hidden="1">
      <c r="A868" s="192" t="s">
        <v>83</v>
      </c>
      <c r="B868" s="315" t="str">
        <f>IFERROR(INDEX(Projetos!$B$3:$B$129,MATCH(A868,Projetos!$A$3:$A$129,0))," ")</f>
        <v>Painel do Programa Desjudicializa</v>
      </c>
      <c r="D868" s="214">
        <v>0.82</v>
      </c>
      <c r="E868" s="214">
        <v>0.81</v>
      </c>
      <c r="F868" s="219">
        <v>45891</v>
      </c>
      <c r="G868" s="220">
        <v>45870</v>
      </c>
      <c r="H868" s="51" t="str">
        <f t="shared" si="42"/>
        <v>00484/202445870</v>
      </c>
      <c r="I868" s="473">
        <f>IFERROR(INDEX(Projetos!$M$2:$M$129,MATCH(Atualizações!A868,Projetos!$A$2:$A$129,0))," ")</f>
        <v>46387</v>
      </c>
      <c r="J868" s="221" t="s">
        <v>1433</v>
      </c>
      <c r="K868" s="344">
        <f>IFERROR(Tb_Atualizações[[#This Row],[% EXECUTADO]]/Tb_Atualizações[[#This Row],[% PREVISTO]],"0%")</f>
        <v>0.98780487804878059</v>
      </c>
      <c r="L868" s="31" t="str" cm="1">
        <f t="array" aca="1" ref="L8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68" s="215"/>
      <c r="N868" s="345"/>
      <c r="O868" s="42">
        <f t="shared" si="43"/>
        <v>2025</v>
      </c>
      <c r="P868" s="42" t="str">
        <f t="shared" si="44"/>
        <v>202500484/2024</v>
      </c>
      <c r="Q868" s="42">
        <v>1</v>
      </c>
    </row>
    <row r="869" spans="1:17" ht="45" hidden="1">
      <c r="A869" s="192" t="s">
        <v>523</v>
      </c>
      <c r="B869" s="315" t="str">
        <f>IFERROR(INDEX(Projetos!$B$3:$B$129,MATCH(A869,Projetos!$A$3:$A$129,0))," ")</f>
        <v>Portal Jus BR</v>
      </c>
      <c r="D869" s="214">
        <v>0.87</v>
      </c>
      <c r="E869" s="214">
        <v>0.8</v>
      </c>
      <c r="F869" s="219">
        <v>45891</v>
      </c>
      <c r="G869" s="220">
        <v>45870</v>
      </c>
      <c r="H869" s="51" t="str">
        <f t="shared" si="42"/>
        <v>09536/202445870</v>
      </c>
      <c r="I869" s="38">
        <f>IFERROR(INDEX(Projetos!$M$2:$M$129,MATCH(Atualizações!A867,Projetos!$A$2:$A$129,0))," ")</f>
        <v>46101</v>
      </c>
      <c r="J869" s="221" t="s">
        <v>1424</v>
      </c>
      <c r="K869" s="344">
        <f>IFERROR(Tb_Atualizações[[#This Row],[% EXECUTADO]]/Tb_Atualizações[[#This Row],[% PREVISTO]],"0%")</f>
        <v>0.91954022988505757</v>
      </c>
      <c r="L869" s="31" t="str" cm="1">
        <f t="array" aca="1" ref="L8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69" s="215"/>
      <c r="N869" s="345"/>
      <c r="O869" s="42">
        <f t="shared" si="43"/>
        <v>2025</v>
      </c>
      <c r="P869" s="42" t="str">
        <f t="shared" si="44"/>
        <v>202509536/2024</v>
      </c>
      <c r="Q869" s="42">
        <v>1</v>
      </c>
    </row>
    <row r="870" spans="1:17" ht="60" hidden="1">
      <c r="A870" s="192" t="s">
        <v>247</v>
      </c>
      <c r="B870" s="315" t="str">
        <f>IFERROR(INDEX(Projetos!$B$3:$B$129,MATCH(A870,Projetos!$A$3:$A$129,0))," ")</f>
        <v>Portal de Serviços</v>
      </c>
      <c r="D870" s="214">
        <v>0.98</v>
      </c>
      <c r="E870" s="214">
        <v>0.85</v>
      </c>
      <c r="F870" s="219">
        <v>45891</v>
      </c>
      <c r="G870" s="220">
        <v>45870</v>
      </c>
      <c r="H870" s="51" t="str">
        <f t="shared" si="42"/>
        <v>02394/202445870</v>
      </c>
      <c r="I870" s="473">
        <f>IFERROR(INDEX(Projetos!$M$2:$M$129,MATCH(Atualizações!A870,Projetos!$A$2:$A$129,0))," ")</f>
        <v>46387</v>
      </c>
      <c r="J870" s="221" t="s">
        <v>1434</v>
      </c>
      <c r="K870" s="344">
        <f>IFERROR(Tb_Atualizações[[#This Row],[% EXECUTADO]]/Tb_Atualizações[[#This Row],[% PREVISTO]],"0%")</f>
        <v>0.86734693877551017</v>
      </c>
      <c r="L870" s="31" t="str" cm="1">
        <f t="array" aca="1" ref="L8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70" s="215"/>
      <c r="N870" s="345"/>
      <c r="O870" s="42">
        <f t="shared" si="43"/>
        <v>2025</v>
      </c>
      <c r="P870" s="42" t="str">
        <f t="shared" si="44"/>
        <v>202502394/2024</v>
      </c>
      <c r="Q870" s="42">
        <v>1</v>
      </c>
    </row>
    <row r="871" spans="1:17" ht="60" hidden="1">
      <c r="A871" s="192" t="s">
        <v>539</v>
      </c>
      <c r="B871" s="315" t="str">
        <f>IFERROR(INDEX(Projetos!$B$3:$B$129,MATCH(A871,Projetos!$A$3:$A$129,0))," ")</f>
        <v>Desenvolvimento do módulo de Sessão de Julgamento (PDPJ-Br)</v>
      </c>
      <c r="D871" s="214">
        <v>0.88</v>
      </c>
      <c r="E871" s="214">
        <v>0.82</v>
      </c>
      <c r="F871" s="219">
        <v>45891</v>
      </c>
      <c r="G871" s="220">
        <v>45870</v>
      </c>
      <c r="H871" s="51" t="str">
        <f t="shared" si="42"/>
        <v>09630/202445870</v>
      </c>
      <c r="I871" s="473">
        <f>IFERROR(INDEX(Projetos!$M$2:$M$129,MATCH(Atualizações!A871,Projetos!$A$2:$A$129,0))," ")</f>
        <v>46387</v>
      </c>
      <c r="J871" s="221" t="s">
        <v>1435</v>
      </c>
      <c r="K871" s="344">
        <f>IFERROR(Tb_Atualizações[[#This Row],[% EXECUTADO]]/Tb_Atualizações[[#This Row],[% PREVISTO]],"0%")</f>
        <v>0.93181818181818177</v>
      </c>
      <c r="L871" s="31" t="str" cm="1">
        <f t="array" aca="1" ref="L8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71" s="215"/>
      <c r="N871" s="345"/>
      <c r="O871" s="42">
        <f t="shared" si="43"/>
        <v>2025</v>
      </c>
      <c r="P871" s="42" t="str">
        <f t="shared" si="44"/>
        <v>202509630/2024</v>
      </c>
      <c r="Q871" s="42">
        <v>1</v>
      </c>
    </row>
    <row r="872" spans="1:17" ht="75" hidden="1">
      <c r="A872" s="192" t="s">
        <v>722</v>
      </c>
      <c r="B872" s="315" t="str">
        <f>IFERROR(INDEX(Projetos!$B$3:$B$129,MATCH(A872,Projetos!$A$3:$A$129,0))," ")</f>
        <v>Serviços Estruturantes - Melhorias Evolutivas e Corretivas</v>
      </c>
      <c r="D872" s="214">
        <v>0.82</v>
      </c>
      <c r="E872" s="214">
        <v>0.77</v>
      </c>
      <c r="F872" s="219">
        <v>45891</v>
      </c>
      <c r="G872" s="220">
        <v>45870</v>
      </c>
      <c r="H872" s="51" t="str">
        <f t="shared" si="42"/>
        <v>14965/202445870</v>
      </c>
      <c r="I872" s="473">
        <f>IFERROR(INDEX(Projetos!$M$2:$M$129,MATCH(Atualizações!A872,Projetos!$A$2:$A$129,0))," ")</f>
        <v>46387</v>
      </c>
      <c r="J872" s="221" t="s">
        <v>1436</v>
      </c>
      <c r="K872" s="458">
        <f>IFERROR(Tb_Atualizações[[#This Row],[% EXECUTADO]]/Tb_Atualizações[[#This Row],[% PREVISTO]],"0%")</f>
        <v>0.9390243902439025</v>
      </c>
      <c r="L872" s="31" t="str" cm="1">
        <f t="array" aca="1" ref="L8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72" s="215"/>
      <c r="N872" s="345"/>
      <c r="O872" s="42">
        <f t="shared" si="43"/>
        <v>2025</v>
      </c>
      <c r="P872" s="42" t="str">
        <f t="shared" si="44"/>
        <v>202514965/2024</v>
      </c>
      <c r="Q872" s="42">
        <v>1</v>
      </c>
    </row>
    <row r="873" spans="1:17" ht="75" hidden="1">
      <c r="A873" s="192" t="s">
        <v>58</v>
      </c>
      <c r="B873" s="315" t="str">
        <f>IFERROR(INDEX(Projetos!$B$3:$B$129,MATCH(A873,Projetos!$A$3:$A$129,0))," ")</f>
        <v>Phase-out: Transição Projetos X Operação</v>
      </c>
      <c r="D873" s="214">
        <v>0.31</v>
      </c>
      <c r="E873" s="214">
        <v>0.54</v>
      </c>
      <c r="F873" s="219">
        <v>45891</v>
      </c>
      <c r="G873" s="220">
        <v>45870</v>
      </c>
      <c r="H873" s="51" t="str">
        <f t="shared" si="42"/>
        <v>00030/202545870</v>
      </c>
      <c r="I873" s="38">
        <f>IFERROR(INDEX(Projetos!$M$2:$M$129,MATCH(Atualizações!A871,Projetos!$A$2:$A$129,0))," ")</f>
        <v>46387</v>
      </c>
      <c r="J873" s="221" t="s">
        <v>1437</v>
      </c>
      <c r="K873" s="344">
        <f>IFERROR(Tb_Atualizações[[#This Row],[% EXECUTADO]]/Tb_Atualizações[[#This Row],[% PREVISTO]],"0%")</f>
        <v>1.741935483870968</v>
      </c>
      <c r="L873" s="31" t="str" cm="1">
        <f t="array" aca="1" ref="L8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3" s="215"/>
      <c r="N873" s="345"/>
      <c r="O873" s="42">
        <f t="shared" si="43"/>
        <v>2025</v>
      </c>
      <c r="P873" s="42" t="str">
        <f t="shared" si="44"/>
        <v>202500030/2025</v>
      </c>
      <c r="Q873" s="42">
        <v>1</v>
      </c>
    </row>
    <row r="874" spans="1:17" ht="45" hidden="1">
      <c r="A874" s="370" t="s">
        <v>517</v>
      </c>
      <c r="B874" s="315" t="str">
        <f>IFERROR(INDEX(Projetos!$B$3:$B$129,MATCH(A874,Projetos!$A$3:$A$129,0))," ")</f>
        <v>Domicílio Judicial Eletrônico - Melhorias Evolutivas</v>
      </c>
      <c r="D874" s="214">
        <v>0.83</v>
      </c>
      <c r="E874" s="214">
        <v>0.94</v>
      </c>
      <c r="F874" s="219">
        <v>45891</v>
      </c>
      <c r="G874" s="220">
        <v>45870</v>
      </c>
      <c r="H874" s="51" t="str">
        <f t="shared" si="42"/>
        <v>09445/202345870</v>
      </c>
      <c r="I874" s="473">
        <f>IFERROR(INDEX(Projetos!$M$2:$M$129,MATCH(Atualizações!A874,Projetos!$A$2:$A$129,0))," ")</f>
        <v>46203</v>
      </c>
      <c r="J874" s="221" t="s">
        <v>1438</v>
      </c>
      <c r="K874" s="344">
        <f>IFERROR(Tb_Atualizações[[#This Row],[% EXECUTADO]]/Tb_Atualizações[[#This Row],[% PREVISTO]],"0%")</f>
        <v>1.1325301204819278</v>
      </c>
      <c r="L874" s="31" t="str" cm="1">
        <f t="array" aca="1" ref="L8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4" s="215"/>
      <c r="N874" s="345"/>
      <c r="O874" s="42">
        <f t="shared" si="43"/>
        <v>2025</v>
      </c>
      <c r="P874" s="42" t="str">
        <f t="shared" si="44"/>
        <v>202509445/2023</v>
      </c>
      <c r="Q874" s="42">
        <v>1</v>
      </c>
    </row>
    <row r="875" spans="1:17" ht="60" hidden="1">
      <c r="A875" s="540" t="s">
        <v>675</v>
      </c>
      <c r="B875" s="315" t="str">
        <f>IFERROR(INDEX(Projetos!$B$3:$B$129,MATCH(A875,Projetos!$A$3:$A$129,0))," ")</f>
        <v>Pesquisa IA 2024 - Mapeamento dos projetos de Inteligência Artificial em desenvolvimento pelos tribunais brasileiros</v>
      </c>
      <c r="D875" s="214">
        <v>0.98</v>
      </c>
      <c r="E875" s="214">
        <v>0.8</v>
      </c>
      <c r="F875" s="219">
        <v>45891</v>
      </c>
      <c r="G875" s="220">
        <v>45870</v>
      </c>
      <c r="H875" s="51" t="str">
        <f t="shared" si="42"/>
        <v>11988/202445870</v>
      </c>
      <c r="I875" s="38">
        <f>IFERROR(INDEX(Projetos!$M$2:$M$129,MATCH(Atualizações!A873,Projetos!$A$2:$A$129,0))," ")</f>
        <v>46387</v>
      </c>
      <c r="J875" s="221" t="s">
        <v>1439</v>
      </c>
      <c r="K875" s="344">
        <f>IFERROR(Tb_Atualizações[[#This Row],[% EXECUTADO]]/Tb_Atualizações[[#This Row],[% PREVISTO]],"0%")</f>
        <v>0.81632653061224492</v>
      </c>
      <c r="L875" s="31" t="str" cm="1">
        <f t="array" aca="1" ref="L8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75" s="215"/>
      <c r="N875" s="345"/>
      <c r="O875" s="42">
        <f t="shared" si="43"/>
        <v>2025</v>
      </c>
      <c r="P875" s="42" t="str">
        <f t="shared" si="44"/>
        <v>202511988/2024</v>
      </c>
    </row>
    <row r="876" spans="1:17" ht="60" hidden="1">
      <c r="A876" s="370" t="s">
        <v>396</v>
      </c>
      <c r="B876" s="315" t="str">
        <f>IFERROR(INDEX(Projetos!$B$3:$B$129,MATCH(A876,Projetos!$A$3:$A$129,0))," ")</f>
        <v>CODEX - Melhorias Evolutivas e Corretivas</v>
      </c>
      <c r="D876" s="214">
        <v>0.9</v>
      </c>
      <c r="E876" s="214">
        <v>0.87</v>
      </c>
      <c r="F876" s="219">
        <v>45891</v>
      </c>
      <c r="G876" s="220">
        <v>45870</v>
      </c>
      <c r="H876" s="51" t="str">
        <f t="shared" si="42"/>
        <v>04751/202245870</v>
      </c>
      <c r="I876" s="473">
        <f>IFERROR(INDEX(Projetos!$M$2:$M$129,MATCH(Atualizações!A876,Projetos!$A$2:$A$129,0))," ")</f>
        <v>46387</v>
      </c>
      <c r="J876" s="221" t="s">
        <v>1440</v>
      </c>
      <c r="K876" s="344">
        <f>IFERROR(Tb_Atualizações[[#This Row],[% EXECUTADO]]/Tb_Atualizações[[#This Row],[% PREVISTO]],"0%")</f>
        <v>0.96666666666666667</v>
      </c>
      <c r="L876" s="31" t="str" cm="1">
        <f t="array" aca="1" ref="L8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6" s="215"/>
      <c r="N876" s="345"/>
      <c r="O876" s="42">
        <f t="shared" si="43"/>
        <v>2025</v>
      </c>
      <c r="P876" s="42" t="str">
        <f t="shared" si="44"/>
        <v>202504751/2022</v>
      </c>
      <c r="Q876" s="42">
        <v>1</v>
      </c>
    </row>
    <row r="877" spans="1:17" ht="45" hidden="1">
      <c r="A877" s="370" t="s">
        <v>580</v>
      </c>
      <c r="B877" s="315" t="str">
        <f>IFERROR(INDEX(Projetos!$B$3:$B$129,MATCH(A877,Projetos!$A$3:$A$129,0))," ")</f>
        <v>SireneJud 2.0 - Evoluções</v>
      </c>
      <c r="D877" s="214">
        <v>0.45</v>
      </c>
      <c r="E877" s="214">
        <v>0.48</v>
      </c>
      <c r="F877" s="219">
        <v>45891</v>
      </c>
      <c r="G877" s="220">
        <v>45870</v>
      </c>
      <c r="H877" s="51" t="str">
        <f t="shared" si="42"/>
        <v>10698/202445870</v>
      </c>
      <c r="I877" s="38">
        <f>IFERROR(INDEX(Projetos!$M$2:$M$129,MATCH(Atualizações!A875,Projetos!$A$2:$A$129,0))," ")</f>
        <v>45899</v>
      </c>
      <c r="J877" s="221" t="s">
        <v>1441</v>
      </c>
      <c r="K877" s="344">
        <f>IFERROR(Tb_Atualizações[[#This Row],[% EXECUTADO]]/Tb_Atualizações[[#This Row],[% PREVISTO]],"0%")</f>
        <v>1.0666666666666667</v>
      </c>
      <c r="L877" s="31" t="str" cm="1">
        <f t="array" aca="1" ref="L8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7" s="215"/>
      <c r="N877" s="345"/>
      <c r="O877" s="42">
        <f t="shared" si="43"/>
        <v>2025</v>
      </c>
      <c r="P877" s="42" t="str">
        <f t="shared" si="44"/>
        <v>202510698/2024</v>
      </c>
      <c r="Q877" s="42">
        <v>1</v>
      </c>
    </row>
    <row r="878" spans="1:17" ht="45" hidden="1">
      <c r="A878" s="370" t="s">
        <v>219</v>
      </c>
      <c r="B878" s="315" t="str">
        <f>IFERROR(INDEX(Projetos!$B$3:$B$129,MATCH(A878,Projetos!$A$3:$A$129,0))," ")</f>
        <v xml:space="preserve">Aperfeiçoamento funcional em temáticas prioritárias para o CNJ e para Justiça Federal 
(cursos, capacitações, metodologias e ferramentas avançados) – Ciclo Avançado </v>
      </c>
      <c r="D878" s="214">
        <v>0.35</v>
      </c>
      <c r="E878" s="214">
        <v>0.52</v>
      </c>
      <c r="F878" s="219">
        <v>45891</v>
      </c>
      <c r="G878" s="220">
        <v>45870</v>
      </c>
      <c r="H878" s="51" t="str">
        <f t="shared" si="42"/>
        <v>02024/202445870</v>
      </c>
      <c r="I878" s="473">
        <f>IFERROR(INDEX(Projetos!$M$2:$M$129,MATCH(Atualizações!A878,Projetos!$A$2:$A$129,0))," ")</f>
        <v>46246</v>
      </c>
      <c r="J878" s="221" t="s">
        <v>1442</v>
      </c>
      <c r="K878" s="344">
        <f>IFERROR(Tb_Atualizações[[#This Row],[% EXECUTADO]]/Tb_Atualizações[[#This Row],[% PREVISTO]],"0%")</f>
        <v>1.4857142857142858</v>
      </c>
      <c r="L878" s="31" t="str" cm="1">
        <f t="array" aca="1" ref="L8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8" s="215"/>
      <c r="N878" s="345"/>
      <c r="O878" s="42">
        <f t="shared" si="43"/>
        <v>2025</v>
      </c>
      <c r="P878" s="42" t="str">
        <f t="shared" si="44"/>
        <v>202502024/2024</v>
      </c>
      <c r="Q878" s="42">
        <v>1</v>
      </c>
    </row>
    <row r="879" spans="1:17" ht="45" hidden="1">
      <c r="A879" s="370" t="s">
        <v>661</v>
      </c>
      <c r="B879" s="315" t="str">
        <f>IFERROR(INDEX(Projetos!$B$3:$B$129,MATCH(A879,Projetos!$A$3:$A$129,0))," ")</f>
        <v>BNMP – Banco Nacional de Medidas Penais e Prisões – Melhorias Evolutivas</v>
      </c>
      <c r="D879" s="214">
        <v>0.41</v>
      </c>
      <c r="E879" s="214">
        <v>0.39</v>
      </c>
      <c r="F879" s="219">
        <v>45891</v>
      </c>
      <c r="G879" s="220">
        <v>45870</v>
      </c>
      <c r="H879" s="51" t="str">
        <f t="shared" si="42"/>
        <v>11776/202445870</v>
      </c>
      <c r="I879" s="38">
        <f>IFERROR(INDEX(Projetos!$M$2:$M$129,MATCH(Atualizações!A877,Projetos!$A$2:$A$129,0))," ")</f>
        <v>46387</v>
      </c>
      <c r="J879" s="221" t="s">
        <v>1443</v>
      </c>
      <c r="K879" s="344">
        <f>IFERROR(Tb_Atualizações[[#This Row],[% EXECUTADO]]/Tb_Atualizações[[#This Row],[% PREVISTO]],"0%")</f>
        <v>0.95121951219512202</v>
      </c>
      <c r="L879" s="31" t="str" cm="1">
        <f t="array" aca="1" ref="L8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79" s="215"/>
      <c r="N879" s="345"/>
      <c r="O879" s="42">
        <f t="shared" si="43"/>
        <v>2025</v>
      </c>
      <c r="P879" s="42" t="str">
        <f t="shared" si="44"/>
        <v>202511776/2024</v>
      </c>
      <c r="Q879" s="42">
        <v>1</v>
      </c>
    </row>
    <row r="880" spans="1:17" ht="15" hidden="1">
      <c r="A880" s="370" t="s">
        <v>152</v>
      </c>
      <c r="B880" s="315" t="str">
        <f>IFERROR(INDEX(Projetos!$B$3:$B$129,MATCH(A880,Projetos!$A$3:$A$129,0))," ")</f>
        <v>Painel da Fazenda Nacional.</v>
      </c>
      <c r="D880" s="214">
        <v>0.41</v>
      </c>
      <c r="E880" s="214">
        <v>0.35</v>
      </c>
      <c r="F880" s="219">
        <v>45891</v>
      </c>
      <c r="G880" s="220">
        <v>45870</v>
      </c>
      <c r="H880" s="51" t="str">
        <f t="shared" si="42"/>
        <v>01247/202545870</v>
      </c>
      <c r="I880" s="38">
        <f>IFERROR(INDEX(Projetos!$M$2:$M$129,MATCH(Atualizações!A878,Projetos!$A$2:$A$129,0))," ")</f>
        <v>46246</v>
      </c>
      <c r="J880" s="221" t="s">
        <v>1444</v>
      </c>
      <c r="K880" s="344">
        <f>IFERROR(Tb_Atualizações[[#This Row],[% EXECUTADO]]/Tb_Atualizações[[#This Row],[% PREVISTO]],"0%")</f>
        <v>0.85365853658536583</v>
      </c>
      <c r="L880" s="31" t="str" cm="1">
        <f t="array" aca="1" ref="L8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80" s="215"/>
      <c r="N880" s="345"/>
      <c r="O880" s="42">
        <f t="shared" si="43"/>
        <v>2025</v>
      </c>
      <c r="P880" s="42" t="str">
        <f t="shared" si="44"/>
        <v>202501247/2025</v>
      </c>
      <c r="Q880" s="42">
        <v>1</v>
      </c>
    </row>
    <row r="881" spans="1:17" ht="30" hidden="1">
      <c r="A881" s="192" t="s">
        <v>209</v>
      </c>
      <c r="B881" s="315" t="str">
        <f>IFERROR(INDEX(Projetos!$B$3:$B$129,MATCH(A881,Projetos!$A$3:$A$129,0))," ")</f>
        <v>Capacitação técnica para desenvolvedores nas tecnologias da PDPJ - BR</v>
      </c>
      <c r="D881" s="214">
        <v>1</v>
      </c>
      <c r="E881" s="214">
        <v>1</v>
      </c>
      <c r="F881" s="219">
        <v>45895</v>
      </c>
      <c r="G881" s="220">
        <v>45870</v>
      </c>
      <c r="H881" s="51" t="str">
        <f t="shared" si="42"/>
        <v>01945/202245870</v>
      </c>
      <c r="I881" s="38">
        <f>IFERROR(INDEX(Projetos!$M$2:$M$129,MATCH(Atualizações!A879,Projetos!$A$2:$A$129,0))," ")</f>
        <v>46379</v>
      </c>
      <c r="J881" s="221" t="s">
        <v>1445</v>
      </c>
      <c r="K881" s="344">
        <f>IFERROR(Tb_Atualizações[[#This Row],[% EXECUTADO]]/Tb_Atualizações[[#This Row],[% PREVISTO]],"0%")</f>
        <v>1</v>
      </c>
      <c r="L881" s="31" t="str" cm="1">
        <f t="array" aca="1" ref="L8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881" s="215"/>
      <c r="N881" s="345"/>
      <c r="O881" s="42">
        <f t="shared" si="43"/>
        <v>2025</v>
      </c>
      <c r="P881" s="42" t="str">
        <f t="shared" si="44"/>
        <v>202501945/2022</v>
      </c>
      <c r="Q881" s="42">
        <v>1</v>
      </c>
    </row>
    <row r="882" spans="1:17" ht="15" hidden="1">
      <c r="A882" s="192" t="s">
        <v>661</v>
      </c>
      <c r="B882" s="315" t="str">
        <f>IFERROR(INDEX(Projetos!$B$3:$B$129,MATCH(A882,Projetos!$A$3:$A$129,0))," ")</f>
        <v>BNMP – Banco Nacional de Medidas Penais e Prisões – Melhorias Evolutivas</v>
      </c>
      <c r="D882" s="214">
        <v>0.43</v>
      </c>
      <c r="E882" s="214">
        <v>0.51</v>
      </c>
      <c r="F882" s="219">
        <v>45902</v>
      </c>
      <c r="G882" s="220">
        <v>45901</v>
      </c>
      <c r="H882" s="51" t="str">
        <f t="shared" si="42"/>
        <v>11776/202445901</v>
      </c>
      <c r="I882" s="38">
        <f>IFERROR(INDEX(Projetos!$M$2:$M$129,MATCH(Atualizações!A880,Projetos!$A$2:$A$129,0))," ")</f>
        <v>46387</v>
      </c>
      <c r="J882" s="221"/>
      <c r="K882" s="344">
        <f>IFERROR(Tb_Atualizações[[#This Row],[% EXECUTADO]]/Tb_Atualizações[[#This Row],[% PREVISTO]],"0%")</f>
        <v>1.1860465116279071</v>
      </c>
      <c r="L882" s="31" t="str" cm="1">
        <f t="array" aca="1" ref="L8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82" s="215"/>
      <c r="N882" s="345"/>
      <c r="O882" s="42">
        <f t="shared" si="43"/>
        <v>2025</v>
      </c>
      <c r="P882" s="42" t="str">
        <f t="shared" si="44"/>
        <v>202511776/2024</v>
      </c>
      <c r="Q882" s="42">
        <v>1</v>
      </c>
    </row>
    <row r="883" spans="1:17" ht="75" hidden="1">
      <c r="A883" s="192" t="s">
        <v>404</v>
      </c>
      <c r="B883" s="315" t="str">
        <f>IFERROR(INDEX(Projetos!$B$3:$B$129,MATCH(A883,Projetos!$A$3:$A$129,0))," ")</f>
        <v>Consulta Nacional de Pessoas (FAC Nacional)</v>
      </c>
      <c r="D883" s="214">
        <v>0.67</v>
      </c>
      <c r="E883" s="214">
        <v>0.67</v>
      </c>
      <c r="F883" s="219">
        <v>45904</v>
      </c>
      <c r="G883" s="220">
        <v>45870</v>
      </c>
      <c r="H883" s="51" t="str">
        <f t="shared" si="42"/>
        <v>05138/202445870</v>
      </c>
      <c r="I883" s="38">
        <f>IFERROR(INDEX(Projetos!$M$2:$M$129,MATCH(Atualizações!A881,Projetos!$A$2:$A$129,0))," ")</f>
        <v>45866</v>
      </c>
      <c r="J883" s="221" t="s">
        <v>1446</v>
      </c>
      <c r="K883" s="344">
        <f>IFERROR(Tb_Atualizações[[#This Row],[% EXECUTADO]]/Tb_Atualizações[[#This Row],[% PREVISTO]],"0%")</f>
        <v>1</v>
      </c>
      <c r="L883" s="31" t="str" cm="1">
        <f t="array" aca="1" ref="L8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83" s="215"/>
      <c r="N883" s="345"/>
      <c r="O883" s="42">
        <f t="shared" si="43"/>
        <v>2025</v>
      </c>
      <c r="P883" s="42" t="str">
        <f t="shared" si="44"/>
        <v>202505138/2024</v>
      </c>
      <c r="Q883" s="42">
        <v>1</v>
      </c>
    </row>
    <row r="884" spans="1:17" ht="30" hidden="1">
      <c r="A884" s="192" t="s">
        <v>290</v>
      </c>
      <c r="B884" s="315" t="str">
        <f>IFERROR(INDEX(Projetos!$B$3:$B$129,MATCH(A884,Projetos!$A$3:$A$129,0))," ")</f>
        <v>Itinerância Cooperativa na Amazônia Legal – Edição de 2025 – Boca do Acre (AM) e Xapuri (AC)</v>
      </c>
      <c r="D884" s="214">
        <v>0.81</v>
      </c>
      <c r="E884" s="214">
        <v>0.81</v>
      </c>
      <c r="F884" s="219">
        <v>45908</v>
      </c>
      <c r="G884" s="220">
        <v>45870</v>
      </c>
      <c r="H884" s="51" t="str">
        <f t="shared" si="42"/>
        <v>02633/202545870</v>
      </c>
      <c r="I884" s="38">
        <f>IFERROR(INDEX(Projetos!$M$2:$M$129,MATCH(Atualizações!A882,Projetos!$A$2:$A$129,0))," ")</f>
        <v>46379</v>
      </c>
      <c r="J884" s="221"/>
      <c r="K884" s="344">
        <f>IFERROR(Tb_Atualizações[[#This Row],[% EXECUTADO]]/Tb_Atualizações[[#This Row],[% PREVISTO]],"0%")</f>
        <v>1</v>
      </c>
      <c r="L884" s="31" t="str" cm="1">
        <f t="array" aca="1" ref="L8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84" s="215"/>
      <c r="N884" s="345"/>
      <c r="O884" s="42">
        <f t="shared" si="43"/>
        <v>2025</v>
      </c>
      <c r="P884" s="42" t="str">
        <f t="shared" si="44"/>
        <v>202502633/2025</v>
      </c>
      <c r="Q884" s="42">
        <v>1</v>
      </c>
    </row>
    <row r="885" spans="1:17" ht="15" hidden="1">
      <c r="A885" s="192" t="s">
        <v>247</v>
      </c>
      <c r="B885" s="315" t="str">
        <f>IFERROR(INDEX(Projetos!$B$3:$B$129,MATCH(A885,Projetos!$A$3:$A$129,0))," ")</f>
        <v>Portal de Serviços</v>
      </c>
      <c r="D885" s="214">
        <v>0.73</v>
      </c>
      <c r="E885" s="214">
        <v>0.95</v>
      </c>
      <c r="F885" s="219">
        <v>45912</v>
      </c>
      <c r="G885" s="220">
        <v>45901</v>
      </c>
      <c r="H885" s="51" t="str">
        <f t="shared" si="42"/>
        <v>02394/202445901</v>
      </c>
      <c r="I885" s="473">
        <f>IFERROR(INDEX(Projetos!$M$2:$M$129,MATCH(Atualizações!A885,Projetos!$A$2:$A$129,0))," ")</f>
        <v>46387</v>
      </c>
      <c r="J885" s="221"/>
      <c r="K885" s="344">
        <f>IFERROR(Tb_Atualizações[[#This Row],[% EXECUTADO]]/Tb_Atualizações[[#This Row],[% PREVISTO]],"0%")</f>
        <v>1.3013698630136985</v>
      </c>
      <c r="L885" s="31" t="str" cm="1">
        <f t="array" aca="1" ref="L8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85" s="215"/>
      <c r="N885" s="345"/>
      <c r="O885" s="42">
        <f t="shared" si="43"/>
        <v>2025</v>
      </c>
      <c r="P885" s="42" t="str">
        <f t="shared" si="44"/>
        <v>202502394/2024</v>
      </c>
      <c r="Q885" s="42">
        <v>1</v>
      </c>
    </row>
    <row r="886" spans="1:17" ht="30" hidden="1">
      <c r="A886" s="192" t="s">
        <v>350</v>
      </c>
      <c r="B886" s="315" t="str">
        <f>IFERROR(INDEX(Projetos!$B$3:$B$129,MATCH(A886,Projetos!$A$3:$A$129,0))," ")</f>
        <v>Painel de Estatística   - Justiça 4.0</v>
      </c>
      <c r="D886" s="214">
        <v>0.84</v>
      </c>
      <c r="E886" s="214">
        <v>0.73</v>
      </c>
      <c r="F886" s="219">
        <v>45916</v>
      </c>
      <c r="G886" s="220">
        <v>45901</v>
      </c>
      <c r="H886" s="51" t="str">
        <f t="shared" si="42"/>
        <v>03545/202145901</v>
      </c>
      <c r="I886" s="38">
        <f>IFERROR(INDEX(Projetos!$M$2:$M$129,MATCH(Atualizações!A884,Projetos!$A$2:$A$129,0))," ")</f>
        <v>45912</v>
      </c>
      <c r="J886" s="221"/>
      <c r="K886" s="344">
        <f>IFERROR(Tb_Atualizações[[#This Row],[% EXECUTADO]]/Tb_Atualizações[[#This Row],[% PREVISTO]],"0%")</f>
        <v>0.86904761904761907</v>
      </c>
      <c r="L886" s="31" t="str" cm="1">
        <f t="array" aca="1" ref="L8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86" s="215"/>
      <c r="N886" s="345"/>
      <c r="O886" s="42">
        <f t="shared" si="43"/>
        <v>2025</v>
      </c>
      <c r="P886" s="42" t="str">
        <f t="shared" si="44"/>
        <v>202503545/2021</v>
      </c>
      <c r="Q886" s="42">
        <v>1</v>
      </c>
    </row>
    <row r="887" spans="1:17" ht="60" hidden="1">
      <c r="A887" s="192" t="s">
        <v>684</v>
      </c>
      <c r="B887" s="315" t="str">
        <f>IFERROR(INDEX(Projetos!$B$3:$B$129,MATCH(A887,Projetos!$A$3:$A$129,0))," ")</f>
        <v>Painel dos Grandes Litigantes</v>
      </c>
      <c r="D887" s="214">
        <v>0.8</v>
      </c>
      <c r="E887" s="214">
        <v>0.78</v>
      </c>
      <c r="F887" s="219">
        <v>45916</v>
      </c>
      <c r="G887" s="220">
        <v>45901</v>
      </c>
      <c r="H887" s="51" t="str">
        <f t="shared" si="42"/>
        <v>12135/202245901</v>
      </c>
      <c r="I887" s="38">
        <f>IFERROR(INDEX(Projetos!$M$2:$M$129,MATCH(Atualizações!A885,Projetos!$A$2:$A$129,0))," ")</f>
        <v>46387</v>
      </c>
      <c r="J887" s="221" t="s">
        <v>1447</v>
      </c>
      <c r="K887" s="344">
        <f>IFERROR(Tb_Atualizações[[#This Row],[% EXECUTADO]]/Tb_Atualizações[[#This Row],[% PREVISTO]],"0%")</f>
        <v>0.97499999999999998</v>
      </c>
      <c r="L887" s="31" t="str" cm="1">
        <f t="array" aca="1" ref="L8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87" s="215"/>
      <c r="N887" s="345"/>
      <c r="O887" s="42">
        <f t="shared" si="43"/>
        <v>2025</v>
      </c>
      <c r="P887" s="42" t="str">
        <f t="shared" si="44"/>
        <v>202512135/2022</v>
      </c>
      <c r="Q887" s="42">
        <v>1</v>
      </c>
    </row>
    <row r="888" spans="1:17" ht="30" hidden="1">
      <c r="A888" s="192" t="s">
        <v>310</v>
      </c>
      <c r="B888" s="315" t="str">
        <f>IFERROR(INDEX(Projetos!$B$3:$B$129,MATCH(A888,Projetos!$A$3:$A$129,0))," ")</f>
        <v>Apoio a implantação de soluções da PDPJ-Br</v>
      </c>
      <c r="D888" s="214">
        <v>0.71</v>
      </c>
      <c r="E888" s="214">
        <v>0.56999999999999995</v>
      </c>
      <c r="F888" s="219">
        <v>45916</v>
      </c>
      <c r="G888" s="220">
        <v>45901</v>
      </c>
      <c r="H888" s="51" t="str">
        <f t="shared" si="42"/>
        <v>02887/202445901</v>
      </c>
      <c r="I888" s="473">
        <f>IFERROR(INDEX(Projetos!$M$2:$M$129,MATCH(Atualizações!A888,Projetos!$A$2:$A$129,0))," ")</f>
        <v>46387</v>
      </c>
      <c r="J888" s="221"/>
      <c r="K888" s="344">
        <f>IFERROR(Tb_Atualizações[[#This Row],[% EXECUTADO]]/Tb_Atualizações[[#This Row],[% PREVISTO]],"0%")</f>
        <v>0.80281690140845063</v>
      </c>
      <c r="L888" s="31" t="str" cm="1">
        <f t="array" aca="1" ref="L8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88" s="215"/>
      <c r="N888" s="345"/>
      <c r="O888" s="42">
        <f t="shared" si="43"/>
        <v>2025</v>
      </c>
      <c r="P888" s="42" t="str">
        <f t="shared" si="44"/>
        <v>202502887/2024</v>
      </c>
      <c r="Q888" s="42">
        <v>1</v>
      </c>
    </row>
    <row r="889" spans="1:17" ht="15" hidden="1">
      <c r="A889" s="192" t="s">
        <v>690</v>
      </c>
      <c r="B889" s="315" t="str">
        <f>IFERROR(INDEX(Projetos!$B$3:$B$129,MATCH(A889,Projetos!$A$3:$A$129,0))," ")</f>
        <v>Painel “Justiça Criminal e Sistema Prisional”</v>
      </c>
      <c r="D889" s="214">
        <v>0.7</v>
      </c>
      <c r="E889" s="214">
        <v>0.63</v>
      </c>
      <c r="F889" s="219">
        <v>45916</v>
      </c>
      <c r="G889" s="220">
        <v>45901</v>
      </c>
      <c r="H889" s="51" t="str">
        <f t="shared" si="42"/>
        <v>12215/202345901</v>
      </c>
      <c r="I889" s="473">
        <f>IFERROR(INDEX(Projetos!$M$2:$M$129,MATCH(Atualizações!A889,Projetos!$A$2:$A$129,0))," ")</f>
        <v>46387</v>
      </c>
      <c r="J889" s="221"/>
      <c r="K889" s="344">
        <f>IFERROR(Tb_Atualizações[[#This Row],[% EXECUTADO]]/Tb_Atualizações[[#This Row],[% PREVISTO]],"0%")</f>
        <v>0.9</v>
      </c>
      <c r="L889" s="31" t="str" cm="1">
        <f t="array" aca="1" ref="L8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89" s="215"/>
      <c r="N889" s="345"/>
      <c r="O889" s="42">
        <f t="shared" si="43"/>
        <v>2025</v>
      </c>
      <c r="P889" s="42" t="str">
        <f t="shared" si="44"/>
        <v>202512215/2023</v>
      </c>
      <c r="Q889" s="42">
        <v>1</v>
      </c>
    </row>
    <row r="890" spans="1:17" ht="15" hidden="1">
      <c r="A890" s="192" t="s">
        <v>83</v>
      </c>
      <c r="B890" s="315" t="str">
        <f>IFERROR(INDEX(Projetos!$B$3:$B$129,MATCH(A890,Projetos!$A$3:$A$129,0))," ")</f>
        <v>Painel do Programa Desjudicializa</v>
      </c>
      <c r="D890" s="214">
        <v>0.86</v>
      </c>
      <c r="E890" s="214">
        <v>0.81</v>
      </c>
      <c r="F890" s="219">
        <v>45916</v>
      </c>
      <c r="G890" s="220">
        <v>45901</v>
      </c>
      <c r="H890" s="51" t="str">
        <f t="shared" si="42"/>
        <v>00484/202445901</v>
      </c>
      <c r="I890" s="473">
        <f>IFERROR(INDEX(Projetos!$M$2:$M$129,MATCH(Atualizações!A890,Projetos!$A$2:$A$129,0))," ")</f>
        <v>46387</v>
      </c>
      <c r="J890" s="221"/>
      <c r="K890" s="344">
        <f>IFERROR(Tb_Atualizações[[#This Row],[% EXECUTADO]]/Tb_Atualizações[[#This Row],[% PREVISTO]],"0%")</f>
        <v>0.94186046511627919</v>
      </c>
      <c r="L890" s="31" t="str" cm="1">
        <f t="array" aca="1" ref="L8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90" s="215"/>
      <c r="N890" s="345"/>
      <c r="O890" s="42">
        <f t="shared" si="43"/>
        <v>2025</v>
      </c>
      <c r="P890" s="42" t="str">
        <f t="shared" si="44"/>
        <v>202500484/2024</v>
      </c>
      <c r="Q890" s="42">
        <v>1</v>
      </c>
    </row>
    <row r="891" spans="1:17" ht="15" hidden="1">
      <c r="A891" s="192" t="s">
        <v>722</v>
      </c>
      <c r="B891" s="315" t="str">
        <f>IFERROR(INDEX(Projetos!$B$3:$B$129,MATCH(A891,Projetos!$A$3:$A$129,0))," ")</f>
        <v>Serviços Estruturantes - Melhorias Evolutivas e Corretivas</v>
      </c>
      <c r="D891" s="214">
        <v>0.57999999999999996</v>
      </c>
      <c r="E891" s="214">
        <v>0.79</v>
      </c>
      <c r="F891" s="219">
        <v>45916</v>
      </c>
      <c r="G891" s="220">
        <v>45901</v>
      </c>
      <c r="H891" s="51" t="str">
        <f t="shared" si="42"/>
        <v>14965/202445901</v>
      </c>
      <c r="I891" s="473">
        <f>IFERROR(INDEX(Projetos!$M$2:$M$129,MATCH(Atualizações!A891,Projetos!$A$2:$A$129,0))," ")</f>
        <v>46387</v>
      </c>
      <c r="J891" s="221"/>
      <c r="K891" s="344">
        <f>IFERROR(Tb_Atualizações[[#This Row],[% EXECUTADO]]/Tb_Atualizações[[#This Row],[% PREVISTO]],"0%")</f>
        <v>1.3620689655172415</v>
      </c>
      <c r="L891" s="31" t="str" cm="1">
        <f t="array" aca="1" ref="L8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91" s="215"/>
      <c r="N891" s="345"/>
      <c r="O891" s="42">
        <f t="shared" si="43"/>
        <v>2025</v>
      </c>
      <c r="P891" s="42" t="str">
        <f t="shared" si="44"/>
        <v>202514965/2024</v>
      </c>
      <c r="Q891" s="42">
        <v>1</v>
      </c>
    </row>
    <row r="892" spans="1:17" ht="15" hidden="1">
      <c r="A892" s="192" t="s">
        <v>580</v>
      </c>
      <c r="B892" s="315" t="str">
        <f>IFERROR(INDEX(Projetos!$B$3:$B$129,MATCH(A892,Projetos!$A$3:$A$129,0))," ")</f>
        <v>SireneJud 2.0 - Evoluções</v>
      </c>
      <c r="D892" s="214">
        <v>0.6</v>
      </c>
      <c r="E892" s="214">
        <v>0.71</v>
      </c>
      <c r="F892" s="219">
        <v>45916</v>
      </c>
      <c r="G892" s="220">
        <v>45901</v>
      </c>
      <c r="H892" s="51" t="str">
        <f t="shared" si="42"/>
        <v>10698/202445901</v>
      </c>
      <c r="I892" s="38">
        <f>IFERROR(INDEX(Projetos!$M$2:$M$129,MATCH(Atualizações!A890,Projetos!$A$2:$A$129,0))," ")</f>
        <v>46387</v>
      </c>
      <c r="J892" s="221"/>
      <c r="K892" s="344">
        <f>IFERROR(Tb_Atualizações[[#This Row],[% EXECUTADO]]/Tb_Atualizações[[#This Row],[% PREVISTO]],"0%")</f>
        <v>1.1833333333333333</v>
      </c>
      <c r="L892" s="31" t="str" cm="1">
        <f t="array" aca="1" ref="L8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92" s="215"/>
      <c r="N892" s="345"/>
      <c r="O892" s="42">
        <f t="shared" si="43"/>
        <v>2025</v>
      </c>
      <c r="P892" s="42" t="str">
        <f t="shared" si="44"/>
        <v>202510698/2024</v>
      </c>
      <c r="Q892" s="42">
        <v>1</v>
      </c>
    </row>
    <row r="893" spans="1:17" ht="15" hidden="1">
      <c r="A893" s="192" t="s">
        <v>152</v>
      </c>
      <c r="B893" s="315" t="str">
        <f>IFERROR(INDEX(Projetos!$B$3:$B$129,MATCH(A893,Projetos!$A$3:$A$129,0))," ")</f>
        <v>Painel da Fazenda Nacional.</v>
      </c>
      <c r="D893" s="214">
        <v>0.46</v>
      </c>
      <c r="E893" s="214">
        <v>0.5</v>
      </c>
      <c r="F893" s="219">
        <v>45916</v>
      </c>
      <c r="G893" s="220">
        <v>45901</v>
      </c>
      <c r="H893" s="51" t="str">
        <f t="shared" si="42"/>
        <v>01247/202545901</v>
      </c>
      <c r="I893" s="38">
        <f>IFERROR(INDEX(Projetos!$M$2:$M$129,MATCH(Atualizações!A891,Projetos!$A$2:$A$129,0))," ")</f>
        <v>46387</v>
      </c>
      <c r="J893" s="221"/>
      <c r="K893" s="344">
        <f>IFERROR(Tb_Atualizações[[#This Row],[% EXECUTADO]]/Tb_Atualizações[[#This Row],[% PREVISTO]],"0%")</f>
        <v>1.0869565217391304</v>
      </c>
      <c r="L893" s="31" t="str" cm="1">
        <f t="array" aca="1" ref="L8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93" s="215"/>
      <c r="N893" s="345"/>
      <c r="O893" s="42">
        <f t="shared" si="43"/>
        <v>2025</v>
      </c>
      <c r="P893" s="42" t="str">
        <f t="shared" si="44"/>
        <v>202501247/2025</v>
      </c>
      <c r="Q893" s="42">
        <v>1</v>
      </c>
    </row>
    <row r="894" spans="1:17" ht="15" hidden="1">
      <c r="A894" s="192" t="s">
        <v>229</v>
      </c>
      <c r="B894" s="315" t="str">
        <f>IFERROR(INDEX(Projetos!$B$3:$B$129,MATCH(A894,Projetos!$A$3:$A$129,0))," ")</f>
        <v>Gabinete do Juízo</v>
      </c>
      <c r="D894" s="214">
        <v>0.91</v>
      </c>
      <c r="E894" s="214">
        <v>0.85</v>
      </c>
      <c r="F894" s="219">
        <v>45918</v>
      </c>
      <c r="G894" s="220">
        <v>45901</v>
      </c>
      <c r="H894" s="51" t="str">
        <f t="shared" si="42"/>
        <v>02080/202345901</v>
      </c>
      <c r="I894" s="38">
        <f>IFERROR(INDEX(Projetos!$M$2:$M$129,MATCH(Atualizações!A892,Projetos!$A$2:$A$129,0))," ")</f>
        <v>46387</v>
      </c>
      <c r="J894" s="221"/>
      <c r="K894" s="344">
        <f>IFERROR(Tb_Atualizações[[#This Row],[% EXECUTADO]]/Tb_Atualizações[[#This Row],[% PREVISTO]],"0%")</f>
        <v>0.93406593406593397</v>
      </c>
      <c r="L894" s="31" t="str" cm="1">
        <f t="array" aca="1" ref="L8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94" s="215"/>
      <c r="N894" s="345"/>
      <c r="O894" s="42">
        <f t="shared" si="43"/>
        <v>2025</v>
      </c>
      <c r="P894" s="42" t="str">
        <f t="shared" si="44"/>
        <v>202502080/2023</v>
      </c>
      <c r="Q894" s="42">
        <v>1</v>
      </c>
    </row>
    <row r="895" spans="1:17" ht="15" hidden="1">
      <c r="A895" s="192" t="s">
        <v>738</v>
      </c>
      <c r="B895" s="315" t="str">
        <f>IFERROR(INDEX(Projetos!$B$3:$B$129,MATCH(A895,Projetos!$A$3:$A$129,0))," ")</f>
        <v>FONAR - Formulário Nacional de Avaliação de Risco e Formulário Rogéria</v>
      </c>
      <c r="D895" s="214">
        <v>0.61</v>
      </c>
      <c r="E895" s="214">
        <v>0.56000000000000005</v>
      </c>
      <c r="F895" s="219">
        <v>45918</v>
      </c>
      <c r="G895" s="220">
        <v>45901</v>
      </c>
      <c r="H895" s="51" t="str">
        <f t="shared" si="42"/>
        <v>16319/202445901</v>
      </c>
      <c r="I895" s="38">
        <f>IFERROR(INDEX(Projetos!$M$2:$M$129,MATCH(Atualizações!A893,Projetos!$A$2:$A$129,0))," ")</f>
        <v>46387</v>
      </c>
      <c r="J895" s="221"/>
      <c r="K895" s="344">
        <f>IFERROR(Tb_Atualizações[[#This Row],[% EXECUTADO]]/Tb_Atualizações[[#This Row],[% PREVISTO]],"0%")</f>
        <v>0.91803278688524603</v>
      </c>
      <c r="L895" s="31" t="str" cm="1">
        <f t="array" aca="1" ref="L8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895" s="215"/>
      <c r="N895" s="345"/>
      <c r="O895" s="42">
        <f t="shared" si="43"/>
        <v>2025</v>
      </c>
      <c r="P895" s="42" t="str">
        <f t="shared" si="44"/>
        <v>202516319/2024</v>
      </c>
      <c r="Q895" s="42">
        <v>1</v>
      </c>
    </row>
    <row r="896" spans="1:17" ht="75" hidden="1">
      <c r="A896" s="192" t="s">
        <v>404</v>
      </c>
      <c r="B896" s="315" t="str">
        <f>IFERROR(INDEX(Projetos!$B$3:$B$129,MATCH(A896,Projetos!$A$3:$A$129,0))," ")</f>
        <v>Consulta Nacional de Pessoas (FAC Nacional)</v>
      </c>
      <c r="D896" s="214">
        <v>0.67</v>
      </c>
      <c r="E896" s="214">
        <v>0.67</v>
      </c>
      <c r="F896" s="219">
        <v>45920</v>
      </c>
      <c r="G896" s="220">
        <v>45870</v>
      </c>
      <c r="H896" s="51" t="str">
        <f t="shared" si="42"/>
        <v>05138/202445870</v>
      </c>
      <c r="I896" s="38">
        <f>IFERROR(INDEX(Projetos!$M$2:$M$129,MATCH(Atualizações!A991,Projetos!$A$2:$A$129,0))," ")</f>
        <v>46387</v>
      </c>
      <c r="J896" s="221" t="s">
        <v>1448</v>
      </c>
      <c r="K896" s="344">
        <f>IFERROR(Tb_Atualizações[[#This Row],[% EXECUTADO]]/Tb_Atualizações[[#This Row],[% PREVISTO]],"0%")</f>
        <v>1</v>
      </c>
      <c r="L896" s="31" t="s">
        <v>277</v>
      </c>
      <c r="M896" s="215"/>
      <c r="N896" s="345"/>
      <c r="O896" s="42">
        <f t="shared" si="43"/>
        <v>2025</v>
      </c>
      <c r="P896" s="42" t="str">
        <f t="shared" si="44"/>
        <v>202505138/2024</v>
      </c>
      <c r="Q896" s="42">
        <v>1</v>
      </c>
    </row>
    <row r="897" spans="1:17" ht="30" hidden="1">
      <c r="A897" s="192" t="s">
        <v>416</v>
      </c>
      <c r="B897" s="315" t="str">
        <f>IFERROR(INDEX(Projetos!$B$3:$B$129,MATCH(A897,Projetos!$A$3:$A$129,0))," ")</f>
        <v>Conecta</v>
      </c>
      <c r="D897" s="214">
        <v>0.51</v>
      </c>
      <c r="E897" s="214">
        <v>0.4</v>
      </c>
      <c r="F897" s="219">
        <v>45922</v>
      </c>
      <c r="G897" s="220">
        <v>45901</v>
      </c>
      <c r="H897" s="51" t="str">
        <f t="shared" si="42"/>
        <v>05578/202445901</v>
      </c>
      <c r="I897" s="38">
        <f>IFERROR(INDEX(Projetos!$M$2:$M$129,MATCH(Atualizações!A894,Projetos!$A$2:$A$129,0))," ")</f>
        <v>46379</v>
      </c>
      <c r="J897" s="221"/>
      <c r="K897" s="344">
        <f>IFERROR(Tb_Atualizações[[#This Row],[% EXECUTADO]]/Tb_Atualizações[[#This Row],[% PREVISTO]],"0%")</f>
        <v>0.78431372549019607</v>
      </c>
      <c r="L897" s="31" t="str" cm="1">
        <f t="array" aca="1" ref="L8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97" s="215"/>
      <c r="N897" s="345"/>
      <c r="O897" s="42">
        <f t="shared" si="43"/>
        <v>2025</v>
      </c>
      <c r="P897" s="42" t="str">
        <f t="shared" si="44"/>
        <v>202505578/2024</v>
      </c>
      <c r="Q897" s="42">
        <v>1</v>
      </c>
    </row>
    <row r="898" spans="1:17" ht="15" hidden="1">
      <c r="A898" s="192" t="s">
        <v>458</v>
      </c>
      <c r="B898" s="315" t="str">
        <f>IFERROR(INDEX(Projetos!$B$3:$B$129,MATCH(A898,Projetos!$A$3:$A$129,0))," ")</f>
        <v>SNGB - Melhorias evolutivas</v>
      </c>
      <c r="D898" s="214">
        <v>0.94</v>
      </c>
      <c r="E898" s="214">
        <v>0.98</v>
      </c>
      <c r="F898" s="219">
        <v>45922</v>
      </c>
      <c r="G898" s="220">
        <v>45901</v>
      </c>
      <c r="H898" s="51" t="str">
        <f t="shared" si="42"/>
        <v>08370/202445901</v>
      </c>
      <c r="I898" s="473">
        <f>IFERROR(INDEX(Projetos!$M$2:$M$129,MATCH(Atualizações!A898,Projetos!$A$2:$A$129,0))," ")</f>
        <v>46101</v>
      </c>
      <c r="J898" s="221"/>
      <c r="K898" s="344">
        <f>IFERROR(Tb_Atualizações[[#This Row],[% EXECUTADO]]/Tb_Atualizações[[#This Row],[% PREVISTO]],"0%")</f>
        <v>1.0425531914893618</v>
      </c>
      <c r="L898" s="31" t="str" cm="1">
        <f t="array" aca="1" ref="L8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898" s="215"/>
      <c r="N898" s="345"/>
      <c r="O898" s="42">
        <f t="shared" si="43"/>
        <v>2025</v>
      </c>
      <c r="P898" s="42" t="str">
        <f t="shared" si="44"/>
        <v>202508370/2024</v>
      </c>
      <c r="Q898" s="42">
        <v>1</v>
      </c>
    </row>
    <row r="899" spans="1:17" ht="30" hidden="1">
      <c r="A899" s="192" t="s">
        <v>431</v>
      </c>
      <c r="B899" s="315" t="str">
        <f>IFERROR(INDEX(Projetos!$B$3:$B$129,MATCH(A899,Projetos!$A$3:$A$129,0))," ")</f>
        <v>Sniper BC</v>
      </c>
      <c r="D899" s="214">
        <v>0.59</v>
      </c>
      <c r="E899" s="214">
        <v>0.41</v>
      </c>
      <c r="F899" s="219">
        <v>45923</v>
      </c>
      <c r="G899" s="220">
        <v>45901</v>
      </c>
      <c r="H899" s="51" t="str">
        <f t="shared" si="42"/>
        <v>06826/202445901</v>
      </c>
      <c r="I899" s="38">
        <f>IFERROR(INDEX(Projetos!$M$2:$M$129,MATCH(Atualizações!A896,Projetos!$A$2:$A$129,0))," ")</f>
        <v>45993</v>
      </c>
      <c r="J899" s="221"/>
      <c r="K899" s="344">
        <f>IFERROR(Tb_Atualizações[[#This Row],[% EXECUTADO]]/Tb_Atualizações[[#This Row],[% PREVISTO]],"0%")</f>
        <v>0.69491525423728817</v>
      </c>
      <c r="L899" s="31" t="str" cm="1">
        <f t="array" aca="1" ref="L8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899" s="215"/>
      <c r="N899" s="345"/>
      <c r="O899" s="42">
        <f t="shared" si="43"/>
        <v>2025</v>
      </c>
      <c r="P899" s="42" t="str">
        <f t="shared" si="44"/>
        <v>202506826/2024</v>
      </c>
      <c r="Q899" s="42">
        <v>1</v>
      </c>
    </row>
    <row r="900" spans="1:17" ht="15" hidden="1">
      <c r="A900" s="192" t="s">
        <v>533</v>
      </c>
      <c r="B900" s="315" t="str">
        <f>IFERROR(INDEX(Projetos!$B$3:$B$129,MATCH(A900,Projetos!$A$3:$A$129,0))," ")</f>
        <v>Qualificação de Dados</v>
      </c>
      <c r="D900" s="214">
        <v>0.8</v>
      </c>
      <c r="E900" s="214">
        <v>0.79</v>
      </c>
      <c r="F900" s="219">
        <v>45923</v>
      </c>
      <c r="G900" s="220">
        <v>45901</v>
      </c>
      <c r="H900" s="51" t="str">
        <f t="shared" si="42"/>
        <v>09613/202445901</v>
      </c>
      <c r="I900" s="473">
        <f>IFERROR(INDEX(Projetos!$M$2:$M$129,MATCH(Atualizações!A900,Projetos!$A$2:$A$129,0))," ")</f>
        <v>46386</v>
      </c>
      <c r="J900" s="221"/>
      <c r="K900" s="344">
        <f>IFERROR(Tb_Atualizações[[#This Row],[% EXECUTADO]]/Tb_Atualizações[[#This Row],[% PREVISTO]],"0%")</f>
        <v>0.98750000000000004</v>
      </c>
      <c r="L900" s="31" t="str" cm="1">
        <f t="array" aca="1" ref="L9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00" s="215"/>
      <c r="N900" s="345"/>
      <c r="O900" s="42">
        <f t="shared" si="43"/>
        <v>2025</v>
      </c>
      <c r="P900" s="42" t="str">
        <f t="shared" si="44"/>
        <v>202509613/2024</v>
      </c>
      <c r="Q900" s="42">
        <v>1</v>
      </c>
    </row>
    <row r="901" spans="1:17" ht="15" hidden="1">
      <c r="A901" s="192" t="s">
        <v>539</v>
      </c>
      <c r="B901" s="315" t="str">
        <f>IFERROR(INDEX(Projetos!$B$3:$B$129,MATCH(A901,Projetos!$A$3:$A$129,0))," ")</f>
        <v>Desenvolvimento do módulo de Sessão de Julgamento (PDPJ-Br)</v>
      </c>
      <c r="D901" s="214">
        <v>0.95</v>
      </c>
      <c r="E901" s="214">
        <v>0.81</v>
      </c>
      <c r="F901" s="219">
        <v>45923</v>
      </c>
      <c r="G901" s="220">
        <v>45901</v>
      </c>
      <c r="H901" s="51" t="str">
        <f t="shared" si="42"/>
        <v>09630/202445901</v>
      </c>
      <c r="I901" s="473">
        <f>IFERROR(INDEX(Projetos!$M$2:$M$129,MATCH(Atualizações!A901,Projetos!$A$2:$A$129,0))," ")</f>
        <v>46387</v>
      </c>
      <c r="J901" s="221"/>
      <c r="K901" s="344">
        <f>IFERROR(Tb_Atualizações[[#This Row],[% EXECUTADO]]/Tb_Atualizações[[#This Row],[% PREVISTO]],"0%")</f>
        <v>0.85263157894736852</v>
      </c>
      <c r="L901" s="31" t="str" cm="1">
        <f t="array" aca="1" ref="L9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01" s="215"/>
      <c r="N901" s="345"/>
      <c r="O901" s="42">
        <f t="shared" si="43"/>
        <v>2025</v>
      </c>
      <c r="P901" s="42" t="str">
        <f t="shared" si="44"/>
        <v>202509630/2024</v>
      </c>
      <c r="Q901" s="42">
        <v>1</v>
      </c>
    </row>
    <row r="902" spans="1:17" ht="30" hidden="1">
      <c r="A902" s="192" t="s">
        <v>773</v>
      </c>
      <c r="B902" s="315" t="str">
        <f>IFERROR(INDEX(Projetos!$B$3:$B$129,MATCH(A902,Projetos!$A$3:$A$129,0))," ")</f>
        <v>API de Pessoas</v>
      </c>
      <c r="D902" s="214">
        <v>0.53</v>
      </c>
      <c r="E902" s="214">
        <v>0.41</v>
      </c>
      <c r="F902" s="219">
        <v>45923</v>
      </c>
      <c r="G902" s="220">
        <v>45901</v>
      </c>
      <c r="H902" s="51" t="str">
        <f t="shared" si="42"/>
        <v>17372/2024 45901</v>
      </c>
      <c r="I902" s="473">
        <f>IFERROR(INDEX(Projetos!$M$2:$M$129,MATCH(Atualizações!A902,Projetos!$A$2:$A$129,0))," ")</f>
        <v>46371</v>
      </c>
      <c r="J902" s="221"/>
      <c r="K902" s="344">
        <f>IFERROR(Tb_Atualizações[[#This Row],[% EXECUTADO]]/Tb_Atualizações[[#This Row],[% PREVISTO]],"0%")</f>
        <v>0.7735849056603773</v>
      </c>
      <c r="L902" s="31" t="str" cm="1">
        <f t="array" aca="1" ref="L9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02" s="215"/>
      <c r="N902" s="345"/>
      <c r="O902" s="42">
        <f t="shared" si="43"/>
        <v>2025</v>
      </c>
      <c r="P902" s="42" t="str">
        <f t="shared" si="44"/>
        <v xml:space="preserve">202517372/2024 </v>
      </c>
      <c r="Q902" s="42">
        <v>1</v>
      </c>
    </row>
    <row r="903" spans="1:17" ht="15" hidden="1">
      <c r="A903" s="192" t="s">
        <v>58</v>
      </c>
      <c r="B903" s="315" t="str">
        <f>IFERROR(INDEX(Projetos!$B$3:$B$129,MATCH(A903,Projetos!$A$3:$A$129,0))," ")</f>
        <v>Phase-out: Transição Projetos X Operação</v>
      </c>
      <c r="D903" s="214">
        <v>0.36</v>
      </c>
      <c r="E903" s="214">
        <v>0.59</v>
      </c>
      <c r="F903" s="219">
        <v>45924</v>
      </c>
      <c r="G903" s="220">
        <v>45901</v>
      </c>
      <c r="H903" s="51" t="str">
        <f t="shared" si="42"/>
        <v>00030/202545901</v>
      </c>
      <c r="I903" s="38">
        <f>IFERROR(INDEX(Projetos!$M$2:$M$129,MATCH(Atualizações!A900,Projetos!$A$2:$A$129,0))," ")</f>
        <v>46386</v>
      </c>
      <c r="J903" s="221"/>
      <c r="K903" s="344">
        <f>IFERROR(Tb_Atualizações[[#This Row],[% EXECUTADO]]/Tb_Atualizações[[#This Row],[% PREVISTO]],"0%")</f>
        <v>1.6388888888888888</v>
      </c>
      <c r="L903" s="31" t="str" cm="1">
        <f t="array" aca="1" ref="L9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03" s="215"/>
      <c r="N903" s="345"/>
      <c r="O903" s="42">
        <f t="shared" si="43"/>
        <v>2025</v>
      </c>
      <c r="P903" s="42" t="str">
        <f t="shared" si="44"/>
        <v>202500030/2025</v>
      </c>
      <c r="Q903" s="42">
        <v>1</v>
      </c>
    </row>
    <row r="904" spans="1:17" ht="30" hidden="1">
      <c r="A904" s="192" t="s">
        <v>675</v>
      </c>
      <c r="B904" s="315" t="str">
        <f>IFERROR(INDEX(Projetos!$B$3:$B$129,MATCH(A904,Projetos!$A$3:$A$129,0))," ")</f>
        <v>Pesquisa IA 2024 - Mapeamento dos projetos de Inteligência Artificial em desenvolvimento pelos tribunais brasileiros</v>
      </c>
      <c r="D904" s="214">
        <v>0.98</v>
      </c>
      <c r="E904" s="214">
        <v>1</v>
      </c>
      <c r="F904" s="219">
        <v>45924</v>
      </c>
      <c r="G904" s="220">
        <v>45901</v>
      </c>
      <c r="H904" s="51" t="str">
        <f t="shared" si="42"/>
        <v>11988/202445901</v>
      </c>
      <c r="I904" s="38">
        <f>IFERROR(INDEX(Projetos!$M$2:$M$129,MATCH(Atualizações!A901,Projetos!$A$2:$A$129,0))," ")</f>
        <v>46387</v>
      </c>
      <c r="J904" s="221" t="s">
        <v>1449</v>
      </c>
      <c r="K904" s="344">
        <f>IFERROR(Tb_Atualizações[[#This Row],[% EXECUTADO]]/Tb_Atualizações[[#This Row],[% PREVISTO]],"0%")</f>
        <v>1.0204081632653061</v>
      </c>
      <c r="L904" s="31" t="str" cm="1">
        <f t="array" aca="1" ref="L9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904" s="215"/>
      <c r="N904" s="345"/>
      <c r="O904" s="42">
        <f t="shared" si="43"/>
        <v>2025</v>
      </c>
      <c r="P904" s="42" t="str">
        <f t="shared" si="44"/>
        <v>202511988/2024</v>
      </c>
      <c r="Q904" s="42">
        <v>1</v>
      </c>
    </row>
    <row r="905" spans="1:17" ht="45" hidden="1">
      <c r="A905" s="192" t="s">
        <v>219</v>
      </c>
      <c r="B905" s="315" t="str">
        <f>IFERROR(INDEX(Projetos!$B$3:$B$129,MATCH(A905,Projetos!$A$3:$A$129,0))," ")</f>
        <v xml:space="preserve">Aperfeiçoamento funcional em temáticas prioritárias para o CNJ e para Justiça Federal 
(cursos, capacitações, metodologias e ferramentas avançados) – Ciclo Avançado </v>
      </c>
      <c r="D905" s="214">
        <v>0.41</v>
      </c>
      <c r="E905" s="214">
        <v>0.56000000000000005</v>
      </c>
      <c r="F905" s="219">
        <v>45924</v>
      </c>
      <c r="G905" s="220">
        <v>45901</v>
      </c>
      <c r="H905" s="51" t="str">
        <f t="shared" si="42"/>
        <v>02024/202445901</v>
      </c>
      <c r="I905" s="473">
        <f>IFERROR(INDEX(Projetos!$M$2:$M$129,MATCH(Atualizações!A905,Projetos!$A$2:$A$129,0))," ")</f>
        <v>46246</v>
      </c>
      <c r="J905" s="221"/>
      <c r="K905" s="344">
        <f>IFERROR(Tb_Atualizações[[#This Row],[% EXECUTADO]]/Tb_Atualizações[[#This Row],[% PREVISTO]],"0%")</f>
        <v>1.3658536585365855</v>
      </c>
      <c r="L905" s="31" t="str" cm="1">
        <f t="array" aca="1" ref="L9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05" s="215"/>
      <c r="N905" s="345"/>
      <c r="O905" s="42">
        <f t="shared" si="43"/>
        <v>2025</v>
      </c>
      <c r="P905" s="42" t="str">
        <f t="shared" si="44"/>
        <v>202502024/2024</v>
      </c>
      <c r="Q905" s="42">
        <v>1</v>
      </c>
    </row>
    <row r="906" spans="1:17" ht="15" hidden="1">
      <c r="A906" s="192" t="s">
        <v>129</v>
      </c>
      <c r="B906" s="315" t="str">
        <f>IFERROR(INDEX(Projetos!$B$3:$B$129,MATCH(A906,Projetos!$A$3:$A$129,0))," ")</f>
        <v>Data Lake - Melhorias Evolutivas e Corretivas</v>
      </c>
      <c r="D906" s="214">
        <v>0.36</v>
      </c>
      <c r="E906" s="214">
        <v>0.39</v>
      </c>
      <c r="F906" s="219">
        <v>45924</v>
      </c>
      <c r="G906" s="220">
        <v>45901</v>
      </c>
      <c r="H906" s="51" t="str">
        <f t="shared" si="42"/>
        <v>01167/202545901</v>
      </c>
      <c r="I906" s="38">
        <f>IFERROR(INDEX(Projetos!$M$2:$M$129,MATCH(Atualizações!A903,Projetos!$A$2:$A$129,0))," ")</f>
        <v>46387</v>
      </c>
      <c r="J906" s="221"/>
      <c r="K906" s="344">
        <f>IFERROR(Tb_Atualizações[[#This Row],[% EXECUTADO]]/Tb_Atualizações[[#This Row],[% PREVISTO]],"0%")</f>
        <v>1.0833333333333335</v>
      </c>
      <c r="L906" s="31" t="str" cm="1">
        <f t="array" aca="1" ref="L9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06" s="215"/>
      <c r="N906" s="345"/>
      <c r="O906" s="42">
        <f t="shared" si="43"/>
        <v>2025</v>
      </c>
      <c r="P906" s="42" t="str">
        <f t="shared" si="44"/>
        <v>202501167/2025</v>
      </c>
      <c r="Q906" s="42">
        <v>1</v>
      </c>
    </row>
    <row r="907" spans="1:17" ht="30" hidden="1">
      <c r="A907" s="192" t="s">
        <v>523</v>
      </c>
      <c r="B907" s="315" t="str">
        <f>IFERROR(INDEX(Projetos!$B$3:$B$129,MATCH(A907,Projetos!$A$3:$A$129,0))," ")</f>
        <v>Portal Jus BR</v>
      </c>
      <c r="D907" s="214">
        <v>0.93</v>
      </c>
      <c r="E907" s="214">
        <v>0.94</v>
      </c>
      <c r="F907" s="219">
        <v>45925</v>
      </c>
      <c r="G907" s="220">
        <v>45901</v>
      </c>
      <c r="H907" s="51" t="str">
        <f t="shared" si="42"/>
        <v>09536/202445901</v>
      </c>
      <c r="I907" s="38">
        <f>IFERROR(INDEX(Projetos!$M$2:$M$129,MATCH(Atualizações!A904,Projetos!$A$2:$A$129,0))," ")</f>
        <v>45899</v>
      </c>
      <c r="J907" s="221"/>
      <c r="K907" s="344">
        <f>IFERROR(Tb_Atualizações[[#This Row],[% EXECUTADO]]/Tb_Atualizações[[#This Row],[% PREVISTO]],"0%")</f>
        <v>1.010752688172043</v>
      </c>
      <c r="L907" s="31" t="str" cm="1">
        <f t="array" aca="1" ref="L9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07" s="215"/>
      <c r="N907" s="345"/>
      <c r="O907" s="42">
        <f t="shared" si="43"/>
        <v>2025</v>
      </c>
      <c r="P907" s="42" t="str">
        <f t="shared" si="44"/>
        <v>202509536/2024</v>
      </c>
      <c r="Q907" s="42">
        <v>1</v>
      </c>
    </row>
    <row r="908" spans="1:17" ht="15" hidden="1">
      <c r="A908" s="192" t="s">
        <v>917</v>
      </c>
      <c r="B908" s="315" t="str">
        <f>IFERROR(INDEX(Projetos!$B$3:$B$129,MATCH(A908,Projetos!$A$3:$A$129,0))," ")</f>
        <v>e-NatJus 4.0</v>
      </c>
      <c r="D908" s="214">
        <v>0.45</v>
      </c>
      <c r="E908" s="214">
        <v>0.45</v>
      </c>
      <c r="F908" s="219">
        <v>45925</v>
      </c>
      <c r="G908" s="220">
        <v>45901</v>
      </c>
      <c r="H908" s="51" t="str">
        <f t="shared" si="42"/>
        <v>17529/202445901</v>
      </c>
      <c r="I908" s="473">
        <f>IFERROR(INDEX(Projetos!$M$2:$M$129,MATCH(Atualizações!A908,Projetos!$A$2:$A$129,0))," ")</f>
        <v>46386</v>
      </c>
      <c r="J908" s="221" t="s">
        <v>1450</v>
      </c>
      <c r="K908" s="344">
        <f>IFERROR(Tb_Atualizações[[#This Row],[% EXECUTADO]]/Tb_Atualizações[[#This Row],[% PREVISTO]],"0%")</f>
        <v>1</v>
      </c>
      <c r="L908" s="31" t="str" cm="1">
        <f t="array" aca="1" ref="L9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08" s="215"/>
      <c r="N908" s="345"/>
      <c r="O908" s="42">
        <f t="shared" si="43"/>
        <v>2025</v>
      </c>
      <c r="P908" s="42" t="str">
        <f t="shared" si="44"/>
        <v>202517529/2024</v>
      </c>
      <c r="Q908" s="42">
        <v>1</v>
      </c>
    </row>
    <row r="909" spans="1:17" ht="30" hidden="1">
      <c r="A909" s="370" t="s">
        <v>290</v>
      </c>
      <c r="B909" s="315" t="str">
        <f>IFERROR(INDEX(Projetos!$B$3:$B$129,MATCH(A909,Projetos!$A$3:$A$129,0))," ")</f>
        <v>Itinerância Cooperativa na Amazônia Legal – Edição de 2025 – Boca do Acre (AM) e Xapuri (AC)</v>
      </c>
      <c r="D909" s="214">
        <v>1</v>
      </c>
      <c r="E909" s="214">
        <v>1</v>
      </c>
      <c r="F909" s="219">
        <v>45925</v>
      </c>
      <c r="G909" s="220">
        <v>45901</v>
      </c>
      <c r="H909" s="51" t="str">
        <f t="shared" si="42"/>
        <v>02633/202545901</v>
      </c>
      <c r="I909" s="38">
        <f>IFERROR(INDEX(Projetos!$M$2:$M$129,MATCH(Atualizações!A906,Projetos!$A$2:$A$129,0))," ")</f>
        <v>46387</v>
      </c>
      <c r="J909" s="221" t="s">
        <v>1451</v>
      </c>
      <c r="K909" s="344">
        <f>IFERROR(Tb_Atualizações[[#This Row],[% EXECUTADO]]/Tb_Atualizações[[#This Row],[% PREVISTO]],"0%")</f>
        <v>1</v>
      </c>
      <c r="L909" s="31" t="str" cm="1">
        <f t="array" aca="1" ref="L9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909" s="215"/>
      <c r="N909" s="345"/>
      <c r="O909" s="42">
        <f t="shared" si="43"/>
        <v>2025</v>
      </c>
      <c r="P909" s="42" t="str">
        <f t="shared" si="44"/>
        <v>202502633/2025</v>
      </c>
      <c r="Q909" s="42">
        <v>1</v>
      </c>
    </row>
    <row r="910" spans="1:17" ht="105" hidden="1">
      <c r="A910" s="192" t="s">
        <v>559</v>
      </c>
      <c r="B910" s="315" t="str">
        <f>IFERROR(INDEX(Projetos!$B$3:$B$129,MATCH(A910,Projetos!$A$3:$A$129,0))," ")</f>
        <v>Fonajus itinerante</v>
      </c>
      <c r="D910" s="214">
        <v>0.96</v>
      </c>
      <c r="E910" s="214">
        <v>0.94</v>
      </c>
      <c r="F910" s="219">
        <v>45926</v>
      </c>
      <c r="G910" s="220">
        <v>45901</v>
      </c>
      <c r="H910" s="51" t="str">
        <f t="shared" si="42"/>
        <v>10101/202445901</v>
      </c>
      <c r="I910" s="38" t="str">
        <f>IFERROR(INDEX(Projetos!$M$2:$M$129,MATCH(Atualizações!A907,Projetos!$A$2:$A$129,0))," ")</f>
        <v>30/10/2025</v>
      </c>
      <c r="J910" s="221" t="s">
        <v>1452</v>
      </c>
      <c r="K910" s="344">
        <f>IFERROR(Tb_Atualizações[[#This Row],[% EXECUTADO]]/Tb_Atualizações[[#This Row],[% PREVISTO]],"0%")</f>
        <v>0.97916666666666663</v>
      </c>
      <c r="L910" s="31" t="str" cm="1">
        <f t="array" aca="1" ref="L9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0" s="215"/>
      <c r="N910" s="345"/>
      <c r="O910" s="42">
        <f t="shared" si="43"/>
        <v>2025</v>
      </c>
      <c r="P910" s="42" t="str">
        <f t="shared" si="44"/>
        <v>202510101/2024</v>
      </c>
      <c r="Q910" s="42">
        <v>1</v>
      </c>
    </row>
    <row r="911" spans="1:17" ht="15" hidden="1">
      <c r="A911" s="192" t="s">
        <v>396</v>
      </c>
      <c r="B911" s="315" t="str">
        <f>IFERROR(INDEX(Projetos!$B$3:$B$129,MATCH(A911,Projetos!$A$3:$A$129,0))," ")</f>
        <v>CODEX - Melhorias Evolutivas e Corretivas</v>
      </c>
      <c r="D911" s="214">
        <v>0.73</v>
      </c>
      <c r="E911" s="214">
        <v>0.84</v>
      </c>
      <c r="F911" s="219">
        <v>45926</v>
      </c>
      <c r="G911" s="220">
        <v>45901</v>
      </c>
      <c r="H911" s="51" t="str">
        <f t="shared" si="42"/>
        <v>04751/202245901</v>
      </c>
      <c r="I911" s="473">
        <f>IFERROR(INDEX(Projetos!$M$2:$M$129,MATCH(Atualizações!A911,Projetos!$A$2:$A$129,0))," ")</f>
        <v>46387</v>
      </c>
      <c r="J911" s="221"/>
      <c r="K911" s="344">
        <f>IFERROR(Tb_Atualizações[[#This Row],[% EXECUTADO]]/Tb_Atualizações[[#This Row],[% PREVISTO]],"0%")</f>
        <v>1.1506849315068493</v>
      </c>
      <c r="L911" s="31" t="str" cm="1">
        <f t="array" aca="1" ref="L9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1" s="215"/>
      <c r="N911" s="345"/>
      <c r="O911" s="42">
        <f t="shared" si="43"/>
        <v>2025</v>
      </c>
      <c r="P911" s="42" t="str">
        <f t="shared" si="44"/>
        <v>202504751/2022</v>
      </c>
      <c r="Q911" s="42">
        <v>1</v>
      </c>
    </row>
    <row r="912" spans="1:17" ht="30" hidden="1">
      <c r="A912" s="192" t="s">
        <v>189</v>
      </c>
      <c r="B912" s="315" t="str">
        <f>IFERROR(INDEX(Projetos!$B$3:$B$129,MATCH(A912,Projetos!$A$3:$A$129,0))," ")</f>
        <v>Gestão de Clientes</v>
      </c>
      <c r="D912" s="214">
        <v>0.69</v>
      </c>
      <c r="E912" s="214">
        <v>0.63</v>
      </c>
      <c r="F912" s="219">
        <v>45926</v>
      </c>
      <c r="G912" s="220">
        <v>45901</v>
      </c>
      <c r="H912" s="51" t="str">
        <f t="shared" si="42"/>
        <v>01809/202545901</v>
      </c>
      <c r="I912" s="38">
        <f>IFERROR(INDEX(Projetos!$M$2:$M$129,MATCH(Atualizações!A912,Projetos!$A$2:$A$129,0))," ")</f>
        <v>46083</v>
      </c>
      <c r="J912" s="221" t="s">
        <v>1453</v>
      </c>
      <c r="K912" s="344">
        <f>IFERROR(Tb_Atualizações[[#This Row],[% EXECUTADO]]/Tb_Atualizações[[#This Row],[% PREVISTO]],"0%")</f>
        <v>0.91304347826086962</v>
      </c>
      <c r="L912" s="31" t="str" cm="1">
        <f t="array" aca="1" ref="L9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12" s="215"/>
      <c r="N912" s="345"/>
      <c r="O912" s="42">
        <f t="shared" si="43"/>
        <v>2025</v>
      </c>
      <c r="P912" s="42" t="str">
        <f t="shared" si="44"/>
        <v>202501809/2025</v>
      </c>
      <c r="Q912" s="42">
        <v>1</v>
      </c>
    </row>
    <row r="913" spans="1:17" ht="15" hidden="1">
      <c r="A913" s="192" t="s">
        <v>358</v>
      </c>
      <c r="B913" s="315" t="str">
        <f>IFERROR(INDEX(Projetos!$B$3:$B$129,MATCH(A913,Projetos!$A$3:$A$129,0))," ")</f>
        <v>Prevjud - Automação de Processos Previdenciários - Justiça 4.0</v>
      </c>
      <c r="D913" s="214">
        <v>0.94</v>
      </c>
      <c r="E913" s="214">
        <v>0.99</v>
      </c>
      <c r="F913" s="219">
        <v>45928</v>
      </c>
      <c r="G913" s="220">
        <v>45901</v>
      </c>
      <c r="H913" s="51" t="str">
        <f t="shared" si="42"/>
        <v>03558/202145901</v>
      </c>
      <c r="I913" s="38" t="str">
        <f>IFERROR(INDEX(Projetos!$M$2:$M$129,MATCH(Atualizações!A910,Projetos!$A$2:$A$129,0))," ")</f>
        <v>30/4/2026</v>
      </c>
      <c r="J913" s="221"/>
      <c r="K913" s="344">
        <f>IFERROR(Tb_Atualizações[[#This Row],[% EXECUTADO]]/Tb_Atualizações[[#This Row],[% PREVISTO]],"0%")</f>
        <v>1.0531914893617023</v>
      </c>
      <c r="L913" s="31" t="str" cm="1">
        <f t="array" aca="1" ref="L9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3" s="215"/>
      <c r="N913" s="345"/>
      <c r="O913" s="42">
        <f t="shared" si="43"/>
        <v>2025</v>
      </c>
      <c r="P913" s="42" t="str">
        <f t="shared" si="44"/>
        <v>202503558/2021</v>
      </c>
      <c r="Q913" s="42">
        <v>1</v>
      </c>
    </row>
    <row r="914" spans="1:17" ht="15" hidden="1">
      <c r="A914" s="192" t="s">
        <v>638</v>
      </c>
      <c r="B914" s="315" t="str">
        <f>IFERROR(INDEX(Projetos!$B$3:$B$129,MATCH(A914,Projetos!$A$3:$A$129,0))," ")</f>
        <v>Sisperjud</v>
      </c>
      <c r="D914" s="214">
        <v>0.89</v>
      </c>
      <c r="E914" s="214">
        <v>0.94</v>
      </c>
      <c r="F914" s="219">
        <v>45928</v>
      </c>
      <c r="G914" s="220">
        <v>45901</v>
      </c>
      <c r="H914" s="51" t="str">
        <f t="shared" si="42"/>
        <v>11644/202245901</v>
      </c>
      <c r="I914" s="38">
        <f>IFERROR(INDEX(Projetos!$M$2:$M$129,MATCH(Atualizações!A911,Projetos!$A$2:$A$129,0))," ")</f>
        <v>46387</v>
      </c>
      <c r="J914" s="221"/>
      <c r="K914" s="344">
        <f>IFERROR(Tb_Atualizações[[#This Row],[% EXECUTADO]]/Tb_Atualizações[[#This Row],[% PREVISTO]],"0%")</f>
        <v>1.0561797752808988</v>
      </c>
      <c r="L914" s="31" t="str" cm="1">
        <f t="array" aca="1" ref="L9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4" s="215"/>
      <c r="N914" s="345"/>
      <c r="O914" s="42">
        <f t="shared" si="43"/>
        <v>2025</v>
      </c>
      <c r="P914" s="42" t="str">
        <f t="shared" si="44"/>
        <v>202511644/2022</v>
      </c>
      <c r="Q914" s="42">
        <v>1</v>
      </c>
    </row>
    <row r="915" spans="1:17" ht="15" hidden="1">
      <c r="A915" s="192" t="s">
        <v>644</v>
      </c>
      <c r="B915" s="315" t="str">
        <f>IFERROR(INDEX(Projetos!$B$3:$B$129,MATCH(A915,Projetos!$A$3:$A$129,0))," ")</f>
        <v>BNP/Pangea</v>
      </c>
      <c r="D915" s="214">
        <v>0.64</v>
      </c>
      <c r="E915" s="214">
        <v>0.71</v>
      </c>
      <c r="F915" s="219">
        <v>45928</v>
      </c>
      <c r="G915" s="220">
        <v>45901</v>
      </c>
      <c r="H915" s="51" t="str">
        <f t="shared" ref="H915:H978" si="45">A915&amp;G915</f>
        <v>11645/202245901</v>
      </c>
      <c r="I915" s="38" t="str">
        <f>IFERROR(INDEX(Projetos!$M$2:$M$129,MATCH(Atualizações!A915,Projetos!$A$2:$A$129,0))," ")</f>
        <v>23/12/2026</v>
      </c>
      <c r="J915" s="221"/>
      <c r="K915" s="344">
        <f>IFERROR(Tb_Atualizações[[#This Row],[% EXECUTADO]]/Tb_Atualizações[[#This Row],[% PREVISTO]],"0%")</f>
        <v>1.109375</v>
      </c>
      <c r="L915" s="31" t="str" cm="1">
        <f t="array" aca="1" ref="L9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5" s="215"/>
      <c r="N915" s="345"/>
      <c r="O915" s="42">
        <f t="shared" ref="O915:O978" si="46">YEAR(F915)</f>
        <v>2025</v>
      </c>
      <c r="P915" s="42" t="str">
        <f t="shared" ref="P915:P978" si="47">O915&amp;A915</f>
        <v>202511645/2022</v>
      </c>
      <c r="Q915" s="42">
        <v>1</v>
      </c>
    </row>
    <row r="916" spans="1:17" ht="15" hidden="1">
      <c r="A916" s="192" t="s">
        <v>517</v>
      </c>
      <c r="B916" s="315" t="str">
        <f>IFERROR(INDEX(Projetos!$B$3:$B$129,MATCH(A916,Projetos!$A$3:$A$129,0))," ")</f>
        <v>Domicílio Judicial Eletrônico - Melhorias Evolutivas</v>
      </c>
      <c r="D916" s="214">
        <v>0.88</v>
      </c>
      <c r="E916" s="214">
        <v>0.97</v>
      </c>
      <c r="F916" s="219">
        <v>45929</v>
      </c>
      <c r="G916" s="220">
        <v>45901</v>
      </c>
      <c r="H916" s="51" t="str">
        <f t="shared" si="45"/>
        <v>09445/202345901</v>
      </c>
      <c r="I916" s="473">
        <f>IFERROR(INDEX(Projetos!$M$2:$M$129,MATCH(Atualizações!A916,Projetos!$A$2:$A$129,0))," ")</f>
        <v>46203</v>
      </c>
      <c r="J916" s="221"/>
      <c r="K916" s="344">
        <f>IFERROR(Tb_Atualizações[[#This Row],[% EXECUTADO]]/Tb_Atualizações[[#This Row],[% PREVISTO]],"0%")</f>
        <v>1.1022727272727273</v>
      </c>
      <c r="L916" s="31" t="str" cm="1">
        <f t="array" aca="1" ref="L9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16" s="215"/>
      <c r="N916" s="345"/>
      <c r="O916" s="42">
        <f t="shared" si="46"/>
        <v>2025</v>
      </c>
      <c r="P916" s="42" t="str">
        <f t="shared" si="47"/>
        <v>202509445/2023</v>
      </c>
      <c r="Q916" s="42">
        <v>1</v>
      </c>
    </row>
    <row r="917" spans="1:17" ht="30" hidden="1">
      <c r="A917" s="192" t="s">
        <v>257</v>
      </c>
      <c r="B917" s="315" t="str">
        <f>IFERROR(INDEX(Projetos!$B$3:$B$129,MATCH(A917,Projetos!$A$3:$A$129,0))," ")</f>
        <v>SisPreq – Sistema de Precatórios e Requisições de Pequeno Valor</v>
      </c>
      <c r="D917" s="214">
        <v>0.87</v>
      </c>
      <c r="E917" s="214">
        <v>0.6</v>
      </c>
      <c r="F917" s="219">
        <v>45930</v>
      </c>
      <c r="G917" s="220">
        <v>45901</v>
      </c>
      <c r="H917" s="51" t="str">
        <f t="shared" si="45"/>
        <v>02465/202445901</v>
      </c>
      <c r="I917" s="38">
        <f>IFERROR(INDEX(Projetos!$M$2:$M$129,MATCH(Atualizações!A914,Projetos!$A$2:$A$129,0))," ")</f>
        <v>46352</v>
      </c>
      <c r="J917" s="221"/>
      <c r="K917" s="344">
        <f>IFERROR(Tb_Atualizações[[#This Row],[% EXECUTADO]]/Tb_Atualizações[[#This Row],[% PREVISTO]],"0%")</f>
        <v>0.68965517241379304</v>
      </c>
      <c r="L917" s="31" t="str" cm="1">
        <f t="array" aca="1" ref="L9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17" s="215"/>
      <c r="N917" s="345"/>
      <c r="O917" s="42">
        <f t="shared" si="46"/>
        <v>2025</v>
      </c>
      <c r="P917" s="42" t="str">
        <f t="shared" si="47"/>
        <v>202502465/2024</v>
      </c>
      <c r="Q917" s="42">
        <v>1</v>
      </c>
    </row>
    <row r="918" spans="1:17" ht="30" hidden="1">
      <c r="A918" s="370" t="s">
        <v>549</v>
      </c>
      <c r="B918" s="315" t="str">
        <f>IFERROR(INDEX(Projetos!$B$3:$B$129,MATCH(A918,Projetos!$A$3:$A$129,0))," ")</f>
        <v>Fluxo Nacional Automatizado das Execuções Fiscais (EFIN)</v>
      </c>
      <c r="D918" s="214">
        <v>0.88</v>
      </c>
      <c r="E918" s="214">
        <v>0.56999999999999995</v>
      </c>
      <c r="F918" s="219">
        <v>45930</v>
      </c>
      <c r="G918" s="220">
        <v>45901</v>
      </c>
      <c r="H918" s="51" t="str">
        <f t="shared" si="45"/>
        <v>09796/202445901</v>
      </c>
      <c r="I918" s="38" t="str">
        <f>IFERROR(INDEX(Projetos!$M$2:$M$129,MATCH(Atualizações!A915,Projetos!$A$2:$A$129,0))," ")</f>
        <v>23/12/2026</v>
      </c>
      <c r="J918" s="221"/>
      <c r="K918" s="344">
        <f>IFERROR(Tb_Atualizações[[#This Row],[% EXECUTADO]]/Tb_Atualizações[[#This Row],[% PREVISTO]],"0%")</f>
        <v>0.64772727272727271</v>
      </c>
      <c r="L918" s="31" t="str" cm="1">
        <f t="array" aca="1" ref="L9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18" s="215"/>
      <c r="N918" s="345"/>
      <c r="O918" s="42">
        <f t="shared" si="46"/>
        <v>2025</v>
      </c>
      <c r="P918" s="42" t="str">
        <f t="shared" si="47"/>
        <v>202509796/2024</v>
      </c>
      <c r="Q918" s="42">
        <v>1</v>
      </c>
    </row>
    <row r="919" spans="1:17" ht="30" hidden="1">
      <c r="A919" s="192" t="s">
        <v>281</v>
      </c>
      <c r="B919" s="315" t="str">
        <f>IFERROR(INDEX(Projetos!$B$3:$B$129,MATCH(A919,Projetos!$A$3:$A$129,0))," ")</f>
        <v>Fortalecimento da Segurança Cibernética e da Transparência para Governança e Efetividade da Atuação do Poder Judiciário (Projeto BRA/24/021)</v>
      </c>
      <c r="D919" s="48">
        <v>0</v>
      </c>
      <c r="E919" s="48">
        <v>0</v>
      </c>
      <c r="F919" s="219">
        <v>45936</v>
      </c>
      <c r="G919" s="220">
        <v>45901</v>
      </c>
      <c r="H919" s="51" t="str">
        <f t="shared" si="45"/>
        <v>02626/202545901</v>
      </c>
      <c r="I919" s="38">
        <f>IFERROR(INDEX(Projetos!$M$2:$M$129,MATCH(Atualizações!A916,Projetos!$A$2:$A$129,0))," ")</f>
        <v>46203</v>
      </c>
      <c r="J919" s="221" t="s">
        <v>1454</v>
      </c>
      <c r="K919" s="344" t="str">
        <f>IFERROR(Tb_Atualizações[[#This Row],[% EXECUTADO]]/Tb_Atualizações[[#This Row],[% PREVISTO]],"0%")</f>
        <v>0%</v>
      </c>
      <c r="L919" s="31" t="str" cm="1">
        <f t="array" aca="1" ref="L9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919" s="215"/>
      <c r="N919" s="345"/>
      <c r="O919" s="42">
        <f t="shared" si="46"/>
        <v>2025</v>
      </c>
      <c r="P919" s="42" t="str">
        <f t="shared" si="47"/>
        <v>202502626/2025</v>
      </c>
      <c r="Q919" s="42">
        <v>1</v>
      </c>
    </row>
    <row r="920" spans="1:17" ht="15" hidden="1">
      <c r="A920" s="370" t="s">
        <v>629</v>
      </c>
      <c r="B920" s="315" t="str">
        <f>IFERROR(INDEX(Projetos!$B$3:$B$129,MATCH(A920,Projetos!$A$3:$A$129,0))," ")</f>
        <v>2º Edital da 7ª Edição da Série Justiça Pesquisa - Exercício 2024/2025</v>
      </c>
      <c r="D920" s="214" t="s">
        <v>1455</v>
      </c>
      <c r="E920" s="214" t="s">
        <v>1455</v>
      </c>
      <c r="F920" s="637">
        <v>45938</v>
      </c>
      <c r="G920" s="637">
        <v>45946</v>
      </c>
      <c r="H920" s="51" t="str">
        <f t="shared" si="45"/>
        <v>11449/202445946</v>
      </c>
      <c r="I920" s="38">
        <f>IFERROR(INDEX(Projetos!$M$2:$M$129,MATCH(Atualizações!A1106,Projetos!$A$2:$A$129,0))," ")</f>
        <v>46037</v>
      </c>
      <c r="J920" s="221"/>
      <c r="K920" s="344" t="str">
        <f>IFERROR(Tb_Atualizações[[#This Row],[% EXECUTADO]]/Tb_Atualizações[[#This Row],[% PREVISTO]],"0%")</f>
        <v>0%</v>
      </c>
      <c r="L920" s="498" t="str" cm="1">
        <f t="array" aca="1" ref="L9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20" s="215"/>
      <c r="N920" s="345"/>
      <c r="O920" s="42">
        <f t="shared" si="46"/>
        <v>2025</v>
      </c>
      <c r="P920" s="42" t="str">
        <f t="shared" si="47"/>
        <v>202511449/2024</v>
      </c>
      <c r="Q920" s="42">
        <v>1</v>
      </c>
    </row>
    <row r="921" spans="1:17" ht="30" hidden="1">
      <c r="A921" s="370" t="s">
        <v>487</v>
      </c>
      <c r="B921" s="315" t="str">
        <f>IFERROR(INDEX(Projetos!$B$3:$B$129,MATCH(A921,Projetos!$A$3:$A$129,0))," ")</f>
        <v>Demandas Complexas</v>
      </c>
      <c r="D921" s="214">
        <v>1</v>
      </c>
      <c r="E921" s="214">
        <v>7.3499999999999996E-2</v>
      </c>
      <c r="F921" s="219">
        <v>45943</v>
      </c>
      <c r="G921" s="220">
        <v>45931</v>
      </c>
      <c r="H921" s="51" t="str">
        <f t="shared" si="45"/>
        <v>08610/202245931</v>
      </c>
      <c r="I921" s="38" t="str">
        <f>IFERROR(INDEX(Projetos!$M$2:$M$129,MATCH(Atualizações!A917,Projetos!$A$2:$A$129,0))," ")</f>
        <v>15/12/2026</v>
      </c>
      <c r="J921" s="221" t="s">
        <v>1456</v>
      </c>
      <c r="K921" s="344">
        <f>IFERROR(Tb_Atualizações[[#This Row],[% EXECUTADO]]/Tb_Atualizações[[#This Row],[% PREVISTO]],"0%")</f>
        <v>7.3499999999999996E-2</v>
      </c>
      <c r="L921" s="31" t="s">
        <v>277</v>
      </c>
      <c r="M921" s="215"/>
      <c r="N921" s="345"/>
      <c r="O921" s="42">
        <f t="shared" si="46"/>
        <v>2025</v>
      </c>
      <c r="P921" s="42" t="str">
        <f t="shared" si="47"/>
        <v>202508610/2022</v>
      </c>
      <c r="Q921" s="42">
        <v>1</v>
      </c>
    </row>
    <row r="922" spans="1:17" ht="30" hidden="1">
      <c r="A922" s="467" t="s">
        <v>728</v>
      </c>
      <c r="B922" s="315" t="str">
        <f>IFERROR(INDEX(Projetos!$B$3:$B$129,MATCH(A922,Projetos!$A$3:$A$129,0))," ")</f>
        <v>Programa de Acessibilidade e Inclusão do Conselho Nacional de Justiça (CNJ)</v>
      </c>
      <c r="D922" s="214">
        <v>0.2</v>
      </c>
      <c r="E922" s="214">
        <v>0.2</v>
      </c>
      <c r="F922" s="219">
        <v>45946</v>
      </c>
      <c r="G922" s="220">
        <v>45946</v>
      </c>
      <c r="H922" s="51" t="str">
        <f t="shared" si="45"/>
        <v>15844/202445946</v>
      </c>
      <c r="I922" s="38">
        <f>IFERROR(INDEX(Projetos!$M$2:$M$129,MATCH(Atualizações!A1104,Projetos!$A$2:$A$129,0))," ")</f>
        <v>46371</v>
      </c>
      <c r="J922" s="221"/>
      <c r="K922" s="498"/>
      <c r="L922" s="498" t="str" cm="1">
        <f t="array" aca="1" ref="L9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22" s="215"/>
      <c r="N922" s="345"/>
      <c r="O922" s="42">
        <f t="shared" si="46"/>
        <v>2025</v>
      </c>
      <c r="P922" s="42" t="str">
        <f t="shared" si="47"/>
        <v>202515844/2024</v>
      </c>
    </row>
    <row r="923" spans="1:17" ht="15" hidden="1">
      <c r="A923" s="192" t="s">
        <v>834</v>
      </c>
      <c r="B923" s="315" t="str">
        <f>IFERROR(INDEX(Projetos!$B$3:$B$129,MATCH(A923,Projetos!$A$3:$A$129,0))," ")</f>
        <v>Inspeção Judicial</v>
      </c>
      <c r="D923" s="214">
        <v>1</v>
      </c>
      <c r="E923" s="214">
        <v>1</v>
      </c>
      <c r="F923" s="219">
        <v>45950</v>
      </c>
      <c r="G923" s="220">
        <v>45992</v>
      </c>
      <c r="H923" s="51" t="str">
        <f t="shared" si="45"/>
        <v>1746619/202445992</v>
      </c>
      <c r="I923" s="38">
        <f>IFERROR(INDEX(Projetos!$M$2:$M$129,MATCH(Atualizações!A1060,Projetos!$A$2:$A$129,0))," ")</f>
        <v>46281</v>
      </c>
      <c r="J923" s="221"/>
      <c r="K923" s="344">
        <f>IFERROR(Tb_Atualizações[[#This Row],[% EXECUTADO]]/Tb_Atualizações[[#This Row],[% PREVISTO]],"0%")</f>
        <v>1</v>
      </c>
      <c r="L923" s="31" t="str" cm="1">
        <f t="array" aca="1" ref="L9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923" s="215"/>
      <c r="N923" s="345"/>
      <c r="O923" s="42">
        <f t="shared" si="46"/>
        <v>2025</v>
      </c>
      <c r="P923" s="42" t="str">
        <f t="shared" si="47"/>
        <v>20251746619/2024</v>
      </c>
      <c r="Q923" s="42">
        <v>1</v>
      </c>
    </row>
    <row r="924" spans="1:17" ht="30" hidden="1">
      <c r="A924" s="192" t="s">
        <v>431</v>
      </c>
      <c r="B924" s="315" t="str">
        <f>IFERROR(INDEX(Projetos!$B$3:$B$129,MATCH(A924,Projetos!$A$3:$A$129,0))," ")</f>
        <v>Sniper BC</v>
      </c>
      <c r="D924" s="214">
        <v>0.63</v>
      </c>
      <c r="E924" s="214">
        <v>0.53</v>
      </c>
      <c r="F924" s="219">
        <v>45953</v>
      </c>
      <c r="G924" s="220">
        <v>45931</v>
      </c>
      <c r="H924" s="51" t="str">
        <f t="shared" si="45"/>
        <v>06826/202445931</v>
      </c>
      <c r="I924" s="38">
        <f>IFERROR(INDEX(Projetos!$M$2:$M$129,MATCH(Atualizações!A918,Projetos!$A$2:$A$129,0))," ")</f>
        <v>46226</v>
      </c>
      <c r="J924" s="221"/>
      <c r="K924" s="344">
        <f>IFERROR(Tb_Atualizações[[#This Row],[% EXECUTADO]]/Tb_Atualizações[[#This Row],[% PREVISTO]],"0%")</f>
        <v>0.84126984126984128</v>
      </c>
      <c r="L924" s="31" t="str" cm="1">
        <f t="array" aca="1" ref="L9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24" s="215"/>
      <c r="N924" s="345"/>
      <c r="O924" s="42">
        <f t="shared" si="46"/>
        <v>2025</v>
      </c>
      <c r="P924" s="42" t="str">
        <f t="shared" si="47"/>
        <v>202506826/2024</v>
      </c>
      <c r="Q924" s="42">
        <v>1</v>
      </c>
    </row>
    <row r="925" spans="1:17" ht="30" hidden="1">
      <c r="A925" s="192" t="s">
        <v>549</v>
      </c>
      <c r="B925" s="315" t="str">
        <f>IFERROR(INDEX(Projetos!$B$3:$B$129,MATCH(A925,Projetos!$A$3:$A$129,0))," ")</f>
        <v>Fluxo Nacional Automatizado das Execuções Fiscais (EFIN)</v>
      </c>
      <c r="D925" s="214">
        <v>0.89</v>
      </c>
      <c r="E925" s="214">
        <v>0.56999999999999995</v>
      </c>
      <c r="F925" s="219">
        <v>45953</v>
      </c>
      <c r="G925" s="220">
        <v>45931</v>
      </c>
      <c r="H925" s="51" t="str">
        <f t="shared" si="45"/>
        <v>09796/202445931</v>
      </c>
      <c r="I925" s="38">
        <f>IFERROR(INDEX(Projetos!$M$2:$M$129,MATCH(Atualizações!A925,Projetos!$A$2:$A$129,0))," ")</f>
        <v>46226</v>
      </c>
      <c r="J925" s="221"/>
      <c r="K925" s="344">
        <f>IFERROR(Tb_Atualizações[[#This Row],[% EXECUTADO]]/Tb_Atualizações[[#This Row],[% PREVISTO]],"0%")</f>
        <v>0.64044943820224709</v>
      </c>
      <c r="L925" s="31" t="str" cm="1">
        <f t="array" aca="1" ref="L9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25" s="215"/>
      <c r="N925" s="345"/>
      <c r="O925" s="42">
        <f t="shared" si="46"/>
        <v>2025</v>
      </c>
      <c r="P925" s="42" t="str">
        <f t="shared" si="47"/>
        <v>202509796/2024</v>
      </c>
      <c r="Q925" s="42">
        <v>1</v>
      </c>
    </row>
    <row r="926" spans="1:17" ht="15" hidden="1">
      <c r="A926" s="192" t="s">
        <v>773</v>
      </c>
      <c r="B926" s="315" t="str">
        <f>IFERROR(INDEX(Projetos!$B$3:$B$129,MATCH(A926,Projetos!$A$3:$A$129,0))," ")</f>
        <v>API de Pessoas</v>
      </c>
      <c r="D926" s="214">
        <v>0.59</v>
      </c>
      <c r="E926" s="214">
        <v>0.53</v>
      </c>
      <c r="F926" s="219">
        <v>45953</v>
      </c>
      <c r="G926" s="220">
        <v>45931</v>
      </c>
      <c r="H926" s="51" t="str">
        <f t="shared" si="45"/>
        <v>17372/2024 45931</v>
      </c>
      <c r="I926" s="473">
        <f>IFERROR(INDEX(Projetos!$M$2:$M$129,MATCH(Atualizações!A926,Projetos!$A$2:$A$129,0))," ")</f>
        <v>46371</v>
      </c>
      <c r="J926" s="221"/>
      <c r="K926" s="344">
        <f>IFERROR(Tb_Atualizações[[#This Row],[% EXECUTADO]]/Tb_Atualizações[[#This Row],[% PREVISTO]],"0%")</f>
        <v>0.89830508474576276</v>
      </c>
      <c r="L926" s="31" t="str" cm="1">
        <f t="array" aca="1" ref="L9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26" s="215"/>
      <c r="N926" s="345"/>
      <c r="O926" s="42">
        <f t="shared" si="46"/>
        <v>2025</v>
      </c>
      <c r="P926" s="42" t="str">
        <f t="shared" si="47"/>
        <v xml:space="preserve">202517372/2024 </v>
      </c>
      <c r="Q926" s="42">
        <v>1</v>
      </c>
    </row>
    <row r="927" spans="1:17" ht="30" hidden="1">
      <c r="A927" s="192" t="s">
        <v>661</v>
      </c>
      <c r="B927" s="315" t="str">
        <f>IFERROR(INDEX(Projetos!$B$3:$B$129,MATCH(A927,Projetos!$A$3:$A$129,0))," ")</f>
        <v>BNMP – Banco Nacional de Medidas Penais e Prisões – Melhorias Evolutivas</v>
      </c>
      <c r="D927" s="214">
        <v>0.46</v>
      </c>
      <c r="E927" s="214">
        <v>0.52</v>
      </c>
      <c r="F927" s="219">
        <v>45953</v>
      </c>
      <c r="G927" s="220">
        <v>45931</v>
      </c>
      <c r="H927" s="51" t="str">
        <f t="shared" si="45"/>
        <v>11776/202445931</v>
      </c>
      <c r="I927" s="38">
        <f>IFERROR(INDEX(Projetos!$M$2:$M$129,MATCH(Atualizações!A921,Projetos!$A$2:$A$129,0))," ")</f>
        <v>45913</v>
      </c>
      <c r="J927" s="221"/>
      <c r="K927" s="344">
        <f>IFERROR(Tb_Atualizações[[#This Row],[% EXECUTADO]]/Tb_Atualizações[[#This Row],[% PREVISTO]],"0%")</f>
        <v>1.1304347826086956</v>
      </c>
      <c r="L927" s="31" t="str" cm="1">
        <f t="array" aca="1" ref="L9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27" s="215"/>
      <c r="N927" s="345"/>
      <c r="O927" s="42">
        <f t="shared" si="46"/>
        <v>2025</v>
      </c>
      <c r="P927" s="42" t="str">
        <f t="shared" si="47"/>
        <v>202511776/2024</v>
      </c>
      <c r="Q927" s="42">
        <v>1</v>
      </c>
    </row>
    <row r="928" spans="1:17" ht="15" hidden="1">
      <c r="A928" s="192" t="s">
        <v>738</v>
      </c>
      <c r="B928" s="315" t="str">
        <f>IFERROR(INDEX(Projetos!$B$3:$B$129,MATCH(A928,Projetos!$A$3:$A$129,0))," ")</f>
        <v>FONAR - Formulário Nacional de Avaliação de Risco e Formulário Rogéria</v>
      </c>
      <c r="D928" s="214">
        <v>0.67</v>
      </c>
      <c r="E928" s="214">
        <v>0.62</v>
      </c>
      <c r="F928" s="219">
        <v>45953</v>
      </c>
      <c r="G928" s="220">
        <v>45931</v>
      </c>
      <c r="H928" s="51" t="str">
        <f t="shared" si="45"/>
        <v>16319/202445931</v>
      </c>
      <c r="I928" s="38">
        <f>IFERROR(INDEX(Projetos!$M$2:$M$129,MATCH(Atualizações!A922,Projetos!$A$2:$A$129,0))," ")</f>
        <v>46376</v>
      </c>
      <c r="J928" s="221"/>
      <c r="K928" s="344">
        <f>IFERROR(Tb_Atualizações[[#This Row],[% EXECUTADO]]/Tb_Atualizações[[#This Row],[% PREVISTO]],"0%")</f>
        <v>0.9253731343283581</v>
      </c>
      <c r="L928" s="31" t="str" cm="1">
        <f t="array" aca="1" ref="L9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28" s="215"/>
      <c r="N928" s="345"/>
      <c r="O928" s="42">
        <f t="shared" si="46"/>
        <v>2025</v>
      </c>
      <c r="P928" s="42" t="str">
        <f t="shared" si="47"/>
        <v>202516319/2024</v>
      </c>
      <c r="Q928" s="42">
        <v>1</v>
      </c>
    </row>
    <row r="929" spans="1:17" ht="15" hidden="1">
      <c r="A929" s="192" t="s">
        <v>229</v>
      </c>
      <c r="B929" s="315" t="str">
        <f>IFERROR(INDEX(Projetos!$B$3:$B$129,MATCH(A929,Projetos!$A$3:$A$129,0))," ")</f>
        <v>Gabinete do Juízo</v>
      </c>
      <c r="D929" s="214">
        <v>0.94</v>
      </c>
      <c r="E929" s="214">
        <v>0.86</v>
      </c>
      <c r="F929" s="219">
        <v>45954</v>
      </c>
      <c r="G929" s="220">
        <v>45931</v>
      </c>
      <c r="H929" s="51" t="str">
        <f t="shared" si="45"/>
        <v>02080/202345931</v>
      </c>
      <c r="I929" s="38">
        <f>IFERROR(INDEX(Projetos!$M$2:$M$129,MATCH(Atualizações!A923,Projetos!$A$2:$A$129,0))," ")</f>
        <v>46011</v>
      </c>
      <c r="J929" s="221"/>
      <c r="K929" s="344">
        <f>IFERROR(Tb_Atualizações[[#This Row],[% EXECUTADO]]/Tb_Atualizações[[#This Row],[% PREVISTO]],"0%")</f>
        <v>0.91489361702127658</v>
      </c>
      <c r="L929" s="31" t="str" cm="1">
        <f t="array" aca="1" ref="L9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29" s="215"/>
      <c r="N929" s="345"/>
      <c r="O929" s="42">
        <f t="shared" si="46"/>
        <v>2025</v>
      </c>
      <c r="P929" s="42" t="str">
        <f t="shared" si="47"/>
        <v>202502080/2023</v>
      </c>
      <c r="Q929" s="42">
        <v>1</v>
      </c>
    </row>
    <row r="930" spans="1:17" ht="15" hidden="1">
      <c r="A930" s="192" t="s">
        <v>350</v>
      </c>
      <c r="B930" s="315" t="str">
        <f>IFERROR(INDEX(Projetos!$B$3:$B$129,MATCH(A930,Projetos!$A$3:$A$129,0))," ")</f>
        <v>Painel de Estatística   - Justiça 4.0</v>
      </c>
      <c r="D930" s="214">
        <v>0.84</v>
      </c>
      <c r="E930" s="214">
        <v>0.73</v>
      </c>
      <c r="F930" s="219">
        <v>45954</v>
      </c>
      <c r="G930" s="220">
        <v>45931</v>
      </c>
      <c r="H930" s="51" t="str">
        <f t="shared" si="45"/>
        <v>03545/202145931</v>
      </c>
      <c r="I930" s="38">
        <f>IFERROR(INDEX(Projetos!$M$2:$M$129,MATCH(Atualizações!A924,Projetos!$A$2:$A$129,0))," ")</f>
        <v>46281</v>
      </c>
      <c r="J930" s="221"/>
      <c r="K930" s="344">
        <f>IFERROR(Tb_Atualizações[[#This Row],[% EXECUTADO]]/Tb_Atualizações[[#This Row],[% PREVISTO]],"0%")</f>
        <v>0.86904761904761907</v>
      </c>
      <c r="L930" s="31" t="str" cm="1">
        <f t="array" aca="1" ref="L9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30" s="215"/>
      <c r="N930" s="345"/>
      <c r="O930" s="42">
        <f t="shared" si="46"/>
        <v>2025</v>
      </c>
      <c r="P930" s="42" t="str">
        <f t="shared" si="47"/>
        <v>202503545/2021</v>
      </c>
      <c r="Q930" s="42">
        <v>1</v>
      </c>
    </row>
    <row r="931" spans="1:17" ht="15" hidden="1">
      <c r="A931" s="192" t="s">
        <v>358</v>
      </c>
      <c r="B931" s="315" t="str">
        <f>IFERROR(INDEX(Projetos!$B$3:$B$129,MATCH(A931,Projetos!$A$3:$A$129,0))," ")</f>
        <v>Prevjud - Automação de Processos Previdenciários - Justiça 4.0</v>
      </c>
      <c r="D931" s="214">
        <v>0.95</v>
      </c>
      <c r="E931" s="214">
        <v>0.99</v>
      </c>
      <c r="F931" s="219">
        <v>45954</v>
      </c>
      <c r="G931" s="220">
        <v>45931</v>
      </c>
      <c r="H931" s="51" t="str">
        <f t="shared" si="45"/>
        <v>03558/202145931</v>
      </c>
      <c r="I931" s="38">
        <f>IFERROR(INDEX(Projetos!$M$2:$M$129,MATCH(Atualizações!A925,Projetos!$A$2:$A$129,0))," ")</f>
        <v>46226</v>
      </c>
      <c r="J931" s="221"/>
      <c r="K931" s="344">
        <f>IFERROR(Tb_Atualizações[[#This Row],[% EXECUTADO]]/Tb_Atualizações[[#This Row],[% PREVISTO]],"0%")</f>
        <v>1.0421052631578949</v>
      </c>
      <c r="L931" s="31" t="str" cm="1">
        <f t="array" aca="1" ref="L9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31" s="215"/>
      <c r="N931" s="345"/>
      <c r="O931" s="42">
        <f t="shared" si="46"/>
        <v>2025</v>
      </c>
      <c r="P931" s="42" t="str">
        <f t="shared" si="47"/>
        <v>202503558/2021</v>
      </c>
      <c r="Q931" s="42">
        <v>1</v>
      </c>
    </row>
    <row r="932" spans="1:17" ht="30" hidden="1">
      <c r="A932" s="192" t="s">
        <v>416</v>
      </c>
      <c r="B932" s="315" t="str">
        <f>IFERROR(INDEX(Projetos!$B$3:$B$129,MATCH(A932,Projetos!$A$3:$A$129,0))," ")</f>
        <v>Conecta</v>
      </c>
      <c r="D932" s="214">
        <v>0.53</v>
      </c>
      <c r="E932" s="214">
        <v>0.4</v>
      </c>
      <c r="F932" s="219">
        <v>45954</v>
      </c>
      <c r="G932" s="220">
        <v>45931</v>
      </c>
      <c r="H932" s="51" t="str">
        <f t="shared" si="45"/>
        <v>05578/202445931</v>
      </c>
      <c r="I932" s="38">
        <f>IFERROR(INDEX(Projetos!$M$2:$M$129,MATCH(Atualizações!A926,Projetos!$A$2:$A$129,0))," ")</f>
        <v>46371</v>
      </c>
      <c r="J932" s="221"/>
      <c r="K932" s="344">
        <f>IFERROR(Tb_Atualizações[[#This Row],[% EXECUTADO]]/Tb_Atualizações[[#This Row],[% PREVISTO]],"0%")</f>
        <v>0.75471698113207553</v>
      </c>
      <c r="L932" s="31" t="str" cm="1">
        <f t="array" aca="1" ref="L9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32" s="215"/>
      <c r="N932" s="345"/>
      <c r="O932" s="42">
        <f t="shared" si="46"/>
        <v>2025</v>
      </c>
      <c r="P932" s="42" t="str">
        <f t="shared" si="47"/>
        <v>202505578/2024</v>
      </c>
      <c r="Q932" s="42">
        <v>1</v>
      </c>
    </row>
    <row r="933" spans="1:17" ht="300" hidden="1">
      <c r="A933" s="192" t="s">
        <v>257</v>
      </c>
      <c r="B933" s="315" t="str">
        <f>IFERROR(INDEX(Projetos!$B$3:$B$129,MATCH(A933,Projetos!$A$3:$A$129,0))," ")</f>
        <v>SisPreq – Sistema de Precatórios e Requisições de Pequeno Valor</v>
      </c>
      <c r="D933" s="214">
        <v>0.89</v>
      </c>
      <c r="E933" s="214">
        <v>0.6</v>
      </c>
      <c r="F933" s="219">
        <v>45954</v>
      </c>
      <c r="G933" s="220">
        <v>45931</v>
      </c>
      <c r="H933" s="51" t="str">
        <f t="shared" si="45"/>
        <v>02465/202445931</v>
      </c>
      <c r="I933" s="38">
        <f>IFERROR(INDEX(Projetos!$M$2:$M$129,MATCH(Atualizações!A927,Projetos!$A$2:$A$129,0))," ")</f>
        <v>46379</v>
      </c>
      <c r="J933" s="221" t="s">
        <v>1457</v>
      </c>
      <c r="K933" s="344">
        <f>IFERROR(Tb_Atualizações[[#This Row],[% EXECUTADO]]/Tb_Atualizações[[#This Row],[% PREVISTO]],"0%")</f>
        <v>0.6741573033707865</v>
      </c>
      <c r="L933" s="31" t="str" cm="1">
        <f t="array" aca="1" ref="L9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33" s="215"/>
      <c r="N933" s="345"/>
      <c r="O933" s="42">
        <f t="shared" si="46"/>
        <v>2025</v>
      </c>
      <c r="P933" s="42" t="str">
        <f t="shared" si="47"/>
        <v>202502465/2024</v>
      </c>
      <c r="Q933" s="42">
        <v>1</v>
      </c>
    </row>
    <row r="934" spans="1:17" ht="15" hidden="1">
      <c r="A934" s="192" t="s">
        <v>638</v>
      </c>
      <c r="B934" s="315" t="str">
        <f>IFERROR(INDEX(Projetos!$B$3:$B$129,MATCH(A934,Projetos!$A$3:$A$129,0))," ")</f>
        <v>Sisperjud</v>
      </c>
      <c r="D934" s="214">
        <v>0.89</v>
      </c>
      <c r="E934" s="214">
        <v>0.94</v>
      </c>
      <c r="F934" s="219">
        <v>45954</v>
      </c>
      <c r="G934" s="220">
        <v>45931</v>
      </c>
      <c r="H934" s="51" t="str">
        <f t="shared" si="45"/>
        <v>11644/202245931</v>
      </c>
      <c r="I934" s="38">
        <f>IFERROR(INDEX(Projetos!$M$2:$M$129,MATCH(Atualizações!A928,Projetos!$A$2:$A$129,0))," ")</f>
        <v>46195</v>
      </c>
      <c r="J934" s="221"/>
      <c r="K934" s="344">
        <f>IFERROR(Tb_Atualizações[[#This Row],[% EXECUTADO]]/Tb_Atualizações[[#This Row],[% PREVISTO]],"0%")</f>
        <v>1.0561797752808988</v>
      </c>
      <c r="L934" s="31" t="str" cm="1">
        <f t="array" aca="1" ref="L9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34" s="215"/>
      <c r="N934" s="345"/>
      <c r="O934" s="42">
        <f t="shared" si="46"/>
        <v>2025</v>
      </c>
      <c r="P934" s="42" t="str">
        <f t="shared" si="47"/>
        <v>202511644/2022</v>
      </c>
      <c r="Q934" s="42">
        <v>1</v>
      </c>
    </row>
    <row r="935" spans="1:17" ht="15" hidden="1">
      <c r="A935" s="192" t="s">
        <v>684</v>
      </c>
      <c r="B935" s="315" t="str">
        <f>IFERROR(INDEX(Projetos!$B$3:$B$129,MATCH(A935,Projetos!$A$3:$A$129,0))," ")</f>
        <v>Painel dos Grandes Litigantes</v>
      </c>
      <c r="D935" s="214">
        <v>0.8</v>
      </c>
      <c r="E935" s="214">
        <v>0.78</v>
      </c>
      <c r="F935" s="219">
        <v>45954</v>
      </c>
      <c r="G935" s="220">
        <v>45931</v>
      </c>
      <c r="H935" s="51" t="str">
        <f t="shared" si="45"/>
        <v>12135/202245931</v>
      </c>
      <c r="I935" s="38">
        <f>IFERROR(INDEX(Projetos!$M$2:$M$129,MATCH(Atualizações!A929,Projetos!$A$2:$A$129,0))," ")</f>
        <v>46379</v>
      </c>
      <c r="J935" s="221"/>
      <c r="K935" s="344">
        <f>IFERROR(Tb_Atualizações[[#This Row],[% EXECUTADO]]/Tb_Atualizações[[#This Row],[% PREVISTO]],"0%")</f>
        <v>0.97499999999999998</v>
      </c>
      <c r="L935" s="31" t="str" cm="1">
        <f t="array" aca="1" ref="L9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35" s="215"/>
      <c r="N935" s="345"/>
      <c r="O935" s="42">
        <f t="shared" si="46"/>
        <v>2025</v>
      </c>
      <c r="P935" s="42" t="str">
        <f t="shared" si="47"/>
        <v>202512135/2022</v>
      </c>
      <c r="Q935" s="42">
        <v>1</v>
      </c>
    </row>
    <row r="936" spans="1:17" ht="15" hidden="1">
      <c r="A936" s="192" t="s">
        <v>644</v>
      </c>
      <c r="B936" s="315" t="str">
        <f>IFERROR(INDEX(Projetos!$B$3:$B$129,MATCH(A936,Projetos!$A$3:$A$129,0))," ")</f>
        <v>BNP/Pangea</v>
      </c>
      <c r="D936" s="214">
        <v>0.65</v>
      </c>
      <c r="E936" s="214">
        <v>0.7</v>
      </c>
      <c r="F936" s="219">
        <v>45954</v>
      </c>
      <c r="G936" s="220">
        <v>45931</v>
      </c>
      <c r="H936" s="51" t="str">
        <f t="shared" si="45"/>
        <v>11645/202245931</v>
      </c>
      <c r="I936" s="38" t="str">
        <f>IFERROR(INDEX(Projetos!$M$2:$M$129,MATCH(Atualizações!A936,Projetos!$A$2:$A$129,0))," ")</f>
        <v>23/12/2026</v>
      </c>
      <c r="J936" s="221"/>
      <c r="K936" s="344">
        <f>IFERROR(Tb_Atualizações[[#This Row],[% EXECUTADO]]/Tb_Atualizações[[#This Row],[% PREVISTO]],"0%")</f>
        <v>1.0769230769230769</v>
      </c>
      <c r="L936" s="31" t="str" cm="1">
        <f t="array" aca="1" ref="L9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36" s="215"/>
      <c r="N936" s="345"/>
      <c r="O936" s="42">
        <f t="shared" si="46"/>
        <v>2025</v>
      </c>
      <c r="P936" s="42" t="str">
        <f t="shared" si="47"/>
        <v>202511645/2022</v>
      </c>
      <c r="Q936" s="42">
        <v>1</v>
      </c>
    </row>
    <row r="937" spans="1:17" ht="15" hidden="1">
      <c r="A937" s="192" t="s">
        <v>533</v>
      </c>
      <c r="B937" s="315" t="str">
        <f>IFERROR(INDEX(Projetos!$B$3:$B$129,MATCH(A937,Projetos!$A$3:$A$129,0))," ")</f>
        <v>Qualificação de Dados</v>
      </c>
      <c r="D937" s="214">
        <v>0.83</v>
      </c>
      <c r="E937" s="214">
        <v>0.82</v>
      </c>
      <c r="F937" s="219">
        <v>45954</v>
      </c>
      <c r="G937" s="220">
        <v>45931</v>
      </c>
      <c r="H937" s="51" t="str">
        <f t="shared" si="45"/>
        <v>09613/202445931</v>
      </c>
      <c r="I937" s="473">
        <f>IFERROR(INDEX(Projetos!$M$2:$M$129,MATCH(Atualizações!A937,Projetos!$A$2:$A$129,0))," ")</f>
        <v>46386</v>
      </c>
      <c r="J937" s="221"/>
      <c r="K937" s="344">
        <f>IFERROR(Tb_Atualizações[[#This Row],[% EXECUTADO]]/Tb_Atualizações[[#This Row],[% PREVISTO]],"0%")</f>
        <v>0.98795180722891562</v>
      </c>
      <c r="L937" s="31" t="str" cm="1">
        <f t="array" aca="1" ref="L9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37" s="215"/>
      <c r="N937" s="345"/>
      <c r="O937" s="42">
        <f t="shared" si="46"/>
        <v>2025</v>
      </c>
      <c r="P937" s="42" t="str">
        <f t="shared" si="47"/>
        <v>202509613/2024</v>
      </c>
      <c r="Q937" s="42">
        <v>1</v>
      </c>
    </row>
    <row r="938" spans="1:17" ht="30" hidden="1">
      <c r="A938" s="192" t="s">
        <v>310</v>
      </c>
      <c r="B938" s="315" t="str">
        <f>IFERROR(INDEX(Projetos!$B$3:$B$129,MATCH(A938,Projetos!$A$3:$A$129,0))," ")</f>
        <v>Apoio a implantação de soluções da PDPJ-Br</v>
      </c>
      <c r="D938" s="214">
        <v>0.73</v>
      </c>
      <c r="E938" s="214">
        <v>0.56999999999999995</v>
      </c>
      <c r="F938" s="219">
        <v>45954</v>
      </c>
      <c r="G938" s="220">
        <v>45931</v>
      </c>
      <c r="H938" s="51" t="str">
        <f t="shared" si="45"/>
        <v>02887/202445931</v>
      </c>
      <c r="I938" s="473">
        <f>IFERROR(INDEX(Projetos!$M$2:$M$129,MATCH(Atualizações!A938,Projetos!$A$2:$A$129,0))," ")</f>
        <v>46387</v>
      </c>
      <c r="J938" s="221"/>
      <c r="K938" s="344">
        <f>IFERROR(Tb_Atualizações[[#This Row],[% EXECUTADO]]/Tb_Atualizações[[#This Row],[% PREVISTO]],"0%")</f>
        <v>0.78082191780821908</v>
      </c>
      <c r="L938" s="31" t="str" cm="1">
        <f t="array" aca="1" ref="L9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38" s="215"/>
      <c r="N938" s="345"/>
      <c r="O938" s="42">
        <f t="shared" si="46"/>
        <v>2025</v>
      </c>
      <c r="P938" s="42" t="str">
        <f t="shared" si="47"/>
        <v>202502887/2024</v>
      </c>
      <c r="Q938" s="42">
        <v>1</v>
      </c>
    </row>
    <row r="939" spans="1:17" ht="15" hidden="1">
      <c r="A939" s="192" t="s">
        <v>690</v>
      </c>
      <c r="B939" s="315" t="str">
        <f>IFERROR(INDEX(Projetos!$B$3:$B$129,MATCH(A939,Projetos!$A$3:$A$129,0))," ")</f>
        <v>Painel “Justiça Criminal e Sistema Prisional”</v>
      </c>
      <c r="D939" s="214">
        <v>0.7</v>
      </c>
      <c r="E939" s="214">
        <v>0.63</v>
      </c>
      <c r="F939" s="219">
        <v>45954</v>
      </c>
      <c r="G939" s="220">
        <v>45931</v>
      </c>
      <c r="H939" s="51" t="str">
        <f t="shared" si="45"/>
        <v>12215/202345931</v>
      </c>
      <c r="I939" s="473">
        <f>IFERROR(INDEX(Projetos!$M$2:$M$129,MATCH(Atualizações!A939,Projetos!$A$2:$A$129,0))," ")</f>
        <v>46387</v>
      </c>
      <c r="J939" s="221"/>
      <c r="K939" s="344">
        <f>IFERROR(Tb_Atualizações[[#This Row],[% EXECUTADO]]/Tb_Atualizações[[#This Row],[% PREVISTO]],"0%")</f>
        <v>0.9</v>
      </c>
      <c r="L939" s="31" t="str" cm="1">
        <f t="array" aca="1" ref="L9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39" s="215"/>
      <c r="N939" s="345"/>
      <c r="O939" s="42">
        <f t="shared" si="46"/>
        <v>2025</v>
      </c>
      <c r="P939" s="42" t="str">
        <f t="shared" si="47"/>
        <v>202512215/2023</v>
      </c>
      <c r="Q939" s="42">
        <v>1</v>
      </c>
    </row>
    <row r="940" spans="1:17" ht="15" hidden="1">
      <c r="A940" s="192" t="s">
        <v>458</v>
      </c>
      <c r="B940" s="315" t="str">
        <f>IFERROR(INDEX(Projetos!$B$3:$B$129,MATCH(A940,Projetos!$A$3:$A$129,0))," ")</f>
        <v>SNGB - Melhorias evolutivas</v>
      </c>
      <c r="D940" s="214">
        <v>1</v>
      </c>
      <c r="E940" s="214">
        <v>0.98</v>
      </c>
      <c r="F940" s="219">
        <v>45954</v>
      </c>
      <c r="G940" s="220">
        <v>45931</v>
      </c>
      <c r="H940" s="51" t="str">
        <f t="shared" si="45"/>
        <v>08370/202445931</v>
      </c>
      <c r="I940" s="473">
        <f>IFERROR(INDEX(Projetos!$M$2:$M$129,MATCH(Atualizações!A940,Projetos!$A$2:$A$129,0))," ")</f>
        <v>46101</v>
      </c>
      <c r="J940" s="221"/>
      <c r="K940" s="344">
        <f>IFERROR(Tb_Atualizações[[#This Row],[% EXECUTADO]]/Tb_Atualizações[[#This Row],[% PREVISTO]],"0%")</f>
        <v>0.98</v>
      </c>
      <c r="L940" s="31" t="str" cm="1">
        <f t="array" aca="1" ref="L9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0" s="215"/>
      <c r="N940" s="345"/>
      <c r="O940" s="42">
        <f t="shared" si="46"/>
        <v>2025</v>
      </c>
      <c r="P940" s="42" t="str">
        <f t="shared" si="47"/>
        <v>202508370/2024</v>
      </c>
      <c r="Q940" s="42">
        <v>1</v>
      </c>
    </row>
    <row r="941" spans="1:17" ht="15" hidden="1">
      <c r="A941" s="192" t="s">
        <v>83</v>
      </c>
      <c r="B941" s="315" t="str">
        <f>IFERROR(INDEX(Projetos!$B$3:$B$129,MATCH(A941,Projetos!$A$3:$A$129,0))," ")</f>
        <v>Painel do Programa Desjudicializa</v>
      </c>
      <c r="D941" s="214">
        <v>0.88</v>
      </c>
      <c r="E941" s="214">
        <v>0.81</v>
      </c>
      <c r="F941" s="219">
        <v>45954</v>
      </c>
      <c r="G941" s="220">
        <v>45931</v>
      </c>
      <c r="H941" s="51" t="str">
        <f t="shared" si="45"/>
        <v>00484/202445931</v>
      </c>
      <c r="I941" s="473">
        <f>IFERROR(INDEX(Projetos!$M$2:$M$129,MATCH(Atualizações!A941,Projetos!$A$2:$A$129,0))," ")</f>
        <v>46387</v>
      </c>
      <c r="J941" s="221"/>
      <c r="K941" s="344">
        <f>IFERROR(Tb_Atualizações[[#This Row],[% EXECUTADO]]/Tb_Atualizações[[#This Row],[% PREVISTO]],"0%")</f>
        <v>0.92045454545454553</v>
      </c>
      <c r="L941" s="31" t="str" cm="1">
        <f t="array" aca="1" ref="L9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41" s="215"/>
      <c r="N941" s="345"/>
      <c r="O941" s="42">
        <f t="shared" si="46"/>
        <v>2025</v>
      </c>
      <c r="P941" s="42" t="str">
        <f t="shared" si="47"/>
        <v>202500484/2024</v>
      </c>
      <c r="Q941" s="42">
        <v>1</v>
      </c>
    </row>
    <row r="942" spans="1:17" ht="15" hidden="1">
      <c r="A942" s="192" t="s">
        <v>523</v>
      </c>
      <c r="B942" s="315" t="str">
        <f>IFERROR(INDEX(Projetos!$B$3:$B$129,MATCH(A942,Projetos!$A$3:$A$129,0))," ")</f>
        <v>Portal Jus BR</v>
      </c>
      <c r="D942" s="214">
        <v>0.98</v>
      </c>
      <c r="E942" s="214">
        <v>0.98</v>
      </c>
      <c r="F942" s="219">
        <v>45954</v>
      </c>
      <c r="G942" s="220">
        <v>45931</v>
      </c>
      <c r="H942" s="51" t="str">
        <f t="shared" si="45"/>
        <v>09536/202445931</v>
      </c>
      <c r="I942" s="38" t="str">
        <f>IFERROR(INDEX(Projetos!$M$2:$M$129,MATCH(Atualizações!A936,Projetos!$A$2:$A$129,0))," ")</f>
        <v>23/12/2026</v>
      </c>
      <c r="J942" s="221"/>
      <c r="K942" s="344">
        <f>IFERROR(Tb_Atualizações[[#This Row],[% EXECUTADO]]/Tb_Atualizações[[#This Row],[% PREVISTO]],"0%")</f>
        <v>1</v>
      </c>
      <c r="L942" s="31" t="str" cm="1">
        <f t="array" aca="1" ref="L9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2" s="215"/>
      <c r="N942" s="345"/>
      <c r="O942" s="42">
        <f t="shared" si="46"/>
        <v>2025</v>
      </c>
      <c r="P942" s="42" t="str">
        <f t="shared" si="47"/>
        <v>202509536/2024</v>
      </c>
      <c r="Q942" s="42">
        <v>1</v>
      </c>
    </row>
    <row r="943" spans="1:17" ht="15" hidden="1">
      <c r="A943" s="192" t="s">
        <v>247</v>
      </c>
      <c r="B943" s="315" t="str">
        <f>IFERROR(INDEX(Projetos!$B$3:$B$129,MATCH(A943,Projetos!$A$3:$A$129,0))," ")</f>
        <v>Portal de Serviços</v>
      </c>
      <c r="D943" s="214">
        <v>0.99</v>
      </c>
      <c r="E943" s="214">
        <v>0.91</v>
      </c>
      <c r="F943" s="219">
        <v>45954</v>
      </c>
      <c r="G943" s="220">
        <v>45931</v>
      </c>
      <c r="H943" s="51" t="str">
        <f t="shared" si="45"/>
        <v>02394/202445931</v>
      </c>
      <c r="I943" s="473">
        <f>IFERROR(INDEX(Projetos!$M$2:$M$129,MATCH(Atualizações!A943,Projetos!$A$2:$A$129,0))," ")</f>
        <v>46387</v>
      </c>
      <c r="J943" s="221"/>
      <c r="K943" s="344">
        <f>IFERROR(Tb_Atualizações[[#This Row],[% EXECUTADO]]/Tb_Atualizações[[#This Row],[% PREVISTO]],"0%")</f>
        <v>0.91919191919191923</v>
      </c>
      <c r="L943" s="31" t="str" cm="1">
        <f t="array" aca="1" ref="L9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43" s="215"/>
      <c r="N943" s="345"/>
      <c r="O943" s="42">
        <f t="shared" si="46"/>
        <v>2025</v>
      </c>
      <c r="P943" s="42" t="str">
        <f t="shared" si="47"/>
        <v>202502394/2024</v>
      </c>
      <c r="Q943" s="42">
        <v>1</v>
      </c>
    </row>
    <row r="944" spans="1:17" ht="30" hidden="1">
      <c r="A944" s="192" t="s">
        <v>539</v>
      </c>
      <c r="B944" s="315" t="str">
        <f>IFERROR(INDEX(Projetos!$B$3:$B$129,MATCH(A944,Projetos!$A$3:$A$129,0))," ")</f>
        <v>Desenvolvimento do módulo de Sessão de Julgamento (PDPJ-Br)</v>
      </c>
      <c r="D944" s="214">
        <v>0.8</v>
      </c>
      <c r="E944" s="214">
        <v>0.53</v>
      </c>
      <c r="F944" s="219">
        <v>45954</v>
      </c>
      <c r="G944" s="220">
        <v>45931</v>
      </c>
      <c r="H944" s="51" t="str">
        <f t="shared" si="45"/>
        <v>09630/202445931</v>
      </c>
      <c r="I944" s="473">
        <f>IFERROR(INDEX(Projetos!$M$2:$M$129,MATCH(Atualizações!A944,Projetos!$A$2:$A$129,0))," ")</f>
        <v>46387</v>
      </c>
      <c r="J944" s="221" t="s">
        <v>1458</v>
      </c>
      <c r="K944" s="344">
        <f>IFERROR(Tb_Atualizações[[#This Row],[% EXECUTADO]]/Tb_Atualizações[[#This Row],[% PREVISTO]],"0%")</f>
        <v>0.66249999999999998</v>
      </c>
      <c r="L944" s="31" t="str" cm="1">
        <f t="array" aca="1" ref="L9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44" s="215"/>
      <c r="N944" s="345"/>
      <c r="O944" s="42">
        <f t="shared" si="46"/>
        <v>2025</v>
      </c>
      <c r="P944" s="42" t="str">
        <f t="shared" si="47"/>
        <v>202509630/2024</v>
      </c>
      <c r="Q944" s="42">
        <v>1</v>
      </c>
    </row>
    <row r="945" spans="1:17" ht="120" hidden="1">
      <c r="A945" s="192" t="s">
        <v>722</v>
      </c>
      <c r="B945" s="315" t="str">
        <f>IFERROR(INDEX(Projetos!$B$3:$B$129,MATCH(A945,Projetos!$A$3:$A$129,0))," ")</f>
        <v>Serviços Estruturantes - Melhorias Evolutivas e Corretivas</v>
      </c>
      <c r="D945" s="214">
        <v>0.61</v>
      </c>
      <c r="E945" s="214">
        <v>0.59</v>
      </c>
      <c r="F945" s="219">
        <v>45954</v>
      </c>
      <c r="G945" s="220">
        <v>45931</v>
      </c>
      <c r="H945" s="51" t="str">
        <f t="shared" si="45"/>
        <v>14965/202445931</v>
      </c>
      <c r="I945" s="473">
        <f>IFERROR(INDEX(Projetos!$M$2:$M$129,MATCH(Atualizações!A945,Projetos!$A$2:$A$129,0))," ")</f>
        <v>46387</v>
      </c>
      <c r="J945" s="221" t="s">
        <v>1459</v>
      </c>
      <c r="K945" s="344">
        <f>IFERROR(Tb_Atualizações[[#This Row],[% EXECUTADO]]/Tb_Atualizações[[#This Row],[% PREVISTO]],"0%")</f>
        <v>0.96721311475409832</v>
      </c>
      <c r="L945" s="31" t="str" cm="1">
        <f t="array" aca="1" ref="L9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5" s="215"/>
      <c r="N945" s="345"/>
      <c r="O945" s="42">
        <f t="shared" si="46"/>
        <v>2025</v>
      </c>
      <c r="P945" s="42" t="str">
        <f t="shared" si="47"/>
        <v>202514965/2024</v>
      </c>
      <c r="Q945" s="42">
        <v>1</v>
      </c>
    </row>
    <row r="946" spans="1:17" ht="15" hidden="1">
      <c r="A946" s="192" t="s">
        <v>58</v>
      </c>
      <c r="B946" s="315" t="str">
        <f>IFERROR(INDEX(Projetos!$B$3:$B$129,MATCH(A946,Projetos!$A$3:$A$129,0))," ")</f>
        <v>Phase-out: Transição Projetos X Operação</v>
      </c>
      <c r="D946" s="214">
        <v>0.38</v>
      </c>
      <c r="E946" s="214">
        <v>0.59</v>
      </c>
      <c r="F946" s="219">
        <v>45954</v>
      </c>
      <c r="G946" s="220">
        <v>45931</v>
      </c>
      <c r="H946" s="51" t="str">
        <f t="shared" si="45"/>
        <v>00030/202545931</v>
      </c>
      <c r="I946" s="38">
        <f>IFERROR(INDEX(Projetos!$M$2:$M$129,MATCH(Atualizações!A940,Projetos!$A$2:$A$129,0))," ")</f>
        <v>46101</v>
      </c>
      <c r="J946" s="221"/>
      <c r="K946" s="344">
        <f>IFERROR(Tb_Atualizações[[#This Row],[% EXECUTADO]]/Tb_Atualizações[[#This Row],[% PREVISTO]],"0%")</f>
        <v>1.5526315789473684</v>
      </c>
      <c r="L946" s="31" t="str" cm="1">
        <f t="array" aca="1" ref="L9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6" s="215"/>
      <c r="N946" s="345"/>
      <c r="O946" s="42">
        <f t="shared" si="46"/>
        <v>2025</v>
      </c>
      <c r="P946" s="42" t="str">
        <f t="shared" si="47"/>
        <v>202500030/2025</v>
      </c>
      <c r="Q946" s="42">
        <v>1</v>
      </c>
    </row>
    <row r="947" spans="1:17" ht="30" hidden="1">
      <c r="A947" s="192" t="s">
        <v>517</v>
      </c>
      <c r="B947" s="315" t="str">
        <f>IFERROR(INDEX(Projetos!$B$3:$B$129,MATCH(A947,Projetos!$A$3:$A$129,0))," ")</f>
        <v>Domicílio Judicial Eletrônico - Melhorias Evolutivas</v>
      </c>
      <c r="D947" s="214">
        <v>0.88</v>
      </c>
      <c r="E947" s="214">
        <v>0.98</v>
      </c>
      <c r="F947" s="219">
        <v>45954</v>
      </c>
      <c r="G947" s="220">
        <v>45931</v>
      </c>
      <c r="H947" s="51" t="str">
        <f t="shared" si="45"/>
        <v>09445/202345931</v>
      </c>
      <c r="I947" s="473">
        <f>IFERROR(INDEX(Projetos!$M$2:$M$129,MATCH(Atualizações!A947,Projetos!$A$2:$A$129,0))," ")</f>
        <v>46203</v>
      </c>
      <c r="J947" s="221" t="s">
        <v>1460</v>
      </c>
      <c r="K947" s="344">
        <f>IFERROR(Tb_Atualizações[[#This Row],[% EXECUTADO]]/Tb_Atualizações[[#This Row],[% PREVISTO]],"0%")</f>
        <v>1.1136363636363635</v>
      </c>
      <c r="L947" s="31" t="str" cm="1">
        <f t="array" aca="1" ref="L9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7" s="215"/>
      <c r="N947" s="345"/>
      <c r="O947" s="42">
        <f t="shared" si="46"/>
        <v>2025</v>
      </c>
      <c r="P947" s="42" t="str">
        <f t="shared" si="47"/>
        <v>202509445/2023</v>
      </c>
      <c r="Q947" s="42">
        <v>1</v>
      </c>
    </row>
    <row r="948" spans="1:17" ht="30" hidden="1">
      <c r="A948" s="192" t="s">
        <v>396</v>
      </c>
      <c r="B948" s="315" t="str">
        <f>IFERROR(INDEX(Projetos!$B$3:$B$129,MATCH(A948,Projetos!$A$3:$A$129,0))," ")</f>
        <v>CODEX - Melhorias Evolutivas e Corretivas</v>
      </c>
      <c r="D948" s="214">
        <v>0.74</v>
      </c>
      <c r="E948" s="214">
        <v>0.81</v>
      </c>
      <c r="F948" s="219">
        <v>45954</v>
      </c>
      <c r="G948" s="220">
        <v>45931</v>
      </c>
      <c r="H948" s="51" t="str">
        <f t="shared" si="45"/>
        <v>04751/202245931</v>
      </c>
      <c r="I948" s="473">
        <f>IFERROR(INDEX(Projetos!$M$2:$M$129,MATCH(Atualizações!A948,Projetos!$A$2:$A$129,0))," ")</f>
        <v>46387</v>
      </c>
      <c r="J948" s="221" t="s">
        <v>1461</v>
      </c>
      <c r="K948" s="344">
        <f>IFERROR(Tb_Atualizações[[#This Row],[% EXECUTADO]]/Tb_Atualizações[[#This Row],[% PREVISTO]],"0%")</f>
        <v>1.0945945945945947</v>
      </c>
      <c r="L948" s="31" t="str" cm="1">
        <f t="array" aca="1" ref="L9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8" s="215"/>
      <c r="N948" s="345"/>
      <c r="O948" s="42">
        <f t="shared" si="46"/>
        <v>2025</v>
      </c>
      <c r="P948" s="42" t="str">
        <f t="shared" si="47"/>
        <v>202504751/2022</v>
      </c>
      <c r="Q948" s="42">
        <v>1</v>
      </c>
    </row>
    <row r="949" spans="1:17" ht="15" hidden="1">
      <c r="A949" s="192" t="s">
        <v>580</v>
      </c>
      <c r="B949" s="315" t="str">
        <f>IFERROR(INDEX(Projetos!$B$3:$B$129,MATCH(A949,Projetos!$A$3:$A$129,0))," ")</f>
        <v>SireneJud 2.0 - Evoluções</v>
      </c>
      <c r="D949" s="214">
        <v>0.62</v>
      </c>
      <c r="E949" s="214">
        <v>0.71</v>
      </c>
      <c r="F949" s="219">
        <v>45954</v>
      </c>
      <c r="G949" s="220">
        <v>45931</v>
      </c>
      <c r="H949" s="51" t="str">
        <f t="shared" si="45"/>
        <v>10698/202445931</v>
      </c>
      <c r="I949" s="38">
        <f>IFERROR(INDEX(Projetos!$M$2:$M$129,MATCH(Atualizações!A943,Projetos!$A$2:$A$129,0))," ")</f>
        <v>46387</v>
      </c>
      <c r="J949" s="221"/>
      <c r="K949" s="344">
        <f>IFERROR(Tb_Atualizações[[#This Row],[% EXECUTADO]]/Tb_Atualizações[[#This Row],[% PREVISTO]],"0%")</f>
        <v>1.1451612903225805</v>
      </c>
      <c r="L949" s="31" t="str" cm="1">
        <f t="array" aca="1" ref="L9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49" s="215"/>
      <c r="N949" s="345"/>
      <c r="O949" s="42">
        <f t="shared" si="46"/>
        <v>2025</v>
      </c>
      <c r="P949" s="42" t="str">
        <f t="shared" si="47"/>
        <v>202510698/2024</v>
      </c>
      <c r="Q949" s="42">
        <v>1</v>
      </c>
    </row>
    <row r="950" spans="1:17" ht="45" hidden="1">
      <c r="A950" s="192" t="s">
        <v>219</v>
      </c>
      <c r="B950" s="315" t="str">
        <f>IFERROR(INDEX(Projetos!$B$3:$B$129,MATCH(A950,Projetos!$A$3:$A$129,0))," ")</f>
        <v xml:space="preserve">Aperfeiçoamento funcional em temáticas prioritárias para o CNJ e para Justiça Federal 
(cursos, capacitações, metodologias e ferramentas avançados) – Ciclo Avançado </v>
      </c>
      <c r="D950" s="214">
        <v>0.44</v>
      </c>
      <c r="E950" s="214">
        <v>0.62</v>
      </c>
      <c r="F950" s="219">
        <v>45954</v>
      </c>
      <c r="G950" s="220">
        <v>45931</v>
      </c>
      <c r="H950" s="51" t="str">
        <f t="shared" si="45"/>
        <v>02024/202445931</v>
      </c>
      <c r="I950" s="473">
        <f>IFERROR(INDEX(Projetos!$M$2:$M$129,MATCH(Atualizações!A950,Projetos!$A$2:$A$129,0))," ")</f>
        <v>46246</v>
      </c>
      <c r="J950" s="221"/>
      <c r="K950" s="344">
        <f>IFERROR(Tb_Atualizações[[#This Row],[% EXECUTADO]]/Tb_Atualizações[[#This Row],[% PREVISTO]],"0%")</f>
        <v>1.4090909090909092</v>
      </c>
      <c r="L950" s="31" t="str" cm="1">
        <f t="array" aca="1" ref="L9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50" s="215"/>
      <c r="N950" s="345"/>
      <c r="O950" s="42">
        <f t="shared" si="46"/>
        <v>2025</v>
      </c>
      <c r="P950" s="42" t="str">
        <f t="shared" si="47"/>
        <v>202502024/2024</v>
      </c>
      <c r="Q950" s="42">
        <v>1</v>
      </c>
    </row>
    <row r="951" spans="1:17" ht="15" hidden="1">
      <c r="A951" s="192" t="s">
        <v>152</v>
      </c>
      <c r="B951" s="315" t="str">
        <f>IFERROR(INDEX(Projetos!$B$3:$B$129,MATCH(A951,Projetos!$A$3:$A$129,0))," ")</f>
        <v>Painel da Fazenda Nacional.</v>
      </c>
      <c r="D951" s="214">
        <v>0.46</v>
      </c>
      <c r="E951" s="214">
        <v>0.5</v>
      </c>
      <c r="F951" s="219">
        <v>45954</v>
      </c>
      <c r="G951" s="220">
        <v>45931</v>
      </c>
      <c r="H951" s="51" t="str">
        <f t="shared" si="45"/>
        <v>01247/202545931</v>
      </c>
      <c r="I951" s="38">
        <f>IFERROR(INDEX(Projetos!$M$2:$M$129,MATCH(Atualizações!A945,Projetos!$A$2:$A$129,0))," ")</f>
        <v>46387</v>
      </c>
      <c r="J951" s="221"/>
      <c r="K951" s="344">
        <f>IFERROR(Tb_Atualizações[[#This Row],[% EXECUTADO]]/Tb_Atualizações[[#This Row],[% PREVISTO]],"0%")</f>
        <v>1.0869565217391304</v>
      </c>
      <c r="L951" s="31" t="str" cm="1">
        <f t="array" aca="1" ref="L9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51" s="215"/>
      <c r="N951" s="345"/>
      <c r="O951" s="42">
        <f t="shared" si="46"/>
        <v>2025</v>
      </c>
      <c r="P951" s="42" t="str">
        <f t="shared" si="47"/>
        <v>202501247/2025</v>
      </c>
      <c r="Q951" s="42">
        <v>1</v>
      </c>
    </row>
    <row r="952" spans="1:17" ht="71.25" hidden="1" customHeight="1">
      <c r="A952" s="192" t="s">
        <v>129</v>
      </c>
      <c r="B952" s="315" t="str">
        <f>IFERROR(INDEX(Projetos!$B$3:$B$129,MATCH(A952,Projetos!$A$3:$A$129,0))," ")</f>
        <v>Data Lake - Melhorias Evolutivas e Corretivas</v>
      </c>
      <c r="D952" s="214">
        <v>0.4</v>
      </c>
      <c r="E952" s="214">
        <v>0.42</v>
      </c>
      <c r="F952" s="219">
        <v>45954</v>
      </c>
      <c r="G952" s="220">
        <v>45931</v>
      </c>
      <c r="H952" s="51" t="str">
        <f t="shared" si="45"/>
        <v>01167/202545931</v>
      </c>
      <c r="I952" s="38">
        <f>IFERROR(INDEX(Projetos!$M$2:$M$129,MATCH(Atualizações!A946,Projetos!$A$2:$A$129,0))," ")</f>
        <v>46387</v>
      </c>
      <c r="J952" s="221"/>
      <c r="K952" s="344">
        <f>IFERROR(Tb_Atualizações[[#This Row],[% EXECUTADO]]/Tb_Atualizações[[#This Row],[% PREVISTO]],"0%")</f>
        <v>1.0499999999999998</v>
      </c>
      <c r="L952" s="31" t="str" cm="1">
        <f t="array" aca="1" ref="L9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52" s="215"/>
      <c r="N952" s="345"/>
      <c r="O952" s="42">
        <f t="shared" si="46"/>
        <v>2025</v>
      </c>
      <c r="P952" s="42" t="str">
        <f t="shared" si="47"/>
        <v>202501167/2025</v>
      </c>
      <c r="Q952" s="42">
        <v>1</v>
      </c>
    </row>
    <row r="953" spans="1:17" ht="30" hidden="1">
      <c r="A953" s="46" t="s">
        <v>189</v>
      </c>
      <c r="B953" s="315" t="str">
        <f>IFERROR(INDEX(Projetos!$B$3:$B$129,MATCH(A953,Projetos!$A$3:$A$129,0))," ")</f>
        <v>Gestão de Clientes</v>
      </c>
      <c r="D953" s="48">
        <v>0.56999999999999995</v>
      </c>
      <c r="E953" s="48">
        <v>0.56999999999999995</v>
      </c>
      <c r="F953" s="219">
        <v>45954</v>
      </c>
      <c r="G953" s="220">
        <v>45931</v>
      </c>
      <c r="H953" s="51" t="str">
        <f t="shared" si="45"/>
        <v>01809/202545931</v>
      </c>
      <c r="I953" s="38">
        <f>IFERROR(INDEX(Projetos!$M$2:$M$129,MATCH(Atualizações!A953,Projetos!$A$2:$A$129,0))," ")</f>
        <v>46083</v>
      </c>
      <c r="J953" s="61" t="s">
        <v>1462</v>
      </c>
      <c r="K953" s="344">
        <f>IFERROR(Tb_Atualizações[[#This Row],[% EXECUTADO]]/Tb_Atualizações[[#This Row],[% PREVISTO]],"0%")</f>
        <v>1</v>
      </c>
      <c r="L953" s="31" t="str" cm="1">
        <f t="array" aca="1" ref="L9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53" s="50"/>
      <c r="N953" s="397"/>
      <c r="O953" s="42">
        <f t="shared" si="46"/>
        <v>2025</v>
      </c>
      <c r="P953" s="42" t="str">
        <f t="shared" si="47"/>
        <v>202501809/2025</v>
      </c>
      <c r="Q953" s="42">
        <v>1</v>
      </c>
    </row>
    <row r="954" spans="1:17" ht="30" hidden="1">
      <c r="A954" s="46" t="s">
        <v>917</v>
      </c>
      <c r="B954" s="315" t="str">
        <f>IFERROR(INDEX(Projetos!$B$3:$B$129,MATCH(A954,Projetos!$A$3:$A$129,0))," ")</f>
        <v>e-NatJus 4.0</v>
      </c>
      <c r="D954" s="48">
        <v>0.99</v>
      </c>
      <c r="E954" s="48">
        <v>0.54</v>
      </c>
      <c r="F954" s="219">
        <v>45954</v>
      </c>
      <c r="G954" s="220">
        <v>45931</v>
      </c>
      <c r="H954" s="51" t="str">
        <f t="shared" si="45"/>
        <v>17529/202445931</v>
      </c>
      <c r="I954" s="473">
        <f>IFERROR(INDEX(Projetos!$M$2:$M$129,MATCH(Atualizações!A954,Projetos!$A$2:$A$129,0))," ")</f>
        <v>46386</v>
      </c>
      <c r="J954" s="61" t="s">
        <v>1463</v>
      </c>
      <c r="K954" s="344">
        <f>IFERROR(Tb_Atualizações[[#This Row],[% EXECUTADO]]/Tb_Atualizações[[#This Row],[% PREVISTO]],"0%")</f>
        <v>0.54545454545454553</v>
      </c>
      <c r="L954" s="31" t="str" cm="1">
        <f t="array" aca="1" ref="L9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54" s="50"/>
      <c r="N954" s="397"/>
      <c r="O954" s="42">
        <f t="shared" si="46"/>
        <v>2025</v>
      </c>
      <c r="P954" s="42" t="str">
        <f t="shared" si="47"/>
        <v>202517529/2024</v>
      </c>
      <c r="Q954" s="42">
        <v>1</v>
      </c>
    </row>
    <row r="955" spans="1:17" ht="110.25" hidden="1">
      <c r="A955" s="614" t="s">
        <v>384</v>
      </c>
      <c r="B955" s="315" t="str">
        <f>IFERROR(INDEX(Projetos!$B$3:$B$129,MATCH(A955,Projetos!$A$3:$A$129,0))," ")</f>
        <v>Integra - Serviço de Monitoramento de Atos do CNJ</v>
      </c>
      <c r="D955" s="48">
        <v>0.76</v>
      </c>
      <c r="E955" s="48">
        <v>0.75</v>
      </c>
      <c r="F955" s="219">
        <v>45960</v>
      </c>
      <c r="G955" s="220">
        <v>45955</v>
      </c>
      <c r="H955" s="51" t="str">
        <f t="shared" si="45"/>
        <v>04137/202445955</v>
      </c>
      <c r="I955" s="38">
        <f>IFERROR(INDEX(Projetos!$M$2:$M$129,MATCH(Atualizações!A949,Projetos!$A$2:$A$129,0))," ")</f>
        <v>46387</v>
      </c>
      <c r="J955" s="615" t="s">
        <v>1464</v>
      </c>
      <c r="K955" s="344">
        <f>IFERROR(Tb_Atualizações[[#This Row],[% EXECUTADO]]/Tb_Atualizações[[#This Row],[% PREVISTO]],"0%")</f>
        <v>0.98684210526315785</v>
      </c>
      <c r="L955" s="31" t="str" cm="1">
        <f t="array" aca="1" ref="L9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55" s="50"/>
      <c r="N955" s="397"/>
      <c r="O955" s="42">
        <f t="shared" si="46"/>
        <v>2025</v>
      </c>
      <c r="P955" s="42" t="str">
        <f t="shared" si="47"/>
        <v>202504137/2024</v>
      </c>
      <c r="Q955" s="42">
        <v>1</v>
      </c>
    </row>
    <row r="956" spans="1:17" ht="30" hidden="1">
      <c r="A956" s="46" t="s">
        <v>198</v>
      </c>
      <c r="B956" s="315" t="str">
        <f>IFERROR(INDEX(Projetos!$B$3:$B$129,MATCH(A956,Projetos!$A$3:$A$129,0))," ")</f>
        <v>Desenvolvimento de um Conjunto de Solução em Gestão de Dados para a Corregedoria Nacional de Justiça</v>
      </c>
      <c r="D956" s="48">
        <v>1</v>
      </c>
      <c r="E956" s="48">
        <v>0.75</v>
      </c>
      <c r="F956" s="219">
        <v>45974</v>
      </c>
      <c r="G956" s="220">
        <v>45931</v>
      </c>
      <c r="H956" s="51" t="str">
        <f t="shared" si="45"/>
        <v>01913/202545931</v>
      </c>
      <c r="I956" s="38">
        <f>IFERROR(INDEX(Projetos!$M$2:$M$129,MATCH(Atualizações!A951,Projetos!$A$2:$A$129,0))," ")</f>
        <v>46387</v>
      </c>
      <c r="J956" s="61"/>
      <c r="K956" s="344">
        <f>IFERROR(Tb_Atualizações[[#This Row],[% EXECUTADO]]/Tb_Atualizações[[#This Row],[% PREVISTO]],"0%")</f>
        <v>0.75</v>
      </c>
      <c r="L956" s="31" t="str" cm="1">
        <f t="array" aca="1" ref="L9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56" s="50"/>
      <c r="N956" s="397"/>
      <c r="O956" s="42">
        <f t="shared" si="46"/>
        <v>2025</v>
      </c>
      <c r="P956" s="42" t="str">
        <f t="shared" si="47"/>
        <v>202501913/2025</v>
      </c>
      <c r="Q956" s="42">
        <v>1</v>
      </c>
    </row>
    <row r="957" spans="1:17" ht="45" hidden="1">
      <c r="A957" s="29" t="s">
        <v>219</v>
      </c>
      <c r="B957" s="315" t="str">
        <f>IFERROR(INDEX(Projetos!$B$3:$B$129,MATCH(A957,Projetos!$A$3:$A$129,0))," ")</f>
        <v xml:space="preserve">Aperfeiçoamento funcional em temáticas prioritárias para o CNJ e para Justiça Federal 
(cursos, capacitações, metodologias e ferramentas avançados) – Ciclo Avançado </v>
      </c>
      <c r="D957" s="48">
        <v>0.5</v>
      </c>
      <c r="E957" s="48">
        <v>0.59</v>
      </c>
      <c r="F957" s="219">
        <v>45985</v>
      </c>
      <c r="G957" s="220">
        <v>45962</v>
      </c>
      <c r="H957" s="51" t="str">
        <f t="shared" si="45"/>
        <v>02024/202445962</v>
      </c>
      <c r="I957" s="473">
        <f>IFERROR(INDEX(Projetos!$M$2:$M$129,MATCH(Atualizações!A957,Projetos!$A$2:$A$129,0))," ")</f>
        <v>46246</v>
      </c>
      <c r="J957" s="61"/>
      <c r="K957" s="344">
        <f>IFERROR(Tb_Atualizações[[#This Row],[% EXECUTADO]]/Tb_Atualizações[[#This Row],[% PREVISTO]],"0%")</f>
        <v>1.18</v>
      </c>
      <c r="L957" s="31" t="str" cm="1">
        <f t="array" aca="1" ref="L9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57" s="50"/>
      <c r="N957" s="397"/>
      <c r="O957" s="42">
        <f t="shared" si="46"/>
        <v>2025</v>
      </c>
      <c r="P957" s="42" t="str">
        <f t="shared" si="47"/>
        <v>202502024/2024</v>
      </c>
      <c r="Q957" s="42">
        <v>1</v>
      </c>
    </row>
    <row r="958" spans="1:17" ht="30" hidden="1">
      <c r="A958" s="175" t="s">
        <v>310</v>
      </c>
      <c r="B958" s="315" t="str">
        <f>IFERROR(INDEX(Projetos!$B$3:$B$129,MATCH(A958,Projetos!$A$3:$A$129,0))," ")</f>
        <v>Apoio a implantação de soluções da PDPJ-Br</v>
      </c>
      <c r="D958" s="48">
        <v>0.73</v>
      </c>
      <c r="E958" s="48">
        <v>0.57999999999999996</v>
      </c>
      <c r="F958" s="219">
        <v>45985</v>
      </c>
      <c r="G958" s="220">
        <v>45962</v>
      </c>
      <c r="H958" s="51" t="str">
        <f t="shared" si="45"/>
        <v>02887/202445962</v>
      </c>
      <c r="I958" s="473">
        <f>IFERROR(INDEX(Projetos!$M$2:$M$129,MATCH(Atualizações!A958,Projetos!$A$2:$A$129,0))," ")</f>
        <v>46387</v>
      </c>
      <c r="J958" s="61"/>
      <c r="K958" s="344">
        <f>IFERROR(Tb_Atualizações[[#This Row],[% EXECUTADO]]/Tb_Atualizações[[#This Row],[% PREVISTO]],"0%")</f>
        <v>0.79452054794520544</v>
      </c>
      <c r="L958" s="31" t="str" cm="1">
        <f t="array" aca="1" ref="L9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58" s="50"/>
      <c r="N958" s="397"/>
      <c r="O958" s="42">
        <f t="shared" si="46"/>
        <v>2025</v>
      </c>
      <c r="P958" s="42" t="str">
        <f t="shared" si="47"/>
        <v>202502887/2024</v>
      </c>
      <c r="Q958" s="42">
        <v>1</v>
      </c>
    </row>
    <row r="959" spans="1:17" ht="15" hidden="1">
      <c r="A959" s="175" t="s">
        <v>661</v>
      </c>
      <c r="B959" s="315" t="str">
        <f>IFERROR(INDEX(Projetos!$B$3:$B$129,MATCH(A959,Projetos!$A$3:$A$129,0))," ")</f>
        <v>BNMP – Banco Nacional de Medidas Penais e Prisões – Melhorias Evolutivas</v>
      </c>
      <c r="D959" s="48">
        <v>0.5</v>
      </c>
      <c r="E959" s="48">
        <v>0.47</v>
      </c>
      <c r="F959" s="219">
        <v>45985</v>
      </c>
      <c r="G959" s="220">
        <v>45962</v>
      </c>
      <c r="H959" s="51" t="str">
        <f t="shared" si="45"/>
        <v>11776/202445962</v>
      </c>
      <c r="I959" s="38">
        <f>IFERROR(INDEX(Projetos!$M$2:$M$129,MATCH(Atualizações!A954,Projetos!$A$2:$A$129,0))," ")</f>
        <v>46386</v>
      </c>
      <c r="J959" s="61"/>
      <c r="K959" s="344">
        <f>IFERROR(Tb_Atualizações[[#This Row],[% EXECUTADO]]/Tb_Atualizações[[#This Row],[% PREVISTO]],"0%")</f>
        <v>0.94</v>
      </c>
      <c r="L959" s="31" t="str" cm="1">
        <f t="array" aca="1" ref="L9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59" s="50"/>
      <c r="N959" s="397"/>
      <c r="O959" s="42">
        <f t="shared" si="46"/>
        <v>2025</v>
      </c>
      <c r="P959" s="42" t="str">
        <f t="shared" si="47"/>
        <v>202511776/2024</v>
      </c>
      <c r="Q959" s="42">
        <v>1</v>
      </c>
    </row>
    <row r="960" spans="1:17" ht="15" hidden="1">
      <c r="A960" s="175" t="s">
        <v>644</v>
      </c>
      <c r="B960" s="315" t="str">
        <f>IFERROR(INDEX(Projetos!$B$3:$B$129,MATCH(A960,Projetos!$A$3:$A$129,0))," ")</f>
        <v>BNP/Pangea</v>
      </c>
      <c r="D960" s="48">
        <v>0.8</v>
      </c>
      <c r="E960" s="48">
        <v>0.81</v>
      </c>
      <c r="F960" s="219">
        <v>45985</v>
      </c>
      <c r="G960" s="220">
        <v>45962</v>
      </c>
      <c r="H960" s="51" t="str">
        <f t="shared" si="45"/>
        <v>11645/202245962</v>
      </c>
      <c r="I960" s="38" t="str">
        <f>IFERROR(INDEX(Projetos!$M$2:$M$129,MATCH(Atualizações!A960,Projetos!$A$2:$A$129,0))," ")</f>
        <v>23/12/2026</v>
      </c>
      <c r="J960" s="61"/>
      <c r="K960" s="344">
        <f>IFERROR(Tb_Atualizações[[#This Row],[% EXECUTADO]]/Tb_Atualizações[[#This Row],[% PREVISTO]],"0%")</f>
        <v>1.0125</v>
      </c>
      <c r="L960" s="31" t="str" cm="1">
        <f t="array" aca="1" ref="L9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60" s="50"/>
      <c r="N960" s="397"/>
      <c r="O960" s="42">
        <f t="shared" si="46"/>
        <v>2025</v>
      </c>
      <c r="P960" s="42" t="str">
        <f t="shared" si="47"/>
        <v>202511645/2022</v>
      </c>
      <c r="Q960" s="42">
        <v>1</v>
      </c>
    </row>
    <row r="961" spans="1:17" ht="15" hidden="1">
      <c r="A961" s="175" t="s">
        <v>396</v>
      </c>
      <c r="B961" s="315" t="str">
        <f>IFERROR(INDEX(Projetos!$B$3:$B$129,MATCH(A961,Projetos!$A$3:$A$129,0))," ")</f>
        <v>CODEX - Melhorias Evolutivas e Corretivas</v>
      </c>
      <c r="D961" s="48">
        <v>0.75</v>
      </c>
      <c r="E961" s="48">
        <v>0.83</v>
      </c>
      <c r="F961" s="219">
        <v>45985</v>
      </c>
      <c r="G961" s="220">
        <v>45962</v>
      </c>
      <c r="H961" s="51" t="str">
        <f t="shared" si="45"/>
        <v>04751/202245962</v>
      </c>
      <c r="I961" s="473">
        <f>IFERROR(INDEX(Projetos!$M$2:$M$129,MATCH(Atualizações!A961,Projetos!$A$2:$A$129,0))," ")</f>
        <v>46387</v>
      </c>
      <c r="J961" s="61"/>
      <c r="K961" s="344">
        <f>IFERROR(Tb_Atualizações[[#This Row],[% EXECUTADO]]/Tb_Atualizações[[#This Row],[% PREVISTO]],"0%")</f>
        <v>1.1066666666666667</v>
      </c>
      <c r="L961" s="31" t="str" cm="1">
        <f t="array" aca="1" ref="L9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61" s="50"/>
      <c r="N961" s="397"/>
      <c r="O961" s="42">
        <f t="shared" si="46"/>
        <v>2025</v>
      </c>
      <c r="P961" s="42" t="str">
        <f t="shared" si="47"/>
        <v>202504751/2022</v>
      </c>
      <c r="Q961" s="42">
        <v>1</v>
      </c>
    </row>
    <row r="962" spans="1:17" ht="30" hidden="1">
      <c r="A962" s="175" t="s">
        <v>416</v>
      </c>
      <c r="B962" s="315" t="str">
        <f>IFERROR(INDEX(Projetos!$B$3:$B$129,MATCH(A962,Projetos!$A$3:$A$129,0))," ")</f>
        <v>Conecta</v>
      </c>
      <c r="D962" s="48">
        <v>0.53</v>
      </c>
      <c r="E962" s="48">
        <v>0.4</v>
      </c>
      <c r="F962" s="219">
        <v>45985</v>
      </c>
      <c r="G962" s="220">
        <v>45962</v>
      </c>
      <c r="H962" s="51" t="str">
        <f t="shared" si="45"/>
        <v>05578/202445962</v>
      </c>
      <c r="I962" s="38">
        <f>IFERROR(INDEX(Projetos!$M$2:$M$129,MATCH(Atualizações!A957,Projetos!$A$2:$A$129,0))," ")</f>
        <v>46246</v>
      </c>
      <c r="J962" s="61"/>
      <c r="K962" s="344">
        <f>IFERROR(Tb_Atualizações[[#This Row],[% EXECUTADO]]/Tb_Atualizações[[#This Row],[% PREVISTO]],"0%")</f>
        <v>0.75471698113207553</v>
      </c>
      <c r="L962" s="31" t="str" cm="1">
        <f t="array" aca="1" ref="L9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62" s="50"/>
      <c r="N962" s="397"/>
      <c r="O962" s="42">
        <f t="shared" si="46"/>
        <v>2025</v>
      </c>
      <c r="P962" s="42" t="str">
        <f t="shared" si="47"/>
        <v>202505578/2024</v>
      </c>
      <c r="Q962" s="42">
        <v>1</v>
      </c>
    </row>
    <row r="963" spans="1:17" ht="15" hidden="1">
      <c r="A963" s="175" t="s">
        <v>129</v>
      </c>
      <c r="B963" s="315" t="str">
        <f>IFERROR(INDEX(Projetos!$B$3:$B$129,MATCH(A963,Projetos!$A$3:$A$129,0))," ")</f>
        <v>Data Lake - Melhorias Evolutivas e Corretivas</v>
      </c>
      <c r="D963" s="48">
        <v>0.43</v>
      </c>
      <c r="E963" s="48">
        <v>0.43</v>
      </c>
      <c r="F963" s="219">
        <v>45985</v>
      </c>
      <c r="G963" s="220">
        <v>45962</v>
      </c>
      <c r="H963" s="51" t="str">
        <f t="shared" si="45"/>
        <v>01167/202545962</v>
      </c>
      <c r="I963" s="38">
        <f>IFERROR(INDEX(Projetos!$M$2:$M$129,MATCH(Atualizações!A958,Projetos!$A$2:$A$129,0))," ")</f>
        <v>46387</v>
      </c>
      <c r="J963" s="61"/>
      <c r="K963" s="344">
        <f>IFERROR(Tb_Atualizações[[#This Row],[% EXECUTADO]]/Tb_Atualizações[[#This Row],[% PREVISTO]],"0%")</f>
        <v>1</v>
      </c>
      <c r="L963" s="31" t="str" cm="1">
        <f t="array" aca="1" ref="L9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63" s="50"/>
      <c r="N963" s="397"/>
      <c r="O963" s="42">
        <f t="shared" si="46"/>
        <v>2025</v>
      </c>
      <c r="P963" s="42" t="str">
        <f t="shared" si="47"/>
        <v>202501167/2025</v>
      </c>
      <c r="Q963" s="42">
        <v>1</v>
      </c>
    </row>
    <row r="964" spans="1:17" ht="30" hidden="1">
      <c r="A964" s="175" t="s">
        <v>539</v>
      </c>
      <c r="B964" s="315" t="str">
        <f>IFERROR(INDEX(Projetos!$B$3:$B$129,MATCH(A964,Projetos!$A$3:$A$129,0))," ")</f>
        <v>Desenvolvimento do módulo de Sessão de Julgamento (PDPJ-Br)</v>
      </c>
      <c r="D964" s="48">
        <v>0.84</v>
      </c>
      <c r="E964" s="48">
        <v>0.51</v>
      </c>
      <c r="F964" s="219">
        <v>45985</v>
      </c>
      <c r="G964" s="220">
        <v>45962</v>
      </c>
      <c r="H964" s="51" t="str">
        <f t="shared" si="45"/>
        <v>09630/202445962</v>
      </c>
      <c r="I964" s="473">
        <f>IFERROR(INDEX(Projetos!$M$2:$M$129,MATCH(Atualizações!A964,Projetos!$A$2:$A$129,0))," ")</f>
        <v>46387</v>
      </c>
      <c r="J964" s="61"/>
      <c r="K964" s="344">
        <f>IFERROR(Tb_Atualizações[[#This Row],[% EXECUTADO]]/Tb_Atualizações[[#This Row],[% PREVISTO]],"0%")</f>
        <v>0.60714285714285721</v>
      </c>
      <c r="L964" s="31" t="str" cm="1">
        <f t="array" aca="1" ref="L9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64" s="50"/>
      <c r="N964" s="397"/>
      <c r="O964" s="42">
        <f t="shared" si="46"/>
        <v>2025</v>
      </c>
      <c r="P964" s="42" t="str">
        <f t="shared" si="47"/>
        <v>202509630/2024</v>
      </c>
      <c r="Q964" s="42">
        <v>1</v>
      </c>
    </row>
    <row r="965" spans="1:17" ht="15" hidden="1">
      <c r="A965" s="175" t="s">
        <v>517</v>
      </c>
      <c r="B965" s="315" t="str">
        <f>IFERROR(INDEX(Projetos!$B$3:$B$129,MATCH(A965,Projetos!$A$3:$A$129,0))," ")</f>
        <v>Domicílio Judicial Eletrônico - Melhorias Evolutivas</v>
      </c>
      <c r="D965" s="48">
        <v>0.98</v>
      </c>
      <c r="E965" s="48">
        <v>0.98</v>
      </c>
      <c r="F965" s="219">
        <v>45985</v>
      </c>
      <c r="G965" s="220">
        <v>45962</v>
      </c>
      <c r="H965" s="51" t="str">
        <f t="shared" si="45"/>
        <v>09445/202345962</v>
      </c>
      <c r="I965" s="473">
        <f>IFERROR(INDEX(Projetos!$M$2:$M$129,MATCH(Atualizações!A965,Projetos!$A$2:$A$129,0))," ")</f>
        <v>46203</v>
      </c>
      <c r="J965" s="61"/>
      <c r="K965" s="344">
        <f>IFERROR(Tb_Atualizações[[#This Row],[% EXECUTADO]]/Tb_Atualizações[[#This Row],[% PREVISTO]],"0%")</f>
        <v>1</v>
      </c>
      <c r="L965" s="31" t="str" cm="1">
        <f t="array" aca="1" ref="L9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65" s="50"/>
      <c r="N965" s="397"/>
      <c r="O965" s="42">
        <f t="shared" si="46"/>
        <v>2025</v>
      </c>
      <c r="P965" s="42" t="str">
        <f t="shared" si="47"/>
        <v>202509445/2023</v>
      </c>
      <c r="Q965" s="42">
        <v>1</v>
      </c>
    </row>
    <row r="966" spans="1:17" ht="30" hidden="1">
      <c r="A966" s="175" t="s">
        <v>917</v>
      </c>
      <c r="B966" s="315" t="str">
        <f>IFERROR(INDEX(Projetos!$B$3:$B$129,MATCH(A966,Projetos!$A$3:$A$129,0))," ")</f>
        <v>e-NatJus 4.0</v>
      </c>
      <c r="D966" s="48">
        <v>0.98</v>
      </c>
      <c r="E966" s="48">
        <v>0.56000000000000005</v>
      </c>
      <c r="F966" s="219">
        <v>45985</v>
      </c>
      <c r="G966" s="220">
        <v>45962</v>
      </c>
      <c r="H966" s="51" t="str">
        <f t="shared" si="45"/>
        <v>17529/202445962</v>
      </c>
      <c r="I966" s="473">
        <f>IFERROR(INDEX(Projetos!$M$2:$M$129,MATCH(Atualizações!A966,Projetos!$A$2:$A$129,0))," ")</f>
        <v>46386</v>
      </c>
      <c r="J966" s="61"/>
      <c r="K966" s="344">
        <f>IFERROR(Tb_Atualizações[[#This Row],[% EXECUTADO]]/Tb_Atualizações[[#This Row],[% PREVISTO]],"0%")</f>
        <v>0.57142857142857151</v>
      </c>
      <c r="L966" s="31" t="str" cm="1">
        <f t="array" aca="1" ref="L9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66" s="50"/>
      <c r="N966" s="397"/>
      <c r="O966" s="42">
        <f t="shared" si="46"/>
        <v>2025</v>
      </c>
      <c r="P966" s="42" t="str">
        <f t="shared" si="47"/>
        <v>202517529/2024</v>
      </c>
      <c r="Q966" s="42">
        <v>1</v>
      </c>
    </row>
    <row r="967" spans="1:17" ht="30" hidden="1">
      <c r="A967" s="175" t="s">
        <v>738</v>
      </c>
      <c r="B967" s="315" t="str">
        <f>IFERROR(INDEX(Projetos!$B$3:$B$129,MATCH(A967,Projetos!$A$3:$A$129,0))," ")</f>
        <v>FONAR - Formulário Nacional de Avaliação de Risco e Formulário Rogéria</v>
      </c>
      <c r="D967" s="48">
        <v>0.47</v>
      </c>
      <c r="E967" s="48">
        <v>0.37</v>
      </c>
      <c r="F967" s="219">
        <v>45985</v>
      </c>
      <c r="G967" s="220">
        <v>45962</v>
      </c>
      <c r="H967" s="51" t="str">
        <f t="shared" si="45"/>
        <v>16319/202445962</v>
      </c>
      <c r="I967" s="38" t="str">
        <f>IFERROR(INDEX(Projetos!$M$2:$M$129,MATCH(Atualizações!A962,Projetos!$A$2:$A$129,0))," ")</f>
        <v>31/12/2026</v>
      </c>
      <c r="J967" s="61"/>
      <c r="K967" s="344">
        <f>IFERROR(Tb_Atualizações[[#This Row],[% EXECUTADO]]/Tb_Atualizações[[#This Row],[% PREVISTO]],"0%")</f>
        <v>0.78723404255319152</v>
      </c>
      <c r="L967" s="31" t="str" cm="1">
        <f t="array" aca="1" ref="L9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67" s="50"/>
      <c r="N967" s="397"/>
      <c r="O967" s="42">
        <f t="shared" si="46"/>
        <v>2025</v>
      </c>
      <c r="P967" s="42" t="str">
        <f t="shared" si="47"/>
        <v>202516319/2024</v>
      </c>
      <c r="Q967" s="42">
        <v>1</v>
      </c>
    </row>
    <row r="968" spans="1:17" ht="15" hidden="1">
      <c r="A968" s="175" t="s">
        <v>229</v>
      </c>
      <c r="B968" s="315" t="str">
        <f>IFERROR(INDEX(Projetos!$B$3:$B$129,MATCH(A968,Projetos!$A$3:$A$129,0))," ")</f>
        <v>Gabinete do Juízo</v>
      </c>
      <c r="D968" s="48">
        <v>0.97</v>
      </c>
      <c r="E968" s="48">
        <v>0.86</v>
      </c>
      <c r="F968" s="219">
        <v>45985</v>
      </c>
      <c r="G968" s="220">
        <v>45962</v>
      </c>
      <c r="H968" s="51" t="str">
        <f t="shared" si="45"/>
        <v>02080/202345962</v>
      </c>
      <c r="I968" s="38">
        <f>IFERROR(INDEX(Projetos!$M$2:$M$129,MATCH(Atualizações!A963,Projetos!$A$2:$A$129,0))," ")</f>
        <v>46387</v>
      </c>
      <c r="J968" s="61"/>
      <c r="K968" s="344">
        <f>IFERROR(Tb_Atualizações[[#This Row],[% EXECUTADO]]/Tb_Atualizações[[#This Row],[% PREVISTO]],"0%")</f>
        <v>0.88659793814432986</v>
      </c>
      <c r="L968" s="31" t="str" cm="1">
        <f t="array" aca="1" ref="L9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68" s="50"/>
      <c r="N968" s="397"/>
      <c r="O968" s="42">
        <f t="shared" si="46"/>
        <v>2025</v>
      </c>
      <c r="P968" s="42" t="str">
        <f t="shared" si="47"/>
        <v>202502080/2023</v>
      </c>
      <c r="Q968" s="42">
        <v>1</v>
      </c>
    </row>
    <row r="969" spans="1:17" ht="15" hidden="1">
      <c r="A969" s="175" t="s">
        <v>189</v>
      </c>
      <c r="B969" s="315" t="str">
        <f>IFERROR(INDEX(Projetos!$B$3:$B$129,MATCH(A969,Projetos!$A$3:$A$129,0))," ")</f>
        <v>Gestão de Clientes</v>
      </c>
      <c r="D969" s="48">
        <v>0.56999999999999995</v>
      </c>
      <c r="E969" s="48">
        <v>0.56999999999999995</v>
      </c>
      <c r="F969" s="219">
        <v>45985</v>
      </c>
      <c r="G969" s="220">
        <v>45962</v>
      </c>
      <c r="H969" s="51" t="str">
        <f t="shared" si="45"/>
        <v>01809/202545962</v>
      </c>
      <c r="I969" s="38">
        <f>IFERROR(INDEX(Projetos!$M$2:$M$129,MATCH(Atualizações!A969,Projetos!$A$2:$A$129,0))," ")</f>
        <v>46083</v>
      </c>
      <c r="J969" s="61"/>
      <c r="K969" s="344">
        <f>IFERROR(Tb_Atualizações[[#This Row],[% EXECUTADO]]/Tb_Atualizações[[#This Row],[% PREVISTO]],"0%")</f>
        <v>1</v>
      </c>
      <c r="L969" s="31" t="str" cm="1">
        <f t="array" aca="1" ref="L9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69" s="50"/>
      <c r="N969" s="397"/>
      <c r="O969" s="42">
        <f t="shared" si="46"/>
        <v>2025</v>
      </c>
      <c r="P969" s="42" t="str">
        <f t="shared" si="47"/>
        <v>202501809/2025</v>
      </c>
      <c r="Q969" s="42">
        <v>1</v>
      </c>
    </row>
    <row r="970" spans="1:17" ht="15" hidden="1">
      <c r="A970" s="175" t="s">
        <v>152</v>
      </c>
      <c r="B970" s="315" t="str">
        <f>IFERROR(INDEX(Projetos!$B$3:$B$129,MATCH(A970,Projetos!$A$3:$A$129,0))," ")</f>
        <v>Painel da Fazenda Nacional.</v>
      </c>
      <c r="D970" s="48">
        <v>0.46</v>
      </c>
      <c r="E970" s="48">
        <v>0.5</v>
      </c>
      <c r="F970" s="219">
        <v>45985</v>
      </c>
      <c r="G970" s="220">
        <v>45962</v>
      </c>
      <c r="H970" s="51" t="str">
        <f t="shared" si="45"/>
        <v>01247/202545962</v>
      </c>
      <c r="I970" s="38">
        <f>IFERROR(INDEX(Projetos!$M$2:$M$129,MATCH(Atualizações!A965,Projetos!$A$2:$A$129,0))," ")</f>
        <v>46203</v>
      </c>
      <c r="J970" s="61"/>
      <c r="K970" s="344">
        <f>IFERROR(Tb_Atualizações[[#This Row],[% EXECUTADO]]/Tb_Atualizações[[#This Row],[% PREVISTO]],"0%")</f>
        <v>1.0869565217391304</v>
      </c>
      <c r="L970" s="31" t="str" cm="1">
        <f t="array" aca="1" ref="L9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0" s="50"/>
      <c r="N970" s="397"/>
      <c r="O970" s="42">
        <f t="shared" si="46"/>
        <v>2025</v>
      </c>
      <c r="P970" s="42" t="str">
        <f t="shared" si="47"/>
        <v>202501247/2025</v>
      </c>
      <c r="Q970" s="42">
        <v>1</v>
      </c>
    </row>
    <row r="971" spans="1:17" ht="15" hidden="1">
      <c r="A971" s="175" t="s">
        <v>690</v>
      </c>
      <c r="B971" s="315" t="str">
        <f>IFERROR(INDEX(Projetos!$B$3:$B$129,MATCH(A971,Projetos!$A$3:$A$129,0))," ")</f>
        <v>Painel “Justiça Criminal e Sistema Prisional”</v>
      </c>
      <c r="D971" s="48">
        <v>0.7</v>
      </c>
      <c r="E971" s="48">
        <v>0.63</v>
      </c>
      <c r="F971" s="219">
        <v>45985</v>
      </c>
      <c r="G971" s="220">
        <v>45962</v>
      </c>
      <c r="H971" s="51" t="str">
        <f t="shared" si="45"/>
        <v>12215/202345962</v>
      </c>
      <c r="I971" s="473">
        <f>IFERROR(INDEX(Projetos!$M$2:$M$129,MATCH(Atualizações!A971,Projetos!$A$2:$A$129,0))," ")</f>
        <v>46387</v>
      </c>
      <c r="J971" s="61"/>
      <c r="K971" s="344">
        <f>IFERROR(Tb_Atualizações[[#This Row],[% EXECUTADO]]/Tb_Atualizações[[#This Row],[% PREVISTO]],"0%")</f>
        <v>0.9</v>
      </c>
      <c r="L971" s="31" t="str" cm="1">
        <f t="array" aca="1" ref="L9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71" s="50"/>
      <c r="N971" s="397"/>
      <c r="O971" s="42">
        <f t="shared" si="46"/>
        <v>2025</v>
      </c>
      <c r="P971" s="42" t="str">
        <f t="shared" si="47"/>
        <v>202512215/2023</v>
      </c>
      <c r="Q971" s="42">
        <v>1</v>
      </c>
    </row>
    <row r="972" spans="1:17" ht="15" hidden="1">
      <c r="A972" s="175" t="s">
        <v>350</v>
      </c>
      <c r="B972" s="315" t="str">
        <f>IFERROR(INDEX(Projetos!$B$3:$B$129,MATCH(A972,Projetos!$A$3:$A$129,0))," ")</f>
        <v>Painel de Estatística   - Justiça 4.0</v>
      </c>
      <c r="D972" s="48">
        <v>0.84</v>
      </c>
      <c r="E972" s="48">
        <v>0.73</v>
      </c>
      <c r="F972" s="219">
        <v>45985</v>
      </c>
      <c r="G972" s="220">
        <v>45962</v>
      </c>
      <c r="H972" s="51" t="str">
        <f t="shared" si="45"/>
        <v>03545/202145962</v>
      </c>
      <c r="I972" s="38">
        <f>IFERROR(INDEX(Projetos!$M$2:$M$129,MATCH(Atualizações!A967,Projetos!$A$2:$A$129,0))," ")</f>
        <v>46195</v>
      </c>
      <c r="J972" s="61"/>
      <c r="K972" s="344">
        <f>IFERROR(Tb_Atualizações[[#This Row],[% EXECUTADO]]/Tb_Atualizações[[#This Row],[% PREVISTO]],"0%")</f>
        <v>0.86904761904761907</v>
      </c>
      <c r="L972" s="31" t="str" cm="1">
        <f t="array" aca="1" ref="L9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72" s="50"/>
      <c r="N972" s="397"/>
      <c r="O972" s="42">
        <f t="shared" si="46"/>
        <v>2025</v>
      </c>
      <c r="P972" s="42" t="str">
        <f t="shared" si="47"/>
        <v>202503545/2021</v>
      </c>
      <c r="Q972" s="42">
        <v>1</v>
      </c>
    </row>
    <row r="973" spans="1:17" ht="15" hidden="1">
      <c r="A973" s="175" t="s">
        <v>83</v>
      </c>
      <c r="B973" s="315" t="str">
        <f>IFERROR(INDEX(Projetos!$B$3:$B$129,MATCH(A973,Projetos!$A$3:$A$129,0))," ")</f>
        <v>Painel do Programa Desjudicializa</v>
      </c>
      <c r="D973" s="48">
        <v>0.88</v>
      </c>
      <c r="E973" s="48">
        <v>0.81</v>
      </c>
      <c r="F973" s="219">
        <v>45985</v>
      </c>
      <c r="G973" s="220">
        <v>45962</v>
      </c>
      <c r="H973" s="51" t="str">
        <f t="shared" si="45"/>
        <v>00484/202445962</v>
      </c>
      <c r="I973" s="473">
        <f>IFERROR(INDEX(Projetos!$M$2:$M$129,MATCH(Atualizações!A973,Projetos!$A$2:$A$129,0))," ")</f>
        <v>46387</v>
      </c>
      <c r="J973" s="61"/>
      <c r="K973" s="344">
        <f>IFERROR(Tb_Atualizações[[#This Row],[% EXECUTADO]]/Tb_Atualizações[[#This Row],[% PREVISTO]],"0%")</f>
        <v>0.92045454545454553</v>
      </c>
      <c r="L973" s="31" t="str" cm="1">
        <f t="array" aca="1" ref="L9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73" s="50"/>
      <c r="N973" s="397"/>
      <c r="O973" s="42">
        <f t="shared" si="46"/>
        <v>2025</v>
      </c>
      <c r="P973" s="42" t="str">
        <f t="shared" si="47"/>
        <v>202500484/2024</v>
      </c>
      <c r="Q973" s="42">
        <v>1</v>
      </c>
    </row>
    <row r="974" spans="1:17" ht="15" hidden="1">
      <c r="A974" s="175" t="s">
        <v>684</v>
      </c>
      <c r="B974" s="315" t="str">
        <f>IFERROR(INDEX(Projetos!$B$3:$B$129,MATCH(A974,Projetos!$A$3:$A$129,0))," ")</f>
        <v>Painel dos Grandes Litigantes</v>
      </c>
      <c r="D974" s="48">
        <v>0.8</v>
      </c>
      <c r="E974" s="48">
        <v>0.78</v>
      </c>
      <c r="F974" s="219">
        <v>45985</v>
      </c>
      <c r="G974" s="220">
        <v>45962</v>
      </c>
      <c r="H974" s="51" t="str">
        <f t="shared" si="45"/>
        <v>12135/202245962</v>
      </c>
      <c r="I974" s="38">
        <f>IFERROR(INDEX(Projetos!$M$2:$M$129,MATCH(Atualizações!A969,Projetos!$A$2:$A$129,0))," ")</f>
        <v>46083</v>
      </c>
      <c r="J974" s="61"/>
      <c r="K974" s="344">
        <f>IFERROR(Tb_Atualizações[[#This Row],[% EXECUTADO]]/Tb_Atualizações[[#This Row],[% PREVISTO]],"0%")</f>
        <v>0.97499999999999998</v>
      </c>
      <c r="L974" s="31" t="str" cm="1">
        <f t="array" aca="1" ref="L9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4" s="50"/>
      <c r="N974" s="397"/>
      <c r="O974" s="42">
        <f t="shared" si="46"/>
        <v>2025</v>
      </c>
      <c r="P974" s="42" t="str">
        <f t="shared" si="47"/>
        <v>202512135/2022</v>
      </c>
      <c r="Q974" s="42">
        <v>1</v>
      </c>
    </row>
    <row r="975" spans="1:17" ht="15" hidden="1">
      <c r="A975" s="175" t="s">
        <v>58</v>
      </c>
      <c r="B975" s="315" t="str">
        <f>IFERROR(INDEX(Projetos!$B$3:$B$129,MATCH(A975,Projetos!$A$3:$A$129,0))," ")</f>
        <v>Phase-out: Transição Projetos X Operação</v>
      </c>
      <c r="D975" s="48">
        <v>0.43</v>
      </c>
      <c r="E975" s="48">
        <v>0.72</v>
      </c>
      <c r="F975" s="219">
        <v>45985</v>
      </c>
      <c r="G975" s="220">
        <v>45962</v>
      </c>
      <c r="H975" s="51" t="str">
        <f t="shared" si="45"/>
        <v>00030/202545962</v>
      </c>
      <c r="I975" s="38">
        <f>IFERROR(INDEX(Projetos!$M$2:$M$129,MATCH(Atualizações!A970,Projetos!$A$2:$A$129,0))," ")</f>
        <v>46387</v>
      </c>
      <c r="J975" s="61"/>
      <c r="K975" s="344">
        <f>IFERROR(Tb_Atualizações[[#This Row],[% EXECUTADO]]/Tb_Atualizações[[#This Row],[% PREVISTO]],"0%")</f>
        <v>1.6744186046511627</v>
      </c>
      <c r="L975" s="31" t="str" cm="1">
        <f t="array" aca="1" ref="L9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5" s="50"/>
      <c r="N975" s="397"/>
      <c r="O975" s="42">
        <f t="shared" si="46"/>
        <v>2025</v>
      </c>
      <c r="P975" s="42" t="str">
        <f t="shared" si="47"/>
        <v>202500030/2025</v>
      </c>
      <c r="Q975" s="42">
        <v>1</v>
      </c>
    </row>
    <row r="976" spans="1:17" ht="15" hidden="1">
      <c r="A976" s="175" t="s">
        <v>247</v>
      </c>
      <c r="B976" s="315" t="str">
        <f>IFERROR(INDEX(Projetos!$B$3:$B$129,MATCH(A976,Projetos!$A$3:$A$129,0))," ")</f>
        <v>Portal de Serviços</v>
      </c>
      <c r="D976" s="48">
        <v>0.77</v>
      </c>
      <c r="E976" s="48">
        <v>0.9</v>
      </c>
      <c r="F976" s="219">
        <v>45985</v>
      </c>
      <c r="G976" s="220">
        <v>45962</v>
      </c>
      <c r="H976" s="51" t="str">
        <f t="shared" si="45"/>
        <v>02394/202445962</v>
      </c>
      <c r="I976" s="473">
        <f>IFERROR(INDEX(Projetos!$M$2:$M$129,MATCH(Atualizações!A976,Projetos!$A$2:$A$129,0))," ")</f>
        <v>46387</v>
      </c>
      <c r="J976" s="61"/>
      <c r="K976" s="344">
        <f>IFERROR(Tb_Atualizações[[#This Row],[% EXECUTADO]]/Tb_Atualizações[[#This Row],[% PREVISTO]],"0%")</f>
        <v>1.1688311688311688</v>
      </c>
      <c r="L976" s="31" t="str" cm="1">
        <f t="array" aca="1" ref="L9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6" s="50"/>
      <c r="N976" s="397"/>
      <c r="O976" s="42">
        <f t="shared" si="46"/>
        <v>2025</v>
      </c>
      <c r="P976" s="42" t="str">
        <f t="shared" si="47"/>
        <v>202502394/2024</v>
      </c>
      <c r="Q976" s="42">
        <v>1</v>
      </c>
    </row>
    <row r="977" spans="1:17" ht="15" hidden="1">
      <c r="A977" s="175" t="s">
        <v>523</v>
      </c>
      <c r="B977" s="315" t="str">
        <f>IFERROR(INDEX(Projetos!$B$3:$B$129,MATCH(A977,Projetos!$A$3:$A$129,0))," ")</f>
        <v>Portal Jus BR</v>
      </c>
      <c r="D977" s="48">
        <v>0.89</v>
      </c>
      <c r="E977" s="48">
        <v>0.98</v>
      </c>
      <c r="F977" s="219">
        <v>45985</v>
      </c>
      <c r="G977" s="220">
        <v>45962</v>
      </c>
      <c r="H977" s="51" t="str">
        <f t="shared" si="45"/>
        <v>09536/202445962</v>
      </c>
      <c r="I977" s="38">
        <f>IFERROR(INDEX(Projetos!$M$2:$M$129,MATCH(Atualizações!A972,Projetos!$A$2:$A$129,0))," ")</f>
        <v>46387</v>
      </c>
      <c r="J977" s="61"/>
      <c r="K977" s="344">
        <f>IFERROR(Tb_Atualizações[[#This Row],[% EXECUTADO]]/Tb_Atualizações[[#This Row],[% PREVISTO]],"0%")</f>
        <v>1.101123595505618</v>
      </c>
      <c r="L977" s="31" t="str" cm="1">
        <f t="array" aca="1" ref="L9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7" s="50"/>
      <c r="N977" s="397"/>
      <c r="O977" s="42">
        <f t="shared" si="46"/>
        <v>2025</v>
      </c>
      <c r="P977" s="42" t="str">
        <f t="shared" si="47"/>
        <v>202509536/2024</v>
      </c>
      <c r="Q977" s="42">
        <v>1</v>
      </c>
    </row>
    <row r="978" spans="1:17" ht="15" hidden="1">
      <c r="A978" s="175" t="s">
        <v>358</v>
      </c>
      <c r="B978" s="315" t="str">
        <f>IFERROR(INDEX(Projetos!$B$3:$B$129,MATCH(A978,Projetos!$A$3:$A$129,0))," ")</f>
        <v>Prevjud - Automação de Processos Previdenciários - Justiça 4.0</v>
      </c>
      <c r="D978" s="48">
        <v>0.96</v>
      </c>
      <c r="E978" s="48">
        <v>0.99</v>
      </c>
      <c r="F978" s="219">
        <v>45985</v>
      </c>
      <c r="G978" s="220">
        <v>45962</v>
      </c>
      <c r="H978" s="51" t="str">
        <f t="shared" si="45"/>
        <v>03558/202145962</v>
      </c>
      <c r="I978" s="38">
        <f>IFERROR(INDEX(Projetos!$M$2:$M$129,MATCH(Atualizações!A973,Projetos!$A$2:$A$129,0))," ")</f>
        <v>46387</v>
      </c>
      <c r="J978" s="61"/>
      <c r="K978" s="344">
        <f>IFERROR(Tb_Atualizações[[#This Row],[% EXECUTADO]]/Tb_Atualizações[[#This Row],[% PREVISTO]],"0%")</f>
        <v>1.03125</v>
      </c>
      <c r="L978" s="31" t="str" cm="1">
        <f t="array" aca="1" ref="L9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8" s="50"/>
      <c r="N978" s="397"/>
      <c r="O978" s="42">
        <f t="shared" si="46"/>
        <v>2025</v>
      </c>
      <c r="P978" s="42" t="str">
        <f t="shared" si="47"/>
        <v>202503558/2021</v>
      </c>
      <c r="Q978" s="42">
        <v>1</v>
      </c>
    </row>
    <row r="979" spans="1:17" ht="15" hidden="1">
      <c r="A979" s="175" t="s">
        <v>533</v>
      </c>
      <c r="B979" s="315" t="str">
        <f>IFERROR(INDEX(Projetos!$B$3:$B$129,MATCH(A979,Projetos!$A$3:$A$129,0))," ")</f>
        <v>Qualificação de Dados</v>
      </c>
      <c r="D979" s="48">
        <v>0.86</v>
      </c>
      <c r="E979" s="48">
        <v>0.85</v>
      </c>
      <c r="F979" s="219">
        <v>45985</v>
      </c>
      <c r="G979" s="220">
        <v>45962</v>
      </c>
      <c r="H979" s="51" t="str">
        <f t="shared" ref="H979:H1042" si="48">A979&amp;G979</f>
        <v>09613/202445962</v>
      </c>
      <c r="I979" s="473">
        <f>IFERROR(INDEX(Projetos!$M$2:$M$129,MATCH(Atualizações!A979,Projetos!$A$2:$A$129,0))," ")</f>
        <v>46386</v>
      </c>
      <c r="J979" s="61"/>
      <c r="K979" s="344">
        <f>IFERROR(Tb_Atualizações[[#This Row],[% EXECUTADO]]/Tb_Atualizações[[#This Row],[% PREVISTO]],"0%")</f>
        <v>0.98837209302325579</v>
      </c>
      <c r="L979" s="31" t="str" cm="1">
        <f t="array" aca="1" ref="L9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79" s="50"/>
      <c r="N979" s="397"/>
      <c r="O979" s="42">
        <f t="shared" ref="O979:O1042" si="49">YEAR(F979)</f>
        <v>2025</v>
      </c>
      <c r="P979" s="42" t="str">
        <f t="shared" ref="P979:P1042" si="50">O979&amp;A979</f>
        <v>202509613/2024</v>
      </c>
      <c r="Q979" s="42">
        <v>1</v>
      </c>
    </row>
    <row r="980" spans="1:17" ht="30" hidden="1">
      <c r="A980" s="175" t="s">
        <v>722</v>
      </c>
      <c r="B980" s="315" t="str">
        <f>IFERROR(INDEX(Projetos!$B$3:$B$129,MATCH(A980,Projetos!$A$3:$A$129,0))," ")</f>
        <v>Serviços Estruturantes - Melhorias Evolutivas e Corretivas</v>
      </c>
      <c r="D980" s="48">
        <v>0.63</v>
      </c>
      <c r="E980" s="48">
        <v>0.52</v>
      </c>
      <c r="F980" s="219">
        <v>45985</v>
      </c>
      <c r="G980" s="220">
        <v>45962</v>
      </c>
      <c r="H980" s="51" t="str">
        <f t="shared" si="48"/>
        <v>14965/202445962</v>
      </c>
      <c r="I980" s="473">
        <f>IFERROR(INDEX(Projetos!$M$2:$M$129,MATCH(Atualizações!A980,Projetos!$A$2:$A$129,0))," ")</f>
        <v>46387</v>
      </c>
      <c r="J980" s="61"/>
      <c r="K980" s="344">
        <f>IFERROR(Tb_Atualizações[[#This Row],[% EXECUTADO]]/Tb_Atualizações[[#This Row],[% PREVISTO]],"0%")</f>
        <v>0.82539682539682546</v>
      </c>
      <c r="L980" s="31" t="str" cm="1">
        <f t="array" aca="1" ref="L9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80" s="50"/>
      <c r="N980" s="397"/>
      <c r="O980" s="42">
        <f t="shared" si="49"/>
        <v>2025</v>
      </c>
      <c r="P980" s="42" t="str">
        <f t="shared" si="50"/>
        <v>202514965/2024</v>
      </c>
      <c r="Q980" s="42">
        <v>1</v>
      </c>
    </row>
    <row r="981" spans="1:17" ht="15" hidden="1">
      <c r="A981" s="175" t="s">
        <v>580</v>
      </c>
      <c r="B981" s="315" t="str">
        <f>IFERROR(INDEX(Projetos!$B$3:$B$129,MATCH(A981,Projetos!$A$3:$A$129,0))," ")</f>
        <v>SireneJud 2.0 - Evoluções</v>
      </c>
      <c r="D981" s="48">
        <v>0.62</v>
      </c>
      <c r="E981" s="48">
        <v>0.71</v>
      </c>
      <c r="F981" s="219">
        <v>45985</v>
      </c>
      <c r="G981" s="220">
        <v>45962</v>
      </c>
      <c r="H981" s="51" t="str">
        <f t="shared" si="48"/>
        <v>10698/202445962</v>
      </c>
      <c r="I981" s="38">
        <f>IFERROR(INDEX(Projetos!$M$2:$M$129,MATCH(Atualizações!A976,Projetos!$A$2:$A$129,0))," ")</f>
        <v>46387</v>
      </c>
      <c r="J981" s="61"/>
      <c r="K981" s="344">
        <f>IFERROR(Tb_Atualizações[[#This Row],[% EXECUTADO]]/Tb_Atualizações[[#This Row],[% PREVISTO]],"0%")</f>
        <v>1.1451612903225805</v>
      </c>
      <c r="L981" s="31" t="str" cm="1">
        <f t="array" aca="1" ref="L9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81" s="50"/>
      <c r="N981" s="397"/>
      <c r="O981" s="42">
        <f t="shared" si="49"/>
        <v>2025</v>
      </c>
      <c r="P981" s="42" t="str">
        <f t="shared" si="50"/>
        <v>202510698/2024</v>
      </c>
      <c r="Q981" s="42">
        <v>1</v>
      </c>
    </row>
    <row r="982" spans="1:17" ht="15" hidden="1">
      <c r="A982" s="175" t="s">
        <v>638</v>
      </c>
      <c r="B982" s="315" t="str">
        <f>IFERROR(INDEX(Projetos!$B$3:$B$129,MATCH(A982,Projetos!$A$3:$A$129,0))," ")</f>
        <v>Sisperjud</v>
      </c>
      <c r="D982" s="48">
        <v>0.92</v>
      </c>
      <c r="E982" s="48">
        <v>0.95</v>
      </c>
      <c r="F982" s="49">
        <v>45985</v>
      </c>
      <c r="G982" s="220">
        <v>45962</v>
      </c>
      <c r="H982" s="51" t="str">
        <f t="shared" si="48"/>
        <v>11644/202245962</v>
      </c>
      <c r="I982" s="38" t="str">
        <f>IFERROR(INDEX(Projetos!$M$2:$M$129,MATCH(Atualizações!A977,Projetos!$A$2:$A$129,0))," ")</f>
        <v>30/10/2025</v>
      </c>
      <c r="J982" s="61"/>
      <c r="K982" s="344">
        <f>IFERROR(Tb_Atualizações[[#This Row],[% EXECUTADO]]/Tb_Atualizações[[#This Row],[% PREVISTO]],"0%")</f>
        <v>1.0326086956521738</v>
      </c>
      <c r="L982" s="31" t="str" cm="1">
        <f t="array" aca="1" ref="L9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82" s="50"/>
      <c r="N982" s="397"/>
      <c r="O982" s="42">
        <f t="shared" si="49"/>
        <v>2025</v>
      </c>
      <c r="P982" s="42" t="str">
        <f t="shared" si="50"/>
        <v>202511644/2022</v>
      </c>
      <c r="Q982" s="42">
        <v>1</v>
      </c>
    </row>
    <row r="983" spans="1:17" ht="15" hidden="1">
      <c r="A983" s="175" t="s">
        <v>458</v>
      </c>
      <c r="B983" s="312" t="str">
        <f>IFERROR(INDEX(Projetos!$B$3:$B$129,MATCH(A983,Projetos!$A$3:$A$129,0))," ")</f>
        <v>SNGB - Melhorias evolutivas</v>
      </c>
      <c r="D983" s="48">
        <v>0.74</v>
      </c>
      <c r="E983" s="48">
        <v>0.94</v>
      </c>
      <c r="F983" s="49">
        <v>45985</v>
      </c>
      <c r="G983" s="220">
        <v>45962</v>
      </c>
      <c r="H983" s="51" t="str">
        <f t="shared" si="48"/>
        <v>08370/202445962</v>
      </c>
      <c r="I983" s="473">
        <f>IFERROR(INDEX(Projetos!$M$2:$M$129,MATCH(Atualizações!A983,Projetos!$A$2:$A$129,0))," ")</f>
        <v>46101</v>
      </c>
      <c r="J983" s="61"/>
      <c r="K983" s="344">
        <f>IFERROR(Tb_Atualizações[[#This Row],[% EXECUTADO]]/Tb_Atualizações[[#This Row],[% PREVISTO]],"0%")</f>
        <v>1.2702702702702702</v>
      </c>
      <c r="L983" s="31" t="str" cm="1">
        <f t="array" aca="1" ref="L9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83" s="50"/>
      <c r="N983" s="397"/>
      <c r="O983" s="42">
        <f t="shared" si="49"/>
        <v>2025</v>
      </c>
      <c r="P983" s="42" t="str">
        <f t="shared" si="50"/>
        <v>202508370/2024</v>
      </c>
      <c r="Q983" s="42">
        <v>1</v>
      </c>
    </row>
    <row r="984" spans="1:17" ht="15" hidden="1">
      <c r="A984" s="175" t="s">
        <v>257</v>
      </c>
      <c r="B984" s="315" t="str">
        <f>IFERROR(INDEX(Projetos!$B$3:$B$129,MATCH(A984,Projetos!$A$3:$A$129,0))," ")</f>
        <v>SisPreq – Sistema de Precatórios e Requisições de Pequeno Valor</v>
      </c>
      <c r="D984" s="214">
        <v>0.99</v>
      </c>
      <c r="E984" s="214">
        <v>0.85</v>
      </c>
      <c r="F984" s="49">
        <v>45985</v>
      </c>
      <c r="G984" s="220">
        <v>45962</v>
      </c>
      <c r="H984" s="51" t="str">
        <f t="shared" si="48"/>
        <v>02465/202445962</v>
      </c>
      <c r="I984" s="38">
        <f>IFERROR(INDEX(Projetos!$M$2:$M$129,MATCH(Atualizações!A979,Projetos!$A$2:$A$129,0))," ")</f>
        <v>46386</v>
      </c>
      <c r="J984" s="221"/>
      <c r="K984" s="344">
        <f>IFERROR(Tb_Atualizações[[#This Row],[% EXECUTADO]]/Tb_Atualizações[[#This Row],[% PREVISTO]],"0%")</f>
        <v>0.85858585858585856</v>
      </c>
      <c r="L984" s="31" t="str" cm="1">
        <f t="array" aca="1" ref="L9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84" s="215"/>
      <c r="N984" s="345"/>
      <c r="O984" s="42">
        <f t="shared" si="49"/>
        <v>2025</v>
      </c>
      <c r="P984" s="42" t="str">
        <f t="shared" si="50"/>
        <v>202502465/2024</v>
      </c>
      <c r="Q984" s="42">
        <v>1</v>
      </c>
    </row>
    <row r="985" spans="1:17" ht="15" hidden="1">
      <c r="A985" s="175" t="s">
        <v>431</v>
      </c>
      <c r="B985" s="315" t="str">
        <f>IFERROR(INDEX(Projetos!$B$3:$B$129,MATCH(A985,Projetos!$A$3:$A$129,0))," ")</f>
        <v>Sniper BC</v>
      </c>
      <c r="D985" s="214">
        <v>0.67</v>
      </c>
      <c r="E985" s="214">
        <v>0.59</v>
      </c>
      <c r="F985" s="219">
        <v>45985</v>
      </c>
      <c r="G985" s="220">
        <v>45962</v>
      </c>
      <c r="H985" s="51" t="str">
        <f t="shared" si="48"/>
        <v>06826/202445962</v>
      </c>
      <c r="I985" s="38">
        <f>IFERROR(INDEX(Projetos!$M$2:$M$129,MATCH(Atualizações!A980,Projetos!$A$2:$A$129,0))," ")</f>
        <v>46387</v>
      </c>
      <c r="J985" s="221"/>
      <c r="K985" s="344">
        <f>IFERROR(Tb_Atualizações[[#This Row],[% EXECUTADO]]/Tb_Atualizações[[#This Row],[% PREVISTO]],"0%")</f>
        <v>0.88059701492537301</v>
      </c>
      <c r="L985" s="31" t="str" cm="1">
        <f t="array" aca="1" ref="L9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85" s="215"/>
      <c r="N985" s="345"/>
      <c r="O985" s="42">
        <f t="shared" si="49"/>
        <v>2025</v>
      </c>
      <c r="P985" s="42" t="str">
        <f t="shared" si="50"/>
        <v>202506826/2024</v>
      </c>
      <c r="Q985" s="42">
        <v>1</v>
      </c>
    </row>
    <row r="986" spans="1:17" ht="15" hidden="1">
      <c r="A986" s="539" t="s">
        <v>273</v>
      </c>
      <c r="B986" s="312" t="str">
        <f>IFERROR(INDEX(Projetos!$B$3:$B$129,MATCH(A986,Projetos!$A$3:$A$129,0))," ")</f>
        <v>SNA – Novo Sistema Nacional de Adoção e Acolhimento</v>
      </c>
      <c r="D986" s="48">
        <v>0.85</v>
      </c>
      <c r="E986" s="48">
        <v>0.76</v>
      </c>
      <c r="F986" s="49">
        <v>45985</v>
      </c>
      <c r="G986" s="220">
        <v>45962</v>
      </c>
      <c r="H986" s="51" t="str">
        <f t="shared" si="48"/>
        <v>02483/202345962</v>
      </c>
      <c r="I986" s="38">
        <f>IFERROR(INDEX(Projetos!$M$2:$M$129,MATCH(Atualizações!A981,Projetos!$A$2:$A$129,0))," ")</f>
        <v>46387</v>
      </c>
      <c r="J986" s="61"/>
      <c r="K986" s="344">
        <f>IFERROR(Tb_Atualizações[[#This Row],[% EXECUTADO]]/Tb_Atualizações[[#This Row],[% PREVISTO]],"0%")</f>
        <v>0.89411764705882357</v>
      </c>
      <c r="L986" s="31" t="s">
        <v>277</v>
      </c>
      <c r="M986" s="50"/>
      <c r="N986" s="397"/>
      <c r="O986" s="42">
        <f t="shared" si="49"/>
        <v>2025</v>
      </c>
      <c r="P986" s="42" t="str">
        <f t="shared" si="50"/>
        <v>202502483/2023</v>
      </c>
      <c r="Q986" s="42">
        <v>1</v>
      </c>
    </row>
    <row r="987" spans="1:17" ht="15" hidden="1">
      <c r="A987" s="175" t="s">
        <v>766</v>
      </c>
      <c r="B987" s="312" t="str">
        <f>IFERROR(INDEX(Projetos!$B$3:$B$129,MATCH(A987,Projetos!$A$3:$A$129,0))," ")</f>
        <v>Painel Crime Organizado</v>
      </c>
      <c r="D987" s="48">
        <v>0</v>
      </c>
      <c r="E987" s="48">
        <v>0.38</v>
      </c>
      <c r="F987" s="49">
        <v>46007</v>
      </c>
      <c r="G987" s="220">
        <v>45962</v>
      </c>
      <c r="H987" s="51" t="str">
        <f t="shared" si="48"/>
        <v>17085/202545962</v>
      </c>
      <c r="I987" s="38">
        <f>IFERROR(INDEX(Projetos!$M$2:$M$129,MATCH(Atualizações!A982,Projetos!$A$2:$A$129,0))," ")</f>
        <v>46352</v>
      </c>
      <c r="J987" s="61"/>
      <c r="K987" s="344" t="str">
        <f>IFERROR(Tb_Atualizações[[#This Row],[% EXECUTADO]]/Tb_Atualizações[[#This Row],[% PREVISTO]],"0%")</f>
        <v>0%</v>
      </c>
      <c r="L987" s="31" t="str" cm="1">
        <f t="array" aca="1" ref="L9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87" s="50"/>
      <c r="N987" s="397"/>
      <c r="O987" s="42">
        <f t="shared" si="49"/>
        <v>2025</v>
      </c>
      <c r="P987" s="42" t="str">
        <f t="shared" si="50"/>
        <v>202517085/2025</v>
      </c>
      <c r="Q987" s="42">
        <v>1</v>
      </c>
    </row>
    <row r="988" spans="1:17" ht="15" hidden="1">
      <c r="A988" s="539" t="s">
        <v>925</v>
      </c>
      <c r="B988" s="312" t="str">
        <f>IFERROR(INDEX(Projetos!$B$3:$B$129,MATCH(A988,Projetos!$A$3:$A$129,0))," ")</f>
        <v>21 dias de ativismo pelo fim da violência contra mulher - edição 2025</v>
      </c>
      <c r="D988" s="48">
        <v>0.78</v>
      </c>
      <c r="E988" s="48">
        <v>0.78</v>
      </c>
      <c r="F988" s="49">
        <v>46007</v>
      </c>
      <c r="G988" s="220">
        <v>45962</v>
      </c>
      <c r="H988" s="51" t="str">
        <f t="shared" si="48"/>
        <v>19706/202545962</v>
      </c>
      <c r="I988" s="38">
        <f>IFERROR(INDEX(Projetos!$M$2:$M$129,MATCH(Atualizações!A983,Projetos!$A$2:$A$129,0))," ")</f>
        <v>46101</v>
      </c>
      <c r="J988" s="61"/>
      <c r="K988" s="344">
        <f>IFERROR(Tb_Atualizações[[#This Row],[% EXECUTADO]]/Tb_Atualizações[[#This Row],[% PREVISTO]],"0%")</f>
        <v>1</v>
      </c>
      <c r="L988" s="31" t="str" cm="1">
        <f t="array" aca="1" ref="L9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88" s="50"/>
      <c r="N988" s="397"/>
      <c r="O988" s="42">
        <f t="shared" si="49"/>
        <v>2025</v>
      </c>
      <c r="P988" s="42" t="str">
        <f t="shared" si="50"/>
        <v>202519706/2025</v>
      </c>
      <c r="Q988" s="42">
        <v>1</v>
      </c>
    </row>
    <row r="989" spans="1:17" ht="15" hidden="1">
      <c r="A989" s="175" t="s">
        <v>747</v>
      </c>
      <c r="B989" s="312" t="str">
        <f>IFERROR(INDEX(Projetos!$B$3:$B$129,MATCH(A989,Projetos!$A$3:$A$129,0))," ")</f>
        <v>Mapa Nacional do Crime Organizado</v>
      </c>
      <c r="D989" s="48">
        <v>0</v>
      </c>
      <c r="E989" s="48">
        <v>0</v>
      </c>
      <c r="F989" s="49">
        <v>46007</v>
      </c>
      <c r="G989" s="220">
        <v>45962</v>
      </c>
      <c r="H989" s="51" t="str">
        <f t="shared" si="48"/>
        <v>16689/202545962</v>
      </c>
      <c r="I989" s="38" t="str">
        <f>IFERROR(INDEX(Projetos!$M$2:$M$129,MATCH(Atualizações!A984,Projetos!$A$2:$A$129,0))," ")</f>
        <v>15/12/2026</v>
      </c>
      <c r="J989" s="61"/>
      <c r="K989" s="344" t="str">
        <f>IFERROR(Tb_Atualizações[[#This Row],[% EXECUTADO]]/Tb_Atualizações[[#This Row],[% PREVISTO]],"0%")</f>
        <v>0%</v>
      </c>
      <c r="L989" s="31" t="str" cm="1">
        <f t="array" aca="1" ref="L9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989" s="50"/>
      <c r="N989" s="397"/>
      <c r="O989" s="42">
        <f t="shared" si="49"/>
        <v>2025</v>
      </c>
      <c r="P989" s="42" t="str">
        <f t="shared" si="50"/>
        <v>202516689/2025</v>
      </c>
      <c r="Q989" s="42">
        <v>1</v>
      </c>
    </row>
    <row r="990" spans="1:17" ht="30" hidden="1">
      <c r="A990" s="46" t="s">
        <v>523</v>
      </c>
      <c r="B990" s="312" t="str">
        <f>IFERROR(INDEX(Projetos!$B$3:$B$129,MATCH(A990,Projetos!$A$3:$A$129,0))," ")</f>
        <v>Portal Jus BR</v>
      </c>
      <c r="D990" s="48">
        <v>1</v>
      </c>
      <c r="E990" s="48">
        <v>1</v>
      </c>
      <c r="F990" s="49">
        <v>46007</v>
      </c>
      <c r="G990" s="220">
        <v>45992</v>
      </c>
      <c r="H990" s="51" t="str">
        <f t="shared" si="48"/>
        <v>09536/202445992</v>
      </c>
      <c r="I990" s="38">
        <f>IFERROR(INDEX(Projetos!$M$2:$M$129,MATCH(Atualizações!A1039,Projetos!$A$2:$A$129,0))," ")</f>
        <v>46387</v>
      </c>
      <c r="J990" s="61" t="s">
        <v>1465</v>
      </c>
      <c r="K990" s="344">
        <f>IFERROR(Tb_Atualizações[[#This Row],[% EXECUTADO]]/Tb_Atualizações[[#This Row],[% PREVISTO]],"0%")</f>
        <v>1</v>
      </c>
      <c r="L990" s="31" t="str" cm="1">
        <f t="array" aca="1" ref="L9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990" s="50"/>
      <c r="N990" s="397"/>
      <c r="O990" s="42">
        <f t="shared" si="49"/>
        <v>2025</v>
      </c>
      <c r="P990" s="42" t="str">
        <f t="shared" si="50"/>
        <v>202509536/2024</v>
      </c>
      <c r="Q990" s="42">
        <v>1</v>
      </c>
    </row>
    <row r="991" spans="1:17" ht="30" hidden="1">
      <c r="A991" s="235" t="s">
        <v>310</v>
      </c>
      <c r="B991" s="312" t="str">
        <f>IFERROR(INDEX(Projetos!$B$3:$B$129,MATCH(A991,Projetos!$A$3:$A$129,0))," ")</f>
        <v>Apoio a implantação de soluções da PDPJ-Br</v>
      </c>
      <c r="D991" s="214">
        <v>0.78</v>
      </c>
      <c r="E991" s="214">
        <v>0.6</v>
      </c>
      <c r="F991" s="49">
        <v>46009</v>
      </c>
      <c r="G991" s="220">
        <v>45962</v>
      </c>
      <c r="H991" s="51" t="str">
        <f t="shared" si="48"/>
        <v>02887/202445962</v>
      </c>
      <c r="I991" s="473">
        <f>IFERROR(INDEX(Projetos!$M$2:$M$129,MATCH(Atualizações!A991,Projetos!$A$2:$A$129,0))," ")</f>
        <v>46387</v>
      </c>
      <c r="J991" s="61"/>
      <c r="K991" s="344">
        <f>IFERROR(Tb_Atualizações[[#This Row],[% EXECUTADO]]/Tb_Atualizações[[#This Row],[% PREVISTO]],"0%")</f>
        <v>0.76923076923076916</v>
      </c>
      <c r="L991" s="31" t="str" cm="1">
        <f t="array" aca="1" ref="L9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91" s="50"/>
      <c r="N991" s="397"/>
      <c r="O991" s="42">
        <f t="shared" si="49"/>
        <v>2025</v>
      </c>
      <c r="P991" s="42" t="str">
        <f t="shared" si="50"/>
        <v>202502887/2024</v>
      </c>
      <c r="Q991" s="42">
        <v>1</v>
      </c>
    </row>
    <row r="992" spans="1:17" ht="15" hidden="1">
      <c r="A992" s="538" t="s">
        <v>661</v>
      </c>
      <c r="B992" s="312" t="str">
        <f>IFERROR(INDEX(Projetos!$B$3:$B$129,MATCH(A992,Projetos!$A$3:$A$129,0))," ")</f>
        <v>BNMP – Banco Nacional de Medidas Penais e Prisões – Melhorias Evolutivas</v>
      </c>
      <c r="D992" s="48">
        <v>0.53</v>
      </c>
      <c r="E992" s="48">
        <v>0.47</v>
      </c>
      <c r="F992" s="49">
        <v>46009</v>
      </c>
      <c r="G992" s="220">
        <v>45962</v>
      </c>
      <c r="H992" s="51" t="str">
        <f t="shared" si="48"/>
        <v>11776/202445962</v>
      </c>
      <c r="I992" s="38">
        <f>IFERROR(INDEX(Projetos!$M$2:$M$129,MATCH(Atualizações!A987,Projetos!$A$2:$A$129,0))," ")</f>
        <v>46387</v>
      </c>
      <c r="J992" s="61"/>
      <c r="K992" s="344">
        <f>IFERROR(Tb_Atualizações[[#This Row],[% EXECUTADO]]/Tb_Atualizações[[#This Row],[% PREVISTO]],"0%")</f>
        <v>0.88679245283018859</v>
      </c>
      <c r="L992" s="31" t="str" cm="1">
        <f t="array" aca="1" ref="L9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992" s="50"/>
      <c r="N992" s="397"/>
      <c r="O992" s="42">
        <f t="shared" si="49"/>
        <v>2025</v>
      </c>
      <c r="P992" s="42" t="str">
        <f t="shared" si="50"/>
        <v>202511776/2024</v>
      </c>
      <c r="Q992" s="42">
        <v>1</v>
      </c>
    </row>
    <row r="993" spans="1:17" ht="30" hidden="1">
      <c r="A993" s="235" t="s">
        <v>644</v>
      </c>
      <c r="B993" s="312" t="str">
        <f>IFERROR(INDEX(Projetos!$B$3:$B$129,MATCH(A993,Projetos!$A$3:$A$129,0))," ")</f>
        <v>BNP/Pangea</v>
      </c>
      <c r="D993" s="48">
        <v>0.99</v>
      </c>
      <c r="E993" s="48">
        <v>0.81</v>
      </c>
      <c r="F993" s="49">
        <v>46009</v>
      </c>
      <c r="G993" s="220">
        <v>45962</v>
      </c>
      <c r="H993" s="51" t="str">
        <f t="shared" si="48"/>
        <v>11645/202245962</v>
      </c>
      <c r="I993" s="38" t="str">
        <f>IFERROR(INDEX(Projetos!$M$2:$M$129,MATCH(Atualizações!A993,Projetos!$A$2:$A$129,0))," ")</f>
        <v>23/12/2026</v>
      </c>
      <c r="J993" s="61"/>
      <c r="K993" s="344">
        <f>IFERROR(Tb_Atualizações[[#This Row],[% EXECUTADO]]/Tb_Atualizações[[#This Row],[% PREVISTO]],"0%")</f>
        <v>0.81818181818181823</v>
      </c>
      <c r="L993" s="31" t="str" cm="1">
        <f t="array" aca="1" ref="L9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93" s="50"/>
      <c r="N993" s="397"/>
      <c r="O993" s="42">
        <f t="shared" si="49"/>
        <v>2025</v>
      </c>
      <c r="P993" s="42" t="str">
        <f t="shared" si="50"/>
        <v>202511645/2022</v>
      </c>
      <c r="Q993" s="42">
        <v>1</v>
      </c>
    </row>
    <row r="994" spans="1:17" ht="15" hidden="1">
      <c r="A994" s="46" t="s">
        <v>396</v>
      </c>
      <c r="B994" s="312" t="str">
        <f>IFERROR(INDEX(Projetos!$B$3:$B$129,MATCH(A994,Projetos!$A$3:$A$129,0))," ")</f>
        <v>CODEX - Melhorias Evolutivas e Corretivas</v>
      </c>
      <c r="D994" s="48">
        <v>0.77</v>
      </c>
      <c r="E994" s="48">
        <v>0.84</v>
      </c>
      <c r="F994" s="49">
        <v>46009</v>
      </c>
      <c r="G994" s="220">
        <v>45962</v>
      </c>
      <c r="H994" s="51" t="str">
        <f t="shared" si="48"/>
        <v>04751/202245962</v>
      </c>
      <c r="I994" s="473">
        <f>IFERROR(INDEX(Projetos!$M$2:$M$129,MATCH(Atualizações!A994,Projetos!$A$2:$A$129,0))," ")</f>
        <v>46387</v>
      </c>
      <c r="J994" s="61"/>
      <c r="K994" s="344">
        <f>IFERROR(Tb_Atualizações[[#This Row],[% EXECUTADO]]/Tb_Atualizações[[#This Row],[% PREVISTO]],"0%")</f>
        <v>1.0909090909090908</v>
      </c>
      <c r="L994" s="31" t="str" cm="1">
        <f t="array" aca="1" ref="L9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94" s="50"/>
      <c r="N994" s="397"/>
      <c r="O994" s="42">
        <f t="shared" si="49"/>
        <v>2025</v>
      </c>
      <c r="P994" s="42" t="str">
        <f t="shared" si="50"/>
        <v>202504751/2022</v>
      </c>
      <c r="Q994" s="42">
        <v>1</v>
      </c>
    </row>
    <row r="995" spans="1:17" ht="30" hidden="1">
      <c r="A995" s="46" t="s">
        <v>416</v>
      </c>
      <c r="B995" s="312" t="str">
        <f>IFERROR(INDEX(Projetos!$B$3:$B$129,MATCH(A995,Projetos!$A$3:$A$129,0))," ")</f>
        <v>Conecta</v>
      </c>
      <c r="D995" s="48">
        <v>0.57999999999999996</v>
      </c>
      <c r="E995" s="48">
        <v>0.4</v>
      </c>
      <c r="F995" s="49">
        <v>46009</v>
      </c>
      <c r="G995" s="220">
        <v>45962</v>
      </c>
      <c r="H995" s="51" t="str">
        <f t="shared" si="48"/>
        <v>05578/202445962</v>
      </c>
      <c r="I995" s="38" t="str">
        <f>IFERROR(INDEX(Projetos!$M$2:$M$129,MATCH(Atualizações!A990,Projetos!$A$2:$A$129,0))," ")</f>
        <v>30/10/2025</v>
      </c>
      <c r="J995" s="61"/>
      <c r="K995" s="344">
        <f>IFERROR(Tb_Atualizações[[#This Row],[% EXECUTADO]]/Tb_Atualizações[[#This Row],[% PREVISTO]],"0%")</f>
        <v>0.68965517241379315</v>
      </c>
      <c r="L995" s="31" t="str" cm="1">
        <f t="array" aca="1" ref="L9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95" s="50"/>
      <c r="N995" s="397"/>
      <c r="O995" s="42">
        <f t="shared" si="49"/>
        <v>2025</v>
      </c>
      <c r="P995" s="42" t="str">
        <f t="shared" si="50"/>
        <v>202505578/2024</v>
      </c>
      <c r="Q995" s="42">
        <v>1</v>
      </c>
    </row>
    <row r="996" spans="1:17" ht="15" hidden="1">
      <c r="A996" s="235" t="s">
        <v>129</v>
      </c>
      <c r="B996" s="312" t="str">
        <f>IFERROR(INDEX(Projetos!$B$3:$B$129,MATCH(A996,Projetos!$A$3:$A$129,0))," ")</f>
        <v>Data Lake - Melhorias Evolutivas e Corretivas</v>
      </c>
      <c r="D996" s="48">
        <v>0.46</v>
      </c>
      <c r="E996" s="48">
        <v>0.46</v>
      </c>
      <c r="F996" s="49">
        <v>46009</v>
      </c>
      <c r="G996" s="220">
        <v>45962</v>
      </c>
      <c r="H996" s="51" t="str">
        <f t="shared" si="48"/>
        <v>01167/202545962</v>
      </c>
      <c r="I996" s="38">
        <f>IFERROR(INDEX(Projetos!$M$2:$M$129,MATCH(Atualizações!A992,Projetos!$A$2:$A$129,0))," ")</f>
        <v>46379</v>
      </c>
      <c r="J996" s="61"/>
      <c r="K996" s="344">
        <f>IFERROR(Tb_Atualizações[[#This Row],[% EXECUTADO]]/Tb_Atualizações[[#This Row],[% PREVISTO]],"0%")</f>
        <v>1</v>
      </c>
      <c r="L996" s="31" t="str" cm="1">
        <f t="array" aca="1" ref="L9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96" s="50"/>
      <c r="N996" s="397"/>
      <c r="O996" s="42">
        <f t="shared" si="49"/>
        <v>2025</v>
      </c>
      <c r="P996" s="42" t="str">
        <f t="shared" si="50"/>
        <v>202501167/2025</v>
      </c>
      <c r="Q996" s="42">
        <v>1</v>
      </c>
    </row>
    <row r="997" spans="1:17" ht="15" hidden="1">
      <c r="A997" s="192" t="s">
        <v>517</v>
      </c>
      <c r="B997" s="315" t="str">
        <f>IFERROR(INDEX(Projetos!$B$3:$B$129,MATCH(A997,Projetos!$A$3:$A$129,0))," ")</f>
        <v>Domicílio Judicial Eletrônico - Melhorias Evolutivas</v>
      </c>
      <c r="D997" s="214">
        <v>0.98</v>
      </c>
      <c r="E997" s="214">
        <v>0.98</v>
      </c>
      <c r="F997" s="49">
        <v>46009</v>
      </c>
      <c r="G997" s="220">
        <v>45962</v>
      </c>
      <c r="H997" s="51" t="str">
        <f t="shared" si="48"/>
        <v>09445/202345962</v>
      </c>
      <c r="I997" s="473">
        <f>IFERROR(INDEX(Projetos!$M$2:$M$129,MATCH(Atualizações!A997,Projetos!$A$2:$A$129,0))," ")</f>
        <v>46203</v>
      </c>
      <c r="J997" s="221"/>
      <c r="K997" s="344">
        <f>IFERROR(Tb_Atualizações[[#This Row],[% EXECUTADO]]/Tb_Atualizações[[#This Row],[% PREVISTO]],"0%")</f>
        <v>1</v>
      </c>
      <c r="L997" s="31" t="str" cm="1">
        <f t="array" aca="1" ref="L9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97" s="215"/>
      <c r="N997" s="345"/>
      <c r="O997" s="42">
        <f t="shared" si="49"/>
        <v>2025</v>
      </c>
      <c r="P997" s="42" t="str">
        <f t="shared" si="50"/>
        <v>202509445/2023</v>
      </c>
      <c r="Q997" s="42">
        <v>1</v>
      </c>
    </row>
    <row r="998" spans="1:17" ht="30" hidden="1">
      <c r="A998" s="192" t="s">
        <v>549</v>
      </c>
      <c r="B998" s="315" t="str">
        <f>IFERROR(INDEX(Projetos!$B$3:$B$129,MATCH(A998,Projetos!$A$3:$A$129,0))," ")</f>
        <v>Fluxo Nacional Automatizado das Execuções Fiscais (EFIN)</v>
      </c>
      <c r="D998" s="214">
        <v>0.99</v>
      </c>
      <c r="E998" s="214">
        <v>0.56999999999999995</v>
      </c>
      <c r="F998" s="49">
        <v>46009</v>
      </c>
      <c r="G998" s="220">
        <v>45962</v>
      </c>
      <c r="H998" s="51" t="str">
        <f t="shared" si="48"/>
        <v>09796/202445962</v>
      </c>
      <c r="I998" s="473">
        <f>IFERROR(INDEX(Projetos!$M$2:$M$129,MATCH(Atualizações!A998,Projetos!$A$2:$A$129,0))," ")</f>
        <v>46226</v>
      </c>
      <c r="J998" s="221"/>
      <c r="K998" s="344">
        <f>IFERROR(Tb_Atualizações[[#This Row],[% EXECUTADO]]/Tb_Atualizações[[#This Row],[% PREVISTO]],"0%")</f>
        <v>0.57575757575757569</v>
      </c>
      <c r="L998" s="31" t="str" cm="1">
        <f t="array" aca="1" ref="L9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998" s="215"/>
      <c r="N998" s="345"/>
      <c r="O998" s="42">
        <f t="shared" si="49"/>
        <v>2025</v>
      </c>
      <c r="P998" s="42" t="str">
        <f t="shared" si="50"/>
        <v>202509796/2024</v>
      </c>
      <c r="Q998" s="42">
        <v>1</v>
      </c>
    </row>
    <row r="999" spans="1:17" ht="15" hidden="1">
      <c r="A999" s="46" t="s">
        <v>917</v>
      </c>
      <c r="B999" s="312" t="str">
        <f>IFERROR(INDEX(Projetos!$B$3:$B$129,MATCH(A999,Projetos!$A$3:$A$129,0))," ")</f>
        <v>e-NatJus 4.0</v>
      </c>
      <c r="D999" s="48">
        <v>0</v>
      </c>
      <c r="E999" s="48">
        <v>0.57999999999999996</v>
      </c>
      <c r="F999" s="49">
        <v>46009</v>
      </c>
      <c r="G999" s="220">
        <v>45962</v>
      </c>
      <c r="H999" s="51" t="str">
        <f t="shared" si="48"/>
        <v>17529/202445962</v>
      </c>
      <c r="I999" s="473">
        <f>IFERROR(INDEX(Projetos!$M$2:$M$129,MATCH(Atualizações!A999,Projetos!$A$2:$A$129,0))," ")</f>
        <v>46386</v>
      </c>
      <c r="J999" s="61"/>
      <c r="K999" s="344" t="str">
        <f>IFERROR(Tb_Atualizações[[#This Row],[% EXECUTADO]]/Tb_Atualizações[[#This Row],[% PREVISTO]],"0%")</f>
        <v>0%</v>
      </c>
      <c r="L999" s="31" t="str" cm="1">
        <f t="array" aca="1" ref="L9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999" s="50"/>
      <c r="N999" s="397"/>
      <c r="O999" s="42">
        <f t="shared" si="49"/>
        <v>2025</v>
      </c>
      <c r="P999" s="42" t="str">
        <f t="shared" si="50"/>
        <v>202517529/2024</v>
      </c>
      <c r="Q999" s="42">
        <v>1</v>
      </c>
    </row>
    <row r="1000" spans="1:17" ht="30" hidden="1">
      <c r="A1000" s="46" t="s">
        <v>738</v>
      </c>
      <c r="B1000" s="312" t="str">
        <f>IFERROR(INDEX(Projetos!$B$3:$B$129,MATCH(A1000,Projetos!$A$3:$A$129,0))," ")</f>
        <v>FONAR - Formulário Nacional de Avaliação de Risco e Formulário Rogéria</v>
      </c>
      <c r="D1000" s="48">
        <v>0.54</v>
      </c>
      <c r="E1000" s="48">
        <v>0.43</v>
      </c>
      <c r="F1000" s="49">
        <v>46009</v>
      </c>
      <c r="G1000" s="220">
        <v>45962</v>
      </c>
      <c r="H1000" s="51" t="str">
        <f t="shared" si="48"/>
        <v>16319/202445962</v>
      </c>
      <c r="I1000" s="38">
        <f>IFERROR(INDEX(Projetos!$M$2:$M$129,MATCH(Atualizações!A996,Projetos!$A$2:$A$129,0))," ")</f>
        <v>46387</v>
      </c>
      <c r="J1000" s="61"/>
      <c r="K1000" s="344">
        <f>IFERROR(Tb_Atualizações[[#This Row],[% EXECUTADO]]/Tb_Atualizações[[#This Row],[% PREVISTO]],"0%")</f>
        <v>0.79629629629629628</v>
      </c>
      <c r="L1000" s="31" t="str" cm="1">
        <f t="array" aca="1" ref="L10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00" s="50"/>
      <c r="N1000" s="397"/>
      <c r="O1000" s="42">
        <f t="shared" si="49"/>
        <v>2025</v>
      </c>
      <c r="P1000" s="42" t="str">
        <f t="shared" si="50"/>
        <v>202516319/2024</v>
      </c>
      <c r="Q1000" s="42">
        <v>1</v>
      </c>
    </row>
    <row r="1001" spans="1:17" ht="30" hidden="1">
      <c r="A1001" s="46" t="s">
        <v>229</v>
      </c>
      <c r="B1001" s="312" t="str">
        <f>IFERROR(INDEX(Projetos!$B$3:$B$129,MATCH(A1001,Projetos!$A$3:$A$129,0))," ")</f>
        <v>Gabinete do Juízo</v>
      </c>
      <c r="D1001" s="48">
        <v>0.76</v>
      </c>
      <c r="E1001" s="48">
        <v>0.56000000000000005</v>
      </c>
      <c r="F1001" s="49">
        <v>46009</v>
      </c>
      <c r="G1001" s="220">
        <v>45962</v>
      </c>
      <c r="H1001" s="51" t="str">
        <f t="shared" si="48"/>
        <v>02080/202345962</v>
      </c>
      <c r="I1001" s="38">
        <f>IFERROR(INDEX(Projetos!$M$2:$M$129,MATCH(Atualizações!A997,Projetos!$A$2:$A$129,0))," ")</f>
        <v>46203</v>
      </c>
      <c r="J1001" s="61"/>
      <c r="K1001" s="344">
        <f>IFERROR(Tb_Atualizações[[#This Row],[% EXECUTADO]]/Tb_Atualizações[[#This Row],[% PREVISTO]],"0%")</f>
        <v>0.73684210526315796</v>
      </c>
      <c r="L1001" s="31" t="str" cm="1">
        <f t="array" aca="1" ref="L10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01" s="50"/>
      <c r="N1001" s="397"/>
      <c r="O1001" s="42">
        <f t="shared" si="49"/>
        <v>2025</v>
      </c>
      <c r="P1001" s="42" t="str">
        <f t="shared" si="50"/>
        <v>202502080/2023</v>
      </c>
      <c r="Q1001" s="42">
        <v>1</v>
      </c>
    </row>
    <row r="1002" spans="1:17" ht="15" hidden="1">
      <c r="A1002" s="46" t="s">
        <v>189</v>
      </c>
      <c r="B1002" s="312" t="str">
        <f>IFERROR(INDEX(Projetos!$B$3:$B$129,MATCH(A1002,Projetos!$A$3:$A$129,0))," ")</f>
        <v>Gestão de Clientes</v>
      </c>
      <c r="D1002" s="48">
        <v>0.73</v>
      </c>
      <c r="E1002" s="48">
        <v>0.78</v>
      </c>
      <c r="F1002" s="49">
        <v>46009</v>
      </c>
      <c r="G1002" s="220">
        <v>45962</v>
      </c>
      <c r="H1002" s="51" t="str">
        <f t="shared" si="48"/>
        <v>01809/202545962</v>
      </c>
      <c r="I1002" s="38">
        <f>IFERROR(INDEX(Projetos!$M$2:$M$129,MATCH(Atualizações!A1002,Projetos!$A$2:$A$129,0))," ")</f>
        <v>46083</v>
      </c>
      <c r="J1002" s="61"/>
      <c r="K1002" s="344">
        <f>IFERROR(Tb_Atualizações[[#This Row],[% EXECUTADO]]/Tb_Atualizações[[#This Row],[% PREVISTO]],"0%")</f>
        <v>1.0684931506849316</v>
      </c>
      <c r="L1002" s="31" t="str" cm="1">
        <f t="array" aca="1" ref="L10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02" s="50"/>
      <c r="N1002" s="397"/>
      <c r="O1002" s="42">
        <f t="shared" si="49"/>
        <v>2025</v>
      </c>
      <c r="P1002" s="42" t="str">
        <f t="shared" si="50"/>
        <v>202501809/2025</v>
      </c>
      <c r="Q1002" s="42">
        <v>1</v>
      </c>
    </row>
    <row r="1003" spans="1:17" ht="15" hidden="1">
      <c r="A1003" s="46" t="s">
        <v>358</v>
      </c>
      <c r="B1003" s="312" t="str">
        <f>IFERROR(INDEX(Projetos!$B$3:$B$129,MATCH(A1003,Projetos!$A$3:$A$129,0))," ")</f>
        <v>Prevjud - Automação de Processos Previdenciários - Justiça 4.0</v>
      </c>
      <c r="D1003" s="48">
        <v>0.94</v>
      </c>
      <c r="E1003" s="48">
        <v>0.99</v>
      </c>
      <c r="F1003" s="49">
        <v>46009</v>
      </c>
      <c r="G1003" s="220">
        <v>45962</v>
      </c>
      <c r="H1003" s="51" t="str">
        <f t="shared" si="48"/>
        <v>03558/202145962</v>
      </c>
      <c r="I1003" s="38">
        <f>IFERROR(INDEX(Projetos!$M$2:$M$129,MATCH(Atualizações!A999,Projetos!$A$2:$A$129,0))," ")</f>
        <v>46386</v>
      </c>
      <c r="J1003" s="61"/>
      <c r="K1003" s="344">
        <f>IFERROR(Tb_Atualizações[[#This Row],[% EXECUTADO]]/Tb_Atualizações[[#This Row],[% PREVISTO]],"0%")</f>
        <v>1.0531914893617023</v>
      </c>
      <c r="L1003" s="31" t="str" cm="1">
        <f t="array" aca="1" ref="L10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03" s="50"/>
      <c r="N1003" s="397"/>
      <c r="O1003" s="42">
        <f t="shared" si="49"/>
        <v>2025</v>
      </c>
      <c r="P1003" s="42" t="str">
        <f t="shared" si="50"/>
        <v>202503558/2021</v>
      </c>
      <c r="Q1003" s="42">
        <v>1</v>
      </c>
    </row>
    <row r="1004" spans="1:17" ht="15" hidden="1">
      <c r="A1004" s="46" t="s">
        <v>533</v>
      </c>
      <c r="B1004" s="312" t="str">
        <f>IFERROR(INDEX(Projetos!$B$3:$B$129,MATCH(A1004,Projetos!$A$3:$A$129,0))," ")</f>
        <v>Qualificação de Dados</v>
      </c>
      <c r="D1004" s="48">
        <v>0.88</v>
      </c>
      <c r="E1004" s="48">
        <v>0.87</v>
      </c>
      <c r="F1004" s="49">
        <v>46009</v>
      </c>
      <c r="G1004" s="220">
        <v>45962</v>
      </c>
      <c r="H1004" s="51" t="str">
        <f t="shared" si="48"/>
        <v>09613/202445962</v>
      </c>
      <c r="I1004" s="473">
        <f>IFERROR(INDEX(Projetos!$M$2:$M$129,MATCH(Atualizações!A1004,Projetos!$A$2:$A$129,0))," ")</f>
        <v>46386</v>
      </c>
      <c r="J1004" s="61"/>
      <c r="K1004" s="344">
        <f>IFERROR(Tb_Atualizações[[#This Row],[% EXECUTADO]]/Tb_Atualizações[[#This Row],[% PREVISTO]],"0%")</f>
        <v>0.98863636363636365</v>
      </c>
      <c r="L1004" s="31" t="str" cm="1">
        <f t="array" aca="1" ref="L10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04" s="50"/>
      <c r="N1004" s="397"/>
      <c r="O1004" s="42">
        <f t="shared" si="49"/>
        <v>2025</v>
      </c>
      <c r="P1004" s="42" t="str">
        <f t="shared" si="50"/>
        <v>202509613/2024</v>
      </c>
      <c r="Q1004" s="42">
        <v>1</v>
      </c>
    </row>
    <row r="1005" spans="1:17" ht="15" hidden="1">
      <c r="A1005" s="46" t="s">
        <v>722</v>
      </c>
      <c r="B1005" s="312" t="str">
        <f>IFERROR(INDEX(Projetos!$B$3:$B$129,MATCH(A1005,Projetos!$A$3:$A$129,0))," ")</f>
        <v>Serviços Estruturantes - Melhorias Evolutivas e Corretivas</v>
      </c>
      <c r="D1005" s="48">
        <v>0.64</v>
      </c>
      <c r="E1005" s="48">
        <v>0.55000000000000004</v>
      </c>
      <c r="F1005" s="49">
        <v>46009</v>
      </c>
      <c r="G1005" s="220">
        <v>45962</v>
      </c>
      <c r="H1005" s="51" t="str">
        <f t="shared" si="48"/>
        <v>14965/202445962</v>
      </c>
      <c r="I1005" s="473">
        <f>IFERROR(INDEX(Projetos!$M$2:$M$129,MATCH(Atualizações!A1005,Projetos!$A$2:$A$129,0))," ")</f>
        <v>46387</v>
      </c>
      <c r="J1005" s="61"/>
      <c r="K1005" s="344">
        <f>IFERROR(Tb_Atualizações[[#This Row],[% EXECUTADO]]/Tb_Atualizações[[#This Row],[% PREVISTO]],"0%")</f>
        <v>0.859375</v>
      </c>
      <c r="L1005" s="31" t="str" cm="1">
        <f t="array" aca="1" ref="L10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05" s="50"/>
      <c r="N1005" s="397"/>
      <c r="O1005" s="42">
        <f t="shared" si="49"/>
        <v>2025</v>
      </c>
      <c r="P1005" s="42" t="str">
        <f t="shared" si="50"/>
        <v>202514965/2024</v>
      </c>
      <c r="Q1005" s="42">
        <v>1</v>
      </c>
    </row>
    <row r="1006" spans="1:17" ht="30" hidden="1">
      <c r="A1006" s="46" t="s">
        <v>539</v>
      </c>
      <c r="B1006" s="312" t="str">
        <f>IFERROR(INDEX(Projetos!$B$3:$B$129,MATCH(A1006,Projetos!$A$3:$A$129,0))," ")</f>
        <v>Desenvolvimento do módulo de Sessão de Julgamento (PDPJ-Br)</v>
      </c>
      <c r="D1006" s="48">
        <v>0.89</v>
      </c>
      <c r="E1006" s="48">
        <v>0.52</v>
      </c>
      <c r="F1006" s="49">
        <v>46009</v>
      </c>
      <c r="G1006" s="220">
        <v>45962</v>
      </c>
      <c r="H1006" s="51" t="str">
        <f t="shared" si="48"/>
        <v>09630/202445962</v>
      </c>
      <c r="I1006" s="473">
        <f>IFERROR(INDEX(Projetos!$M$2:$M$129,MATCH(Atualizações!A1006,Projetos!$A$2:$A$129,0))," ")</f>
        <v>46387</v>
      </c>
      <c r="J1006" s="61"/>
      <c r="K1006" s="344">
        <f>IFERROR(Tb_Atualizações[[#This Row],[% EXECUTADO]]/Tb_Atualizações[[#This Row],[% PREVISTO]],"0%")</f>
        <v>0.5842696629213483</v>
      </c>
      <c r="L1006" s="31" t="str" cm="1">
        <f t="array" aca="1" ref="L10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06" s="50"/>
      <c r="N1006" s="397"/>
      <c r="O1006" s="42">
        <f t="shared" si="49"/>
        <v>2025</v>
      </c>
      <c r="P1006" s="42" t="str">
        <f t="shared" si="50"/>
        <v>202509630/2024</v>
      </c>
      <c r="Q1006" s="42">
        <v>1</v>
      </c>
    </row>
    <row r="1007" spans="1:17" ht="15" hidden="1">
      <c r="A1007" s="46" t="s">
        <v>638</v>
      </c>
      <c r="B1007" s="312" t="str">
        <f>IFERROR(INDEX(Projetos!$B$3:$B$129,MATCH(A1007,Projetos!$A$3:$A$129,0))," ")</f>
        <v>Sisperjud</v>
      </c>
      <c r="D1007" s="48">
        <v>0.88</v>
      </c>
      <c r="E1007" s="48">
        <v>0.9</v>
      </c>
      <c r="F1007" s="49">
        <v>46009</v>
      </c>
      <c r="G1007" s="220">
        <v>45962</v>
      </c>
      <c r="H1007" s="51" t="str">
        <f t="shared" si="48"/>
        <v>11644/202245962</v>
      </c>
      <c r="I1007" s="38" t="str">
        <f>IFERROR(INDEX(Projetos!$M$2:$M$129,MATCH(Atualizações!A1003,Projetos!$A$2:$A$129,0))," ")</f>
        <v>31/03/2026</v>
      </c>
      <c r="J1007" s="61"/>
      <c r="K1007" s="344">
        <f>IFERROR(Tb_Atualizações[[#This Row],[% EXECUTADO]]/Tb_Atualizações[[#This Row],[% PREVISTO]],"0%")</f>
        <v>1.0227272727272727</v>
      </c>
      <c r="L1007" s="31" t="str" cm="1">
        <f t="array" aca="1" ref="L10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07" s="50"/>
      <c r="N1007" s="397"/>
      <c r="O1007" s="42">
        <f t="shared" si="49"/>
        <v>2025</v>
      </c>
      <c r="P1007" s="42" t="str">
        <f t="shared" si="50"/>
        <v>202511644/2022</v>
      </c>
      <c r="Q1007" s="42">
        <v>1</v>
      </c>
    </row>
    <row r="1008" spans="1:17" ht="15" hidden="1">
      <c r="A1008" s="46" t="s">
        <v>257</v>
      </c>
      <c r="B1008" s="312" t="str">
        <f>IFERROR(INDEX(Projetos!$B$3:$B$129,MATCH(A1008,Projetos!$A$3:$A$129,0))," ")</f>
        <v>SisPreq – Sistema de Precatórios e Requisições de Pequeno Valor</v>
      </c>
      <c r="D1008" s="48">
        <v>0.92</v>
      </c>
      <c r="E1008" s="48">
        <v>0.86</v>
      </c>
      <c r="F1008" s="49">
        <v>46009</v>
      </c>
      <c r="G1008" s="220">
        <v>45962</v>
      </c>
      <c r="H1008" s="51" t="str">
        <f t="shared" si="48"/>
        <v>02465/202445962</v>
      </c>
      <c r="I1008" s="38">
        <f>IFERROR(INDEX(Projetos!$M$2:$M$129,MATCH(Atualizações!A1004,Projetos!$A$2:$A$129,0))," ")</f>
        <v>46386</v>
      </c>
      <c r="J1008" s="61"/>
      <c r="K1008" s="344">
        <f>IFERROR(Tb_Atualizações[[#This Row],[% EXECUTADO]]/Tb_Atualizações[[#This Row],[% PREVISTO]],"0%")</f>
        <v>0.93478260869565211</v>
      </c>
      <c r="L1008" s="31" t="str" cm="1">
        <f t="array" aca="1" ref="L10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08" s="50"/>
      <c r="N1008" s="397"/>
      <c r="O1008" s="42">
        <f t="shared" si="49"/>
        <v>2025</v>
      </c>
      <c r="P1008" s="42" t="str">
        <f t="shared" si="50"/>
        <v>202502465/2024</v>
      </c>
      <c r="Q1008" s="42">
        <v>1</v>
      </c>
    </row>
    <row r="1009" spans="1:17" ht="15" hidden="1">
      <c r="A1009" s="46" t="s">
        <v>458</v>
      </c>
      <c r="B1009" s="312" t="str">
        <f>IFERROR(INDEX(Projetos!$B$3:$B$129,MATCH(A1009,Projetos!$A$3:$A$129,0))," ")</f>
        <v>SNGB - Melhorias evolutivas</v>
      </c>
      <c r="D1009" s="48">
        <v>0.8</v>
      </c>
      <c r="E1009" s="48">
        <v>0.81</v>
      </c>
      <c r="F1009" s="49">
        <v>46009</v>
      </c>
      <c r="G1009" s="220">
        <v>45962</v>
      </c>
      <c r="H1009" s="51" t="str">
        <f t="shared" si="48"/>
        <v>08370/202445962</v>
      </c>
      <c r="I1009" s="473">
        <f>IFERROR(INDEX(Projetos!$M$2:$M$129,MATCH(Atualizações!A1009,Projetos!$A$2:$A$129,0))," ")</f>
        <v>46101</v>
      </c>
      <c r="J1009" s="61"/>
      <c r="K1009" s="344">
        <f>IFERROR(Tb_Atualizações[[#This Row],[% EXECUTADO]]/Tb_Atualizações[[#This Row],[% PREVISTO]],"0%")</f>
        <v>1.0125</v>
      </c>
      <c r="L1009" s="31" t="str" cm="1">
        <f t="array" aca="1" ref="L10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09" s="50"/>
      <c r="N1009" s="397"/>
      <c r="O1009" s="42">
        <f t="shared" si="49"/>
        <v>2025</v>
      </c>
      <c r="P1009" s="42" t="str">
        <f t="shared" si="50"/>
        <v>202508370/2024</v>
      </c>
      <c r="Q1009" s="42">
        <v>1</v>
      </c>
    </row>
    <row r="1010" spans="1:17" ht="15" hidden="1">
      <c r="A1010" s="46" t="s">
        <v>431</v>
      </c>
      <c r="B1010" s="312" t="str">
        <f>IFERROR(INDEX(Projetos!$B$3:$B$129,MATCH(A1010,Projetos!$A$3:$A$129,0))," ")</f>
        <v>Sniper BC</v>
      </c>
      <c r="D1010" s="48">
        <v>0.71</v>
      </c>
      <c r="E1010" s="48">
        <v>0.69</v>
      </c>
      <c r="F1010" s="49">
        <v>46009</v>
      </c>
      <c r="G1010" s="220">
        <v>45962</v>
      </c>
      <c r="H1010" s="51" t="str">
        <f t="shared" si="48"/>
        <v>06826/202445962</v>
      </c>
      <c r="I1010" s="38">
        <f>IFERROR(INDEX(Projetos!$M$2:$M$129,MATCH(Atualizações!A1010,Projetos!$A$2:$A$129,0))," ")</f>
        <v>46281</v>
      </c>
      <c r="J1010" s="61"/>
      <c r="K1010" s="344">
        <f>IFERROR(Tb_Atualizações[[#This Row],[% EXECUTADO]]/Tb_Atualizações[[#This Row],[% PREVISTO]],"0%")</f>
        <v>0.97183098591549288</v>
      </c>
      <c r="L1010" s="31" t="str" cm="1">
        <f t="array" aca="1" ref="L10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10" s="50"/>
      <c r="N1010" s="397"/>
      <c r="O1010" s="42">
        <f t="shared" si="49"/>
        <v>2025</v>
      </c>
      <c r="P1010" s="42" t="str">
        <f t="shared" si="50"/>
        <v>202506826/2024</v>
      </c>
      <c r="Q1010" s="42">
        <v>1</v>
      </c>
    </row>
    <row r="1011" spans="1:17" ht="30" hidden="1">
      <c r="A1011" s="46" t="s">
        <v>350</v>
      </c>
      <c r="B1011" s="312" t="str">
        <f>IFERROR(INDEX(Projetos!$B$3:$B$129,MATCH(A1011,Projetos!$A$3:$A$129,0))," ")</f>
        <v>Painel de Estatística   - Justiça 4.0</v>
      </c>
      <c r="D1011" s="48">
        <v>0.89</v>
      </c>
      <c r="E1011" s="48">
        <v>0.71</v>
      </c>
      <c r="F1011" s="49">
        <v>46009</v>
      </c>
      <c r="G1011" s="220">
        <v>45962</v>
      </c>
      <c r="H1011" s="51" t="str">
        <f t="shared" si="48"/>
        <v>03545/202145962</v>
      </c>
      <c r="I1011" s="38">
        <f>IFERROR(INDEX(Projetos!$M$2:$M$129,MATCH(Atualizações!A1007,Projetos!$A$2:$A$129,0))," ")</f>
        <v>46352</v>
      </c>
      <c r="J1011" s="61"/>
      <c r="K1011" s="344">
        <f>IFERROR(Tb_Atualizações[[#This Row],[% EXECUTADO]]/Tb_Atualizações[[#This Row],[% PREVISTO]],"0%")</f>
        <v>0.797752808988764</v>
      </c>
      <c r="L1011" s="31" t="str" cm="1">
        <f t="array" aca="1" ref="L10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11" s="50"/>
      <c r="N1011" s="397"/>
      <c r="O1011" s="42">
        <f t="shared" si="49"/>
        <v>2025</v>
      </c>
      <c r="P1011" s="42" t="str">
        <f t="shared" si="50"/>
        <v>202503545/2021</v>
      </c>
      <c r="Q1011" s="42">
        <v>1</v>
      </c>
    </row>
    <row r="1012" spans="1:17" ht="15" hidden="1">
      <c r="A1012" s="46" t="s">
        <v>684</v>
      </c>
      <c r="B1012" s="312" t="str">
        <f>IFERROR(INDEX(Projetos!$B$3:$B$129,MATCH(A1012,Projetos!$A$3:$A$129,0))," ")</f>
        <v>Painel dos Grandes Litigantes</v>
      </c>
      <c r="D1012" s="48">
        <v>0.86</v>
      </c>
      <c r="E1012" s="48">
        <v>0.78</v>
      </c>
      <c r="F1012" s="49">
        <v>46009</v>
      </c>
      <c r="G1012" s="220">
        <v>45962</v>
      </c>
      <c r="H1012" s="51" t="str">
        <f t="shared" si="48"/>
        <v>12135/202245962</v>
      </c>
      <c r="I1012" s="38" t="str">
        <f>IFERROR(INDEX(Projetos!$M$2:$M$129,MATCH(Atualizações!A1008,Projetos!$A$2:$A$129,0))," ")</f>
        <v>15/12/2026</v>
      </c>
      <c r="J1012" s="61"/>
      <c r="K1012" s="344">
        <f>IFERROR(Tb_Atualizações[[#This Row],[% EXECUTADO]]/Tb_Atualizações[[#This Row],[% PREVISTO]],"0%")</f>
        <v>0.90697674418604657</v>
      </c>
      <c r="L1012" s="31" t="str" cm="1">
        <f t="array" aca="1" ref="L10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12" s="50"/>
      <c r="N1012" s="397"/>
      <c r="O1012" s="42">
        <f t="shared" si="49"/>
        <v>2025</v>
      </c>
      <c r="P1012" s="42" t="str">
        <f t="shared" si="50"/>
        <v>202512135/2022</v>
      </c>
      <c r="Q1012" s="42">
        <v>1</v>
      </c>
    </row>
    <row r="1013" spans="1:17" ht="30" hidden="1">
      <c r="A1013" s="46" t="s">
        <v>83</v>
      </c>
      <c r="B1013" s="312" t="str">
        <f>IFERROR(INDEX(Projetos!$B$3:$B$129,MATCH(A1013,Projetos!$A$3:$A$129,0))," ")</f>
        <v>Painel do Programa Desjudicializa</v>
      </c>
      <c r="D1013" s="48">
        <v>0.99</v>
      </c>
      <c r="E1013" s="48">
        <v>0.66</v>
      </c>
      <c r="F1013" s="49">
        <v>46009</v>
      </c>
      <c r="G1013" s="28">
        <v>45962</v>
      </c>
      <c r="H1013" s="51" t="str">
        <f t="shared" si="48"/>
        <v>00484/202445962</v>
      </c>
      <c r="I1013" s="473">
        <f>IFERROR(INDEX(Projetos!$M$2:$M$129,MATCH(Atualizações!A1013,Projetos!$A$2:$A$129,0))," ")</f>
        <v>46387</v>
      </c>
      <c r="J1013" s="61"/>
      <c r="K1013" s="344">
        <f>IFERROR(Tb_Atualizações[[#This Row],[% EXECUTADO]]/Tb_Atualizações[[#This Row],[% PREVISTO]],"0%")</f>
        <v>0.66666666666666674</v>
      </c>
      <c r="L1013" s="31" t="str" cm="1">
        <f t="array" aca="1" ref="L10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13" s="50"/>
      <c r="N1013" s="397"/>
      <c r="O1013" s="42">
        <f t="shared" si="49"/>
        <v>2025</v>
      </c>
      <c r="P1013" s="42" t="str">
        <f t="shared" si="50"/>
        <v>202500484/2024</v>
      </c>
      <c r="Q1013" s="42">
        <v>1</v>
      </c>
    </row>
    <row r="1014" spans="1:17" ht="30" hidden="1">
      <c r="A1014" s="537" t="s">
        <v>690</v>
      </c>
      <c r="B1014" s="312" t="str">
        <f>IFERROR(INDEX(Projetos!$B$3:$B$129,MATCH(A1014,Projetos!$A$3:$A$129,0))," ")</f>
        <v>Painel “Justiça Criminal e Sistema Prisional”</v>
      </c>
      <c r="D1014" s="48">
        <v>0.79</v>
      </c>
      <c r="E1014" s="48">
        <v>0.53</v>
      </c>
      <c r="F1014" s="49">
        <v>46009</v>
      </c>
      <c r="G1014" s="28">
        <v>45962</v>
      </c>
      <c r="H1014" s="51" t="str">
        <f t="shared" si="48"/>
        <v>12215/202345962</v>
      </c>
      <c r="I1014" s="473">
        <f>IFERROR(INDEX(Projetos!$M$2:$M$129,MATCH(Atualizações!A1014,Projetos!$A$2:$A$129,0))," ")</f>
        <v>46387</v>
      </c>
      <c r="J1014" s="61"/>
      <c r="K1014" s="344">
        <f>IFERROR(Tb_Atualizações[[#This Row],[% EXECUTADO]]/Tb_Atualizações[[#This Row],[% PREVISTO]],"0%")</f>
        <v>0.67088607594936711</v>
      </c>
      <c r="L1014" s="31" t="str" cm="1">
        <f t="array" aca="1" ref="L10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14" s="50"/>
      <c r="N1014" s="397"/>
      <c r="O1014" s="42">
        <f t="shared" si="49"/>
        <v>2025</v>
      </c>
      <c r="P1014" s="42" t="str">
        <f t="shared" si="50"/>
        <v>202512215/2023</v>
      </c>
      <c r="Q1014" s="42">
        <v>1</v>
      </c>
    </row>
    <row r="1015" spans="1:17" ht="15" hidden="1">
      <c r="A1015" s="537" t="s">
        <v>580</v>
      </c>
      <c r="B1015" s="312" t="str">
        <f>IFERROR(INDEX(Projetos!$B$3:$B$129,MATCH(A1015,Projetos!$A$3:$A$129,0))," ")</f>
        <v>SireneJud 2.0 - Evoluções</v>
      </c>
      <c r="D1015" s="48">
        <v>0.72</v>
      </c>
      <c r="E1015" s="48">
        <v>0.79</v>
      </c>
      <c r="F1015" s="49">
        <v>46009</v>
      </c>
      <c r="G1015" s="28">
        <v>45962</v>
      </c>
      <c r="H1015" s="51" t="str">
        <f t="shared" si="48"/>
        <v>10698/202445962</v>
      </c>
      <c r="I1015" s="38">
        <f>IFERROR(INDEX(Projetos!$M$2:$M$129,MATCH(Atualizações!A1011,Projetos!$A$2:$A$129,0))," ")</f>
        <v>46387</v>
      </c>
      <c r="J1015" s="61"/>
      <c r="K1015" s="344">
        <f>IFERROR(Tb_Atualizações[[#This Row],[% EXECUTADO]]/Tb_Atualizações[[#This Row],[% PREVISTO]],"0%")</f>
        <v>1.0972222222222223</v>
      </c>
      <c r="L1015" s="31" t="str" cm="1">
        <f t="array" aca="1" ref="L10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15" s="50"/>
      <c r="N1015" s="397"/>
      <c r="O1015" s="42">
        <f t="shared" si="49"/>
        <v>2025</v>
      </c>
      <c r="P1015" s="42" t="str">
        <f t="shared" si="50"/>
        <v>202510698/2024</v>
      </c>
      <c r="Q1015" s="42">
        <v>1</v>
      </c>
    </row>
    <row r="1016" spans="1:17" ht="30" hidden="1">
      <c r="A1016" s="537" t="s">
        <v>152</v>
      </c>
      <c r="B1016" s="312" t="str">
        <f>IFERROR(INDEX(Projetos!$B$3:$B$129,MATCH(A1016,Projetos!$A$3:$A$129,0))," ")</f>
        <v>Painel da Fazenda Nacional.</v>
      </c>
      <c r="D1016" s="48">
        <v>0.61</v>
      </c>
      <c r="E1016" s="48">
        <v>0.51</v>
      </c>
      <c r="F1016" s="49">
        <v>46009</v>
      </c>
      <c r="G1016" s="28">
        <v>45962</v>
      </c>
      <c r="H1016" s="51" t="str">
        <f t="shared" si="48"/>
        <v>01247/202545962</v>
      </c>
      <c r="I1016" s="38" t="str">
        <f>IFERROR(INDEX(Projetos!$M$2:$M$129,MATCH(Atualizações!A1012,Projetos!$A$2:$A$129,0))," ")</f>
        <v>30/06/26</v>
      </c>
      <c r="J1016" s="61"/>
      <c r="K1016" s="344">
        <f>IFERROR(Tb_Atualizações[[#This Row],[% EXECUTADO]]/Tb_Atualizações[[#This Row],[% PREVISTO]],"0%")</f>
        <v>0.83606557377049184</v>
      </c>
      <c r="L1016" s="31" t="str" cm="1">
        <f t="array" aca="1" ref="L10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16" s="50"/>
      <c r="N1016" s="397"/>
      <c r="O1016" s="42">
        <f t="shared" si="49"/>
        <v>2025</v>
      </c>
      <c r="P1016" s="42" t="str">
        <f t="shared" si="50"/>
        <v>202501247/2025</v>
      </c>
      <c r="Q1016" s="42">
        <v>1</v>
      </c>
    </row>
    <row r="1017" spans="1:17" ht="180" hidden="1">
      <c r="A1017" s="175" t="s">
        <v>589</v>
      </c>
      <c r="B1017" s="312" t="str">
        <f>IFERROR(INDEX(Projetos!$B$3:$B$129,MATCH(A1017,Projetos!$A$3:$A$129,0))," ")</f>
        <v>Pacto Nacional do Judiciário pelos Direitos Humanos - 2ª Fase</v>
      </c>
      <c r="D1017" s="48">
        <v>1</v>
      </c>
      <c r="E1017" s="48">
        <v>1</v>
      </c>
      <c r="F1017" s="49">
        <v>46010</v>
      </c>
      <c r="G1017" s="28">
        <v>45962</v>
      </c>
      <c r="H1017" s="51" t="str">
        <f t="shared" si="48"/>
        <v>10926/202445962</v>
      </c>
      <c r="I1017" s="38">
        <f>IFERROR(INDEX(Projetos!$M$2:$M$129,MATCH(Atualizações!A985,Projetos!$A$2:$A$129,0))," ")</f>
        <v>46281</v>
      </c>
      <c r="J1017" s="61" t="s">
        <v>1466</v>
      </c>
      <c r="K1017" s="344">
        <f>IFERROR(Tb_Atualizações[[#This Row],[% EXECUTADO]]/Tb_Atualizações[[#This Row],[% PREVISTO]],"0%")</f>
        <v>1</v>
      </c>
      <c r="L1017" s="31" t="str" cm="1">
        <f t="array" aca="1" ref="L10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017" s="50"/>
      <c r="N1017" s="397"/>
      <c r="O1017" s="42">
        <f t="shared" si="49"/>
        <v>2025</v>
      </c>
      <c r="P1017" s="42" t="str">
        <f t="shared" si="50"/>
        <v>202510926/2024</v>
      </c>
      <c r="Q1017" s="42">
        <v>1</v>
      </c>
    </row>
    <row r="1018" spans="1:17" ht="15" hidden="1">
      <c r="A1018" s="235" t="s">
        <v>644</v>
      </c>
      <c r="B1018" s="312" t="str">
        <f>IFERROR(INDEX(Projetos!$B$3:$B$129,MATCH(A1018,Projetos!$A$3:$A$129,0))," ")</f>
        <v>BNP/Pangea</v>
      </c>
      <c r="D1018" s="48">
        <v>0.75</v>
      </c>
      <c r="E1018" s="48">
        <v>0.73</v>
      </c>
      <c r="F1018" s="49">
        <v>46011</v>
      </c>
      <c r="G1018" s="28">
        <v>45992</v>
      </c>
      <c r="H1018" s="51" t="str">
        <f t="shared" si="48"/>
        <v>11645/202245992</v>
      </c>
      <c r="I1018" s="38" t="str">
        <f>IFERROR(INDEX(Projetos!$M$2:$M$129,MATCH(Atualizações!A1018,Projetos!$A$2:$A$129,0))," ")</f>
        <v>23/12/2026</v>
      </c>
      <c r="J1018" s="61"/>
      <c r="K1018" s="344">
        <f>IFERROR(Tb_Atualizações[[#This Row],[% EXECUTADO]]/Tb_Atualizações[[#This Row],[% PREVISTO]],"0%")</f>
        <v>0.97333333333333327</v>
      </c>
      <c r="L1018" s="31" t="str" cm="1">
        <f t="array" aca="1" ref="L10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18" s="50"/>
      <c r="N1018" s="397"/>
      <c r="O1018" s="42">
        <f t="shared" si="49"/>
        <v>2025</v>
      </c>
      <c r="P1018" s="42" t="str">
        <f t="shared" si="50"/>
        <v>202511645/2022</v>
      </c>
      <c r="Q1018" s="42">
        <v>1</v>
      </c>
    </row>
    <row r="1019" spans="1:17" ht="75" hidden="1">
      <c r="A1019" s="46" t="s">
        <v>410</v>
      </c>
      <c r="B1019" s="312" t="str">
        <f>IFERROR(INDEX(Projetos!$B$3:$B$129,MATCH(A1019,Projetos!$A$3:$A$129,0))," ")</f>
        <v>7ª Edição da Série Justiça Pesquisa - Exercício 2024/2025</v>
      </c>
      <c r="D1019" s="48">
        <v>1</v>
      </c>
      <c r="E1019" s="48">
        <v>1</v>
      </c>
      <c r="F1019" s="636">
        <v>46011</v>
      </c>
      <c r="G1019" s="636">
        <v>45992</v>
      </c>
      <c r="H1019" s="51" t="str">
        <f t="shared" si="48"/>
        <v>05150/202445992</v>
      </c>
      <c r="I1019" s="38">
        <f>IFERROR(INDEX(Projetos!$M$2:$M$129,MATCH(Atualizações!A1057,Projetos!$A$2:$A$129,0))," ")</f>
        <v>46387</v>
      </c>
      <c r="J1019" s="61" t="s">
        <v>1467</v>
      </c>
      <c r="K1019" s="344">
        <f>IFERROR(Tb_Atualizações[[#This Row],[% EXECUTADO]]/Tb_Atualizações[[#This Row],[% PREVISTO]],"0%")</f>
        <v>1</v>
      </c>
      <c r="L1019" s="31" t="str" cm="1">
        <f t="array" aca="1" ref="L10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019" s="50"/>
      <c r="N1019" s="397"/>
      <c r="O1019" s="42">
        <f t="shared" si="49"/>
        <v>2025</v>
      </c>
      <c r="P1019" s="42" t="str">
        <f t="shared" si="50"/>
        <v>202505150/2024</v>
      </c>
      <c r="Q1019" s="42">
        <v>1</v>
      </c>
    </row>
    <row r="1020" spans="1:17" ht="15" hidden="1">
      <c r="A1020" s="46" t="s">
        <v>893</v>
      </c>
      <c r="B1020" s="312" t="str">
        <f>IFERROR(INDEX(Projetos!$B$3:$B$129,MATCH(A1020,Projetos!$A$3:$A$129,0))," ")</f>
        <v>Ação Nacional de Trabalho e Renda (sistema penal)</v>
      </c>
      <c r="D1020" s="48">
        <v>1</v>
      </c>
      <c r="E1020" s="48">
        <v>1</v>
      </c>
      <c r="F1020" s="49">
        <v>46011</v>
      </c>
      <c r="G1020" s="28">
        <v>45992</v>
      </c>
      <c r="H1020" s="51" t="str">
        <f t="shared" si="48"/>
        <v>174664/202445992</v>
      </c>
      <c r="I1020" s="38">
        <f>IFERROR(INDEX(Projetos!$M$2:$M$129,MATCH(Atualizações!A1058,Projetos!$A$2:$A$129,0))," ")</f>
        <v>46387</v>
      </c>
      <c r="J1020" s="61"/>
      <c r="K1020" s="344">
        <f>IFERROR(Tb_Atualizações[[#This Row],[% EXECUTADO]]/Tb_Atualizações[[#This Row],[% PREVISTO]],"0%")</f>
        <v>1</v>
      </c>
      <c r="L1020" s="31" t="str" cm="1">
        <f t="array" aca="1" ref="L10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020" s="50"/>
      <c r="N1020" s="397"/>
      <c r="O1020" s="42">
        <f t="shared" si="49"/>
        <v>2025</v>
      </c>
      <c r="P1020" s="42" t="str">
        <f t="shared" si="50"/>
        <v>2025174664/2024</v>
      </c>
      <c r="Q1020" s="42">
        <v>1</v>
      </c>
    </row>
    <row r="1021" spans="1:17" ht="15" hidden="1">
      <c r="A1021" s="46" t="s">
        <v>878</v>
      </c>
      <c r="B1021" s="312" t="str">
        <f>IFERROR(INDEX(Projetos!$B$3:$B$129,MATCH(A1021,Projetos!$A$3:$A$129,0))," ")</f>
        <v>Adequação à Lei Geral de Proteção de Dados Pessoais</v>
      </c>
      <c r="D1021" s="48">
        <v>1</v>
      </c>
      <c r="E1021" s="48">
        <v>1</v>
      </c>
      <c r="F1021" s="49">
        <v>46011</v>
      </c>
      <c r="G1021" s="28">
        <v>45992</v>
      </c>
      <c r="H1021" s="51" t="str">
        <f t="shared" si="48"/>
        <v>1746628/202445992</v>
      </c>
      <c r="I1021" s="38">
        <f>IFERROR(INDEX(Projetos!$M$2:$M$129,MATCH(Atualizações!A1063,Projetos!$A$2:$A$129,0))," ")</f>
        <v>46387</v>
      </c>
      <c r="J1021" s="61"/>
      <c r="K1021" s="344">
        <f>IFERROR(Tb_Atualizações[[#This Row],[% EXECUTADO]]/Tb_Atualizações[[#This Row],[% PREVISTO]],"0%")</f>
        <v>1</v>
      </c>
      <c r="L1021" s="31" t="str" cm="1">
        <f t="array" aca="1" ref="L10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021" s="50"/>
      <c r="N1021" s="397"/>
      <c r="O1021" s="42">
        <f t="shared" si="49"/>
        <v>2025</v>
      </c>
      <c r="P1021" s="42" t="str">
        <f t="shared" si="50"/>
        <v>20251746628/2024</v>
      </c>
      <c r="Q1021" s="42">
        <v>1</v>
      </c>
    </row>
    <row r="1022" spans="1:17" ht="30" hidden="1">
      <c r="A1022" s="235" t="s">
        <v>722</v>
      </c>
      <c r="B1022" s="312" t="str">
        <f>IFERROR(INDEX(Projetos!$B$3:$B$129,MATCH(A1022,Projetos!$A$3:$A$129,0))," ")</f>
        <v>Serviços Estruturantes - Melhorias Evolutivas e Corretivas</v>
      </c>
      <c r="D1022" s="48">
        <v>0.68</v>
      </c>
      <c r="E1022" s="48">
        <v>0.55000000000000004</v>
      </c>
      <c r="F1022" s="49">
        <v>46022</v>
      </c>
      <c r="G1022" s="28">
        <v>45992</v>
      </c>
      <c r="H1022" s="51" t="str">
        <f t="shared" si="48"/>
        <v>14965/202445992</v>
      </c>
      <c r="I1022" s="473">
        <f>IFERROR(INDEX(Projetos!$M$2:$M$129,MATCH(Atualizações!A1022,Projetos!$A$2:$A$129,0))," ")</f>
        <v>46387</v>
      </c>
      <c r="J1022" s="61" t="s">
        <v>1468</v>
      </c>
      <c r="K1022" s="344">
        <f>IFERROR(Tb_Atualizações[[#This Row],[% EXECUTADO]]/Tb_Atualizações[[#This Row],[% PREVISTO]],"0%")</f>
        <v>0.80882352941176472</v>
      </c>
      <c r="L1022" s="31" t="str" cm="1">
        <f t="array" aca="1" ref="L10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22" s="50"/>
      <c r="N1022" s="397"/>
      <c r="O1022" s="42">
        <f t="shared" si="49"/>
        <v>2025</v>
      </c>
      <c r="P1022" s="42" t="str">
        <f t="shared" si="50"/>
        <v>202514965/2024</v>
      </c>
      <c r="Q1022" s="42">
        <v>1</v>
      </c>
    </row>
    <row r="1023" spans="1:17" ht="15" hidden="1">
      <c r="A1023" s="46" t="s">
        <v>257</v>
      </c>
      <c r="B1023" s="312" t="str">
        <f>IFERROR(INDEX(Projetos!$B$3:$B$129,MATCH(A1023,Projetos!$A$3:$A$129,0))," ")</f>
        <v>SisPreq – Sistema de Precatórios e Requisições de Pequeno Valor</v>
      </c>
      <c r="D1023" s="48">
        <v>0.67</v>
      </c>
      <c r="E1023" s="48">
        <v>0.87</v>
      </c>
      <c r="F1023" s="49">
        <v>46022</v>
      </c>
      <c r="G1023" s="28">
        <v>45992</v>
      </c>
      <c r="H1023" s="51" t="str">
        <f t="shared" si="48"/>
        <v>02465/202445992</v>
      </c>
      <c r="I1023" s="38" t="str">
        <f>IFERROR(INDEX(Projetos!$M$2:$M$129,MATCH(Atualizações!A1018,Projetos!$A$2:$A$129,0))," ")</f>
        <v>23/12/2026</v>
      </c>
      <c r="J1023" s="61" t="s">
        <v>1468</v>
      </c>
      <c r="K1023" s="344">
        <f>IFERROR(Tb_Atualizações[[#This Row],[% EXECUTADO]]/Tb_Atualizações[[#This Row],[% PREVISTO]],"0%")</f>
        <v>1.2985074626865671</v>
      </c>
      <c r="L1023" s="31" t="str" cm="1">
        <f t="array" aca="1" ref="L10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23" s="50"/>
      <c r="N1023" s="397"/>
      <c r="O1023" s="42">
        <f t="shared" si="49"/>
        <v>2025</v>
      </c>
      <c r="P1023" s="42" t="str">
        <f t="shared" si="50"/>
        <v>202502465/2024</v>
      </c>
      <c r="Q1023" s="42">
        <v>1</v>
      </c>
    </row>
    <row r="1024" spans="1:17" ht="15" hidden="1">
      <c r="A1024" s="46" t="s">
        <v>431</v>
      </c>
      <c r="B1024" s="312" t="str">
        <f>IFERROR(INDEX(Projetos!$B$3:$B$129,MATCH(A1024,Projetos!$A$3:$A$129,0))," ")</f>
        <v>Sniper BC</v>
      </c>
      <c r="D1024" s="48">
        <v>0.74</v>
      </c>
      <c r="E1024" s="48">
        <v>0.69</v>
      </c>
      <c r="F1024" s="49">
        <v>46022</v>
      </c>
      <c r="G1024" s="28">
        <v>45992</v>
      </c>
      <c r="H1024" s="51" t="str">
        <f t="shared" si="48"/>
        <v>06826/202445992</v>
      </c>
      <c r="I1024" s="38">
        <f>IFERROR(INDEX(Projetos!$M$2:$M$129,MATCH(Atualizações!A1024,Projetos!$A$2:$A$129,0))," ")</f>
        <v>46281</v>
      </c>
      <c r="J1024" s="61" t="s">
        <v>1468</v>
      </c>
      <c r="K1024" s="344">
        <f>IFERROR(Tb_Atualizações[[#This Row],[% EXECUTADO]]/Tb_Atualizações[[#This Row],[% PREVISTO]],"0%")</f>
        <v>0.93243243243243235</v>
      </c>
      <c r="L1024" s="31" t="str" cm="1">
        <f t="array" aca="1" ref="L10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24" s="50"/>
      <c r="N1024" s="397"/>
      <c r="O1024" s="42">
        <f t="shared" si="49"/>
        <v>2025</v>
      </c>
      <c r="P1024" s="42" t="str">
        <f t="shared" si="50"/>
        <v>202506826/2024</v>
      </c>
      <c r="Q1024" s="42">
        <v>1</v>
      </c>
    </row>
    <row r="1025" spans="1:17" ht="15" hidden="1">
      <c r="A1025" s="235" t="s">
        <v>129</v>
      </c>
      <c r="B1025" s="312" t="str">
        <f>IFERROR(INDEX(Projetos!$B$3:$B$129,MATCH(A1025,Projetos!$A$3:$A$129,0))," ")</f>
        <v>Data Lake - Melhorias Evolutivas e Corretivas</v>
      </c>
      <c r="D1025" s="48">
        <v>0.5</v>
      </c>
      <c r="E1025" s="48">
        <v>0.46</v>
      </c>
      <c r="F1025" s="49">
        <v>46022</v>
      </c>
      <c r="G1025" s="28">
        <v>45992</v>
      </c>
      <c r="H1025" s="51" t="str">
        <f t="shared" si="48"/>
        <v>01167/202545992</v>
      </c>
      <c r="I1025" s="38">
        <f>IFERROR(INDEX(Projetos!$M$2:$M$129,MATCH(Atualizações!A1031,Projetos!$A$2:$A$129,0))," ")</f>
        <v>46386</v>
      </c>
      <c r="J1025" s="61" t="s">
        <v>1468</v>
      </c>
      <c r="K1025" s="344">
        <f>IFERROR(Tb_Atualizações[[#This Row],[% EXECUTADO]]/Tb_Atualizações[[#This Row],[% PREVISTO]],"0%")</f>
        <v>0.92</v>
      </c>
      <c r="L1025" s="31" t="str" cm="1">
        <f t="array" aca="1" ref="L10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25" s="50"/>
      <c r="N1025" s="397"/>
      <c r="O1025" s="42">
        <f t="shared" si="49"/>
        <v>2025</v>
      </c>
      <c r="P1025" s="42" t="str">
        <f t="shared" si="50"/>
        <v>202501167/2025</v>
      </c>
      <c r="Q1025" s="42">
        <v>1</v>
      </c>
    </row>
    <row r="1026" spans="1:17" ht="15" hidden="1">
      <c r="A1026" s="46" t="s">
        <v>517</v>
      </c>
      <c r="B1026" s="312" t="str">
        <f>IFERROR(INDEX(Projetos!$B$3:$B$129,MATCH(A1026,Projetos!$A$3:$A$129,0))," ")</f>
        <v>Domicílio Judicial Eletrônico - Melhorias Evolutivas</v>
      </c>
      <c r="D1026" s="48">
        <v>0.79</v>
      </c>
      <c r="E1026" s="48">
        <v>0.73</v>
      </c>
      <c r="F1026" s="49">
        <v>46022</v>
      </c>
      <c r="G1026" s="28">
        <v>45992</v>
      </c>
      <c r="H1026" s="51" t="str">
        <f t="shared" si="48"/>
        <v>09445/202345992</v>
      </c>
      <c r="I1026" s="473">
        <f>IFERROR(INDEX(Projetos!$M$2:$M$129,MATCH(Atualizações!A1026,Projetos!$A$2:$A$129,0))," ")</f>
        <v>46203</v>
      </c>
      <c r="J1026" s="61" t="s">
        <v>1468</v>
      </c>
      <c r="K1026" s="344">
        <f>IFERROR(Tb_Atualizações[[#This Row],[% EXECUTADO]]/Tb_Atualizações[[#This Row],[% PREVISTO]],"0%")</f>
        <v>0.92405063291139233</v>
      </c>
      <c r="L1026" s="31" t="str" cm="1">
        <f t="array" aca="1" ref="L10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26" s="50"/>
      <c r="N1026" s="397"/>
      <c r="O1026" s="42">
        <f t="shared" si="49"/>
        <v>2025</v>
      </c>
      <c r="P1026" s="42" t="str">
        <f t="shared" si="50"/>
        <v>202509445/2023</v>
      </c>
      <c r="Q1026" s="42">
        <v>1</v>
      </c>
    </row>
    <row r="1027" spans="1:17" ht="15" hidden="1">
      <c r="A1027" s="46" t="s">
        <v>247</v>
      </c>
      <c r="B1027" s="312" t="str">
        <f>IFERROR(INDEX(Projetos!$B$3:$B$129,MATCH(A1027,Projetos!$A$3:$A$129,0))," ")</f>
        <v>Portal de Serviços</v>
      </c>
      <c r="D1027" s="48">
        <v>0.99</v>
      </c>
      <c r="E1027" s="48">
        <v>0.9</v>
      </c>
      <c r="F1027" s="49">
        <v>46022</v>
      </c>
      <c r="G1027" s="28">
        <v>45992</v>
      </c>
      <c r="H1027" s="51" t="str">
        <f t="shared" si="48"/>
        <v>02394/202445992</v>
      </c>
      <c r="I1027" s="473">
        <f>IFERROR(INDEX(Projetos!$M$2:$M$129,MATCH(Atualizações!A1027,Projetos!$A$2:$A$129,0))," ")</f>
        <v>46387</v>
      </c>
      <c r="J1027" s="61" t="s">
        <v>1468</v>
      </c>
      <c r="K1027" s="344">
        <f>IFERROR(Tb_Atualizações[[#This Row],[% EXECUTADO]]/Tb_Atualizações[[#This Row],[% PREVISTO]],"0%")</f>
        <v>0.90909090909090917</v>
      </c>
      <c r="L1027" s="31" t="str" cm="1">
        <f t="array" aca="1" ref="L10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27" s="50"/>
      <c r="N1027" s="397"/>
      <c r="O1027" s="42">
        <f t="shared" si="49"/>
        <v>2025</v>
      </c>
      <c r="P1027" s="42" t="str">
        <f t="shared" si="50"/>
        <v>202502394/2024</v>
      </c>
      <c r="Q1027" s="42">
        <v>1</v>
      </c>
    </row>
    <row r="1028" spans="1:17" ht="45" hidden="1">
      <c r="A1028" s="538" t="s">
        <v>652</v>
      </c>
      <c r="B1028" s="312" t="str">
        <f>IFERROR(INDEX(Projetos!$B$3:$B$129,MATCH(A1028,Projetos!$A$3:$A$129,0))," ")</f>
        <v>Projeto Piloto – Rede de Apoio para Avaliação Externa, com base no IA-CM</v>
      </c>
      <c r="D1028" s="48">
        <v>0.34</v>
      </c>
      <c r="E1028" s="48">
        <v>0.34</v>
      </c>
      <c r="F1028" s="49">
        <v>46022</v>
      </c>
      <c r="G1028" s="28">
        <v>45839</v>
      </c>
      <c r="H1028" s="51" t="str">
        <f t="shared" si="48"/>
        <v>11729/202545839</v>
      </c>
      <c r="I1028" s="38">
        <f>IFERROR(INDEX(Projetos!$M$2:$M$129,MATCH(Atualizações!A1052,Projetos!$A$2:$A$129,0))," ")</f>
        <v>46246</v>
      </c>
      <c r="J1028" s="61" t="s">
        <v>1469</v>
      </c>
      <c r="K1028" s="344">
        <f>IFERROR(Tb_Atualizações[[#This Row],[% EXECUTADO]]/Tb_Atualizações[[#This Row],[% PREVISTO]],"0%")</f>
        <v>1</v>
      </c>
      <c r="L1028" s="31" t="str" cm="1">
        <f t="array" aca="1" ref="L10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28" s="50"/>
      <c r="N1028" s="397"/>
      <c r="O1028" s="42">
        <f t="shared" si="49"/>
        <v>2025</v>
      </c>
      <c r="P1028" s="42" t="str">
        <f t="shared" si="50"/>
        <v>202511729/2025</v>
      </c>
      <c r="Q1028" s="42">
        <v>1</v>
      </c>
    </row>
    <row r="1029" spans="1:17" ht="15" hidden="1">
      <c r="A1029" s="46" t="s">
        <v>714</v>
      </c>
      <c r="B1029" s="312" t="str">
        <f>IFERROR(INDEX(Projetos!$B$3:$B$129,MATCH(A1029,Projetos!$A$3:$A$129,0))," ")</f>
        <v>Programa Novos Caminhos</v>
      </c>
      <c r="D1029" s="48">
        <v>0.84</v>
      </c>
      <c r="E1029" s="48">
        <v>0.9</v>
      </c>
      <c r="F1029" s="49">
        <v>46022</v>
      </c>
      <c r="G1029" s="28">
        <v>45992</v>
      </c>
      <c r="H1029" s="51" t="str">
        <f t="shared" si="48"/>
        <v>14204/202445992</v>
      </c>
      <c r="I1029" s="38">
        <f>IFERROR(INDEX(Projetos!$M$2:$M$129,MATCH(Atualizações!A1056,Projetos!$A$2:$A$129,0))," ")</f>
        <v>46203</v>
      </c>
      <c r="J1029" s="61" t="s">
        <v>1468</v>
      </c>
      <c r="K1029" s="344">
        <f>IFERROR(Tb_Atualizações[[#This Row],[% EXECUTADO]]/Tb_Atualizações[[#This Row],[% PREVISTO]],"0%")</f>
        <v>1.0714285714285714</v>
      </c>
      <c r="L1029" s="31" t="str" cm="1">
        <f t="array" aca="1" ref="L10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29" s="50"/>
      <c r="N1029" s="397"/>
      <c r="O1029" s="42">
        <f t="shared" si="49"/>
        <v>2025</v>
      </c>
      <c r="P1029" s="42" t="str">
        <f t="shared" si="50"/>
        <v>202514204/2024</v>
      </c>
      <c r="Q1029" s="42">
        <v>1</v>
      </c>
    </row>
    <row r="1030" spans="1:17" ht="15" hidden="1">
      <c r="A1030" s="46" t="s">
        <v>358</v>
      </c>
      <c r="B1030" s="312" t="str">
        <f>IFERROR(INDEX(Projetos!$B$3:$B$129,MATCH(A1030,Projetos!$A$3:$A$129,0))," ")</f>
        <v>Prevjud - Automação de Processos Previdenciários - Justiça 4.0</v>
      </c>
      <c r="D1030" s="48">
        <v>0.95</v>
      </c>
      <c r="E1030" s="48">
        <v>0.99</v>
      </c>
      <c r="F1030" s="49">
        <v>46031</v>
      </c>
      <c r="G1030" s="28">
        <v>45992</v>
      </c>
      <c r="H1030" s="51" t="str">
        <f t="shared" si="48"/>
        <v>03558/202145992</v>
      </c>
      <c r="I1030" s="38">
        <f>IFERROR(INDEX(Projetos!$M$2:$M$129,MATCH(Atualizações!A1013,Projetos!$A$2:$A$129,0))," ")</f>
        <v>46387</v>
      </c>
      <c r="J1030" s="61"/>
      <c r="K1030" s="344">
        <f>IFERROR(Tb_Atualizações[[#This Row],[% EXECUTADO]]/Tb_Atualizações[[#This Row],[% PREVISTO]],"0%")</f>
        <v>1.0421052631578949</v>
      </c>
      <c r="L1030" s="31" t="str" cm="1">
        <f t="array" aca="1" ref="L10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30" s="50"/>
      <c r="N1030" s="397"/>
      <c r="O1030" s="42">
        <f t="shared" si="49"/>
        <v>2026</v>
      </c>
      <c r="P1030" s="42" t="str">
        <f t="shared" si="50"/>
        <v>202603558/2021</v>
      </c>
      <c r="Q1030" s="42">
        <v>1</v>
      </c>
    </row>
    <row r="1031" spans="1:17" ht="15" hidden="1">
      <c r="A1031" s="232" t="s">
        <v>533</v>
      </c>
      <c r="B1031" s="312" t="str">
        <f>IFERROR(INDEX(Projetos!$B$3:$B$129,MATCH(A1031,Projetos!$A$3:$A$129,0))," ")</f>
        <v>Qualificação de Dados</v>
      </c>
      <c r="D1031" s="48">
        <v>0.91</v>
      </c>
      <c r="E1031" s="48">
        <v>0.89</v>
      </c>
      <c r="F1031" s="49">
        <v>46031</v>
      </c>
      <c r="G1031" s="28">
        <v>45992</v>
      </c>
      <c r="H1031" s="51" t="str">
        <f t="shared" si="48"/>
        <v>09613/202445992</v>
      </c>
      <c r="I1031" s="473">
        <f>IFERROR(INDEX(Projetos!$M$2:$M$129,MATCH(Atualizações!A1031,Projetos!$A$2:$A$129,0))," ")</f>
        <v>46386</v>
      </c>
      <c r="J1031" s="61"/>
      <c r="K1031" s="344">
        <f>IFERROR(Tb_Atualizações[[#This Row],[% EXECUTADO]]/Tb_Atualizações[[#This Row],[% PREVISTO]],"0%")</f>
        <v>0.97802197802197799</v>
      </c>
      <c r="L1031" s="31" t="str" cm="1">
        <f t="array" aca="1" ref="L10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31" s="50"/>
      <c r="N1031" s="397"/>
      <c r="O1031" s="42">
        <f t="shared" si="49"/>
        <v>2026</v>
      </c>
      <c r="P1031" s="42" t="str">
        <f t="shared" si="50"/>
        <v>202609613/2024</v>
      </c>
      <c r="Q1031" s="42">
        <v>1</v>
      </c>
    </row>
    <row r="1032" spans="1:17" ht="30" hidden="1">
      <c r="A1032" s="235" t="s">
        <v>539</v>
      </c>
      <c r="B1032" s="312" t="str">
        <f>IFERROR(INDEX(Projetos!$B$3:$B$129,MATCH(A1032,Projetos!$A$3:$A$129,0))," ")</f>
        <v>Desenvolvimento do módulo de Sessão de Julgamento (PDPJ-Br)</v>
      </c>
      <c r="D1032" s="48">
        <v>0.94</v>
      </c>
      <c r="E1032" s="48">
        <v>0.54</v>
      </c>
      <c r="F1032" s="49">
        <v>46031</v>
      </c>
      <c r="G1032" s="28">
        <v>45992</v>
      </c>
      <c r="H1032" s="51" t="str">
        <f t="shared" si="48"/>
        <v>09630/202445992</v>
      </c>
      <c r="I1032" s="473">
        <f>IFERROR(INDEX(Projetos!$M$2:$M$129,MATCH(Atualizações!A1032,Projetos!$A$2:$A$129,0))," ")</f>
        <v>46387</v>
      </c>
      <c r="J1032" s="61"/>
      <c r="K1032" s="344">
        <f>IFERROR(Tb_Atualizações[[#This Row],[% EXECUTADO]]/Tb_Atualizações[[#This Row],[% PREVISTO]],"0%")</f>
        <v>0.57446808510638303</v>
      </c>
      <c r="L1032" s="31" t="str" cm="1">
        <f t="array" aca="1" ref="L10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32" s="50"/>
      <c r="N1032" s="397"/>
      <c r="O1032" s="42">
        <f t="shared" si="49"/>
        <v>2026</v>
      </c>
      <c r="P1032" s="42" t="str">
        <f t="shared" si="50"/>
        <v>202609630/2024</v>
      </c>
      <c r="Q1032" s="42">
        <v>1</v>
      </c>
    </row>
    <row r="1033" spans="1:17" ht="15" hidden="1">
      <c r="A1033" s="46" t="s">
        <v>638</v>
      </c>
      <c r="B1033" s="312" t="str">
        <f>IFERROR(INDEX(Projetos!$B$3:$B$129,MATCH(A1033,Projetos!$A$3:$A$129,0))," ")</f>
        <v>Sisperjud</v>
      </c>
      <c r="D1033" s="48">
        <v>0.9</v>
      </c>
      <c r="E1033" s="48">
        <v>0.91</v>
      </c>
      <c r="F1033" s="49">
        <v>46031</v>
      </c>
      <c r="G1033" s="28">
        <v>45992</v>
      </c>
      <c r="H1033" s="51" t="str">
        <f t="shared" si="48"/>
        <v>11644/202245992</v>
      </c>
      <c r="I1033" s="38">
        <f>IFERROR(INDEX(Projetos!$M$2:$M$129,MATCH(Atualizações!A1017,Projetos!$A$2:$A$129,0))," ")</f>
        <v>46233</v>
      </c>
      <c r="J1033" s="61"/>
      <c r="K1033" s="344">
        <f>IFERROR(Tb_Atualizações[[#This Row],[% EXECUTADO]]/Tb_Atualizações[[#This Row],[% PREVISTO]],"0%")</f>
        <v>1.0111111111111111</v>
      </c>
      <c r="L1033" s="31" t="str" cm="1">
        <f t="array" aca="1" ref="L10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33" s="50"/>
      <c r="N1033" s="397"/>
      <c r="O1033" s="42">
        <f t="shared" si="49"/>
        <v>2026</v>
      </c>
      <c r="P1033" s="42" t="str">
        <f t="shared" si="50"/>
        <v>202611644/2022</v>
      </c>
      <c r="Q1033" s="42">
        <v>1</v>
      </c>
    </row>
    <row r="1034" spans="1:17" ht="15" hidden="1">
      <c r="A1034" s="46" t="s">
        <v>458</v>
      </c>
      <c r="B1034" s="312" t="str">
        <f>IFERROR(INDEX(Projetos!$B$3:$B$129,MATCH(A1034,Projetos!$A$3:$A$129,0))," ")</f>
        <v>SNGB - Melhorias evolutivas</v>
      </c>
      <c r="D1034" s="48">
        <v>0.81</v>
      </c>
      <c r="E1034" s="48">
        <v>0.83</v>
      </c>
      <c r="F1034" s="49">
        <v>46031</v>
      </c>
      <c r="G1034" s="28">
        <v>45992</v>
      </c>
      <c r="H1034" s="51" t="str">
        <f t="shared" si="48"/>
        <v>08370/202445992</v>
      </c>
      <c r="I1034" s="473">
        <f>IFERROR(INDEX(Projetos!$M$2:$M$129,MATCH(Atualizações!A1034,Projetos!$A$2:$A$129,0))," ")</f>
        <v>46101</v>
      </c>
      <c r="J1034" s="61"/>
      <c r="K1034" s="344">
        <f>IFERROR(Tb_Atualizações[[#This Row],[% EXECUTADO]]/Tb_Atualizações[[#This Row],[% PREVISTO]],"0%")</f>
        <v>1.0246913580246912</v>
      </c>
      <c r="L1034" s="31" t="str" cm="1">
        <f t="array" aca="1" ref="L10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34" s="50"/>
      <c r="N1034" s="397"/>
      <c r="O1034" s="42">
        <f t="shared" si="49"/>
        <v>2026</v>
      </c>
      <c r="P1034" s="42" t="str">
        <f t="shared" si="50"/>
        <v>202608370/2024</v>
      </c>
      <c r="Q1034" s="42">
        <v>1</v>
      </c>
    </row>
    <row r="1035" spans="1:17" ht="30" hidden="1">
      <c r="A1035" s="46" t="s">
        <v>350</v>
      </c>
      <c r="B1035" s="312" t="str">
        <f>IFERROR(INDEX(Projetos!$B$3:$B$129,MATCH(A1035,Projetos!$A$3:$A$129,0))," ")</f>
        <v>Painel de Estatística   - Justiça 4.0</v>
      </c>
      <c r="D1035" s="48">
        <v>0.9</v>
      </c>
      <c r="E1035" s="48">
        <v>0.71</v>
      </c>
      <c r="F1035" s="49">
        <v>46031</v>
      </c>
      <c r="G1035" s="28">
        <v>45992</v>
      </c>
      <c r="H1035" s="51" t="str">
        <f t="shared" si="48"/>
        <v>03545/202145992</v>
      </c>
      <c r="I1035" s="38">
        <f>IFERROR(INDEX(Projetos!$M$2:$M$129,MATCH(Atualizações!A1021,Projetos!$A$2:$A$129,0))," ")</f>
        <v>46022</v>
      </c>
      <c r="J1035" s="61"/>
      <c r="K1035" s="344">
        <f>IFERROR(Tb_Atualizações[[#This Row],[% EXECUTADO]]/Tb_Atualizações[[#This Row],[% PREVISTO]],"0%")</f>
        <v>0.78888888888888886</v>
      </c>
      <c r="L1035" s="31" t="str" cm="1">
        <f t="array" aca="1" ref="L10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35" s="50"/>
      <c r="N1035" s="397"/>
      <c r="O1035" s="42">
        <f t="shared" si="49"/>
        <v>2026</v>
      </c>
      <c r="P1035" s="42" t="str">
        <f t="shared" si="50"/>
        <v>202603545/2021</v>
      </c>
      <c r="Q1035" s="42">
        <v>1</v>
      </c>
    </row>
    <row r="1036" spans="1:17" ht="15" hidden="1">
      <c r="A1036" s="192" t="s">
        <v>684</v>
      </c>
      <c r="B1036" s="312" t="str">
        <f>IFERROR(INDEX(Projetos!$B$3:$B$129,MATCH(A1036,Projetos!$A$3:$A$129,0))," ")</f>
        <v>Painel dos Grandes Litigantes</v>
      </c>
      <c r="D1036" s="48">
        <v>0.88</v>
      </c>
      <c r="E1036" s="48">
        <v>0.78</v>
      </c>
      <c r="F1036" s="49">
        <v>46031</v>
      </c>
      <c r="G1036" s="28">
        <v>45992</v>
      </c>
      <c r="H1036" s="51" t="str">
        <f t="shared" si="48"/>
        <v>12135/202245992</v>
      </c>
      <c r="I1036" s="38">
        <f>IFERROR(INDEX(Projetos!$M$2:$M$129,MATCH(Atualizações!A1022,Projetos!$A$2:$A$129,0))," ")</f>
        <v>46387</v>
      </c>
      <c r="J1036" s="61"/>
      <c r="K1036" s="344">
        <f>IFERROR(Tb_Atualizações[[#This Row],[% EXECUTADO]]/Tb_Atualizações[[#This Row],[% PREVISTO]],"0%")</f>
        <v>0.88636363636363635</v>
      </c>
      <c r="L1036" s="31" t="str" cm="1">
        <f t="array" aca="1" ref="L10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36" s="50"/>
      <c r="N1036" s="397"/>
      <c r="O1036" s="42">
        <f t="shared" si="49"/>
        <v>2026</v>
      </c>
      <c r="P1036" s="42" t="str">
        <f t="shared" si="50"/>
        <v>202612135/2022</v>
      </c>
      <c r="Q1036" s="42">
        <v>1</v>
      </c>
    </row>
    <row r="1037" spans="1:17" ht="30" hidden="1">
      <c r="A1037" s="192" t="s">
        <v>83</v>
      </c>
      <c r="B1037" s="312" t="str">
        <f>IFERROR(INDEX(Projetos!$B$3:$B$129,MATCH(A1037,Projetos!$A$3:$A$129,0))," ")</f>
        <v>Painel do Programa Desjudicializa</v>
      </c>
      <c r="D1037" s="48">
        <v>1</v>
      </c>
      <c r="E1037" s="48">
        <v>0.66</v>
      </c>
      <c r="F1037" s="49">
        <v>46031</v>
      </c>
      <c r="G1037" s="28">
        <v>45992</v>
      </c>
      <c r="H1037" s="51" t="str">
        <f t="shared" si="48"/>
        <v>00484/202445992</v>
      </c>
      <c r="I1037" s="473">
        <f>IFERROR(INDEX(Projetos!$M$2:$M$129,MATCH(Atualizações!A1037,Projetos!$A$2:$A$129,0))," ")</f>
        <v>46387</v>
      </c>
      <c r="J1037" s="61"/>
      <c r="K1037" s="344">
        <f>IFERROR(Tb_Atualizações[[#This Row],[% EXECUTADO]]/Tb_Atualizações[[#This Row],[% PREVISTO]],"0%")</f>
        <v>0.66</v>
      </c>
      <c r="L1037" s="31" t="str" cm="1">
        <f t="array" aca="1" ref="L10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37" s="50"/>
      <c r="N1037" s="397"/>
      <c r="O1037" s="42">
        <f t="shared" si="49"/>
        <v>2026</v>
      </c>
      <c r="P1037" s="42" t="str">
        <f t="shared" si="50"/>
        <v>202600484/2024</v>
      </c>
      <c r="Q1037" s="42">
        <v>1</v>
      </c>
    </row>
    <row r="1038" spans="1:17" ht="30" hidden="1">
      <c r="A1038" s="192" t="s">
        <v>690</v>
      </c>
      <c r="B1038" s="315" t="str">
        <f>IFERROR(INDEX(Projetos!$B$3:$B$129,MATCH(A1038,Projetos!$A$3:$A$129,0))," ")</f>
        <v>Painel “Justiça Criminal e Sistema Prisional”</v>
      </c>
      <c r="D1038" s="214">
        <v>0.82</v>
      </c>
      <c r="E1038" s="214">
        <v>0.53</v>
      </c>
      <c r="F1038" s="219">
        <v>46031</v>
      </c>
      <c r="G1038" s="220">
        <v>45992</v>
      </c>
      <c r="H1038" s="51" t="str">
        <f t="shared" si="48"/>
        <v>12215/202345992</v>
      </c>
      <c r="I1038" s="473">
        <f>IFERROR(INDEX(Projetos!$M$2:$M$129,MATCH(Atualizações!A1038,Projetos!$A$2:$A$129,0))," ")</f>
        <v>46387</v>
      </c>
      <c r="J1038" s="221"/>
      <c r="K1038" s="344">
        <f>IFERROR(Tb_Atualizações[[#This Row],[% EXECUTADO]]/Tb_Atualizações[[#This Row],[% PREVISTO]],"0%")</f>
        <v>0.64634146341463417</v>
      </c>
      <c r="L1038" s="31" t="str" cm="1">
        <f t="array" aca="1" ref="L10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38" s="215"/>
      <c r="N1038" s="345"/>
      <c r="O1038" s="42">
        <f t="shared" si="49"/>
        <v>2026</v>
      </c>
      <c r="P1038" s="42" t="str">
        <f t="shared" si="50"/>
        <v>202612215/2023</v>
      </c>
      <c r="Q1038" s="42">
        <v>1</v>
      </c>
    </row>
    <row r="1039" spans="1:17" ht="15" hidden="1">
      <c r="A1039" s="192" t="s">
        <v>580</v>
      </c>
      <c r="B1039" s="315" t="str">
        <f>IFERROR(INDEX(Projetos!$B$3:$B$129,MATCH(A1039,Projetos!$A$3:$A$129,0))," ")</f>
        <v>SireneJud 2.0 - Evoluções</v>
      </c>
      <c r="D1039" s="214">
        <v>0.76</v>
      </c>
      <c r="E1039" s="214">
        <v>0.79</v>
      </c>
      <c r="F1039" s="219">
        <v>46031</v>
      </c>
      <c r="G1039" s="220">
        <v>45992</v>
      </c>
      <c r="H1039" s="51" t="str">
        <f t="shared" si="48"/>
        <v>10698/202445992</v>
      </c>
      <c r="I1039" s="473">
        <f>IFERROR(INDEX(Projetos!$M$2:$M$129,MATCH(Atualizações!A1025,Projetos!$A$2:$A$129,0))," ")</f>
        <v>46387</v>
      </c>
      <c r="J1039" s="221"/>
      <c r="K1039" s="344">
        <f>IFERROR(Tb_Atualizações[[#This Row],[% EXECUTADO]]/Tb_Atualizações[[#This Row],[% PREVISTO]],"0%")</f>
        <v>1.0394736842105263</v>
      </c>
      <c r="L1039" s="31" t="str" cm="1">
        <f t="array" aca="1" ref="L10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39" s="215"/>
      <c r="N1039" s="345"/>
      <c r="O1039" s="42">
        <f t="shared" si="49"/>
        <v>2026</v>
      </c>
      <c r="P1039" s="42" t="str">
        <f t="shared" si="50"/>
        <v>202610698/2024</v>
      </c>
      <c r="Q1039" s="42">
        <v>1</v>
      </c>
    </row>
    <row r="1040" spans="1:17" ht="30" hidden="1">
      <c r="A1040" s="192" t="s">
        <v>152</v>
      </c>
      <c r="B1040" s="315" t="str">
        <f>IFERROR(INDEX(Projetos!$B$3:$B$129,MATCH(A1040,Projetos!$A$3:$A$129,0))," ")</f>
        <v>Painel da Fazenda Nacional.</v>
      </c>
      <c r="D1040" s="214">
        <v>0.66</v>
      </c>
      <c r="E1040" s="214">
        <v>0.51</v>
      </c>
      <c r="F1040" s="219">
        <v>46031</v>
      </c>
      <c r="G1040" s="220">
        <v>45992</v>
      </c>
      <c r="H1040" s="51" t="str">
        <f t="shared" si="48"/>
        <v>01247/202545992</v>
      </c>
      <c r="I1040" s="473">
        <f>IFERROR(INDEX(Projetos!$M$2:$M$129,MATCH(Atualizações!A1026,Projetos!$A$2:$A$129,0))," ")</f>
        <v>46203</v>
      </c>
      <c r="J1040" s="221"/>
      <c r="K1040" s="344">
        <f>IFERROR(Tb_Atualizações[[#This Row],[% EXECUTADO]]/Tb_Atualizações[[#This Row],[% PREVISTO]],"0%")</f>
        <v>0.77272727272727271</v>
      </c>
      <c r="L1040" s="31" t="str" cm="1">
        <f t="array" aca="1" ref="L10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40" s="215"/>
      <c r="N1040" s="345"/>
      <c r="O1040" s="42">
        <f t="shared" si="49"/>
        <v>2026</v>
      </c>
      <c r="P1040" s="42" t="str">
        <f t="shared" si="50"/>
        <v>202601247/2025</v>
      </c>
      <c r="Q1040" s="42">
        <v>1</v>
      </c>
    </row>
    <row r="1041" spans="1:17" ht="15" hidden="1">
      <c r="A1041" s="192" t="s">
        <v>661</v>
      </c>
      <c r="B1041" s="315" t="str">
        <f>IFERROR(INDEX(Projetos!$B$3:$B$129,MATCH(A1041,Projetos!$A$3:$A$129,0))," ")</f>
        <v>BNMP – Banco Nacional de Medidas Penais e Prisões – Melhorias Evolutivas</v>
      </c>
      <c r="D1041" s="214">
        <v>0.53</v>
      </c>
      <c r="E1041" s="214">
        <v>0.47</v>
      </c>
      <c r="F1041" s="219">
        <v>46031</v>
      </c>
      <c r="G1041" s="220">
        <v>45992</v>
      </c>
      <c r="H1041" s="51" t="str">
        <f t="shared" si="48"/>
        <v>11776/202445992</v>
      </c>
      <c r="I1041" s="473">
        <f>IFERROR(INDEX(Projetos!$M$2:$M$129,MATCH(Atualizações!A1027,Projetos!$A$2:$A$129,0))," ")</f>
        <v>46387</v>
      </c>
      <c r="J1041" s="221"/>
      <c r="K1041" s="344">
        <f>IFERROR(Tb_Atualizações[[#This Row],[% EXECUTADO]]/Tb_Atualizações[[#This Row],[% PREVISTO]],"0%")</f>
        <v>0.88679245283018859</v>
      </c>
      <c r="L1041" s="31" t="str" cm="1">
        <f t="array" aca="1" ref="L10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41" s="215"/>
      <c r="N1041" s="345"/>
      <c r="O1041" s="42">
        <f t="shared" si="49"/>
        <v>2026</v>
      </c>
      <c r="P1041" s="42" t="str">
        <f t="shared" si="50"/>
        <v>202611776/2024</v>
      </c>
      <c r="Q1041" s="42">
        <v>1</v>
      </c>
    </row>
    <row r="1042" spans="1:17" ht="15" hidden="1">
      <c r="A1042" s="192" t="s">
        <v>396</v>
      </c>
      <c r="B1042" s="315" t="str">
        <f>IFERROR(INDEX(Projetos!$B$3:$B$129,MATCH(A1042,Projetos!$A$3:$A$129,0))," ")</f>
        <v>CODEX - Melhorias Evolutivas e Corretivas</v>
      </c>
      <c r="D1042" s="214">
        <v>0.79</v>
      </c>
      <c r="E1042" s="214">
        <v>0.84</v>
      </c>
      <c r="F1042" s="219">
        <v>46031</v>
      </c>
      <c r="G1042" s="220">
        <v>45992</v>
      </c>
      <c r="H1042" s="51" t="str">
        <f t="shared" si="48"/>
        <v>04751/202245992</v>
      </c>
      <c r="I1042" s="473">
        <f>IFERROR(INDEX(Projetos!$M$2:$M$129,MATCH(Atualizações!A1042,Projetos!$A$2:$A$129,0))," ")</f>
        <v>46387</v>
      </c>
      <c r="J1042" s="221"/>
      <c r="K1042" s="344">
        <f>IFERROR(Tb_Atualizações[[#This Row],[% EXECUTADO]]/Tb_Atualizações[[#This Row],[% PREVISTO]],"0%")</f>
        <v>1.0632911392405062</v>
      </c>
      <c r="L1042" s="31" t="str" cm="1">
        <f t="array" aca="1" ref="L10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42" s="215"/>
      <c r="N1042" s="345"/>
      <c r="O1042" s="42">
        <f t="shared" si="49"/>
        <v>2026</v>
      </c>
      <c r="P1042" s="42" t="str">
        <f t="shared" si="50"/>
        <v>202604751/2022</v>
      </c>
      <c r="Q1042" s="42">
        <v>1</v>
      </c>
    </row>
    <row r="1043" spans="1:17" ht="30" hidden="1">
      <c r="A1043" s="192" t="s">
        <v>416</v>
      </c>
      <c r="B1043" s="315" t="str">
        <f>IFERROR(INDEX(Projetos!$B$3:$B$129,MATCH(A1043,Projetos!$A$3:$A$129,0))," ")</f>
        <v>Conecta</v>
      </c>
      <c r="D1043" s="214">
        <v>0.62</v>
      </c>
      <c r="E1043" s="214">
        <v>0.44</v>
      </c>
      <c r="F1043" s="219">
        <v>46031</v>
      </c>
      <c r="G1043" s="220">
        <v>45992</v>
      </c>
      <c r="H1043" s="51" t="str">
        <f t="shared" ref="H1043:H1106" si="51">A1043&amp;G1043</f>
        <v>05578/202445992</v>
      </c>
      <c r="I1043" s="473" t="str">
        <f>IFERROR(INDEX(Projetos!$M$2:$M$129,MATCH(Atualizações!A1030,Projetos!$A$2:$A$129,0))," ")</f>
        <v>31/03/2026</v>
      </c>
      <c r="J1043" s="221"/>
      <c r="K1043" s="344">
        <f>IFERROR(Tb_Atualizações[[#This Row],[% EXECUTADO]]/Tb_Atualizações[[#This Row],[% PREVISTO]],"0%")</f>
        <v>0.70967741935483875</v>
      </c>
      <c r="L1043" s="31" t="str" cm="1">
        <f t="array" aca="1" ref="L10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43" s="215"/>
      <c r="N1043" s="345"/>
      <c r="O1043" s="42">
        <f t="shared" ref="O1043:O1106" si="52">YEAR(F1043)</f>
        <v>2026</v>
      </c>
      <c r="P1043" s="42" t="str">
        <f t="shared" ref="P1043:P1106" si="53">O1043&amp;A1043</f>
        <v>202605578/2024</v>
      </c>
      <c r="Q1043" s="42">
        <v>1</v>
      </c>
    </row>
    <row r="1044" spans="1:17" ht="30" hidden="1">
      <c r="A1044" s="192" t="s">
        <v>549</v>
      </c>
      <c r="B1044" s="315" t="str">
        <f>IFERROR(INDEX(Projetos!$B$3:$B$129,MATCH(A1044,Projetos!$A$3:$A$129,0))," ")</f>
        <v>Fluxo Nacional Automatizado das Execuções Fiscais (EFIN)</v>
      </c>
      <c r="D1044" s="214">
        <v>0.99</v>
      </c>
      <c r="E1044" s="214">
        <v>0.56999999999999995</v>
      </c>
      <c r="F1044" s="219">
        <v>46031</v>
      </c>
      <c r="G1044" s="220">
        <v>45992</v>
      </c>
      <c r="H1044" s="51" t="str">
        <f t="shared" si="51"/>
        <v>09796/202445992</v>
      </c>
      <c r="I1044" s="473">
        <f>IFERROR(INDEX(Projetos!$M$2:$M$129,MATCH(Atualizações!A1044,Projetos!$A$2:$A$129,0))," ")</f>
        <v>46226</v>
      </c>
      <c r="J1044" s="221"/>
      <c r="K1044" s="344">
        <f>IFERROR(Tb_Atualizações[[#This Row],[% EXECUTADO]]/Tb_Atualizações[[#This Row],[% PREVISTO]],"0%")</f>
        <v>0.57575757575757569</v>
      </c>
      <c r="L1044" s="31" t="str" cm="1">
        <f t="array" aca="1" ref="L10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44" s="215"/>
      <c r="N1044" s="345"/>
      <c r="O1044" s="42">
        <f t="shared" si="52"/>
        <v>2026</v>
      </c>
      <c r="P1044" s="42" t="str">
        <f t="shared" si="53"/>
        <v>202609796/2024</v>
      </c>
      <c r="Q1044" s="42">
        <v>1</v>
      </c>
    </row>
    <row r="1045" spans="1:17" ht="15" hidden="1">
      <c r="A1045" s="192" t="s">
        <v>917</v>
      </c>
      <c r="B1045" s="315" t="str">
        <f>IFERROR(INDEX(Projetos!$B$3:$B$129,MATCH(A1045,Projetos!$A$3:$A$129,0))," ")</f>
        <v>e-NatJus 4.0</v>
      </c>
      <c r="D1045" s="214">
        <v>0.61</v>
      </c>
      <c r="E1045" s="214">
        <v>0.61</v>
      </c>
      <c r="F1045" s="219">
        <v>46031</v>
      </c>
      <c r="G1045" s="220">
        <v>45992</v>
      </c>
      <c r="H1045" s="51" t="str">
        <f t="shared" si="51"/>
        <v>17529/202445992</v>
      </c>
      <c r="I1045" s="473">
        <f>IFERROR(INDEX(Projetos!$M$2:$M$129,MATCH(Atualizações!A1045,Projetos!$A$2:$A$129,0))," ")</f>
        <v>46386</v>
      </c>
      <c r="J1045" s="221"/>
      <c r="K1045" s="344">
        <f>IFERROR(Tb_Atualizações[[#This Row],[% EXECUTADO]]/Tb_Atualizações[[#This Row],[% PREVISTO]],"0%")</f>
        <v>1</v>
      </c>
      <c r="L1045" s="31" t="str" cm="1">
        <f t="array" aca="1" ref="L10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45" s="215"/>
      <c r="N1045" s="345"/>
      <c r="O1045" s="42">
        <f t="shared" si="52"/>
        <v>2026</v>
      </c>
      <c r="P1045" s="42" t="str">
        <f t="shared" si="53"/>
        <v>202617529/2024</v>
      </c>
      <c r="Q1045" s="42">
        <v>1</v>
      </c>
    </row>
    <row r="1046" spans="1:17" ht="30" hidden="1">
      <c r="A1046" s="192" t="s">
        <v>738</v>
      </c>
      <c r="B1046" s="315" t="str">
        <f>IFERROR(INDEX(Projetos!$B$3:$B$129,MATCH(A1046,Projetos!$A$3:$A$129,0))," ")</f>
        <v>FONAR - Formulário Nacional de Avaliação de Risco e Formulário Rogéria</v>
      </c>
      <c r="D1046" s="214">
        <v>0.63</v>
      </c>
      <c r="E1046" s="214">
        <v>0.46</v>
      </c>
      <c r="F1046" s="49">
        <v>46031</v>
      </c>
      <c r="G1046" s="220">
        <v>45992</v>
      </c>
      <c r="H1046" s="51" t="str">
        <f t="shared" si="51"/>
        <v>16319/202445992</v>
      </c>
      <c r="I1046" s="473">
        <f>IFERROR(INDEX(Projetos!$M$2:$M$129,MATCH(Atualizações!A1035,Projetos!$A$2:$A$129,0))," ")</f>
        <v>46387</v>
      </c>
      <c r="J1046" s="61"/>
      <c r="K1046" s="344">
        <f>IFERROR(Tb_Atualizações[[#This Row],[% EXECUTADO]]/Tb_Atualizações[[#This Row],[% PREVISTO]],"0%")</f>
        <v>0.73015873015873023</v>
      </c>
      <c r="L1046" s="31" t="str" cm="1">
        <f t="array" aca="1" ref="L10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46" s="215"/>
      <c r="N1046" s="345"/>
      <c r="O1046" s="42">
        <f t="shared" si="52"/>
        <v>2026</v>
      </c>
      <c r="P1046" s="42" t="str">
        <f t="shared" si="53"/>
        <v>202616319/2024</v>
      </c>
      <c r="Q1046" s="42">
        <v>1</v>
      </c>
    </row>
    <row r="1047" spans="1:17" ht="30" hidden="1">
      <c r="A1047" s="192" t="s">
        <v>229</v>
      </c>
      <c r="B1047" s="315" t="str">
        <f>IFERROR(INDEX(Projetos!$B$3:$B$129,MATCH(A1047,Projetos!$A$3:$A$129,0))," ")</f>
        <v>Gabinete do Juízo</v>
      </c>
      <c r="D1047" s="214">
        <v>0.77</v>
      </c>
      <c r="E1047" s="214">
        <v>0.56999999999999995</v>
      </c>
      <c r="F1047" s="219">
        <v>46031</v>
      </c>
      <c r="G1047" s="220">
        <v>45992</v>
      </c>
      <c r="H1047" s="51" t="str">
        <f t="shared" si="51"/>
        <v>02080/202345992</v>
      </c>
      <c r="I1047" s="473" t="str">
        <f>IFERROR(INDEX(Projetos!$M$2:$M$129,MATCH(Atualizações!A1036,Projetos!$A$2:$A$129,0))," ")</f>
        <v>30/06/26</v>
      </c>
      <c r="J1047" s="221"/>
      <c r="K1047" s="344">
        <f>IFERROR(Tb_Atualizações[[#This Row],[% EXECUTADO]]/Tb_Atualizações[[#This Row],[% PREVISTO]],"0%")</f>
        <v>0.74025974025974017</v>
      </c>
      <c r="L1047" s="31" t="str" cm="1">
        <f t="array" aca="1" ref="L10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47" s="215"/>
      <c r="N1047" s="345"/>
      <c r="O1047" s="42">
        <f t="shared" si="52"/>
        <v>2026</v>
      </c>
      <c r="P1047" s="42" t="str">
        <f t="shared" si="53"/>
        <v>202602080/2023</v>
      </c>
      <c r="Q1047" s="42">
        <v>1</v>
      </c>
    </row>
    <row r="1048" spans="1:17" ht="15" hidden="1">
      <c r="A1048" s="192" t="s">
        <v>189</v>
      </c>
      <c r="B1048" s="315" t="str">
        <f>IFERROR(INDEX(Projetos!$B$3:$B$129,MATCH(A1048,Projetos!$A$3:$A$129,0))," ")</f>
        <v>Gestão de Clientes</v>
      </c>
      <c r="D1048" s="214">
        <v>0.73</v>
      </c>
      <c r="E1048" s="214">
        <v>0.78</v>
      </c>
      <c r="F1048" s="219">
        <v>46031</v>
      </c>
      <c r="G1048" s="220">
        <v>45992</v>
      </c>
      <c r="H1048" s="51" t="str">
        <f t="shared" si="51"/>
        <v>01809/202545992</v>
      </c>
      <c r="I1048" s="38">
        <f>IFERROR(INDEX(Projetos!$M$2:$M$129,MATCH(Atualizações!A1048,Projetos!$A$2:$A$129,0))," ")</f>
        <v>46083</v>
      </c>
      <c r="J1048" s="221"/>
      <c r="K1048" s="344">
        <f>IFERROR(Tb_Atualizações[[#This Row],[% EXECUTADO]]/Tb_Atualizações[[#This Row],[% PREVISTO]],"0%")</f>
        <v>1.0684931506849316</v>
      </c>
      <c r="L1048" s="31" t="str" cm="1">
        <f t="array" aca="1" ref="L10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48" s="215"/>
      <c r="N1048" s="345"/>
      <c r="O1048" s="42">
        <f t="shared" si="52"/>
        <v>2026</v>
      </c>
      <c r="P1048" s="42" t="str">
        <f t="shared" si="53"/>
        <v>202601809/2025</v>
      </c>
      <c r="Q1048" s="42">
        <v>1</v>
      </c>
    </row>
    <row r="1049" spans="1:17" ht="30" hidden="1">
      <c r="A1049" s="192" t="s">
        <v>310</v>
      </c>
      <c r="B1049" s="315" t="str">
        <f>IFERROR(INDEX(Projetos!$B$3:$B$129,MATCH(A1049,Projetos!$A$3:$A$129,0))," ")</f>
        <v>Apoio a implantação de soluções da PDPJ-Br</v>
      </c>
      <c r="D1049" s="214">
        <v>0.78</v>
      </c>
      <c r="E1049" s="214">
        <v>0.6</v>
      </c>
      <c r="F1049" s="219">
        <v>46031</v>
      </c>
      <c r="G1049" s="220">
        <v>45992</v>
      </c>
      <c r="H1049" s="51" t="str">
        <f t="shared" si="51"/>
        <v>02887/202445992</v>
      </c>
      <c r="I1049" s="473">
        <f>IFERROR(INDEX(Projetos!$M$2:$M$129,MATCH(Atualizações!A1049,Projetos!$A$2:$A$129,0))," ")</f>
        <v>46387</v>
      </c>
      <c r="J1049" s="221"/>
      <c r="K1049" s="344">
        <f>IFERROR(Tb_Atualizações[[#This Row],[% EXECUTADO]]/Tb_Atualizações[[#This Row],[% PREVISTO]],"0%")</f>
        <v>0.76923076923076916</v>
      </c>
      <c r="L1049" s="31" t="str" cm="1">
        <f t="array" aca="1" ref="L10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49" s="215"/>
      <c r="N1049" s="345"/>
      <c r="O1049" s="42">
        <f t="shared" si="52"/>
        <v>2026</v>
      </c>
      <c r="P1049" s="42" t="str">
        <f t="shared" si="53"/>
        <v>202602887/2024</v>
      </c>
      <c r="Q1049" s="42">
        <v>1</v>
      </c>
    </row>
    <row r="1050" spans="1:17" ht="15" hidden="1">
      <c r="A1050" s="192" t="s">
        <v>58</v>
      </c>
      <c r="B1050" s="315" t="str">
        <f>IFERROR(INDEX(Projetos!$B$3:$B$129,MATCH(A1050,Projetos!$A$3:$A$129,0))," ")</f>
        <v>Phase-out: Transição Projetos X Operação</v>
      </c>
      <c r="D1050" s="48">
        <v>0.5</v>
      </c>
      <c r="E1050" s="48">
        <v>0.75</v>
      </c>
      <c r="F1050" s="49">
        <v>46031</v>
      </c>
      <c r="G1050" s="28">
        <v>45992</v>
      </c>
      <c r="H1050" s="51" t="str">
        <f t="shared" si="51"/>
        <v>00030/202545992</v>
      </c>
      <c r="I1050" s="473">
        <f>IFERROR(INDEX(Projetos!$M$2:$M$129,MATCH(Atualizações!A1041,Projetos!$A$2:$A$129,0))," ")</f>
        <v>46379</v>
      </c>
      <c r="J1050" s="221"/>
      <c r="K1050" s="344">
        <f>IFERROR(Tb_Atualizações[[#This Row],[% EXECUTADO]]/Tb_Atualizações[[#This Row],[% PREVISTO]],"0%")</f>
        <v>1.5</v>
      </c>
      <c r="L1050" s="31" t="str" cm="1">
        <f t="array" aca="1" ref="L10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50" s="215"/>
      <c r="N1050" s="345"/>
      <c r="O1050" s="42">
        <f t="shared" si="52"/>
        <v>2026</v>
      </c>
      <c r="P1050" s="42" t="str">
        <f t="shared" si="53"/>
        <v>202600030/2025</v>
      </c>
      <c r="Q1050" s="42">
        <v>1</v>
      </c>
    </row>
    <row r="1051" spans="1:17" ht="15" hidden="1">
      <c r="A1051" s="192" t="s">
        <v>773</v>
      </c>
      <c r="B1051" s="315" t="str">
        <f>IFERROR(INDEX(Projetos!$B$3:$B$129,MATCH(A1051,Projetos!$A$3:$A$129,0))," ")</f>
        <v>API de Pessoas</v>
      </c>
      <c r="D1051" s="214">
        <v>0.76</v>
      </c>
      <c r="E1051" s="214">
        <v>0.7</v>
      </c>
      <c r="F1051" s="219">
        <v>46031</v>
      </c>
      <c r="G1051" s="220">
        <v>45992</v>
      </c>
      <c r="H1051" s="51" t="str">
        <f t="shared" si="51"/>
        <v>17372/2024 45992</v>
      </c>
      <c r="I1051" s="473">
        <f>IFERROR(INDEX(Projetos!$M$2:$M$129,MATCH(Atualizações!A1051,Projetos!$A$2:$A$129,0))," ")</f>
        <v>46371</v>
      </c>
      <c r="J1051" s="221"/>
      <c r="K1051" s="344">
        <f>IFERROR(Tb_Atualizações[[#This Row],[% EXECUTADO]]/Tb_Atualizações[[#This Row],[% PREVISTO]],"0%")</f>
        <v>0.92105263157894735</v>
      </c>
      <c r="L1051" s="31" t="str" cm="1">
        <f t="array" aca="1" ref="L10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51" s="215"/>
      <c r="N1051" s="345"/>
      <c r="O1051" s="42">
        <f t="shared" si="52"/>
        <v>2026</v>
      </c>
      <c r="P1051" s="42" t="str">
        <f t="shared" si="53"/>
        <v xml:space="preserve">202617372/2024 </v>
      </c>
      <c r="Q1051" s="42">
        <v>1</v>
      </c>
    </row>
    <row r="1052" spans="1:17" ht="45" hidden="1">
      <c r="A1052" s="192" t="s">
        <v>219</v>
      </c>
      <c r="B1052" s="315" t="str">
        <f>IFERROR(INDEX(Projetos!$B$3:$B$129,MATCH(A1052,Projetos!$A$3:$A$129,0))," ")</f>
        <v xml:space="preserve">Aperfeiçoamento funcional em temáticas prioritárias para o CNJ e para Justiça Federal 
(cursos, capacitações, metodologias e ferramentas avançados) – Ciclo Avançado </v>
      </c>
      <c r="D1052" s="214">
        <v>0.6</v>
      </c>
      <c r="E1052" s="214">
        <v>0.61</v>
      </c>
      <c r="F1052" s="219">
        <v>46031</v>
      </c>
      <c r="G1052" s="220">
        <v>45992</v>
      </c>
      <c r="H1052" s="51" t="str">
        <f t="shared" si="51"/>
        <v>02024/202445992</v>
      </c>
      <c r="I1052" s="473">
        <f>IFERROR(INDEX(Projetos!$M$2:$M$129,MATCH(Atualizações!A1052,Projetos!$A$2:$A$129,0))," ")</f>
        <v>46246</v>
      </c>
      <c r="J1052" s="221"/>
      <c r="K1052" s="344">
        <f>IFERROR(Tb_Atualizações[[#This Row],[% EXECUTADO]]/Tb_Atualizações[[#This Row],[% PREVISTO]],"0%")</f>
        <v>1.0166666666666666</v>
      </c>
      <c r="L1052" s="31" t="str" cm="1">
        <f t="array" aca="1" ref="L10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52" s="215"/>
      <c r="N1052" s="345"/>
      <c r="O1052" s="42">
        <f t="shared" si="52"/>
        <v>2026</v>
      </c>
      <c r="P1052" s="42" t="str">
        <f t="shared" si="53"/>
        <v>202602024/2024</v>
      </c>
      <c r="Q1052" s="42">
        <v>1</v>
      </c>
    </row>
    <row r="1053" spans="1:17" ht="15" hidden="1">
      <c r="A1053" s="192" t="s">
        <v>766</v>
      </c>
      <c r="B1053" s="315" t="str">
        <f>IFERROR(INDEX(Projetos!$B$3:$B$129,MATCH(A1053,Projetos!$A$3:$A$129,0))," ")</f>
        <v>Painel Crime Organizado</v>
      </c>
      <c r="D1053" s="214">
        <v>0.38</v>
      </c>
      <c r="E1053" s="214">
        <v>0.38</v>
      </c>
      <c r="F1053" s="219">
        <v>46031</v>
      </c>
      <c r="G1053" s="220">
        <v>45992</v>
      </c>
      <c r="H1053" s="51" t="str">
        <f t="shared" si="51"/>
        <v>17085/202545992</v>
      </c>
      <c r="I1053" s="473">
        <f>IFERROR(INDEX(Projetos!$M$2:$M$129,MATCH(Atualizações!A1044,Projetos!$A$2:$A$129,0))," ")</f>
        <v>46226</v>
      </c>
      <c r="J1053" s="221"/>
      <c r="K1053" s="344">
        <f>IFERROR(Tb_Atualizações[[#This Row],[% EXECUTADO]]/Tb_Atualizações[[#This Row],[% PREVISTO]],"0%")</f>
        <v>1</v>
      </c>
      <c r="L1053" s="31" t="str" cm="1">
        <f t="array" aca="1" ref="L10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53" s="215"/>
      <c r="N1053" s="345"/>
      <c r="O1053" s="42">
        <f t="shared" si="52"/>
        <v>2026</v>
      </c>
      <c r="P1053" s="42" t="str">
        <f t="shared" si="53"/>
        <v>202617085/2025</v>
      </c>
      <c r="Q1053" s="42">
        <v>1</v>
      </c>
    </row>
    <row r="1054" spans="1:17" ht="15" hidden="1">
      <c r="A1054" s="467" t="s">
        <v>644</v>
      </c>
      <c r="B1054" s="315" t="str">
        <f>IFERROR(INDEX(Projetos!$B$3:$B$129,MATCH(A1054,Projetos!$A$3:$A$129,0))," ")</f>
        <v>BNP/Pangea</v>
      </c>
      <c r="D1054" s="214">
        <v>0.75</v>
      </c>
      <c r="E1054" s="214">
        <v>0.73</v>
      </c>
      <c r="F1054" s="219">
        <v>46031</v>
      </c>
      <c r="G1054" s="220">
        <v>45992</v>
      </c>
      <c r="H1054" s="51" t="str">
        <f t="shared" si="51"/>
        <v>11645/202245992</v>
      </c>
      <c r="I1054" s="473" t="str">
        <f>IFERROR(INDEX(Projetos!$M$2:$M$129,MATCH(Atualizações!A1054,Projetos!$A$2:$A$129,0))," ")</f>
        <v>23/12/2026</v>
      </c>
      <c r="J1054" s="221"/>
      <c r="K1054" s="344">
        <f>IFERROR(Tb_Atualizações[[#This Row],[% EXECUTADO]]/Tb_Atualizações[[#This Row],[% PREVISTO]],"0%")</f>
        <v>0.97333333333333327</v>
      </c>
      <c r="L1054" s="498" t="str" cm="1">
        <f t="array" aca="1" ref="L10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54" s="215"/>
      <c r="N1054" s="345"/>
      <c r="O1054" s="42">
        <f t="shared" si="52"/>
        <v>2026</v>
      </c>
      <c r="P1054" s="42" t="str">
        <f t="shared" si="53"/>
        <v>202611645/2022</v>
      </c>
      <c r="Q1054" s="42">
        <v>1</v>
      </c>
    </row>
    <row r="1055" spans="1:17" ht="15" hidden="1">
      <c r="A1055" s="467" t="s">
        <v>129</v>
      </c>
      <c r="B1055" s="315" t="str">
        <f>IFERROR(INDEX(Projetos!$B$3:$B$129,MATCH(A1055,Projetos!$A$3:$A$129,0))," ")</f>
        <v>Data Lake - Melhorias Evolutivas e Corretivas</v>
      </c>
      <c r="D1055" s="48">
        <v>0.5</v>
      </c>
      <c r="E1055" s="48">
        <v>0.46</v>
      </c>
      <c r="F1055" s="219">
        <v>46031</v>
      </c>
      <c r="G1055" s="220">
        <v>45992</v>
      </c>
      <c r="H1055" s="51" t="str">
        <f t="shared" si="51"/>
        <v>01167/202545992</v>
      </c>
      <c r="I1055" s="473">
        <f>IFERROR(INDEX(Projetos!$M$2:$M$129,MATCH(Atualizações!A1067,Projetos!$A$2:$A$129,0))," ")</f>
        <v>46285</v>
      </c>
      <c r="J1055" s="221"/>
      <c r="K1055" s="344">
        <f>IFERROR(Tb_Atualizações[[#This Row],[% EXECUTADO]]/Tb_Atualizações[[#This Row],[% PREVISTO]],"0%")</f>
        <v>0.92</v>
      </c>
      <c r="L1055" s="498" t="str" cm="1">
        <f t="array" aca="1" ref="L10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55" s="215"/>
      <c r="N1055" s="345"/>
      <c r="O1055" s="42">
        <f t="shared" si="52"/>
        <v>2026</v>
      </c>
      <c r="P1055" s="42" t="str">
        <f t="shared" si="53"/>
        <v>202601167/2025</v>
      </c>
    </row>
    <row r="1056" spans="1:17" ht="15" hidden="1">
      <c r="A1056" s="192" t="s">
        <v>517</v>
      </c>
      <c r="B1056" s="315" t="str">
        <f>IFERROR(INDEX(Projetos!$B$3:$B$129,MATCH(A1056,Projetos!$A$3:$A$129,0))," ")</f>
        <v>Domicílio Judicial Eletrônico - Melhorias Evolutivas</v>
      </c>
      <c r="D1056" s="214">
        <v>0.79</v>
      </c>
      <c r="E1056" s="214">
        <v>0.73</v>
      </c>
      <c r="F1056" s="219">
        <v>46031</v>
      </c>
      <c r="G1056" s="220">
        <v>45992</v>
      </c>
      <c r="H1056" s="51" t="str">
        <f t="shared" si="51"/>
        <v>09445/202345992</v>
      </c>
      <c r="I1056" s="473">
        <f>IFERROR(INDEX(Projetos!$M$2:$M$129,MATCH(Atualizações!A1056,Projetos!$A$2:$A$129,0))," ")</f>
        <v>46203</v>
      </c>
      <c r="J1056" s="221"/>
      <c r="K1056" s="344">
        <f>IFERROR(Tb_Atualizações[[#This Row],[% EXECUTADO]]/Tb_Atualizações[[#This Row],[% PREVISTO]],"0%")</f>
        <v>0.92405063291139233</v>
      </c>
      <c r="L1056" s="498" t="str" cm="1">
        <f t="array" aca="1" ref="L10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56" s="215"/>
      <c r="N1056" s="345"/>
      <c r="O1056" s="42">
        <f t="shared" si="52"/>
        <v>2026</v>
      </c>
      <c r="P1056" s="42" t="str">
        <f t="shared" si="53"/>
        <v>202609445/2023</v>
      </c>
      <c r="Q1056" s="42">
        <v>1</v>
      </c>
    </row>
    <row r="1057" spans="1:17" ht="15" hidden="1">
      <c r="A1057" s="192" t="s">
        <v>247</v>
      </c>
      <c r="B1057" s="315" t="str">
        <f>IFERROR(INDEX(Projetos!$B$3:$B$129,MATCH(A1057,Projetos!$A$3:$A$129,0))," ")</f>
        <v>Portal de Serviços</v>
      </c>
      <c r="D1057" s="214">
        <v>0.99</v>
      </c>
      <c r="E1057" s="214">
        <v>0.9</v>
      </c>
      <c r="F1057" s="219">
        <v>46031</v>
      </c>
      <c r="G1057" s="220">
        <v>45992</v>
      </c>
      <c r="H1057" s="51" t="str">
        <f t="shared" si="51"/>
        <v>02394/202445992</v>
      </c>
      <c r="I1057" s="473">
        <f>IFERROR(INDEX(Projetos!$M$2:$M$129,MATCH(Atualizações!A1057,Projetos!$A$2:$A$129,0))," ")</f>
        <v>46387</v>
      </c>
      <c r="J1057" s="221"/>
      <c r="K1057" s="344">
        <f>IFERROR(Tb_Atualizações[[#This Row],[% EXECUTADO]]/Tb_Atualizações[[#This Row],[% PREVISTO]],"0%")</f>
        <v>0.90909090909090917</v>
      </c>
      <c r="L1057" s="498" t="str" cm="1">
        <f t="array" aca="1" ref="L10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57" s="215"/>
      <c r="N1057" s="345"/>
      <c r="O1057" s="42">
        <f t="shared" si="52"/>
        <v>2026</v>
      </c>
      <c r="P1057" s="42" t="str">
        <f t="shared" si="53"/>
        <v>202602394/2024</v>
      </c>
      <c r="Q1057" s="42">
        <v>1</v>
      </c>
    </row>
    <row r="1058" spans="1:17" ht="30" hidden="1">
      <c r="A1058" s="467" t="s">
        <v>722</v>
      </c>
      <c r="B1058" s="315" t="str">
        <f>IFERROR(INDEX(Projetos!$B$3:$B$129,MATCH(A1058,Projetos!$A$3:$A$129,0))," ")</f>
        <v>Serviços Estruturantes - Melhorias Evolutivas e Corretivas</v>
      </c>
      <c r="D1058" s="214">
        <v>0.68</v>
      </c>
      <c r="E1058" s="214">
        <v>0.55000000000000004</v>
      </c>
      <c r="F1058" s="219">
        <v>46031</v>
      </c>
      <c r="G1058" s="220">
        <v>45992</v>
      </c>
      <c r="H1058" s="51" t="str">
        <f t="shared" si="51"/>
        <v>14965/202445992</v>
      </c>
      <c r="I1058" s="473">
        <f>IFERROR(INDEX(Projetos!$M$2:$M$129,MATCH(Atualizações!A1058,Projetos!$A$2:$A$129,0))," ")</f>
        <v>46387</v>
      </c>
      <c r="J1058" s="221"/>
      <c r="K1058" s="344">
        <f>IFERROR(Tb_Atualizações[[#This Row],[% EXECUTADO]]/Tb_Atualizações[[#This Row],[% PREVISTO]],"0%")</f>
        <v>0.80882352941176472</v>
      </c>
      <c r="L1058" s="498" t="str" cm="1">
        <f t="array" aca="1" ref="L10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58" s="215"/>
      <c r="N1058" s="345"/>
      <c r="O1058" s="42">
        <f t="shared" si="52"/>
        <v>2026</v>
      </c>
      <c r="P1058" s="42" t="str">
        <f t="shared" si="53"/>
        <v>202614965/2024</v>
      </c>
      <c r="Q1058" s="42">
        <v>1</v>
      </c>
    </row>
    <row r="1059" spans="1:17" ht="15" hidden="1">
      <c r="A1059" s="192" t="s">
        <v>257</v>
      </c>
      <c r="B1059" s="315" t="str">
        <f>IFERROR(INDEX(Projetos!$B$3:$B$129,MATCH(A1059,Projetos!$A$3:$A$129,0))," ")</f>
        <v>SisPreq – Sistema de Precatórios e Requisições de Pequeno Valor</v>
      </c>
      <c r="D1059" s="214">
        <v>0.67</v>
      </c>
      <c r="E1059" s="214">
        <v>0.87</v>
      </c>
      <c r="F1059" s="219">
        <v>46031</v>
      </c>
      <c r="G1059" s="220">
        <v>45992</v>
      </c>
      <c r="H1059" s="51" t="str">
        <f t="shared" si="51"/>
        <v>02465/202445992</v>
      </c>
      <c r="I1059" s="473">
        <f>IFERROR(INDEX(Projetos!$M$2:$M$129,MATCH(Atualizações!A1072,Projetos!$A$2:$A$129,0))," ")</f>
        <v>46037</v>
      </c>
      <c r="J1059" s="221"/>
      <c r="K1059" s="344">
        <f>IFERROR(Tb_Atualizações[[#This Row],[% EXECUTADO]]/Tb_Atualizações[[#This Row],[% PREVISTO]],"0%")</f>
        <v>1.2985074626865671</v>
      </c>
      <c r="L1059" s="498" t="str" cm="1">
        <f t="array" aca="1" ref="L10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59" s="215"/>
      <c r="N1059" s="345"/>
      <c r="O1059" s="42">
        <f t="shared" si="52"/>
        <v>2026</v>
      </c>
      <c r="P1059" s="42" t="str">
        <f t="shared" si="53"/>
        <v>202602465/2024</v>
      </c>
      <c r="Q1059" s="42">
        <v>1</v>
      </c>
    </row>
    <row r="1060" spans="1:17" ht="15" hidden="1">
      <c r="A1060" s="192" t="s">
        <v>431</v>
      </c>
      <c r="B1060" s="315" t="str">
        <f>IFERROR(INDEX(Projetos!$B$3:$B$129,MATCH(A1060,Projetos!$A$3:$A$129,0))," ")</f>
        <v>Sniper BC</v>
      </c>
      <c r="D1060" s="214">
        <v>0.74</v>
      </c>
      <c r="E1060" s="214">
        <v>0.69</v>
      </c>
      <c r="F1060" s="219">
        <v>46031</v>
      </c>
      <c r="G1060" s="220">
        <v>45992</v>
      </c>
      <c r="H1060" s="51" t="str">
        <f t="shared" si="51"/>
        <v>06826/202445992</v>
      </c>
      <c r="I1060" s="473">
        <f>IFERROR(INDEX(Projetos!$M$2:$M$129,MATCH(Atualizações!A1060,Projetos!$A$2:$A$129,0))," ")</f>
        <v>46281</v>
      </c>
      <c r="J1060" s="221"/>
      <c r="K1060" s="344">
        <f>IFERROR(Tb_Atualizações[[#This Row],[% EXECUTADO]]/Tb_Atualizações[[#This Row],[% PREVISTO]],"0%")</f>
        <v>0.93243243243243235</v>
      </c>
      <c r="L1060" s="498" t="str" cm="1">
        <f t="array" aca="1" ref="L10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60" s="215"/>
      <c r="N1060" s="345"/>
      <c r="O1060" s="42">
        <f t="shared" si="52"/>
        <v>2026</v>
      </c>
      <c r="P1060" s="42" t="str">
        <f t="shared" si="53"/>
        <v>202606826/2024</v>
      </c>
      <c r="Q1060" s="42">
        <v>1</v>
      </c>
    </row>
    <row r="1061" spans="1:17" ht="15" hidden="1">
      <c r="A1061" s="192" t="s">
        <v>756</v>
      </c>
      <c r="B1061" s="315" t="str">
        <f>IFERROR(INDEX(Projetos!$B$3:$B$129,MATCH(A1061,Projetos!$A$3:$A$129,0))," ")</f>
        <v>Módulo de Pessoal e Estrutura Judiciária Mensal (MPM) V.2</v>
      </c>
      <c r="D1061" s="214">
        <v>0.09</v>
      </c>
      <c r="E1061" s="214">
        <v>0.09</v>
      </c>
      <c r="F1061" s="219">
        <v>46031</v>
      </c>
      <c r="G1061" s="220">
        <v>45992</v>
      </c>
      <c r="H1061" s="51" t="str">
        <f t="shared" si="51"/>
        <v>16882/202545992</v>
      </c>
      <c r="I1061" s="473">
        <f>IFERROR(INDEX(Projetos!$M$2:$M$129,MATCH(Atualizações!A1061,Projetos!$A$2:$A$129,0))," ")</f>
        <v>46387</v>
      </c>
      <c r="J1061" s="221" t="s">
        <v>1470</v>
      </c>
      <c r="K1061" s="344">
        <f>IFERROR(Tb_Atualizações[[#This Row],[% EXECUTADO]]/Tb_Atualizações[[#This Row],[% PREVISTO]],"0%")</f>
        <v>1</v>
      </c>
      <c r="L1061" s="498" t="str" cm="1">
        <f t="array" aca="1" ref="L10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1" s="215"/>
      <c r="N1061" s="345"/>
      <c r="O1061" s="42">
        <f t="shared" si="52"/>
        <v>2026</v>
      </c>
      <c r="P1061" s="42" t="str">
        <f t="shared" si="53"/>
        <v>202616882/2025</v>
      </c>
      <c r="Q1061" s="42">
        <v>1</v>
      </c>
    </row>
    <row r="1062" spans="1:17" ht="15" hidden="1">
      <c r="A1062" s="192" t="s">
        <v>236</v>
      </c>
      <c r="B1062" s="315" t="str">
        <f>IFERROR(INDEX(Projetos!$B$3:$B$129,MATCH(A1062,Projetos!$A$3:$A$129,0))," ")</f>
        <v>SEEU - Reescrita</v>
      </c>
      <c r="D1062" s="214">
        <v>0.54</v>
      </c>
      <c r="E1062" s="214">
        <v>0.54</v>
      </c>
      <c r="F1062" s="219">
        <v>46031</v>
      </c>
      <c r="G1062" s="220">
        <v>46023</v>
      </c>
      <c r="H1062" s="51" t="str">
        <f t="shared" si="51"/>
        <v>02245/202546023</v>
      </c>
      <c r="I1062" s="473">
        <f>IFERROR(INDEX(Projetos!$M$2:$M$129,MATCH(Atualizações!A1062,Projetos!$A$2:$A$129,0))," ")</f>
        <v>46387</v>
      </c>
      <c r="J1062" s="221" t="s">
        <v>1471</v>
      </c>
      <c r="K1062" s="344">
        <f>IFERROR(Tb_Atualizações[[#This Row],[% EXECUTADO]]/Tb_Atualizações[[#This Row],[% PREVISTO]],"0%")</f>
        <v>1</v>
      </c>
      <c r="L1062" s="498" t="str" cm="1">
        <f t="array" aca="1" ref="L10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2" s="215"/>
      <c r="N1062" s="345"/>
      <c r="O1062" s="42">
        <f t="shared" si="52"/>
        <v>2026</v>
      </c>
      <c r="P1062" s="42" t="str">
        <f t="shared" si="53"/>
        <v>202602245/2025</v>
      </c>
      <c r="Q1062" s="42">
        <v>1</v>
      </c>
    </row>
    <row r="1063" spans="1:17" ht="15" hidden="1">
      <c r="A1063" s="192" t="s">
        <v>310</v>
      </c>
      <c r="B1063" s="315" t="str">
        <f>IFERROR(INDEX(Projetos!$B$3:$B$129,MATCH(A1063,Projetos!$A$3:$A$129,0))," ")</f>
        <v>Apoio a implantação de soluções da PDPJ-Br</v>
      </c>
      <c r="D1063" s="214">
        <v>0.83</v>
      </c>
      <c r="E1063" s="214">
        <v>0.72</v>
      </c>
      <c r="F1063" s="219">
        <v>46034</v>
      </c>
      <c r="G1063" s="220">
        <v>46050</v>
      </c>
      <c r="H1063" s="51" t="str">
        <f t="shared" si="51"/>
        <v>02887/202446050</v>
      </c>
      <c r="I1063" s="473">
        <f>IFERROR(INDEX(Projetos!$M$2:$M$129,MATCH(Atualizações!A1063,Projetos!$A$2:$A$129,0))," ")</f>
        <v>46387</v>
      </c>
      <c r="J1063" s="221"/>
      <c r="K1063" s="344">
        <f>IFERROR(Tb_Atualizações[[#This Row],[% EXECUTADO]]/Tb_Atualizações[[#This Row],[% PREVISTO]],"0%")</f>
        <v>0.86746987951807231</v>
      </c>
      <c r="L1063" s="498" t="str" cm="1">
        <f t="array" aca="1" ref="L10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63" s="215"/>
      <c r="N1063" s="345"/>
      <c r="O1063" s="42">
        <f t="shared" si="52"/>
        <v>2026</v>
      </c>
      <c r="P1063" s="42" t="str">
        <f t="shared" si="53"/>
        <v>202602887/2024</v>
      </c>
      <c r="Q1063" s="42">
        <v>1</v>
      </c>
    </row>
    <row r="1064" spans="1:17" ht="330" hidden="1">
      <c r="A1064" s="192" t="s">
        <v>182</v>
      </c>
      <c r="B1064" s="315" t="str">
        <f>IFERROR(INDEX(Projetos!$B$3:$B$129,MATCH(A1064,Projetos!$A$3:$A$129,0))," ")</f>
        <v xml:space="preserve">Mineração de Processos do Pje </v>
      </c>
      <c r="D1064" s="214">
        <v>0.84</v>
      </c>
      <c r="E1064" s="214">
        <v>0.84</v>
      </c>
      <c r="F1064" s="219">
        <v>46035</v>
      </c>
      <c r="G1064" s="220">
        <v>45992</v>
      </c>
      <c r="H1064" s="51" t="str">
        <f t="shared" si="51"/>
        <v>01764/202045992</v>
      </c>
      <c r="I1064" s="473">
        <f>IFERROR(INDEX(Projetos!$M$2:$M$129,MATCH(Atualizações!A1045,Projetos!$A$2:$A$129,0))," ")</f>
        <v>46386</v>
      </c>
      <c r="J1064" s="221" t="s">
        <v>1472</v>
      </c>
      <c r="K1064" s="344">
        <f>IFERROR(Tb_Atualizações[[#This Row],[% EXECUTADO]]/Tb_Atualizações[[#This Row],[% PREVISTO]],"0%")</f>
        <v>1</v>
      </c>
      <c r="L1064" s="31" t="str" cm="1">
        <f t="array" aca="1" ref="L10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4" s="215"/>
      <c r="N1064" s="345"/>
      <c r="O1064" s="42">
        <f t="shared" si="52"/>
        <v>2026</v>
      </c>
      <c r="P1064" s="42" t="str">
        <f t="shared" si="53"/>
        <v>202601764/2020</v>
      </c>
      <c r="Q1064" s="42">
        <v>1</v>
      </c>
    </row>
    <row r="1065" spans="1:17" ht="30" hidden="1">
      <c r="A1065" s="474" t="s">
        <v>629</v>
      </c>
      <c r="B1065" s="315" t="str">
        <f>IFERROR(INDEX(Projetos!$B$3:$B$129,MATCH(A1065,Projetos!$A$3:$A$129,0))," ")</f>
        <v>2º Edital da 7ª Edição da Série Justiça Pesquisa - Exercício 2024/2025</v>
      </c>
      <c r="D1065" s="48">
        <v>0.05</v>
      </c>
      <c r="E1065" s="48">
        <v>0.05</v>
      </c>
      <c r="F1065" s="637">
        <v>46035</v>
      </c>
      <c r="G1065" s="636">
        <v>45778</v>
      </c>
      <c r="H1065" s="51" t="str">
        <f t="shared" si="51"/>
        <v>11449/202445778</v>
      </c>
      <c r="I1065" s="473">
        <f>IFERROR(INDEX(Projetos!$M$2:$M$129,MATCH(Atualizações!A1046,Projetos!$A$2:$A$129,0))," ")</f>
        <v>46195</v>
      </c>
      <c r="J1065" s="221" t="s">
        <v>1473</v>
      </c>
      <c r="K1065" s="344">
        <f>IFERROR(Tb_Atualizações[[#This Row],[% EXECUTADO]]/Tb_Atualizações[[#This Row],[% PREVISTO]],"0%")</f>
        <v>1</v>
      </c>
      <c r="L1065" s="31" t="str" cm="1">
        <f t="array" aca="1" ref="L10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5" s="215"/>
      <c r="N1065" s="345"/>
      <c r="O1065" s="42">
        <f t="shared" si="52"/>
        <v>2026</v>
      </c>
      <c r="P1065" s="42" t="str">
        <f t="shared" si="53"/>
        <v>202611449/2024</v>
      </c>
      <c r="Q1065" s="42">
        <v>1</v>
      </c>
    </row>
    <row r="1066" spans="1:17" ht="30" hidden="1">
      <c r="A1066" s="192" t="s">
        <v>70</v>
      </c>
      <c r="B1066" s="315" t="str">
        <f>IFERROR(INDEX(Projetos!$B$3:$B$129,MATCH(A1066,Projetos!$A$3:$A$129,0))," ")</f>
        <v>Mapa Nacional do Tribunal do Júri</v>
      </c>
      <c r="D1066" s="48">
        <v>0.81</v>
      </c>
      <c r="E1066" s="48">
        <v>0.89</v>
      </c>
      <c r="F1066" s="49">
        <v>46035</v>
      </c>
      <c r="G1066" s="220">
        <v>45839</v>
      </c>
      <c r="H1066" s="51" t="str">
        <f t="shared" si="51"/>
        <v>00139/202445839</v>
      </c>
      <c r="I1066" s="473">
        <f>IFERROR(INDEX(Projetos!$M$2:$M$129,MATCH(Atualizações!A1047,Projetos!$A$2:$A$129,0))," ")</f>
        <v>46379</v>
      </c>
      <c r="J1066" s="221" t="s">
        <v>1473</v>
      </c>
      <c r="K1066" s="344">
        <f>IFERROR(Tb_Atualizações[[#This Row],[% EXECUTADO]]/Tb_Atualizações[[#This Row],[% PREVISTO]],"0%")</f>
        <v>1.0987654320987654</v>
      </c>
      <c r="L1066" s="542" t="str" cm="1">
        <f t="array" aca="1" ref="L10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6" s="215"/>
      <c r="N1066" s="345"/>
      <c r="O1066" s="42">
        <f t="shared" si="52"/>
        <v>2026</v>
      </c>
      <c r="P1066" s="42" t="str">
        <f t="shared" si="53"/>
        <v>202600139/2024</v>
      </c>
      <c r="Q1066" s="42">
        <v>1</v>
      </c>
    </row>
    <row r="1067" spans="1:17" ht="30" hidden="1">
      <c r="A1067" s="192" t="s">
        <v>384</v>
      </c>
      <c r="B1067" s="315" t="str">
        <f>IFERROR(INDEX(Projetos!$B$3:$B$129,MATCH(A1067,Projetos!$A$3:$A$129,0))," ")</f>
        <v>Integra - Serviço de Monitoramento de Atos do CNJ</v>
      </c>
      <c r="D1067" s="48">
        <v>0.76</v>
      </c>
      <c r="E1067" s="48">
        <v>0.75</v>
      </c>
      <c r="F1067" s="49">
        <v>46035</v>
      </c>
      <c r="G1067" s="220">
        <v>45955</v>
      </c>
      <c r="H1067" s="51" t="str">
        <f t="shared" si="51"/>
        <v>04137/202445955</v>
      </c>
      <c r="I1067" s="473">
        <f>IFERROR(INDEX(Projetos!$M$2:$M$129,MATCH(Atualizações!A1048,Projetos!$A$2:$A$129,0))," ")</f>
        <v>46083</v>
      </c>
      <c r="J1067" s="221" t="s">
        <v>1474</v>
      </c>
      <c r="K1067" s="344">
        <f>IFERROR(Tb_Atualizações[[#This Row],[% EXECUTADO]]/Tb_Atualizações[[#This Row],[% PREVISTO]],"0%")</f>
        <v>0.98684210526315785</v>
      </c>
      <c r="L1067" s="542" t="str" cm="1">
        <f t="array" aca="1" ref="L10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7" s="215"/>
      <c r="N1067" s="345"/>
      <c r="O1067" s="42">
        <f t="shared" si="52"/>
        <v>2026</v>
      </c>
      <c r="P1067" s="42" t="str">
        <f t="shared" si="53"/>
        <v>202604137/2024</v>
      </c>
      <c r="Q1067" s="42">
        <v>1</v>
      </c>
    </row>
    <row r="1068" spans="1:17" ht="30" hidden="1">
      <c r="A1068" s="192" t="s">
        <v>559</v>
      </c>
      <c r="B1068" s="315" t="str">
        <f>IFERROR(INDEX(Projetos!$B$3:$B$129,MATCH(A1068,Projetos!$A$3:$A$129,0))," ")</f>
        <v>Fonajus itinerante</v>
      </c>
      <c r="D1068" s="48">
        <v>0.96</v>
      </c>
      <c r="E1068" s="48">
        <v>0.94</v>
      </c>
      <c r="F1068" s="49">
        <v>46036</v>
      </c>
      <c r="G1068" s="220">
        <v>45901</v>
      </c>
      <c r="H1068" s="51" t="str">
        <f t="shared" si="51"/>
        <v>10101/202445901</v>
      </c>
      <c r="I1068" s="473">
        <f>IFERROR(INDEX(Projetos!$M$2:$M$129,MATCH(Atualizações!A1049,Projetos!$A$2:$A$129,0))," ")</f>
        <v>46387</v>
      </c>
      <c r="J1068" s="221" t="s">
        <v>1474</v>
      </c>
      <c r="K1068" s="344">
        <f>IFERROR(Tb_Atualizações[[#This Row],[% EXECUTADO]]/Tb_Atualizações[[#This Row],[% PREVISTO]],"0%")</f>
        <v>0.97916666666666663</v>
      </c>
      <c r="L1068" s="542" t="str" cm="1">
        <f t="array" aca="1" ref="L10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8" s="215"/>
      <c r="N1068" s="345"/>
      <c r="O1068" s="42">
        <f t="shared" si="52"/>
        <v>2026</v>
      </c>
      <c r="P1068" s="42" t="str">
        <f t="shared" si="53"/>
        <v>202610101/2024</v>
      </c>
      <c r="Q1068" s="42">
        <v>1</v>
      </c>
    </row>
    <row r="1069" spans="1:17" ht="30" hidden="1">
      <c r="A1069" s="192" t="s">
        <v>728</v>
      </c>
      <c r="B1069" s="315" t="str">
        <f>IFERROR(INDEX(Projetos!$B$3:$B$129,MATCH(A1069,Projetos!$A$3:$A$129,0))," ")</f>
        <v>Programa de Acessibilidade e Inclusão do Conselho Nacional de Justiça (CNJ)</v>
      </c>
      <c r="D1069" s="214">
        <v>7.0000000000000007E-2</v>
      </c>
      <c r="E1069" s="214">
        <v>7.0000000000000007E-2</v>
      </c>
      <c r="F1069" s="219">
        <v>46036</v>
      </c>
      <c r="G1069" s="220">
        <v>45717</v>
      </c>
      <c r="H1069" s="51" t="str">
        <f t="shared" si="51"/>
        <v>15844/202445717</v>
      </c>
      <c r="I1069" s="473">
        <f>IFERROR(INDEX(Projetos!$M$2:$M$129,MATCH(Atualizações!A1051,Projetos!$A$2:$A$129,0))," ")</f>
        <v>46371</v>
      </c>
      <c r="J1069" s="221" t="s">
        <v>1474</v>
      </c>
      <c r="K1069" s="344">
        <f>IFERROR(Tb_Atualizações[[#This Row],[% EXECUTADO]]/Tb_Atualizações[[#This Row],[% PREVISTO]],"0%")</f>
        <v>1</v>
      </c>
      <c r="L1069" s="542" t="str" cm="1">
        <f t="array" aca="1" ref="L10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69" s="215"/>
      <c r="N1069" s="345"/>
      <c r="O1069" s="42">
        <f t="shared" si="52"/>
        <v>2026</v>
      </c>
      <c r="P1069" s="42" t="str">
        <f t="shared" si="53"/>
        <v>202615844/2024</v>
      </c>
      <c r="Q1069" s="42">
        <v>1</v>
      </c>
    </row>
    <row r="1070" spans="1:17" ht="30" hidden="1">
      <c r="A1070" s="192" t="s">
        <v>281</v>
      </c>
      <c r="B1070" s="315" t="str">
        <f>IFERROR(INDEX(Projetos!$B$3:$B$129,MATCH(A1070,Projetos!$A$3:$A$129,0))," ")</f>
        <v>Fortalecimento da Segurança Cibernética e da Transparência para Governança e Efetividade da Atuação do Poder Judiciário (Projeto BRA/24/021)</v>
      </c>
      <c r="D1070" s="214">
        <v>0</v>
      </c>
      <c r="E1070" s="214">
        <v>0</v>
      </c>
      <c r="F1070" s="219">
        <v>46036</v>
      </c>
      <c r="G1070" s="220">
        <v>45901</v>
      </c>
      <c r="H1070" s="51" t="str">
        <f t="shared" si="51"/>
        <v>02626/202545901</v>
      </c>
      <c r="I1070" s="473">
        <f>IFERROR(INDEX(Projetos!$M$2:$M$129,MATCH(Atualizações!A1053,Projetos!$A$2:$A$129,0))," ")</f>
        <v>46387</v>
      </c>
      <c r="J1070" s="221" t="s">
        <v>1474</v>
      </c>
      <c r="K1070" s="344" t="str">
        <f>IFERROR(Tb_Atualizações[[#This Row],[% EXECUTADO]]/Tb_Atualizações[[#This Row],[% PREVISTO]],"0%")</f>
        <v>0%</v>
      </c>
      <c r="L1070" s="542" t="str" cm="1">
        <f t="array" aca="1" ref="L10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070" s="215"/>
      <c r="N1070" s="345"/>
      <c r="O1070" s="42">
        <f t="shared" si="52"/>
        <v>2026</v>
      </c>
      <c r="P1070" s="42" t="str">
        <f t="shared" si="53"/>
        <v>202602626/2025</v>
      </c>
      <c r="Q1070" s="42">
        <v>1</v>
      </c>
    </row>
    <row r="1071" spans="1:17" ht="30" hidden="1">
      <c r="A1071" s="192" t="s">
        <v>747</v>
      </c>
      <c r="B1071" s="315" t="str">
        <f>IFERROR(INDEX(Projetos!$B$3:$B$129,MATCH(A1071,Projetos!$A$3:$A$129,0))," ")</f>
        <v>Mapa Nacional do Crime Organizado</v>
      </c>
      <c r="D1071" s="48">
        <v>0</v>
      </c>
      <c r="E1071" s="48">
        <v>0</v>
      </c>
      <c r="F1071" s="49">
        <v>46036</v>
      </c>
      <c r="G1071" s="28">
        <v>45962</v>
      </c>
      <c r="H1071" s="51" t="str">
        <f t="shared" si="51"/>
        <v>16689/202545962</v>
      </c>
      <c r="I1071" s="473" t="str">
        <f>IFERROR(INDEX(Projetos!$M$2:$M$129,MATCH(Atualizações!A1054,Projetos!$A$2:$A$129,0))," ")</f>
        <v>23/12/2026</v>
      </c>
      <c r="J1071" s="221" t="s">
        <v>1474</v>
      </c>
      <c r="K1071" s="344" t="str">
        <f>IFERROR(Tb_Atualizações[[#This Row],[% EXECUTADO]]/Tb_Atualizações[[#This Row],[% PREVISTO]],"0%")</f>
        <v>0%</v>
      </c>
      <c r="L1071" s="542" t="str" cm="1">
        <f t="array" aca="1" ref="L10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071" s="215"/>
      <c r="N1071" s="345"/>
      <c r="O1071" s="42">
        <f t="shared" si="52"/>
        <v>2026</v>
      </c>
      <c r="P1071" s="42" t="str">
        <f t="shared" si="53"/>
        <v>202616689/2025</v>
      </c>
      <c r="Q1071" s="42">
        <v>1</v>
      </c>
    </row>
    <row r="1072" spans="1:17" ht="15" hidden="1">
      <c r="A1072" s="192" t="s">
        <v>925</v>
      </c>
      <c r="B1072" s="315" t="str">
        <f>IFERROR(INDEX(Projetos!$B$3:$B$129,MATCH(A1072,Projetos!$A$3:$A$129,0))," ")</f>
        <v>21 dias de ativismo pelo fim da violência contra mulher - edição 2025</v>
      </c>
      <c r="D1072" s="48">
        <v>0.78</v>
      </c>
      <c r="E1072" s="48">
        <v>0.78</v>
      </c>
      <c r="F1072" s="49">
        <v>46036</v>
      </c>
      <c r="G1072" s="28">
        <v>45962</v>
      </c>
      <c r="H1072" s="51" t="str">
        <f t="shared" si="51"/>
        <v>19706/202545962</v>
      </c>
      <c r="I1072" s="473">
        <f>IFERROR(INDEX(Projetos!$M$2:$M$129,MATCH(Atualizações!A1055,Projetos!$A$2:$A$129,0))," ")</f>
        <v>46387</v>
      </c>
      <c r="J1072" s="221"/>
      <c r="K1072" s="344">
        <f>IFERROR(Tb_Atualizações[[#This Row],[% EXECUTADO]]/Tb_Atualizações[[#This Row],[% PREVISTO]],"0%")</f>
        <v>1</v>
      </c>
      <c r="L1072" s="542" t="str" cm="1">
        <f t="array" aca="1" ref="L10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2" s="215"/>
      <c r="N1072" s="345"/>
      <c r="O1072" s="42">
        <f t="shared" si="52"/>
        <v>2026</v>
      </c>
      <c r="P1072" s="42" t="str">
        <f t="shared" si="53"/>
        <v>202619706/2025</v>
      </c>
      <c r="Q1072" s="42">
        <v>1</v>
      </c>
    </row>
    <row r="1073" spans="1:17" ht="45" hidden="1">
      <c r="A1073" s="192" t="s">
        <v>698</v>
      </c>
      <c r="B1073" s="315" t="str">
        <f>IFERROR(INDEX(Projetos!$B$3:$B$129,MATCH(A1073,Projetos!$A$3:$A$129,0))," ")</f>
        <v>Escola Virtual do Poder Judiciário</v>
      </c>
      <c r="D1073" s="48">
        <v>0.64</v>
      </c>
      <c r="E1073" s="48">
        <v>0.32</v>
      </c>
      <c r="F1073" s="49">
        <v>46036</v>
      </c>
      <c r="G1073" s="28">
        <v>45689</v>
      </c>
      <c r="H1073" s="51" t="str">
        <f t="shared" si="51"/>
        <v>13898/202445689</v>
      </c>
      <c r="I1073" s="473" t="str">
        <f>IFERROR(INDEX(Projetos!$M$2:$M$129,MATCH(Atualizações!A1065,Projetos!$A$2:$A$129,0))," ")</f>
        <v>27/8/2026</v>
      </c>
      <c r="J1073" s="221" t="s">
        <v>1361</v>
      </c>
      <c r="K1073" s="344">
        <f>IFERROR(Tb_Atualizações[[#This Row],[% EXECUTADO]]/Tb_Atualizações[[#This Row],[% PREVISTO]],"0%")</f>
        <v>0.5</v>
      </c>
      <c r="L1073" s="542" t="s">
        <v>1362</v>
      </c>
      <c r="M1073" s="215"/>
      <c r="N1073" s="345"/>
      <c r="O1073" s="42">
        <f t="shared" si="52"/>
        <v>2026</v>
      </c>
      <c r="P1073" s="42" t="str">
        <f t="shared" si="53"/>
        <v>202613898/2024</v>
      </c>
      <c r="Q1073" s="42">
        <v>1</v>
      </c>
    </row>
    <row r="1074" spans="1:17" ht="105" hidden="1">
      <c r="A1074" s="192" t="s">
        <v>714</v>
      </c>
      <c r="B1074" s="315" t="str">
        <f>IFERROR(INDEX(Projetos!$B$3:$B$129,MATCH(A1074,Projetos!$A$3:$A$129,0))," ")</f>
        <v>Programa Novos Caminhos</v>
      </c>
      <c r="D1074" s="214">
        <v>0.84</v>
      </c>
      <c r="E1074" s="214">
        <v>0.9</v>
      </c>
      <c r="F1074" s="219">
        <v>46036</v>
      </c>
      <c r="G1074" s="220">
        <v>45992</v>
      </c>
      <c r="H1074" s="51" t="str">
        <f t="shared" si="51"/>
        <v>14204/202445992</v>
      </c>
      <c r="I1074" s="473">
        <f>IFERROR(INDEX(Projetos!$M$2:$M$129,MATCH(Atualizações!A1070,Projetos!$A$2:$A$129,0))," ")</f>
        <v>47118</v>
      </c>
      <c r="J1074" s="221" t="s">
        <v>1475</v>
      </c>
      <c r="K1074" s="344">
        <f>IFERROR(Tb_Atualizações[[#This Row],[% EXECUTADO]]/Tb_Atualizações[[#This Row],[% PREVISTO]],"0%")</f>
        <v>1.0714285714285714</v>
      </c>
      <c r="L1074" s="475" t="str" cm="1">
        <f t="array" aca="1" ref="L10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4" s="215"/>
      <c r="N1074" s="345"/>
      <c r="O1074" s="42">
        <f t="shared" si="52"/>
        <v>2026</v>
      </c>
      <c r="P1074" s="42" t="str">
        <f t="shared" si="53"/>
        <v>202614204/2024</v>
      </c>
      <c r="Q1074" s="42">
        <v>1</v>
      </c>
    </row>
    <row r="1075" spans="1:17" ht="15" hidden="1">
      <c r="A1075" s="192" t="s">
        <v>652</v>
      </c>
      <c r="B1075" s="315" t="str">
        <f>IFERROR(INDEX(Projetos!$B$3:$B$129,MATCH(A1075,Projetos!$A$3:$A$129,0))," ")</f>
        <v>Projeto Piloto – Rede de Apoio para Avaliação Externa, com base no IA-CM</v>
      </c>
      <c r="D1075" s="214">
        <v>0.34</v>
      </c>
      <c r="E1075" s="214">
        <v>0.34</v>
      </c>
      <c r="F1075" s="219">
        <v>46036</v>
      </c>
      <c r="G1075" s="220">
        <v>45839</v>
      </c>
      <c r="H1075" s="51" t="str">
        <f t="shared" si="51"/>
        <v>11729/202545839</v>
      </c>
      <c r="I1075" s="473">
        <f>IFERROR(INDEX(Projetos!$M$2:$M$129,MATCH(Atualizações!A1074,Projetos!$A$2:$A$129,0))," ")</f>
        <v>46293</v>
      </c>
      <c r="J1075" s="221" t="s">
        <v>1476</v>
      </c>
      <c r="K1075" s="344">
        <f>IFERROR(Tb_Atualizações[[#This Row],[% EXECUTADO]]/Tb_Atualizações[[#This Row],[% PREVISTO]],"0%")</f>
        <v>1</v>
      </c>
      <c r="L1075" s="475" t="str" cm="1">
        <f t="array" aca="1" ref="L10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5" s="215"/>
      <c r="N1075" s="345"/>
      <c r="O1075" s="42">
        <f t="shared" si="52"/>
        <v>2026</v>
      </c>
      <c r="P1075" s="42" t="str">
        <f t="shared" si="53"/>
        <v>202611729/2025</v>
      </c>
      <c r="Q1075" s="42">
        <v>1</v>
      </c>
    </row>
    <row r="1076" spans="1:17" ht="15" hidden="1">
      <c r="A1076" s="192" t="s">
        <v>901</v>
      </c>
      <c r="B1076" s="315" t="str">
        <f>IFERROR(INDEX(Projetos!$B$3:$B$129,MATCH(A1076,Projetos!$A$3:$A$129,0))," ")</f>
        <v>Plano Nacional de Fomento ao Esporte e Lazer (sistema penal)</v>
      </c>
      <c r="D1076" s="214">
        <v>0.9</v>
      </c>
      <c r="E1076" s="214">
        <v>0.9</v>
      </c>
      <c r="F1076" s="219">
        <v>46038</v>
      </c>
      <c r="G1076" s="220">
        <v>45992</v>
      </c>
      <c r="H1076" s="51" t="str">
        <f t="shared" si="51"/>
        <v>174666/202445992</v>
      </c>
      <c r="I1076" s="473" t="str">
        <f>IFERROR(INDEX(Projetos!$M$2:$M$129,MATCH(Atualizações!A1059,Projetos!$A$2:$A$129,0))," ")</f>
        <v>15/12/2026</v>
      </c>
      <c r="J1076" s="221"/>
      <c r="K1076" s="344">
        <f>IFERROR(Tb_Atualizações[[#This Row],[% EXECUTADO]]/Tb_Atualizações[[#This Row],[% PREVISTO]],"0%")</f>
        <v>1</v>
      </c>
      <c r="L1076" s="542" t="str" cm="1">
        <f t="array" aca="1" ref="L10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6" s="215"/>
      <c r="N1076" s="345"/>
      <c r="O1076" s="42">
        <f t="shared" si="52"/>
        <v>2026</v>
      </c>
      <c r="P1076" s="42" t="str">
        <f t="shared" si="53"/>
        <v>2026174666/2024</v>
      </c>
      <c r="Q1076" s="42">
        <v>1</v>
      </c>
    </row>
    <row r="1077" spans="1:17" ht="30" hidden="1">
      <c r="A1077" s="192" t="s">
        <v>844</v>
      </c>
      <c r="B1077" s="315" t="str">
        <f>IFERROR(INDEX(Projetos!$B$3:$B$129,MATCH(A1077,Projetos!$A$3:$A$129,0))," ")</f>
        <v>Enfrentamento da Tortura</v>
      </c>
      <c r="D1077" s="214">
        <v>0.6</v>
      </c>
      <c r="E1077" s="214">
        <v>0.6</v>
      </c>
      <c r="F1077" s="219">
        <v>46038</v>
      </c>
      <c r="G1077" s="220">
        <v>45992</v>
      </c>
      <c r="H1077" s="51" t="str">
        <f t="shared" si="51"/>
        <v>1746620/202445992</v>
      </c>
      <c r="I1077" s="473">
        <f>IFERROR(INDEX(Projetos!$M$2:$M$129,MATCH(Atualizações!A1061,Projetos!$A$2:$A$129,0))," ")</f>
        <v>46387</v>
      </c>
      <c r="J1077" s="221" t="s">
        <v>1477</v>
      </c>
      <c r="K1077" s="344">
        <f>IFERROR(Tb_Atualizações[[#This Row],[% EXECUTADO]]/Tb_Atualizações[[#This Row],[% PREVISTO]],"0%")</f>
        <v>1</v>
      </c>
      <c r="L1077" s="542" t="str" cm="1">
        <f t="array" aca="1" ref="L10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7" s="215"/>
      <c r="N1077" s="345"/>
      <c r="O1077" s="42">
        <f t="shared" si="52"/>
        <v>2026</v>
      </c>
      <c r="P1077" s="42" t="str">
        <f t="shared" si="53"/>
        <v>20261746620/2024</v>
      </c>
      <c r="Q1077" s="42">
        <v>1</v>
      </c>
    </row>
    <row r="1078" spans="1:17" ht="30" hidden="1">
      <c r="A1078" s="192" t="s">
        <v>865</v>
      </c>
      <c r="B1078" s="315" t="str">
        <f>IFERROR(INDEX(Projetos!$B$3:$B$129,MATCH(A1078,Projetos!$A$3:$A$129,0))," ")</f>
        <v>Articulação Internacional e Proteção dos Direitos Humanos</v>
      </c>
      <c r="D1078" s="214">
        <v>0.7</v>
      </c>
      <c r="E1078" s="214">
        <v>0.7</v>
      </c>
      <c r="F1078" s="219">
        <v>46038</v>
      </c>
      <c r="G1078" s="220">
        <v>45992</v>
      </c>
      <c r="H1078" s="51" t="str">
        <f t="shared" si="51"/>
        <v>1746625/202445992</v>
      </c>
      <c r="I1078" s="473">
        <f>IFERROR(INDEX(Projetos!$M$2:$M$129,MATCH(Atualizações!A1062,Projetos!$A$2:$A$129,0))," ")</f>
        <v>46387</v>
      </c>
      <c r="J1078" s="221" t="s">
        <v>1478</v>
      </c>
      <c r="K1078" s="344">
        <f>IFERROR(Tb_Atualizações[[#This Row],[% EXECUTADO]]/Tb_Atualizações[[#This Row],[% PREVISTO]],"0%")</f>
        <v>1</v>
      </c>
      <c r="L1078" s="542" t="str" cm="1">
        <f t="array" aca="1" ref="L10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78" s="215"/>
      <c r="N1078" s="345"/>
      <c r="O1078" s="42">
        <f t="shared" si="52"/>
        <v>2026</v>
      </c>
      <c r="P1078" s="42" t="str">
        <f t="shared" si="53"/>
        <v>20261746625/2024</v>
      </c>
      <c r="Q1078" s="42">
        <v>1</v>
      </c>
    </row>
    <row r="1079" spans="1:17" ht="30" hidden="1">
      <c r="A1079" s="192" t="s">
        <v>198</v>
      </c>
      <c r="B1079" s="315" t="str">
        <f>IFERROR(INDEX(Projetos!$B$3:$B$129,MATCH(A1079,Projetos!$A$3:$A$129,0))," ")</f>
        <v>Desenvolvimento de um Conjunto de Solução em Gestão de Dados para a Corregedoria Nacional de Justiça</v>
      </c>
      <c r="D1079" s="214">
        <v>1</v>
      </c>
      <c r="E1079" s="214">
        <v>0.75</v>
      </c>
      <c r="F1079" s="219">
        <v>46038</v>
      </c>
      <c r="G1079" s="220">
        <v>45931</v>
      </c>
      <c r="H1079" s="51" t="str">
        <f t="shared" si="51"/>
        <v>01913/202545931</v>
      </c>
      <c r="I1079" s="473">
        <f>IFERROR(INDEX(Projetos!$M$2:$M$129,MATCH(Atualizações!A1064,Projetos!$A$2:$A$129,0))," ")</f>
        <v>46630</v>
      </c>
      <c r="J1079" s="221" t="s">
        <v>1479</v>
      </c>
      <c r="K1079" s="344">
        <f>IFERROR(Tb_Atualizações[[#This Row],[% EXECUTADO]]/Tb_Atualizações[[#This Row],[% PREVISTO]],"0%")</f>
        <v>0.75</v>
      </c>
      <c r="L1079" s="542" t="str" cm="1">
        <f t="array" aca="1" ref="L10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79" s="215"/>
      <c r="N1079" s="345"/>
      <c r="O1079" s="42">
        <f t="shared" si="52"/>
        <v>2026</v>
      </c>
      <c r="P1079" s="42" t="str">
        <f t="shared" si="53"/>
        <v>202601913/2025</v>
      </c>
      <c r="Q1079" s="42">
        <v>1</v>
      </c>
    </row>
    <row r="1080" spans="1:17" ht="15" hidden="1">
      <c r="A1080" s="46" t="s">
        <v>706</v>
      </c>
      <c r="B1080" s="312" t="str">
        <f>IFERROR(INDEX(Projetos!$B$3:$B$129,MATCH(A1080,Projetos!$A$3:$A$129,0))," ")</f>
        <v>Sistema de Detecção e Prevenção de Nepotismo no Poder Judiciário</v>
      </c>
      <c r="D1080" s="48">
        <v>0</v>
      </c>
      <c r="E1080" s="48">
        <v>0</v>
      </c>
      <c r="F1080" s="49">
        <v>46038</v>
      </c>
      <c r="G1080" s="28">
        <v>46023</v>
      </c>
      <c r="H1080" s="51" t="str">
        <f t="shared" si="51"/>
        <v>13961/202546023</v>
      </c>
      <c r="I1080" s="38">
        <f>IFERROR(INDEX(Projetos!$M$2:$M$129,MATCH(Atualizações!A1076,Projetos!$A$2:$A$129,0))," ")</f>
        <v>46203</v>
      </c>
      <c r="J1080" s="61" t="s">
        <v>1480</v>
      </c>
      <c r="K1080" s="344" t="str">
        <f>IFERROR(Tb_Atualizações[[#This Row],[% EXECUTADO]]/Tb_Atualizações[[#This Row],[% PREVISTO]],"0%")</f>
        <v>0%</v>
      </c>
      <c r="L1080" s="498" t="str" cm="1">
        <f t="array" aca="1" ref="L10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080" s="50"/>
      <c r="N1080" s="397"/>
      <c r="O1080" s="42">
        <f t="shared" si="52"/>
        <v>2026</v>
      </c>
      <c r="P1080" s="42" t="str">
        <f t="shared" si="53"/>
        <v>202613961/2025</v>
      </c>
      <c r="Q1080" s="42">
        <v>1</v>
      </c>
    </row>
    <row r="1081" spans="1:17" ht="15" hidden="1">
      <c r="A1081" s="46" t="s">
        <v>517</v>
      </c>
      <c r="B1081" s="312" t="str">
        <f>IFERROR(INDEX(Projetos!$B$3:$B$129,MATCH(A1081,Projetos!$A$3:$A$129,0))," ")</f>
        <v>Domicílio Judicial Eletrônico - Melhorias Evolutivas</v>
      </c>
      <c r="D1081" s="48">
        <v>0.82</v>
      </c>
      <c r="E1081" s="48">
        <v>0.74</v>
      </c>
      <c r="F1081" s="49">
        <v>46038</v>
      </c>
      <c r="G1081" s="28">
        <v>46048</v>
      </c>
      <c r="H1081" s="51" t="str">
        <f t="shared" si="51"/>
        <v>09445/202346048</v>
      </c>
      <c r="I1081" s="473">
        <f>IFERROR(INDEX(Projetos!$M$2:$M$129,MATCH(Atualizações!A1081,Projetos!$A$2:$A$129,0))," ")</f>
        <v>46203</v>
      </c>
      <c r="J1081" s="61"/>
      <c r="K1081" s="344">
        <f>IFERROR(Tb_Atualizações[[#This Row],[% EXECUTADO]]/Tb_Atualizações[[#This Row],[% PREVISTO]],"0%")</f>
        <v>0.90243902439024393</v>
      </c>
      <c r="L1081" s="498" t="str" cm="1">
        <f t="array" aca="1" ref="L10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81" s="50"/>
      <c r="N1081" s="397"/>
      <c r="O1081" s="42">
        <f t="shared" si="52"/>
        <v>2026</v>
      </c>
      <c r="P1081" s="42" t="str">
        <f t="shared" si="53"/>
        <v>202609445/2023</v>
      </c>
      <c r="Q1081" s="42">
        <v>1</v>
      </c>
    </row>
    <row r="1082" spans="1:17" ht="30" hidden="1">
      <c r="A1082" s="46" t="s">
        <v>229</v>
      </c>
      <c r="B1082" s="312" t="str">
        <f>IFERROR(INDEX(Projetos!$B$3:$B$129,MATCH(A1082,Projetos!$A$3:$A$129,0))," ")</f>
        <v>Gabinete do Juízo</v>
      </c>
      <c r="D1082" s="48">
        <v>0.78</v>
      </c>
      <c r="E1082" s="48">
        <v>0.56999999999999995</v>
      </c>
      <c r="F1082" s="49">
        <v>46038</v>
      </c>
      <c r="G1082" s="28">
        <v>46051</v>
      </c>
      <c r="H1082" s="51" t="str">
        <f t="shared" si="51"/>
        <v>02080/202346051</v>
      </c>
      <c r="I1082" s="38">
        <f>IFERROR(INDEX(Projetos!$M$2:$M$129,MATCH(Atualizações!A1096,Projetos!$A$2:$A$129,0))," ")</f>
        <v>46387</v>
      </c>
      <c r="J1082" s="61"/>
      <c r="K1082" s="344">
        <f>IFERROR(Tb_Atualizações[[#This Row],[% EXECUTADO]]/Tb_Atualizações[[#This Row],[% PREVISTO]],"0%")</f>
        <v>0.73076923076923073</v>
      </c>
      <c r="L1082" s="498" t="str" cm="1">
        <f t="array" aca="1" ref="L10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82" s="50"/>
      <c r="N1082" s="397"/>
      <c r="O1082" s="42">
        <f t="shared" si="52"/>
        <v>2026</v>
      </c>
      <c r="P1082" s="42" t="str">
        <f t="shared" si="53"/>
        <v>202602080/2023</v>
      </c>
      <c r="Q1082" s="42">
        <v>1</v>
      </c>
    </row>
    <row r="1083" spans="1:17" ht="30" hidden="1">
      <c r="A1083" s="46" t="s">
        <v>416</v>
      </c>
      <c r="B1083" s="312" t="str">
        <f>IFERROR(INDEX(Projetos!$B$3:$B$129,MATCH(A1083,Projetos!$A$3:$A$129,0))," ")</f>
        <v>Conecta</v>
      </c>
      <c r="D1083" s="48">
        <v>0.64</v>
      </c>
      <c r="E1083" s="48">
        <v>0.44</v>
      </c>
      <c r="F1083" s="49">
        <v>46041</v>
      </c>
      <c r="G1083" s="28">
        <v>46051</v>
      </c>
      <c r="H1083" s="51" t="str">
        <f t="shared" si="51"/>
        <v>05578/202446051</v>
      </c>
      <c r="I1083" s="38" t="str">
        <f>IFERROR(INDEX(Projetos!$M$2:$M$129,MATCH(Atualizações!A1091,Projetos!$A$2:$A$129,0))," ")</f>
        <v>30/06/26</v>
      </c>
      <c r="J1083" s="61"/>
      <c r="K1083" s="344">
        <f>IFERROR(Tb_Atualizações[[#This Row],[% EXECUTADO]]/Tb_Atualizações[[#This Row],[% PREVISTO]],"0%")</f>
        <v>0.6875</v>
      </c>
      <c r="L1083" s="498" t="str" cm="1">
        <f t="array" aca="1" ref="L10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83" s="50"/>
      <c r="N1083" s="397"/>
      <c r="O1083" s="42">
        <f t="shared" si="52"/>
        <v>2026</v>
      </c>
      <c r="P1083" s="42" t="str">
        <f t="shared" si="53"/>
        <v>202605578/2024</v>
      </c>
      <c r="Q1083" s="42">
        <v>1</v>
      </c>
    </row>
    <row r="1084" spans="1:17" ht="30" hidden="1">
      <c r="A1084" s="46" t="s">
        <v>738</v>
      </c>
      <c r="B1084" s="312" t="str">
        <f>IFERROR(INDEX(Projetos!$B$3:$B$129,MATCH(A1084,Projetos!$A$3:$A$129,0))," ")</f>
        <v>FONAR - Formulário Nacional de Avaliação de Risco e Formulário Rogéria</v>
      </c>
      <c r="D1084" s="48">
        <v>0.68</v>
      </c>
      <c r="E1084" s="48">
        <v>0.51</v>
      </c>
      <c r="F1084" s="49">
        <v>46041</v>
      </c>
      <c r="G1084" s="28">
        <v>46051</v>
      </c>
      <c r="H1084" s="51" t="str">
        <f t="shared" si="51"/>
        <v>16319/202446051</v>
      </c>
      <c r="I1084" s="38" t="str">
        <f>IFERROR(INDEX(Projetos!$M$2:$M$129,MATCH(Atualizações!A1097,Projetos!$A$2:$A$129,0))," ")</f>
        <v>31/03/2026</v>
      </c>
      <c r="J1084" s="61"/>
      <c r="K1084" s="344">
        <f>IFERROR(Tb_Atualizações[[#This Row],[% EXECUTADO]]/Tb_Atualizações[[#This Row],[% PREVISTO]],"0%")</f>
        <v>0.75</v>
      </c>
      <c r="L1084" s="498" t="str" cm="1">
        <f t="array" aca="1" ref="L10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84" s="50"/>
      <c r="N1084" s="397"/>
      <c r="O1084" s="42">
        <f t="shared" si="52"/>
        <v>2026</v>
      </c>
      <c r="P1084" s="42" t="str">
        <f t="shared" si="53"/>
        <v>202616319/2024</v>
      </c>
      <c r="Q1084" s="42">
        <v>1</v>
      </c>
    </row>
    <row r="1085" spans="1:17" ht="15" hidden="1">
      <c r="A1085" s="46" t="s">
        <v>458</v>
      </c>
      <c r="B1085" s="312" t="str">
        <f>IFERROR(INDEX(Projetos!$B$3:$B$129,MATCH(A1085,Projetos!$A$3:$A$129,0))," ")</f>
        <v>SNGB - Melhorias evolutivas</v>
      </c>
      <c r="D1085" s="48">
        <v>0.86</v>
      </c>
      <c r="E1085" s="48">
        <v>0.85</v>
      </c>
      <c r="F1085" s="49">
        <v>46041</v>
      </c>
      <c r="G1085" s="28">
        <v>46023</v>
      </c>
      <c r="H1085" s="51" t="str">
        <f t="shared" si="51"/>
        <v>08370/202446023</v>
      </c>
      <c r="I1085" s="473">
        <f>IFERROR(INDEX(Projetos!$M$2:$M$129,MATCH(Atualizações!A1085,Projetos!$A$2:$A$129,0))," ")</f>
        <v>46101</v>
      </c>
      <c r="J1085" s="61"/>
      <c r="K1085" s="344">
        <f>IFERROR(Tb_Atualizações[[#This Row],[% EXECUTADO]]/Tb_Atualizações[[#This Row],[% PREVISTO]],"0%")</f>
        <v>0.98837209302325579</v>
      </c>
      <c r="L1085" s="498" t="str" cm="1">
        <f t="array" aca="1" ref="L10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85" s="50"/>
      <c r="N1085" s="397"/>
      <c r="O1085" s="42">
        <f t="shared" si="52"/>
        <v>2026</v>
      </c>
      <c r="P1085" s="42" t="str">
        <f t="shared" si="53"/>
        <v>202608370/2024</v>
      </c>
      <c r="Q1085" s="42">
        <v>1</v>
      </c>
    </row>
    <row r="1086" spans="1:17" ht="15" hidden="1">
      <c r="A1086" s="46" t="s">
        <v>882</v>
      </c>
      <c r="B1086" s="312" t="str">
        <f>IFERROR(INDEX(Projetos!$B$3:$B$129,MATCH(A1086,Projetos!$A$3:$A$129,0))," ")</f>
        <v>Programa Fazendo Justiça - Projeto BRA/23/017</v>
      </c>
      <c r="D1086" s="48">
        <v>0</v>
      </c>
      <c r="E1086" s="48">
        <v>0</v>
      </c>
      <c r="F1086" s="49">
        <v>46042</v>
      </c>
      <c r="G1086" s="28">
        <v>46023</v>
      </c>
      <c r="H1086" s="51" t="str">
        <f t="shared" si="51"/>
        <v>1746629/202446023</v>
      </c>
      <c r="I1086" s="38">
        <f>IFERROR(INDEX(Projetos!$M$2:$M$129,MATCH(Atualizações!A1086,Projetos!$A$2:$A$129,0))," ")</f>
        <v>46387</v>
      </c>
      <c r="J1086" s="61" t="s">
        <v>1481</v>
      </c>
      <c r="K1086" s="344" t="str">
        <f>IFERROR(Tb_Atualizações[[#This Row],[% EXECUTADO]]/Tb_Atualizações[[#This Row],[% PREVISTO]],"0%")</f>
        <v>0%</v>
      </c>
      <c r="L1086" s="498" t="str" cm="1">
        <f t="array" aca="1" ref="L10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086" s="50"/>
      <c r="N1086" s="397"/>
      <c r="O1086" s="42">
        <f t="shared" si="52"/>
        <v>2026</v>
      </c>
      <c r="P1086" s="42" t="str">
        <f t="shared" si="53"/>
        <v>20261746629/2024</v>
      </c>
      <c r="Q1086" s="42">
        <v>1</v>
      </c>
    </row>
    <row r="1087" spans="1:17" ht="30" hidden="1">
      <c r="A1087" s="46" t="s">
        <v>152</v>
      </c>
      <c r="B1087" s="312" t="str">
        <f>IFERROR(INDEX(Projetos!$B$3:$B$129,MATCH(A1087,Projetos!$A$3:$A$129,0))," ")</f>
        <v>Painel da Fazenda Nacional.</v>
      </c>
      <c r="D1087" s="48">
        <v>0.68</v>
      </c>
      <c r="E1087" s="48">
        <v>0.53</v>
      </c>
      <c r="F1087" s="49">
        <v>46042</v>
      </c>
      <c r="G1087" s="28">
        <v>46047</v>
      </c>
      <c r="H1087" s="51" t="str">
        <f t="shared" si="51"/>
        <v>01247/202546047</v>
      </c>
      <c r="I1087" s="38">
        <f>IFERROR(INDEX(Projetos!$M$2:$M$129,MATCH(Atualizações!A1087,Projetos!$A$2:$A$129,0))," ")</f>
        <v>46387</v>
      </c>
      <c r="J1087" s="61"/>
      <c r="K1087" s="344">
        <f>IFERROR(Tb_Atualizações[[#This Row],[% EXECUTADO]]/Tb_Atualizações[[#This Row],[% PREVISTO]],"0%")</f>
        <v>0.77941176470588236</v>
      </c>
      <c r="L1087" s="498" t="str" cm="1">
        <f t="array" aca="1" ref="L10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87" s="50"/>
      <c r="N1087" s="397"/>
      <c r="O1087" s="42">
        <f t="shared" si="52"/>
        <v>2026</v>
      </c>
      <c r="P1087" s="42" t="str">
        <f t="shared" si="53"/>
        <v>202601247/2025</v>
      </c>
      <c r="Q1087" s="42">
        <v>1</v>
      </c>
    </row>
    <row r="1088" spans="1:17" ht="15" hidden="1">
      <c r="A1088" s="46" t="s">
        <v>580</v>
      </c>
      <c r="B1088" s="312" t="str">
        <f>IFERROR(INDEX(Projetos!$B$3:$B$129,MATCH(A1088,Projetos!$A$3:$A$129,0))," ")</f>
        <v>SireneJud 2.0 - Evoluções</v>
      </c>
      <c r="D1088" s="48">
        <v>0.77</v>
      </c>
      <c r="E1088" s="48">
        <v>0.79</v>
      </c>
      <c r="F1088" s="49">
        <v>46042</v>
      </c>
      <c r="G1088" s="28">
        <v>46047</v>
      </c>
      <c r="H1088" s="51" t="str">
        <f t="shared" si="51"/>
        <v>10698/202446047</v>
      </c>
      <c r="I1088" s="38">
        <f>IFERROR(INDEX(Projetos!$M$2:$M$129,MATCH(Atualizações!A1088,Projetos!$A$2:$A$129,0))," ")</f>
        <v>46387</v>
      </c>
      <c r="J1088" s="61"/>
      <c r="K1088" s="344">
        <f>IFERROR(Tb_Atualizações[[#This Row],[% EXECUTADO]]/Tb_Atualizações[[#This Row],[% PREVISTO]],"0%")</f>
        <v>1.025974025974026</v>
      </c>
      <c r="L1088" s="498" t="str" cm="1">
        <f t="array" aca="1" ref="L10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88" s="50"/>
      <c r="N1088" s="397"/>
      <c r="O1088" s="42">
        <f t="shared" si="52"/>
        <v>2026</v>
      </c>
      <c r="P1088" s="42" t="str">
        <f t="shared" si="53"/>
        <v>202610698/2024</v>
      </c>
      <c r="Q1088" s="42">
        <v>1</v>
      </c>
    </row>
    <row r="1089" spans="1:17" ht="30" hidden="1">
      <c r="A1089" s="51" t="s">
        <v>690</v>
      </c>
      <c r="B1089" s="315" t="str">
        <f>IFERROR(INDEX(Projetos!$B$3:$B$129,MATCH(A1089,Projetos!$A$3:$A$129,0))," ")</f>
        <v>Painel “Justiça Criminal e Sistema Prisional”</v>
      </c>
      <c r="D1089" s="48">
        <v>0.83</v>
      </c>
      <c r="E1089" s="48">
        <v>0.53</v>
      </c>
      <c r="F1089" s="49">
        <v>46042</v>
      </c>
      <c r="G1089" s="28">
        <v>46047</v>
      </c>
      <c r="H1089" s="51" t="str">
        <f t="shared" si="51"/>
        <v>12215/202346047</v>
      </c>
      <c r="I1089" s="473">
        <f>IFERROR(INDEX(Projetos!$M$2:$M$129,MATCH(Atualizações!A1089,Projetos!$A$2:$A$129,0))," ")</f>
        <v>46387</v>
      </c>
      <c r="J1089" s="61"/>
      <c r="K1089" s="344">
        <f>IFERROR(Tb_Atualizações[[#This Row],[% EXECUTADO]]/Tb_Atualizações[[#This Row],[% PREVISTO]],"0%")</f>
        <v>0.63855421686746994</v>
      </c>
      <c r="L1089" s="498" t="str" cm="1">
        <f t="array" aca="1" ref="L10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89" s="50"/>
      <c r="N1089" s="397"/>
      <c r="O1089" s="42">
        <f t="shared" si="52"/>
        <v>2026</v>
      </c>
      <c r="P1089" s="42" t="str">
        <f t="shared" si="53"/>
        <v>202612215/2023</v>
      </c>
      <c r="Q1089" s="42">
        <v>1</v>
      </c>
    </row>
    <row r="1090" spans="1:17" ht="15" hidden="1">
      <c r="A1090" s="46" t="s">
        <v>83</v>
      </c>
      <c r="B1090" s="312" t="str">
        <f>IFERROR(INDEX(Projetos!$B$3:$B$129,MATCH(A1090,Projetos!$A$3:$A$129,0))," ")</f>
        <v>Painel do Programa Desjudicializa</v>
      </c>
      <c r="D1090" s="48">
        <v>0.81</v>
      </c>
      <c r="E1090" s="48">
        <v>0.88</v>
      </c>
      <c r="F1090" s="49">
        <v>46042</v>
      </c>
      <c r="G1090" s="28">
        <v>46047</v>
      </c>
      <c r="H1090" s="51" t="str">
        <f t="shared" si="51"/>
        <v>00484/202446047</v>
      </c>
      <c r="I1090" s="473">
        <f>IFERROR(INDEX(Projetos!$M$2:$M$129,MATCH(Atualizações!A1090,Projetos!$A$2:$A$129,0))," ")</f>
        <v>46387</v>
      </c>
      <c r="J1090" s="61"/>
      <c r="K1090" s="344">
        <f>IFERROR(Tb_Atualizações[[#This Row],[% EXECUTADO]]/Tb_Atualizações[[#This Row],[% PREVISTO]],"0%")</f>
        <v>1.0864197530864197</v>
      </c>
      <c r="L1090" s="498" t="str" cm="1">
        <f t="array" aca="1" ref="L10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0" s="50"/>
      <c r="N1090" s="397"/>
      <c r="O1090" s="42">
        <f t="shared" si="52"/>
        <v>2026</v>
      </c>
      <c r="P1090" s="42" t="str">
        <f t="shared" si="53"/>
        <v>202600484/2024</v>
      </c>
      <c r="Q1090" s="42">
        <v>1</v>
      </c>
    </row>
    <row r="1091" spans="1:17" ht="15" hidden="1">
      <c r="A1091" s="46" t="s">
        <v>684</v>
      </c>
      <c r="B1091" s="312" t="str">
        <f>IFERROR(INDEX(Projetos!$B$3:$B$129,MATCH(A1091,Projetos!$A$3:$A$129,0))," ")</f>
        <v>Painel dos Grandes Litigantes</v>
      </c>
      <c r="D1091" s="48">
        <v>0.89</v>
      </c>
      <c r="E1091" s="48">
        <v>0.78</v>
      </c>
      <c r="F1091" s="49">
        <v>46042</v>
      </c>
      <c r="G1091" s="28">
        <v>46047</v>
      </c>
      <c r="H1091" s="51" t="str">
        <f t="shared" si="51"/>
        <v>12135/202246047</v>
      </c>
      <c r="I1091" s="38" t="str">
        <f>IFERROR(INDEX(Projetos!$M$2:$M$129,MATCH(Atualizações!A1091,Projetos!$A$2:$A$129,0))," ")</f>
        <v>30/06/26</v>
      </c>
      <c r="J1091" s="61"/>
      <c r="K1091" s="344">
        <f>IFERROR(Tb_Atualizações[[#This Row],[% EXECUTADO]]/Tb_Atualizações[[#This Row],[% PREVISTO]],"0%")</f>
        <v>0.8764044943820225</v>
      </c>
      <c r="L1091" s="498" t="str" cm="1">
        <f t="array" aca="1" ref="L10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091" s="50"/>
      <c r="N1091" s="397"/>
      <c r="O1091" s="42">
        <f t="shared" si="52"/>
        <v>2026</v>
      </c>
      <c r="P1091" s="42" t="str">
        <f t="shared" si="53"/>
        <v>202612135/2022</v>
      </c>
      <c r="Q1091" s="42">
        <v>1</v>
      </c>
    </row>
    <row r="1092" spans="1:17" ht="30" hidden="1">
      <c r="A1092" s="46" t="s">
        <v>350</v>
      </c>
      <c r="B1092" s="312" t="str">
        <f>IFERROR(INDEX(Projetos!$B$3:$B$129,MATCH(A1092,Projetos!$A$3:$A$129,0))," ")</f>
        <v>Painel de Estatística   - Justiça 4.0</v>
      </c>
      <c r="D1092" s="48">
        <v>0.91</v>
      </c>
      <c r="E1092" s="48">
        <v>0.71</v>
      </c>
      <c r="F1092" s="49">
        <v>46042</v>
      </c>
      <c r="G1092" s="28">
        <v>46047</v>
      </c>
      <c r="H1092" s="51" t="str">
        <f t="shared" si="51"/>
        <v>03545/202146047</v>
      </c>
      <c r="I1092" s="38">
        <f>IFERROR(INDEX(Projetos!$M$2:$M$129,MATCH(Atualizações!A1092,Projetos!$A$2:$A$129,0))," ")</f>
        <v>46387</v>
      </c>
      <c r="J1092" s="61"/>
      <c r="K1092" s="344">
        <f>IFERROR(Tb_Atualizações[[#This Row],[% EXECUTADO]]/Tb_Atualizações[[#This Row],[% PREVISTO]],"0%")</f>
        <v>0.78021978021978011</v>
      </c>
      <c r="L1092" s="498" t="str" cm="1">
        <f t="array" aca="1" ref="L10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92" s="50"/>
      <c r="N1092" s="397"/>
      <c r="O1092" s="42">
        <f t="shared" si="52"/>
        <v>2026</v>
      </c>
      <c r="P1092" s="42" t="str">
        <f t="shared" si="53"/>
        <v>202603545/2021</v>
      </c>
      <c r="Q1092" s="42">
        <v>1</v>
      </c>
    </row>
    <row r="1093" spans="1:17" ht="15" hidden="1">
      <c r="A1093" s="46" t="s">
        <v>257</v>
      </c>
      <c r="B1093" s="312" t="str">
        <f>IFERROR(INDEX(Projetos!$B$3:$B$129,MATCH(A1093,Projetos!$A$3:$A$129,0))," ")</f>
        <v>SisPreq – Sistema de Precatórios e Requisições de Pequeno Valor</v>
      </c>
      <c r="D1093" s="48">
        <v>0.69</v>
      </c>
      <c r="E1093" s="48">
        <v>0.88</v>
      </c>
      <c r="F1093" s="49">
        <v>46042</v>
      </c>
      <c r="G1093" s="28">
        <v>46047</v>
      </c>
      <c r="H1093" s="51" t="str">
        <f t="shared" si="51"/>
        <v>02465/202446047</v>
      </c>
      <c r="I1093" s="38" t="str">
        <f>IFERROR(INDEX(Projetos!$M$2:$M$129,MATCH(Atualizações!A1093,Projetos!$A$2:$A$129,0))," ")</f>
        <v>15/12/2026</v>
      </c>
      <c r="J1093" s="61"/>
      <c r="K1093" s="344">
        <f>IFERROR(Tb_Atualizações[[#This Row],[% EXECUTADO]]/Tb_Atualizações[[#This Row],[% PREVISTO]],"0%")</f>
        <v>1.2753623188405798</v>
      </c>
      <c r="L1093" s="498" t="str" cm="1">
        <f t="array" aca="1" ref="L10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3" s="50"/>
      <c r="N1093" s="397"/>
      <c r="O1093" s="42">
        <f t="shared" si="52"/>
        <v>2026</v>
      </c>
      <c r="P1093" s="42" t="str">
        <f t="shared" si="53"/>
        <v>202602465/2024</v>
      </c>
      <c r="Q1093" s="42">
        <v>1</v>
      </c>
    </row>
    <row r="1094" spans="1:17" ht="15" hidden="1">
      <c r="A1094" s="46" t="s">
        <v>533</v>
      </c>
      <c r="B1094" s="312" t="str">
        <f>IFERROR(INDEX(Projetos!$B$3:$B$129,MATCH(A1094,Projetos!$A$3:$A$129,0))," ")</f>
        <v>Qualificação de Dados</v>
      </c>
      <c r="D1094" s="48">
        <v>0.93</v>
      </c>
      <c r="E1094" s="48">
        <v>0.91</v>
      </c>
      <c r="F1094" s="49">
        <v>46042</v>
      </c>
      <c r="G1094" s="28">
        <v>46047</v>
      </c>
      <c r="H1094" s="51" t="str">
        <f t="shared" si="51"/>
        <v>09613/202446047</v>
      </c>
      <c r="I1094" s="473">
        <f>IFERROR(INDEX(Projetos!$M$2:$M$129,MATCH(Atualizações!A1094,Projetos!$A$2:$A$129,0))," ")</f>
        <v>46386</v>
      </c>
      <c r="J1094" s="61"/>
      <c r="K1094" s="344">
        <f>IFERROR(Tb_Atualizações[[#This Row],[% EXECUTADO]]/Tb_Atualizações[[#This Row],[% PREVISTO]],"0%")</f>
        <v>0.978494623655914</v>
      </c>
      <c r="L1094" s="498" t="str" cm="1">
        <f t="array" aca="1" ref="L10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4" s="50"/>
      <c r="N1094" s="397"/>
      <c r="O1094" s="42">
        <f t="shared" si="52"/>
        <v>2026</v>
      </c>
      <c r="P1094" s="42" t="str">
        <f t="shared" si="53"/>
        <v>202609613/2024</v>
      </c>
      <c r="Q1094" s="42">
        <v>1</v>
      </c>
    </row>
    <row r="1095" spans="1:17" ht="30" hidden="1">
      <c r="A1095" s="46" t="s">
        <v>539</v>
      </c>
      <c r="B1095" s="312" t="str">
        <f>IFERROR(INDEX(Projetos!$B$3:$B$129,MATCH(A1095,Projetos!$A$3:$A$129,0))," ")</f>
        <v>Desenvolvimento do módulo de Sessão de Julgamento (PDPJ-Br)</v>
      </c>
      <c r="D1095" s="48">
        <v>0.96</v>
      </c>
      <c r="E1095" s="48">
        <v>0.55000000000000004</v>
      </c>
      <c r="F1095" s="49">
        <v>46042</v>
      </c>
      <c r="G1095" s="28">
        <v>46051</v>
      </c>
      <c r="H1095" s="51" t="str">
        <f t="shared" si="51"/>
        <v>09630/202446051</v>
      </c>
      <c r="I1095" s="473">
        <f>IFERROR(INDEX(Projetos!$M$2:$M$129,MATCH(Atualizações!A1095,Projetos!$A$2:$A$129,0))," ")</f>
        <v>46387</v>
      </c>
      <c r="J1095" s="61"/>
      <c r="K1095" s="344">
        <f>IFERROR(Tb_Atualizações[[#This Row],[% EXECUTADO]]/Tb_Atualizações[[#This Row],[% PREVISTO]],"0%")</f>
        <v>0.57291666666666674</v>
      </c>
      <c r="L1095" s="498" t="str" cm="1">
        <f t="array" aca="1" ref="L10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95" s="50"/>
      <c r="N1095" s="397"/>
      <c r="O1095" s="42">
        <f t="shared" si="52"/>
        <v>2026</v>
      </c>
      <c r="P1095" s="42" t="str">
        <f t="shared" si="53"/>
        <v>202609630/2024</v>
      </c>
      <c r="Q1095" s="42">
        <v>1</v>
      </c>
    </row>
    <row r="1096" spans="1:17" ht="15" hidden="1">
      <c r="A1096" s="46" t="s">
        <v>236</v>
      </c>
      <c r="B1096" s="312" t="str">
        <f>IFERROR(INDEX(Projetos!$B$3:$B$129,MATCH(A1096,Projetos!$A$3:$A$129,0))," ")</f>
        <v>SEEU - Reescrita</v>
      </c>
      <c r="D1096" s="48"/>
      <c r="E1096" s="48">
        <v>0.56000000000000005</v>
      </c>
      <c r="F1096" s="49">
        <v>46042</v>
      </c>
      <c r="G1096" s="28">
        <v>46051</v>
      </c>
      <c r="H1096" s="51" t="str">
        <f t="shared" si="51"/>
        <v>02245/202546051</v>
      </c>
      <c r="I1096" s="473">
        <f>IFERROR(INDEX(Projetos!$M$2:$M$129,MATCH(Atualizações!A1096,Projetos!$A$2:$A$129,0))," ")</f>
        <v>46387</v>
      </c>
      <c r="J1096" s="61"/>
      <c r="K1096" s="344" t="str">
        <f>IFERROR(Tb_Atualizações[[#This Row],[% EXECUTADO]]/Tb_Atualizações[[#This Row],[% PREVISTO]],"0%")</f>
        <v>0%</v>
      </c>
      <c r="L1096" s="498" t="str" cm="1">
        <f t="array" aca="1" ref="L10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6" s="50"/>
      <c r="N1096" s="397"/>
      <c r="O1096" s="42">
        <f t="shared" si="52"/>
        <v>2026</v>
      </c>
      <c r="P1096" s="42" t="str">
        <f t="shared" si="53"/>
        <v>202602245/2025</v>
      </c>
      <c r="Q1096" s="42">
        <v>1</v>
      </c>
    </row>
    <row r="1097" spans="1:17" ht="15" hidden="1">
      <c r="A1097" s="46" t="s">
        <v>358</v>
      </c>
      <c r="B1097" s="312" t="str">
        <f>IFERROR(INDEX(Projetos!$B$3:$B$129,MATCH(A1097,Projetos!$A$3:$A$129,0))," ")</f>
        <v>Prevjud - Automação de Processos Previdenciários - Justiça 4.0</v>
      </c>
      <c r="D1097" s="48">
        <v>0.96</v>
      </c>
      <c r="E1097" s="48">
        <v>0.98</v>
      </c>
      <c r="F1097" s="49">
        <v>46042</v>
      </c>
      <c r="G1097" s="28">
        <v>46051</v>
      </c>
      <c r="H1097" s="51" t="str">
        <f t="shared" si="51"/>
        <v>03558/202146051</v>
      </c>
      <c r="I1097" s="38" t="str">
        <f>IFERROR(INDEX(Projetos!$M$2:$M$129,MATCH(Atualizações!A1097,Projetos!$A$2:$A$129,0))," ")</f>
        <v>31/03/2026</v>
      </c>
      <c r="J1097" s="61"/>
      <c r="K1097" s="344">
        <f>IFERROR(Tb_Atualizações[[#This Row],[% EXECUTADO]]/Tb_Atualizações[[#This Row],[% PREVISTO]],"0%")</f>
        <v>1.0208333333333333</v>
      </c>
      <c r="L1097" s="498" t="str" cm="1">
        <f t="array" aca="1" ref="L10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7" s="50"/>
      <c r="N1097" s="397"/>
      <c r="O1097" s="42">
        <f t="shared" si="52"/>
        <v>2026</v>
      </c>
      <c r="P1097" s="42" t="str">
        <f t="shared" si="53"/>
        <v>202603558/2021</v>
      </c>
      <c r="Q1097" s="42">
        <v>1</v>
      </c>
    </row>
    <row r="1098" spans="1:17" ht="45" hidden="1">
      <c r="A1098" s="467" t="s">
        <v>219</v>
      </c>
      <c r="B1098" s="315" t="str">
        <f>IFERROR(INDEX(Projetos!$B$3:$B$129,MATCH(A1098,Projetos!$A$3:$A$129,0))," ")</f>
        <v xml:space="preserve">Aperfeiçoamento funcional em temáticas prioritárias para o CNJ e para Justiça Federal 
(cursos, capacitações, metodologias e ferramentas avançados) – Ciclo Avançado </v>
      </c>
      <c r="D1098" s="214">
        <v>0.62</v>
      </c>
      <c r="E1098" s="214">
        <v>0.63</v>
      </c>
      <c r="F1098" s="219">
        <v>46042</v>
      </c>
      <c r="G1098" s="220">
        <v>46023</v>
      </c>
      <c r="H1098" s="51" t="str">
        <f t="shared" si="51"/>
        <v>02024/202446023</v>
      </c>
      <c r="I1098" s="473">
        <f>IFERROR(INDEX(Projetos!$M$2:$M$129,MATCH(Atualizações!A1098,Projetos!$A$2:$A$129,0))," ")</f>
        <v>46246</v>
      </c>
      <c r="J1098" s="221"/>
      <c r="K1098" s="344">
        <f>IFERROR(Tb_Atualizações[[#This Row],[% EXECUTADO]]/Tb_Atualizações[[#This Row],[% PREVISTO]],"0%")</f>
        <v>1.0161290322580645</v>
      </c>
      <c r="L1098" s="475" t="str" cm="1">
        <f t="array" aca="1" ref="L10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098" s="215"/>
      <c r="N1098" s="345"/>
      <c r="O1098" s="42">
        <f t="shared" si="52"/>
        <v>2026</v>
      </c>
      <c r="P1098" s="42" t="str">
        <f t="shared" si="53"/>
        <v>202602024/2024</v>
      </c>
      <c r="Q1098" s="42">
        <v>1</v>
      </c>
    </row>
    <row r="1099" spans="1:17" ht="30" hidden="1">
      <c r="A1099" s="467" t="s">
        <v>661</v>
      </c>
      <c r="B1099" s="315" t="str">
        <f>IFERROR(INDEX(Projetos!$B$3:$B$129,MATCH(A1099,Projetos!$A$3:$A$129,0))," ")</f>
        <v>BNMP – Banco Nacional de Medidas Penais e Prisões – Melhorias Evolutivas</v>
      </c>
      <c r="D1099" s="214">
        <v>0.6</v>
      </c>
      <c r="E1099" s="214">
        <v>0.47</v>
      </c>
      <c r="F1099" s="219">
        <v>46042</v>
      </c>
      <c r="G1099" s="220">
        <v>46023</v>
      </c>
      <c r="H1099" s="51" t="str">
        <f t="shared" si="51"/>
        <v>11776/202446023</v>
      </c>
      <c r="I1099" s="38">
        <f>IFERROR(INDEX(Projetos!$M$2:$M$129,MATCH(Atualizações!A1099,Projetos!$A$2:$A$129,0))," ")</f>
        <v>46379</v>
      </c>
      <c r="J1099" s="221"/>
      <c r="K1099" s="498"/>
      <c r="L1099" s="475" t="str" cm="1">
        <f t="array" aca="1" ref="L10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099" s="215"/>
      <c r="N1099" s="345"/>
      <c r="O1099" s="42">
        <f t="shared" si="52"/>
        <v>2026</v>
      </c>
      <c r="P1099" s="42" t="str">
        <f t="shared" si="53"/>
        <v>202611776/2024</v>
      </c>
    </row>
    <row r="1100" spans="1:17" ht="15" hidden="1">
      <c r="A1100" s="259" t="s">
        <v>766</v>
      </c>
      <c r="B1100" s="315" t="str">
        <f>IFERROR(INDEX(Projetos!$B$3:$B$129,MATCH(A1100,Projetos!$A$3:$A$129,0))," ")</f>
        <v>Painel Crime Organizado</v>
      </c>
      <c r="D1100" s="214">
        <v>0.41</v>
      </c>
      <c r="E1100" s="214">
        <v>0.41</v>
      </c>
      <c r="F1100" s="219">
        <v>46042</v>
      </c>
      <c r="G1100" s="220">
        <v>46023</v>
      </c>
      <c r="H1100" s="51" t="str">
        <f t="shared" si="51"/>
        <v>17085/202546023</v>
      </c>
      <c r="I1100" s="38">
        <f>IFERROR(INDEX(Projetos!$M$2:$M$129,MATCH(Atualizações!A1100,Projetos!$A$2:$A$129,0))," ")</f>
        <v>46387</v>
      </c>
      <c r="J1100" s="221"/>
      <c r="K1100" s="344">
        <f>IFERROR(Tb_Atualizações[[#This Row],[% EXECUTADO]]/Tb_Atualizações[[#This Row],[% PREVISTO]],"0%")</f>
        <v>1</v>
      </c>
      <c r="L1100" s="475" t="str" cm="1">
        <f t="array" aca="1" ref="L11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0" s="215"/>
      <c r="N1100" s="345"/>
      <c r="O1100" s="42">
        <f t="shared" si="52"/>
        <v>2026</v>
      </c>
      <c r="P1100" s="42" t="str">
        <f t="shared" si="53"/>
        <v>202617085/2025</v>
      </c>
      <c r="Q1100" s="42">
        <v>1</v>
      </c>
    </row>
    <row r="1101" spans="1:17" ht="15" hidden="1">
      <c r="A1101" s="192" t="s">
        <v>638</v>
      </c>
      <c r="B1101" s="315" t="str">
        <f>IFERROR(INDEX(Projetos!$B$3:$B$129,MATCH(A1101,Projetos!$A$3:$A$129,0))," ")</f>
        <v>Sisperjud</v>
      </c>
      <c r="D1101" s="214">
        <v>0.92</v>
      </c>
      <c r="E1101" s="214">
        <v>0.93</v>
      </c>
      <c r="F1101" s="219">
        <v>46042</v>
      </c>
      <c r="G1101" s="220">
        <v>46023</v>
      </c>
      <c r="H1101" s="51" t="str">
        <f t="shared" si="51"/>
        <v>11644/202246023</v>
      </c>
      <c r="I1101" s="38">
        <f>IFERROR(INDEX(Projetos!$M$2:$M$129,MATCH(Atualizações!A1101,Projetos!$A$2:$A$129,0))," ")</f>
        <v>46352</v>
      </c>
      <c r="J1101" s="221"/>
      <c r="K1101" s="458">
        <f>IFERROR(Tb_Atualizações[[#This Row],[% EXECUTADO]]/Tb_Atualizações[[#This Row],[% PREVISTO]],"0%")</f>
        <v>1.0108695652173914</v>
      </c>
      <c r="L1101" s="475" t="str" cm="1">
        <f t="array" aca="1" ref="L11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1" s="215"/>
      <c r="N1101" s="345"/>
      <c r="O1101" s="42">
        <f t="shared" si="52"/>
        <v>2026</v>
      </c>
      <c r="P1101" s="42" t="str">
        <f t="shared" si="53"/>
        <v>202611644/2022</v>
      </c>
      <c r="Q1101" s="42">
        <v>1</v>
      </c>
    </row>
    <row r="1102" spans="1:17" ht="15" hidden="1">
      <c r="A1102" s="467" t="s">
        <v>58</v>
      </c>
      <c r="B1102" s="315" t="str">
        <f>IFERROR(INDEX(Projetos!$B$3:$B$129,MATCH(A1102,Projetos!$A$3:$A$129,0))," ")</f>
        <v>Phase-out: Transição Projetos X Operação</v>
      </c>
      <c r="D1102" s="214">
        <v>0.52</v>
      </c>
      <c r="E1102" s="214">
        <v>0.74</v>
      </c>
      <c r="F1102" s="219">
        <v>46043</v>
      </c>
      <c r="G1102" s="220">
        <v>46023</v>
      </c>
      <c r="H1102" s="51" t="str">
        <f t="shared" si="51"/>
        <v>00030/202546023</v>
      </c>
      <c r="I1102" s="38">
        <f>IFERROR(INDEX(Projetos!$M$2:$M$129,MATCH(Atualizações!A1102,Projetos!$A$2:$A$129,0))," ")</f>
        <v>46387</v>
      </c>
      <c r="J1102" s="221"/>
      <c r="K1102" s="344">
        <f>IFERROR(Tb_Atualizações[[#This Row],[% EXECUTADO]]/Tb_Atualizações[[#This Row],[% PREVISTO]],"0%")</f>
        <v>1.4230769230769229</v>
      </c>
      <c r="L1102" s="475" t="str" cm="1">
        <f t="array" aca="1" ref="L11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2" s="215"/>
      <c r="N1102" s="345"/>
      <c r="O1102" s="42">
        <f t="shared" si="52"/>
        <v>2026</v>
      </c>
      <c r="P1102" s="42" t="str">
        <f t="shared" si="53"/>
        <v>202600030/2025</v>
      </c>
    </row>
    <row r="1103" spans="1:17" ht="15" hidden="1">
      <c r="A1103" s="192" t="s">
        <v>652</v>
      </c>
      <c r="B1103" s="315" t="str">
        <f>IFERROR(INDEX(Projetos!$B$3:$B$129,MATCH(A1103,Projetos!$A$3:$A$129,0))," ")</f>
        <v>Projeto Piloto – Rede de Apoio para Avaliação Externa, com base no IA-CM</v>
      </c>
      <c r="D1103" s="214">
        <v>0.46</v>
      </c>
      <c r="E1103" s="214">
        <v>0.46</v>
      </c>
      <c r="F1103" s="219">
        <v>46044</v>
      </c>
      <c r="G1103" s="220">
        <v>46048</v>
      </c>
      <c r="H1103" s="51" t="str">
        <f t="shared" si="51"/>
        <v>11729/202546048</v>
      </c>
      <c r="I1103" s="38">
        <f>IFERROR(INDEX(Projetos!$M$2:$M$129,MATCH(Atualizações!A1103,Projetos!$A$2:$A$129,0))," ")</f>
        <v>46265</v>
      </c>
      <c r="J1103" s="221"/>
      <c r="K1103" s="458">
        <f>IFERROR(Tb_Atualizações[[#This Row],[% EXECUTADO]]/Tb_Atualizações[[#This Row],[% PREVISTO]],"0%")</f>
        <v>1</v>
      </c>
      <c r="L1103" s="475" t="str" cm="1">
        <f t="array" aca="1" ref="L11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3" s="215"/>
      <c r="N1103" s="345"/>
      <c r="O1103" s="42">
        <f t="shared" si="52"/>
        <v>2026</v>
      </c>
      <c r="P1103" s="42" t="str">
        <f t="shared" si="53"/>
        <v>202611729/2025</v>
      </c>
      <c r="Q1103" s="42">
        <v>1</v>
      </c>
    </row>
    <row r="1104" spans="1:17" ht="15" hidden="1">
      <c r="A1104" s="457" t="s">
        <v>773</v>
      </c>
      <c r="B1104" s="315" t="str">
        <f>IFERROR(INDEX(Projetos!$B$3:$B$129,MATCH(A1104,Projetos!$A$3:$A$129,0))," ")</f>
        <v>API de Pessoas</v>
      </c>
      <c r="D1104" s="214">
        <v>0.79</v>
      </c>
      <c r="E1104" s="214">
        <v>0.72</v>
      </c>
      <c r="F1104" s="219">
        <v>46045</v>
      </c>
      <c r="G1104" s="220">
        <v>46049</v>
      </c>
      <c r="H1104" s="51" t="str">
        <f t="shared" si="51"/>
        <v>17372/2024 46049</v>
      </c>
      <c r="I1104" s="473">
        <f>IFERROR(INDEX(Projetos!$M$2:$M$129,MATCH(Atualizações!A1104,Projetos!$A$2:$A$129,0))," ")</f>
        <v>46371</v>
      </c>
      <c r="J1104" s="221"/>
      <c r="K1104" s="458">
        <f>IFERROR(Tb_Atualizações[[#This Row],[% EXECUTADO]]/Tb_Atualizações[[#This Row],[% PREVISTO]],"0%")</f>
        <v>0.91139240506329111</v>
      </c>
      <c r="L1104" s="475" t="str" cm="1">
        <f t="array" aca="1" ref="L11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04" s="215"/>
      <c r="N1104" s="345"/>
      <c r="O1104" s="42">
        <f t="shared" si="52"/>
        <v>2026</v>
      </c>
      <c r="P1104" s="42" t="str">
        <f t="shared" si="53"/>
        <v xml:space="preserve">202617372/2024 </v>
      </c>
      <c r="Q1104" s="42">
        <v>1</v>
      </c>
    </row>
    <row r="1105" spans="1:17" ht="15" hidden="1">
      <c r="A1105" s="537" t="s">
        <v>661</v>
      </c>
      <c r="B1105" s="315" t="str">
        <f>IFERROR(INDEX(Projetos!$B$3:$B$129,MATCH(A1105,Projetos!$A$3:$A$129,0))," ")</f>
        <v>BNMP – Banco Nacional de Medidas Penais e Prisões – Melhorias Evolutivas</v>
      </c>
      <c r="D1105" s="214"/>
      <c r="E1105" s="214">
        <v>0.69</v>
      </c>
      <c r="F1105" s="219">
        <v>46052</v>
      </c>
      <c r="G1105" s="220">
        <v>46051</v>
      </c>
      <c r="H1105" s="51" t="str">
        <f t="shared" si="51"/>
        <v>11776/202446051</v>
      </c>
      <c r="I1105" s="38">
        <f>IFERROR(INDEX(Projetos!$M$2:$M$129,MATCH(Atualizações!A1105,Projetos!$A$2:$A$129,0))," ")</f>
        <v>46379</v>
      </c>
      <c r="J1105" s="221"/>
      <c r="K1105" s="458" t="str">
        <f>IFERROR(Tb_Atualizações[[#This Row],[% EXECUTADO]]/Tb_Atualizações[[#This Row],[% PREVISTO]],"0%")</f>
        <v>0%</v>
      </c>
      <c r="L1105" s="475" t="str" cm="1">
        <f t="array" aca="1" ref="L11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5" s="215"/>
      <c r="N1105" s="345"/>
      <c r="O1105" s="42">
        <f t="shared" si="52"/>
        <v>2026</v>
      </c>
      <c r="P1105" s="42" t="str">
        <f t="shared" si="53"/>
        <v>202611776/2024</v>
      </c>
      <c r="Q1105" s="42">
        <v>1</v>
      </c>
    </row>
    <row r="1106" spans="1:17" ht="15" hidden="1">
      <c r="A1106" s="192" t="s">
        <v>925</v>
      </c>
      <c r="B1106" s="315" t="str">
        <f>IFERROR(INDEX(Projetos!$B$3:$B$129,MATCH(A1106,Projetos!$A$3:$A$129,0))," ")</f>
        <v>21 dias de ativismo pelo fim da violência contra mulher - edição 2025</v>
      </c>
      <c r="D1106" s="214">
        <v>1</v>
      </c>
      <c r="E1106" s="214">
        <v>1</v>
      </c>
      <c r="F1106" s="219">
        <v>46057</v>
      </c>
      <c r="G1106" s="220">
        <v>46023</v>
      </c>
      <c r="H1106" s="51" t="str">
        <f t="shared" si="51"/>
        <v>19706/202546023</v>
      </c>
      <c r="I1106" s="38">
        <f>IFERROR(INDEX(Projetos!$M$2:$M$129,MATCH(Atualizações!A1106,Projetos!$A$2:$A$129,0))," ")</f>
        <v>46037</v>
      </c>
      <c r="J1106" s="221"/>
      <c r="K1106" s="344">
        <f>IFERROR(Tb_Atualizações[[#This Row],[% EXECUTADO]]/Tb_Atualizações[[#This Row],[% PREVISTO]],"0%")</f>
        <v>1</v>
      </c>
      <c r="L1106" s="475" t="str" cm="1">
        <f t="array" aca="1" ref="L11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106" s="215"/>
      <c r="N1106" s="345"/>
      <c r="O1106" s="42">
        <f t="shared" si="52"/>
        <v>2026</v>
      </c>
      <c r="P1106" s="42" t="str">
        <f t="shared" si="53"/>
        <v>202619706/2025</v>
      </c>
      <c r="Q1106" s="42">
        <v>1</v>
      </c>
    </row>
    <row r="1107" spans="1:17" ht="15" hidden="1">
      <c r="A1107" s="192" t="s">
        <v>189</v>
      </c>
      <c r="B1107" s="315" t="str">
        <f>IFERROR(INDEX(Projetos!$B$3:$B$129,MATCH(A1107,Projetos!$A$3:$A$129,0))," ")</f>
        <v>Gestão de Clientes</v>
      </c>
      <c r="D1107" s="214">
        <v>1</v>
      </c>
      <c r="E1107" s="214">
        <v>1</v>
      </c>
      <c r="F1107" s="219">
        <v>46057</v>
      </c>
      <c r="G1107" s="220">
        <v>46023</v>
      </c>
      <c r="H1107" s="51" t="str">
        <f t="shared" ref="H1107:H1147" si="54">A1107&amp;G1107</f>
        <v>01809/202546023</v>
      </c>
      <c r="I1107" s="38">
        <f>IFERROR(INDEX(Projetos!$M$2:$M$129,MATCH(Atualizações!A1107,Projetos!$A$2:$A$129,0))," ")</f>
        <v>46083</v>
      </c>
      <c r="J1107" s="221"/>
      <c r="K1107" s="344">
        <f>IFERROR(Tb_Atualizações[[#This Row],[% EXECUTADO]]/Tb_Atualizações[[#This Row],[% PREVISTO]],"0%")</f>
        <v>1</v>
      </c>
      <c r="L1107" s="475" t="str" cm="1">
        <f t="array" aca="1" ref="L11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107" s="215"/>
      <c r="N1107" s="345"/>
      <c r="O1107" s="42">
        <f t="shared" ref="O1107:O1147" si="55">YEAR(F1107)</f>
        <v>2026</v>
      </c>
      <c r="P1107" s="42" t="str">
        <f t="shared" ref="P1107:P1147" si="56">O1107&amp;A1107</f>
        <v>202601809/2025</v>
      </c>
      <c r="Q1107" s="42">
        <v>1</v>
      </c>
    </row>
    <row r="1108" spans="1:17" ht="15" hidden="1">
      <c r="A1108" s="192" t="s">
        <v>747</v>
      </c>
      <c r="B1108" s="315" t="str">
        <f>IFERROR(INDEX(Projetos!$B$3:$B$129,MATCH(A1108,Projetos!$A$3:$A$129,0))," ")</f>
        <v>Mapa Nacional do Crime Organizado</v>
      </c>
      <c r="D1108" s="214">
        <v>0.27</v>
      </c>
      <c r="E1108" s="214">
        <v>0.5</v>
      </c>
      <c r="F1108" s="219">
        <v>46059</v>
      </c>
      <c r="G1108" s="220">
        <v>46023</v>
      </c>
      <c r="H1108" s="51" t="str">
        <f t="shared" si="54"/>
        <v>16689/202546023</v>
      </c>
      <c r="I1108" s="38">
        <f>IFERROR(INDEX(Projetos!$M$2:$M$129,MATCH(Atualizações!A1108,Projetos!$A$2:$A$129,0))," ")</f>
        <v>46265</v>
      </c>
      <c r="J1108" s="221"/>
      <c r="K1108" s="344">
        <f>IFERROR(Tb_Atualizações[[#This Row],[% EXECUTADO]]/Tb_Atualizações[[#This Row],[% PREVISTO]],"0%")</f>
        <v>1.8518518518518516</v>
      </c>
      <c r="L1108" s="475" t="str" cm="1">
        <f t="array" aca="1" ref="L11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08" s="215"/>
      <c r="N1108" s="345"/>
      <c r="O1108" s="42">
        <f t="shared" si="55"/>
        <v>2026</v>
      </c>
      <c r="P1108" s="42" t="str">
        <f t="shared" si="56"/>
        <v>202616689/2025</v>
      </c>
      <c r="Q1108" s="42">
        <v>1</v>
      </c>
    </row>
    <row r="1109" spans="1:17" ht="15" hidden="1">
      <c r="A1109" s="192" t="s">
        <v>229</v>
      </c>
      <c r="B1109" s="315" t="str">
        <f>IFERROR(INDEX(Projetos!$B$3:$B$129,MATCH(A1109,Projetos!$A$3:$A$129,0))," ")</f>
        <v>Gabinete do Juízo</v>
      </c>
      <c r="D1109" s="214">
        <v>0.79</v>
      </c>
      <c r="E1109" s="214">
        <v>0.69</v>
      </c>
      <c r="F1109" s="219">
        <v>46063</v>
      </c>
      <c r="G1109" s="220">
        <v>46023</v>
      </c>
      <c r="H1109" s="51" t="str">
        <f t="shared" si="54"/>
        <v>02080/202346023</v>
      </c>
      <c r="I1109" s="38">
        <f>IFERROR(INDEX(Projetos!$M$2:$M$129,MATCH(Atualizações!A1109,Projetos!$A$2:$A$129,0))," ")</f>
        <v>46379</v>
      </c>
      <c r="J1109" s="221"/>
      <c r="K1109" s="344">
        <f>IFERROR(Tb_Atualizações[[#This Row],[% EXECUTADO]]/Tb_Atualizações[[#This Row],[% PREVISTO]],"0%")</f>
        <v>0.87341772151898722</v>
      </c>
      <c r="L1109" s="475" t="str" cm="1">
        <f t="array" aca="1" ref="L11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09" s="215"/>
      <c r="N1109" s="345"/>
      <c r="O1109" s="42">
        <f t="shared" si="55"/>
        <v>2026</v>
      </c>
      <c r="P1109" s="42" t="str">
        <f t="shared" si="56"/>
        <v>202602080/2023</v>
      </c>
      <c r="Q1109" s="42">
        <v>1</v>
      </c>
    </row>
    <row r="1110" spans="1:17" ht="15" hidden="1">
      <c r="A1110" s="192" t="s">
        <v>934</v>
      </c>
      <c r="B1110" s="315" t="str">
        <f>IFERROR(INDEX(Projetos!$B$3:$B$129,MATCH(A1110,Projetos!$A$3:$A$129,0))," ")</f>
        <v>Programa Infância a Priori</v>
      </c>
      <c r="D1110" s="214">
        <v>0</v>
      </c>
      <c r="E1110" s="214">
        <v>0</v>
      </c>
      <c r="F1110" s="219">
        <v>46078</v>
      </c>
      <c r="G1110" s="220">
        <v>46054</v>
      </c>
      <c r="H1110" s="51" t="str">
        <f t="shared" si="54"/>
        <v>21959/202546054</v>
      </c>
      <c r="I1110" s="38">
        <f>IFERROR(INDEX(Projetos!$M$2:$M$129,MATCH(Atualizações!A1110,Projetos!$A$2:$A$129,0))," ")</f>
        <v>46741</v>
      </c>
      <c r="J1110" s="221" t="s">
        <v>1454</v>
      </c>
      <c r="K1110" s="344" t="str">
        <f>IFERROR(Tb_Atualizações[[#This Row],[% EXECUTADO]]/Tb_Atualizações[[#This Row],[% PREVISTO]],"0%")</f>
        <v>0%</v>
      </c>
      <c r="L1110" s="475" t="str" cm="1">
        <f t="array" aca="1" ref="L11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10" s="215"/>
      <c r="N1110" s="345"/>
      <c r="O1110" s="42">
        <f t="shared" si="55"/>
        <v>2026</v>
      </c>
      <c r="P1110" s="42" t="str">
        <f t="shared" si="56"/>
        <v>202621959/2025</v>
      </c>
      <c r="Q1110" s="42">
        <v>1</v>
      </c>
    </row>
    <row r="1111" spans="1:17" ht="409.5" hidden="1">
      <c r="A1111" s="192" t="s">
        <v>229</v>
      </c>
      <c r="B1111" s="315" t="str">
        <f>IFERROR(INDEX(Projetos!$B$3:$B$129,MATCH(A1111,Projetos!$A$3:$A$129,0))," ")</f>
        <v>Gabinete do Juízo</v>
      </c>
      <c r="D1111" s="214">
        <v>0.8</v>
      </c>
      <c r="E1111" s="214">
        <v>0.63</v>
      </c>
      <c r="F1111" s="219">
        <v>46084</v>
      </c>
      <c r="G1111" s="220">
        <v>46054</v>
      </c>
      <c r="H1111" s="51" t="str">
        <f t="shared" si="54"/>
        <v>02080/202346054</v>
      </c>
      <c r="I1111" s="38">
        <f>IFERROR(INDEX(Projetos!$M$2:$M$129,MATCH(Atualizações!A1111,Projetos!$A$2:$A$129,0))," ")</f>
        <v>46379</v>
      </c>
      <c r="J1111" s="221" t="s">
        <v>1482</v>
      </c>
      <c r="K1111" s="344">
        <f>IFERROR(Tb_Atualizações[[#This Row],[% EXECUTADO]]/Tb_Atualizações[[#This Row],[% PREVISTO]],"0%")</f>
        <v>0.78749999999999998</v>
      </c>
      <c r="L1111" s="475" t="str" cm="1">
        <f t="array" aca="1" ref="L11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11" s="215"/>
      <c r="N1111" s="345"/>
      <c r="O1111" s="42">
        <f t="shared" si="55"/>
        <v>2026</v>
      </c>
      <c r="P1111" s="42" t="str">
        <f t="shared" si="56"/>
        <v>202602080/2023</v>
      </c>
      <c r="Q1111" s="42">
        <v>1</v>
      </c>
    </row>
    <row r="1112" spans="1:17" ht="409.5" hidden="1">
      <c r="A1112" s="192" t="s">
        <v>350</v>
      </c>
      <c r="B1112" s="315" t="str">
        <f>IFERROR(INDEX(Projetos!$B$3:$B$129,MATCH(A1112,Projetos!$A$3:$A$129,0))," ")</f>
        <v>Painel de Estatística   - Justiça 4.0</v>
      </c>
      <c r="D1112" s="214">
        <v>0.84</v>
      </c>
      <c r="E1112" s="214">
        <v>0.75</v>
      </c>
      <c r="F1112" s="219">
        <v>46078</v>
      </c>
      <c r="G1112" s="220">
        <v>46054</v>
      </c>
      <c r="H1112" s="51" t="str">
        <f t="shared" si="54"/>
        <v>03545/202146054</v>
      </c>
      <c r="I1112" s="38">
        <f>IFERROR(INDEX(Projetos!$M$2:$M$129,MATCH(Atualizações!A1112,Projetos!$A$2:$A$129,0))," ")</f>
        <v>46387</v>
      </c>
      <c r="J1112" s="221" t="s">
        <v>1483</v>
      </c>
      <c r="K1112" s="344">
        <f>IFERROR(Tb_Atualizações[[#This Row],[% EXECUTADO]]/Tb_Atualizações[[#This Row],[% PREVISTO]],"0%")</f>
        <v>0.8928571428571429</v>
      </c>
      <c r="L1112" s="498" t="str" cm="1">
        <f t="array" aca="1" ref="L11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12" s="215"/>
      <c r="N1112" s="345"/>
      <c r="O1112" s="42">
        <f t="shared" si="55"/>
        <v>2026</v>
      </c>
      <c r="P1112" s="42" t="str">
        <f t="shared" si="56"/>
        <v>202603545/2021</v>
      </c>
      <c r="Q1112" s="42">
        <v>1</v>
      </c>
    </row>
    <row r="1113" spans="1:17" ht="120" hidden="1">
      <c r="A1113" s="192" t="s">
        <v>358</v>
      </c>
      <c r="B1113" s="315" t="str">
        <f>IFERROR(INDEX(Projetos!$B$3:$B$129,MATCH(A1113,Projetos!$A$3:$A$129,0))," ")</f>
        <v>Prevjud - Automação de Processos Previdenciários - Justiça 4.0</v>
      </c>
      <c r="D1113" s="214">
        <v>0.96</v>
      </c>
      <c r="E1113" s="214">
        <v>0.98</v>
      </c>
      <c r="F1113" s="219">
        <v>46078</v>
      </c>
      <c r="G1113" s="220">
        <v>46054</v>
      </c>
      <c r="H1113" s="51" t="str">
        <f t="shared" si="54"/>
        <v>03558/202146054</v>
      </c>
      <c r="I1113" s="38" t="str">
        <f>IFERROR(INDEX(Projetos!$M$2:$M$129,MATCH(Atualizações!A1113,Projetos!$A$2:$A$129,0))," ")</f>
        <v>31/03/2026</v>
      </c>
      <c r="J1113" s="221" t="s">
        <v>1484</v>
      </c>
      <c r="K1113" s="344">
        <f>IFERROR(Tb_Atualizações[[#This Row],[% EXECUTADO]]/Tb_Atualizações[[#This Row],[% PREVISTO]],"0%")</f>
        <v>1.0208333333333333</v>
      </c>
      <c r="L1113" s="475" t="str" cm="1">
        <f t="array" aca="1" ref="L11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13" s="215"/>
      <c r="N1113" s="345"/>
      <c r="O1113" s="42">
        <f t="shared" si="55"/>
        <v>2026</v>
      </c>
      <c r="P1113" s="42" t="str">
        <f t="shared" si="56"/>
        <v>202603558/2021</v>
      </c>
      <c r="Q1113" s="42">
        <v>1</v>
      </c>
    </row>
    <row r="1114" spans="1:17" ht="135" hidden="1">
      <c r="A1114" s="192" t="s">
        <v>416</v>
      </c>
      <c r="B1114" s="315" t="str">
        <f>IFERROR(INDEX(Projetos!$B$3:$B$129,MATCH(A1114,Projetos!$A$3:$A$129,0))," ")</f>
        <v>Conecta</v>
      </c>
      <c r="D1114" s="214">
        <v>0.67</v>
      </c>
      <c r="E1114" s="214">
        <v>0.54</v>
      </c>
      <c r="F1114" s="219">
        <v>46078</v>
      </c>
      <c r="G1114" s="220">
        <v>46054</v>
      </c>
      <c r="H1114" s="51" t="str">
        <f t="shared" si="54"/>
        <v>05578/202446054</v>
      </c>
      <c r="I1114" s="473" t="str">
        <f>IFERROR(INDEX(Projetos!$M$2:$M$129,MATCH(Atualizações!A1114,Projetos!$A$2:$A$129,0))," ")</f>
        <v>31/12/2026</v>
      </c>
      <c r="J1114" s="221" t="s">
        <v>1485</v>
      </c>
      <c r="K1114" s="344">
        <f>IFERROR(Tb_Atualizações[[#This Row],[% EXECUTADO]]/Tb_Atualizações[[#This Row],[% PREVISTO]],"0%")</f>
        <v>0.80597014925373134</v>
      </c>
      <c r="L1114" s="475" t="str" cm="1">
        <f t="array" aca="1" ref="L11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14" s="215"/>
      <c r="N1114" s="345"/>
      <c r="O1114" s="42">
        <f t="shared" si="55"/>
        <v>2026</v>
      </c>
      <c r="P1114" s="42" t="str">
        <f t="shared" si="56"/>
        <v>202605578/2024</v>
      </c>
      <c r="Q1114" s="42">
        <v>1</v>
      </c>
    </row>
    <row r="1115" spans="1:17" ht="409.5" hidden="1">
      <c r="A1115" s="192" t="s">
        <v>257</v>
      </c>
      <c r="B1115" s="315" t="str">
        <f>IFERROR(INDEX(Projetos!$B$3:$B$129,MATCH(A1115,Projetos!$A$3:$A$129,0))," ")</f>
        <v>SisPreq – Sistema de Precatórios e Requisições de Pequeno Valor</v>
      </c>
      <c r="D1115" s="214">
        <v>0.89</v>
      </c>
      <c r="E1115" s="214">
        <v>0.89</v>
      </c>
      <c r="F1115" s="219">
        <v>46078</v>
      </c>
      <c r="G1115" s="220">
        <v>46054</v>
      </c>
      <c r="H1115" s="51" t="str">
        <f t="shared" si="54"/>
        <v>02465/202446054</v>
      </c>
      <c r="I1115" s="473" t="str">
        <f>IFERROR(INDEX(Projetos!$M$2:$M$129,MATCH(Atualizações!A1115,Projetos!$A$2:$A$129,0))," ")</f>
        <v>15/12/2026</v>
      </c>
      <c r="J1115" s="221" t="s">
        <v>1486</v>
      </c>
      <c r="K1115" s="344">
        <f>IFERROR(Tb_Atualizações[[#This Row],[% EXECUTADO]]/Tb_Atualizações[[#This Row],[% PREVISTO]],"0%")</f>
        <v>1</v>
      </c>
      <c r="L1115" s="475" t="str" cm="1">
        <f t="array" aca="1" ref="L11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15" s="215"/>
      <c r="N1115" s="345"/>
      <c r="O1115" s="42">
        <f t="shared" si="55"/>
        <v>2026</v>
      </c>
      <c r="P1115" s="42" t="str">
        <f t="shared" si="56"/>
        <v>202602465/2024</v>
      </c>
      <c r="Q1115" s="42">
        <v>1</v>
      </c>
    </row>
    <row r="1116" spans="1:17" ht="120" hidden="1">
      <c r="A1116" s="192" t="s">
        <v>638</v>
      </c>
      <c r="B1116" s="315" t="str">
        <f>IFERROR(INDEX(Projetos!$B$3:$B$129,MATCH(A1116,Projetos!$A$3:$A$129,0))," ")</f>
        <v>Sisperjud</v>
      </c>
      <c r="D1116" s="214">
        <v>0.93</v>
      </c>
      <c r="E1116" s="214">
        <v>0.94</v>
      </c>
      <c r="F1116" s="219">
        <v>46078</v>
      </c>
      <c r="G1116" s="220">
        <v>46054</v>
      </c>
      <c r="H1116" s="51" t="str">
        <f t="shared" si="54"/>
        <v>11644/202246054</v>
      </c>
      <c r="I1116" s="473">
        <f>IFERROR(INDEX(Projetos!$M$2:$M$129,MATCH(Atualizações!A1116,Projetos!$A$2:$A$129,0))," ")</f>
        <v>46352</v>
      </c>
      <c r="J1116" s="221" t="s">
        <v>1487</v>
      </c>
      <c r="K1116" s="458">
        <f>IFERROR(Tb_Atualizações[[#This Row],[% EXECUTADO]]/Tb_Atualizações[[#This Row],[% PREVISTO]],"0%")</f>
        <v>1.010752688172043</v>
      </c>
      <c r="L1116" s="475" t="str" cm="1">
        <f t="array" aca="1" ref="L11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16" s="215"/>
      <c r="N1116" s="345"/>
      <c r="O1116" s="42">
        <f t="shared" si="55"/>
        <v>2026</v>
      </c>
      <c r="P1116" s="42" t="str">
        <f t="shared" si="56"/>
        <v>202611644/2022</v>
      </c>
      <c r="Q1116" s="42">
        <v>1</v>
      </c>
    </row>
    <row r="1117" spans="1:17" ht="120" hidden="1">
      <c r="A1117" s="192" t="s">
        <v>684</v>
      </c>
      <c r="B1117" s="315" t="str">
        <f>IFERROR(INDEX(Projetos!$B$3:$B$129,MATCH(A1117,Projetos!$A$3:$A$129,0))," ")</f>
        <v>Painel dos Grandes Litigantes</v>
      </c>
      <c r="D1117" s="214">
        <v>0.81</v>
      </c>
      <c r="E1117" s="214">
        <v>0.78</v>
      </c>
      <c r="F1117" s="219">
        <v>46078</v>
      </c>
      <c r="G1117" s="220">
        <v>46054</v>
      </c>
      <c r="H1117" s="51" t="str">
        <f t="shared" si="54"/>
        <v>12135/202246054</v>
      </c>
      <c r="I1117" s="473" t="str">
        <f>IFERROR(INDEX(Projetos!$M$2:$M$129,MATCH(Atualizações!A1117,Projetos!$A$2:$A$129,0))," ")</f>
        <v>30/06/26</v>
      </c>
      <c r="J1117" s="221" t="s">
        <v>1488</v>
      </c>
      <c r="K1117" s="344">
        <f>IFERROR(Tb_Atualizações[[#This Row],[% EXECUTADO]]/Tb_Atualizações[[#This Row],[% PREVISTO]],"0%")</f>
        <v>0.96296296296296291</v>
      </c>
      <c r="L1117" s="475" t="str" cm="1">
        <f t="array" aca="1" ref="L11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17" s="215"/>
      <c r="N1117" s="345"/>
      <c r="O1117" s="42">
        <f t="shared" si="55"/>
        <v>2026</v>
      </c>
      <c r="P1117" s="42" t="str">
        <f t="shared" si="56"/>
        <v>202612135/2022</v>
      </c>
      <c r="Q1117" s="42">
        <v>1</v>
      </c>
    </row>
    <row r="1118" spans="1:17" ht="409.5" hidden="1">
      <c r="A1118" s="192" t="s">
        <v>431</v>
      </c>
      <c r="B1118" s="315" t="str">
        <f>IFERROR(INDEX(Projetos!$B$3:$B$129,MATCH(A1118,Projetos!$A$3:$A$129,0))," ")</f>
        <v>Sniper BC</v>
      </c>
      <c r="D1118" s="214">
        <v>0.74</v>
      </c>
      <c r="E1118" s="214">
        <v>0.69</v>
      </c>
      <c r="F1118" s="219">
        <v>46078</v>
      </c>
      <c r="G1118" s="220">
        <v>46054</v>
      </c>
      <c r="H1118" s="51" t="str">
        <f t="shared" si="54"/>
        <v>06826/202446054</v>
      </c>
      <c r="I1118" s="473">
        <f>IFERROR(INDEX(Projetos!$M$2:$M$129,MATCH(Atualizações!A1118,Projetos!$A$2:$A$129,0))," ")</f>
        <v>46281</v>
      </c>
      <c r="J1118" s="221" t="s">
        <v>1489</v>
      </c>
      <c r="K1118" s="344">
        <f>IFERROR(Tb_Atualizações[[#This Row],[% EXECUTADO]]/Tb_Atualizações[[#This Row],[% PREVISTO]],"0%")</f>
        <v>0.93243243243243235</v>
      </c>
      <c r="L1118" s="475" t="str" cm="1">
        <f t="array" aca="1" ref="L11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18" s="215"/>
      <c r="N1118" s="345"/>
      <c r="O1118" s="42">
        <f t="shared" si="55"/>
        <v>2026</v>
      </c>
      <c r="P1118" s="42" t="str">
        <f t="shared" si="56"/>
        <v>202606826/2024</v>
      </c>
      <c r="Q1118" s="42">
        <v>1</v>
      </c>
    </row>
    <row r="1119" spans="1:17" ht="409.5" hidden="1">
      <c r="A1119" s="192" t="s">
        <v>549</v>
      </c>
      <c r="B1119" s="315" t="str">
        <f>IFERROR(INDEX(Projetos!$B$3:$B$129,MATCH(A1119,Projetos!$A$3:$A$129,0))," ")</f>
        <v>Fluxo Nacional Automatizado das Execuções Fiscais (EFIN)</v>
      </c>
      <c r="D1119" s="214">
        <v>0.81</v>
      </c>
      <c r="E1119" s="214">
        <v>0.81</v>
      </c>
      <c r="F1119" s="219">
        <v>46078</v>
      </c>
      <c r="G1119" s="220">
        <v>46054</v>
      </c>
      <c r="H1119" s="51" t="str">
        <f t="shared" si="54"/>
        <v>09796/202446054</v>
      </c>
      <c r="I1119" s="473">
        <f>IFERROR(INDEX(Projetos!$M$2:$M$129,MATCH(Atualizações!A1119,Projetos!$A$2:$A$129,0))," ")</f>
        <v>46226</v>
      </c>
      <c r="J1119" s="221" t="s">
        <v>1490</v>
      </c>
      <c r="K1119" s="344">
        <f>IFERROR(Tb_Atualizações[[#This Row],[% EXECUTADO]]/Tb_Atualizações[[#This Row],[% PREVISTO]],"0%")</f>
        <v>1</v>
      </c>
      <c r="L1119" s="475" t="str" cm="1">
        <f t="array" aca="1" ref="L11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19" s="215"/>
      <c r="N1119" s="345"/>
      <c r="O1119" s="42">
        <f t="shared" si="55"/>
        <v>2026</v>
      </c>
      <c r="P1119" s="42" t="str">
        <f t="shared" si="56"/>
        <v>202609796/2024</v>
      </c>
      <c r="Q1119" s="42">
        <v>1</v>
      </c>
    </row>
    <row r="1120" spans="1:17" ht="409.5" hidden="1">
      <c r="A1120" s="192" t="s">
        <v>644</v>
      </c>
      <c r="B1120" s="315" t="str">
        <f>IFERROR(INDEX(Projetos!$B$3:$B$129,MATCH(A1120,Projetos!$A$3:$A$129,0))," ")</f>
        <v>BNP/Pangea</v>
      </c>
      <c r="D1120" s="214">
        <v>0.75</v>
      </c>
      <c r="E1120" s="214">
        <v>0.74</v>
      </c>
      <c r="F1120" s="219">
        <v>46078</v>
      </c>
      <c r="G1120" s="220">
        <v>46054</v>
      </c>
      <c r="H1120" s="51" t="str">
        <f t="shared" si="54"/>
        <v>11645/202246054</v>
      </c>
      <c r="I1120" s="473" t="str">
        <f>IFERROR(INDEX(Projetos!$M$2:$M$129,MATCH(Atualizações!A1120,Projetos!$A$2:$A$129,0))," ")</f>
        <v>23/12/2026</v>
      </c>
      <c r="J1120" s="221" t="s">
        <v>1491</v>
      </c>
      <c r="K1120" s="344">
        <f>IFERROR(Tb_Atualizações[[#This Row],[% EXECUTADO]]/Tb_Atualizações[[#This Row],[% PREVISTO]],"0%")</f>
        <v>0.98666666666666669</v>
      </c>
      <c r="L1120" s="475" t="str" cm="1">
        <f t="array" aca="1" ref="L11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20" s="215"/>
      <c r="N1120" s="345"/>
      <c r="O1120" s="42">
        <f t="shared" si="55"/>
        <v>2026</v>
      </c>
      <c r="P1120" s="42" t="str">
        <f t="shared" si="56"/>
        <v>202611645/2022</v>
      </c>
      <c r="Q1120" s="42">
        <v>1</v>
      </c>
    </row>
    <row r="1121" spans="1:17" ht="409.5" hidden="1">
      <c r="A1121" s="192" t="s">
        <v>533</v>
      </c>
      <c r="B1121" s="315" t="str">
        <f>IFERROR(INDEX(Projetos!$B$3:$B$129,MATCH(A1121,Projetos!$A$3:$A$129,0))," ")</f>
        <v>Qualificação de Dados</v>
      </c>
      <c r="D1121" s="214">
        <v>0.92</v>
      </c>
      <c r="E1121" s="214">
        <v>0.91</v>
      </c>
      <c r="F1121" s="219">
        <v>46073</v>
      </c>
      <c r="G1121" s="220">
        <v>46054</v>
      </c>
      <c r="H1121" s="51" t="str">
        <f t="shared" si="54"/>
        <v>09613/202446054</v>
      </c>
      <c r="I1121" s="473">
        <f>IFERROR(INDEX(Projetos!$M$2:$M$129,MATCH(Atualizações!A1121,Projetos!$A$2:$A$129,0))," ")</f>
        <v>46386</v>
      </c>
      <c r="J1121" s="221" t="s">
        <v>1492</v>
      </c>
      <c r="K1121" s="344">
        <f>IFERROR(Tb_Atualizações[[#This Row],[% EXECUTADO]]/Tb_Atualizações[[#This Row],[% PREVISTO]],"0%")</f>
        <v>0.98913043478260865</v>
      </c>
      <c r="L1121" s="475" t="str" cm="1">
        <f t="array" aca="1" ref="L11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21" s="215"/>
      <c r="N1121" s="345"/>
      <c r="O1121" s="42">
        <f t="shared" si="55"/>
        <v>2026</v>
      </c>
      <c r="P1121" s="42" t="str">
        <f t="shared" si="56"/>
        <v>202609613/2024</v>
      </c>
      <c r="Q1121" s="42">
        <v>1</v>
      </c>
    </row>
    <row r="1122" spans="1:17" ht="409.5" hidden="1">
      <c r="A1122" s="192" t="s">
        <v>310</v>
      </c>
      <c r="B1122" s="315" t="str">
        <f>IFERROR(INDEX(Projetos!$B$3:$B$129,MATCH(A1122,Projetos!$A$3:$A$129,0))," ")</f>
        <v>Apoio a implantação de soluções da PDPJ-Br</v>
      </c>
      <c r="D1122" s="214">
        <v>0.87</v>
      </c>
      <c r="E1122" s="214">
        <v>0.83</v>
      </c>
      <c r="F1122" s="219">
        <v>46078</v>
      </c>
      <c r="G1122" s="220">
        <v>46054</v>
      </c>
      <c r="H1122" s="51" t="str">
        <f t="shared" si="54"/>
        <v>02887/202446054</v>
      </c>
      <c r="I1122" s="473">
        <f>IFERROR(INDEX(Projetos!$M$2:$M$129,MATCH(Atualizações!A1122,Projetos!$A$2:$A$129,0))," ")</f>
        <v>46387</v>
      </c>
      <c r="J1122" s="221" t="s">
        <v>1493</v>
      </c>
      <c r="K1122" s="344">
        <f>IFERROR(Tb_Atualizações[[#This Row],[% EXECUTADO]]/Tb_Atualizações[[#This Row],[% PREVISTO]],"0%")</f>
        <v>0.95402298850574707</v>
      </c>
      <c r="L1122" s="475" t="str" cm="1">
        <f t="array" aca="1" ref="L11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22" s="215"/>
      <c r="N1122" s="345"/>
      <c r="O1122" s="42">
        <f t="shared" si="55"/>
        <v>2026</v>
      </c>
      <c r="P1122" s="42" t="str">
        <f t="shared" si="56"/>
        <v>202602887/2024</v>
      </c>
      <c r="Q1122" s="42">
        <v>1</v>
      </c>
    </row>
    <row r="1123" spans="1:17" ht="90" hidden="1">
      <c r="A1123" s="192" t="s">
        <v>690</v>
      </c>
      <c r="B1123" s="315" t="str">
        <f>IFERROR(INDEX(Projetos!$B$3:$B$129,MATCH(A1123,Projetos!$A$3:$A$129,0))," ")</f>
        <v>Painel “Justiça Criminal e Sistema Prisional”</v>
      </c>
      <c r="D1123" s="214">
        <v>0.72</v>
      </c>
      <c r="E1123" s="214">
        <v>0.3</v>
      </c>
      <c r="F1123" s="219">
        <v>46078</v>
      </c>
      <c r="G1123" s="220">
        <v>46054</v>
      </c>
      <c r="H1123" s="51" t="str">
        <f t="shared" si="54"/>
        <v>12215/202346054</v>
      </c>
      <c r="I1123" s="473">
        <f>IFERROR(INDEX(Projetos!$M$2:$M$129,MATCH(Atualizações!A1123,Projetos!$A$2:$A$129,0))," ")</f>
        <v>46387</v>
      </c>
      <c r="J1123" s="221" t="s">
        <v>1494</v>
      </c>
      <c r="K1123" s="344">
        <f>IFERROR(Tb_Atualizações[[#This Row],[% EXECUTADO]]/Tb_Atualizações[[#This Row],[% PREVISTO]],"0%")</f>
        <v>0.41666666666666669</v>
      </c>
      <c r="L1123" s="475" t="str" cm="1">
        <f t="array" aca="1" ref="L11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23" s="215"/>
      <c r="N1123" s="345"/>
      <c r="O1123" s="42">
        <f t="shared" si="55"/>
        <v>2026</v>
      </c>
      <c r="P1123" s="42" t="str">
        <f t="shared" si="56"/>
        <v>202612215/2023</v>
      </c>
      <c r="Q1123" s="42">
        <v>1</v>
      </c>
    </row>
    <row r="1124" spans="1:17" ht="225" hidden="1">
      <c r="A1124" s="192" t="s">
        <v>458</v>
      </c>
      <c r="B1124" s="315" t="str">
        <f>IFERROR(INDEX(Projetos!$B$3:$B$129,MATCH(A1124,Projetos!$A$3:$A$129,0))," ")</f>
        <v>SNGB - Melhorias evolutivas</v>
      </c>
      <c r="D1124" s="214">
        <v>0.9</v>
      </c>
      <c r="E1124" s="214">
        <v>0.9</v>
      </c>
      <c r="F1124" s="219">
        <v>46078</v>
      </c>
      <c r="G1124" s="220">
        <v>46054</v>
      </c>
      <c r="H1124" s="51" t="str">
        <f t="shared" si="54"/>
        <v>08370/202446054</v>
      </c>
      <c r="I1124" s="473">
        <f>IFERROR(INDEX(Projetos!$M$2:$M$129,MATCH(Atualizações!A1124,Projetos!$A$2:$A$129,0))," ")</f>
        <v>46101</v>
      </c>
      <c r="J1124" s="221" t="s">
        <v>1495</v>
      </c>
      <c r="K1124" s="344">
        <f>IFERROR(Tb_Atualizações[[#This Row],[% EXECUTADO]]/Tb_Atualizações[[#This Row],[% PREVISTO]],"0%")</f>
        <v>1</v>
      </c>
      <c r="L1124" s="475" t="str" cm="1">
        <f t="array" aca="1" ref="L11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24" s="215"/>
      <c r="N1124" s="345"/>
      <c r="O1124" s="42">
        <f t="shared" si="55"/>
        <v>2026</v>
      </c>
      <c r="P1124" s="42" t="str">
        <f t="shared" si="56"/>
        <v>202608370/2024</v>
      </c>
      <c r="Q1124" s="42">
        <v>1</v>
      </c>
    </row>
    <row r="1125" spans="1:17" ht="120" hidden="1">
      <c r="A1125" s="192" t="s">
        <v>83</v>
      </c>
      <c r="B1125" s="315" t="str">
        <f>IFERROR(INDEX(Projetos!$B$3:$B$129,MATCH(A1125,Projetos!$A$3:$A$129,0))," ")</f>
        <v>Painel do Programa Desjudicializa</v>
      </c>
      <c r="D1125" s="214">
        <v>0.7</v>
      </c>
      <c r="E1125" s="214">
        <v>0.6</v>
      </c>
      <c r="F1125" s="219">
        <v>46078</v>
      </c>
      <c r="G1125" s="220">
        <v>46054</v>
      </c>
      <c r="H1125" s="51" t="str">
        <f t="shared" si="54"/>
        <v>00484/202446054</v>
      </c>
      <c r="I1125" s="473">
        <f>IFERROR(INDEX(Projetos!$M$2:$M$129,MATCH(Atualizações!A1125,Projetos!$A$2:$A$129,0))," ")</f>
        <v>46387</v>
      </c>
      <c r="J1125" s="221" t="s">
        <v>1496</v>
      </c>
      <c r="K1125" s="344">
        <f>IFERROR(Tb_Atualizações[[#This Row],[% EXECUTADO]]/Tb_Atualizações[[#This Row],[% PREVISTO]],"0%")</f>
        <v>0.85714285714285721</v>
      </c>
      <c r="L1125" s="475" t="str" cm="1">
        <f t="array" aca="1" ref="L11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25" s="215"/>
      <c r="N1125" s="345"/>
      <c r="O1125" s="42">
        <f t="shared" si="55"/>
        <v>2026</v>
      </c>
      <c r="P1125" s="42" t="str">
        <f t="shared" si="56"/>
        <v>202600484/2024</v>
      </c>
      <c r="Q1125" s="42">
        <v>1</v>
      </c>
    </row>
    <row r="1126" spans="1:17" ht="409.5" hidden="1">
      <c r="A1126" s="192" t="s">
        <v>247</v>
      </c>
      <c r="B1126" s="315" t="str">
        <f>IFERROR(INDEX(Projetos!$B$3:$B$129,MATCH(A1126,Projetos!$A$3:$A$129,0))," ")</f>
        <v>Portal de Serviços</v>
      </c>
      <c r="D1126" s="214">
        <v>0.99</v>
      </c>
      <c r="E1126" s="214">
        <v>0.92</v>
      </c>
      <c r="F1126" s="219">
        <v>46078</v>
      </c>
      <c r="G1126" s="220">
        <v>46054</v>
      </c>
      <c r="H1126" s="51" t="str">
        <f t="shared" si="54"/>
        <v>02394/202446054</v>
      </c>
      <c r="I1126" s="473">
        <f>IFERROR(INDEX(Projetos!$M$2:$M$129,MATCH(Atualizações!A1126,Projetos!$A$2:$A$129,0))," ")</f>
        <v>46387</v>
      </c>
      <c r="J1126" s="221" t="s">
        <v>1497</v>
      </c>
      <c r="K1126" s="344">
        <f>IFERROR(Tb_Atualizações[[#This Row],[% EXECUTADO]]/Tb_Atualizações[[#This Row],[% PREVISTO]],"0%")</f>
        <v>0.92929292929292939</v>
      </c>
      <c r="L1126" s="475" t="str" cm="1">
        <f t="array" aca="1" ref="L11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26" s="215"/>
      <c r="N1126" s="345"/>
      <c r="O1126" s="42">
        <f t="shared" si="55"/>
        <v>2026</v>
      </c>
      <c r="P1126" s="42" t="str">
        <f t="shared" si="56"/>
        <v>202602394/2024</v>
      </c>
      <c r="Q1126" s="42">
        <v>1</v>
      </c>
    </row>
    <row r="1127" spans="1:17" ht="409.5" hidden="1">
      <c r="A1127" s="192" t="s">
        <v>539</v>
      </c>
      <c r="B1127" s="315" t="str">
        <f>IFERROR(INDEX(Projetos!$B$3:$B$129,MATCH(A1127,Projetos!$A$3:$A$129,0))," ")</f>
        <v>Desenvolvimento do módulo de Sessão de Julgamento (PDPJ-Br)</v>
      </c>
      <c r="D1127" s="214">
        <v>0.62</v>
      </c>
      <c r="E1127" s="214">
        <v>0.54</v>
      </c>
      <c r="F1127" s="219">
        <v>46078</v>
      </c>
      <c r="G1127" s="220">
        <v>46054</v>
      </c>
      <c r="H1127" s="51" t="str">
        <f t="shared" si="54"/>
        <v>09630/202446054</v>
      </c>
      <c r="I1127" s="473">
        <f>IFERROR(INDEX(Projetos!$M$2:$M$129,MATCH(Atualizações!A1127,Projetos!$A$2:$A$129,0))," ")</f>
        <v>46387</v>
      </c>
      <c r="J1127" s="221" t="s">
        <v>1498</v>
      </c>
      <c r="K1127" s="344">
        <f>IFERROR(Tb_Atualizações[[#This Row],[% EXECUTADO]]/Tb_Atualizações[[#This Row],[% PREVISTO]],"0%")</f>
        <v>0.87096774193548399</v>
      </c>
      <c r="L1127" s="475" t="str" cm="1">
        <f t="array" aca="1" ref="L11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27" s="215"/>
      <c r="N1127" s="345"/>
      <c r="O1127" s="42">
        <f t="shared" si="55"/>
        <v>2026</v>
      </c>
      <c r="P1127" s="42" t="str">
        <f t="shared" si="56"/>
        <v>202609630/2024</v>
      </c>
      <c r="Q1127" s="42">
        <v>1</v>
      </c>
    </row>
    <row r="1128" spans="1:17" ht="409.5" hidden="1">
      <c r="A1128" s="192" t="s">
        <v>722</v>
      </c>
      <c r="B1128" s="315" t="str">
        <f>IFERROR(INDEX(Projetos!$B$3:$B$129,MATCH(A1128,Projetos!$A$3:$A$129,0))," ")</f>
        <v>Serviços Estruturantes - Melhorias Evolutivas e Corretivas</v>
      </c>
      <c r="D1128" s="214">
        <v>0.68</v>
      </c>
      <c r="E1128" s="214">
        <v>0.55000000000000004</v>
      </c>
      <c r="F1128" s="219">
        <v>46078</v>
      </c>
      <c r="G1128" s="220">
        <v>46054</v>
      </c>
      <c r="H1128" s="51" t="str">
        <f t="shared" si="54"/>
        <v>14965/202446054</v>
      </c>
      <c r="I1128" s="473">
        <f>IFERROR(INDEX(Projetos!$M$2:$M$129,MATCH(Atualizações!A1128,Projetos!$A$2:$A$129,0))," ")</f>
        <v>46387</v>
      </c>
      <c r="J1128" s="221" t="s">
        <v>1499</v>
      </c>
      <c r="K1128" s="344">
        <f>IFERROR(Tb_Atualizações[[#This Row],[% EXECUTADO]]/Tb_Atualizações[[#This Row],[% PREVISTO]],"0%")</f>
        <v>0.80882352941176472</v>
      </c>
      <c r="L1128" s="475" t="str" cm="1">
        <f t="array" aca="1" ref="L11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28" s="215"/>
      <c r="N1128" s="345"/>
      <c r="O1128" s="42">
        <f t="shared" si="55"/>
        <v>2026</v>
      </c>
      <c r="P1128" s="42" t="str">
        <f t="shared" si="56"/>
        <v>202614965/2024</v>
      </c>
      <c r="Q1128" s="42">
        <v>1</v>
      </c>
    </row>
    <row r="1129" spans="1:17" ht="15" hidden="1">
      <c r="A1129" s="192" t="s">
        <v>58</v>
      </c>
      <c r="B1129" s="315" t="str">
        <f>IFERROR(INDEX(Projetos!$B$3:$B$129,MATCH(A1129,Projetos!$A$3:$A$129,0))," ")</f>
        <v>Phase-out: Transição Projetos X Operação</v>
      </c>
      <c r="D1129" s="214">
        <v>0.52</v>
      </c>
      <c r="E1129" s="214">
        <v>0.74</v>
      </c>
      <c r="F1129" s="219">
        <v>46078</v>
      </c>
      <c r="G1129" s="220">
        <v>46054</v>
      </c>
      <c r="H1129" s="51" t="str">
        <f t="shared" si="54"/>
        <v>00030/202546054</v>
      </c>
      <c r="I1129" s="473">
        <f>IFERROR(INDEX(Projetos!$M$2:$M$129,MATCH(Atualizações!A1129,Projetos!$A$2:$A$129,0))," ")</f>
        <v>46387</v>
      </c>
      <c r="J1129" s="221"/>
      <c r="K1129" s="344">
        <f>IFERROR(Tb_Atualizações[[#This Row],[% EXECUTADO]]/Tb_Atualizações[[#This Row],[% PREVISTO]],"0%")</f>
        <v>1.4230769230769229</v>
      </c>
      <c r="L1129" s="475" t="str" cm="1">
        <f t="array" aca="1" ref="L11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29" s="215"/>
      <c r="N1129" s="345"/>
      <c r="O1129" s="42">
        <f t="shared" si="55"/>
        <v>2026</v>
      </c>
      <c r="P1129" s="42" t="str">
        <f t="shared" si="56"/>
        <v>202600030/2025</v>
      </c>
      <c r="Q1129" s="42">
        <v>1</v>
      </c>
    </row>
    <row r="1130" spans="1:17" ht="105" hidden="1">
      <c r="A1130" s="192" t="s">
        <v>517</v>
      </c>
      <c r="B1130" s="315" t="str">
        <f>IFERROR(INDEX(Projetos!$B$3:$B$129,MATCH(A1130,Projetos!$A$3:$A$129,0))," ")</f>
        <v>Domicílio Judicial Eletrônico - Melhorias Evolutivas</v>
      </c>
      <c r="D1130" s="214">
        <v>0.85</v>
      </c>
      <c r="E1130" s="214">
        <v>0.87</v>
      </c>
      <c r="F1130" s="219">
        <v>46078</v>
      </c>
      <c r="G1130" s="220">
        <v>46054</v>
      </c>
      <c r="H1130" s="51" t="str">
        <f t="shared" si="54"/>
        <v>09445/202346054</v>
      </c>
      <c r="I1130" s="473">
        <f>IFERROR(INDEX(Projetos!$M$2:$M$129,MATCH(Atualizações!A1130,Projetos!$A$2:$A$129,0))," ")</f>
        <v>46203</v>
      </c>
      <c r="J1130" s="221" t="s">
        <v>1500</v>
      </c>
      <c r="K1130" s="344">
        <f>IFERROR(Tb_Atualizações[[#This Row],[% EXECUTADO]]/Tb_Atualizações[[#This Row],[% PREVISTO]],"0%")</f>
        <v>1.0235294117647058</v>
      </c>
      <c r="L1130" s="475" t="str" cm="1">
        <f t="array" aca="1" ref="L11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30" s="215"/>
      <c r="N1130" s="345"/>
      <c r="O1130" s="42">
        <f t="shared" si="55"/>
        <v>2026</v>
      </c>
      <c r="P1130" s="42" t="str">
        <f t="shared" si="56"/>
        <v>202609445/2023</v>
      </c>
      <c r="Q1130" s="42">
        <v>1</v>
      </c>
    </row>
    <row r="1131" spans="1:17" ht="409.5" hidden="1">
      <c r="A1131" s="192" t="s">
        <v>396</v>
      </c>
      <c r="B1131" s="315" t="str">
        <f>IFERROR(INDEX(Projetos!$B$3:$B$129,MATCH(A1131,Projetos!$A$3:$A$129,0))," ")</f>
        <v>CODEX - Melhorias Evolutivas e Corretivas</v>
      </c>
      <c r="D1131" s="214">
        <v>0.79</v>
      </c>
      <c r="E1131" s="214">
        <v>0.84</v>
      </c>
      <c r="F1131" s="219">
        <v>46078</v>
      </c>
      <c r="G1131" s="220">
        <v>46054</v>
      </c>
      <c r="H1131" s="51" t="str">
        <f t="shared" si="54"/>
        <v>04751/202246054</v>
      </c>
      <c r="I1131" s="473">
        <f>IFERROR(INDEX(Projetos!$M$2:$M$129,MATCH(Atualizações!A1131,Projetos!$A$2:$A$129,0))," ")</f>
        <v>46387</v>
      </c>
      <c r="J1131" s="221" t="s">
        <v>1501</v>
      </c>
      <c r="K1131" s="344">
        <f>IFERROR(Tb_Atualizações[[#This Row],[% EXECUTADO]]/Tb_Atualizações[[#This Row],[% PREVISTO]],"0%")</f>
        <v>1.0632911392405062</v>
      </c>
      <c r="L1131" s="475" t="str" cm="1">
        <f t="array" aca="1" ref="L113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31" s="215"/>
      <c r="N1131" s="345"/>
      <c r="O1131" s="42">
        <f t="shared" si="55"/>
        <v>2026</v>
      </c>
      <c r="P1131" s="42" t="str">
        <f t="shared" si="56"/>
        <v>202604751/2022</v>
      </c>
      <c r="Q1131" s="42">
        <v>1</v>
      </c>
    </row>
    <row r="1132" spans="1:17" ht="120" hidden="1">
      <c r="A1132" s="192" t="s">
        <v>580</v>
      </c>
      <c r="B1132" s="315" t="str">
        <f>IFERROR(INDEX(Projetos!$B$3:$B$129,MATCH(A1132,Projetos!$A$3:$A$129,0))," ")</f>
        <v>SireneJud 2.0 - Evoluções</v>
      </c>
      <c r="D1132" s="214">
        <v>0.65</v>
      </c>
      <c r="E1132" s="214">
        <v>0.55000000000000004</v>
      </c>
      <c r="F1132" s="219">
        <v>46078</v>
      </c>
      <c r="G1132" s="220">
        <v>46054</v>
      </c>
      <c r="H1132" s="51" t="str">
        <f t="shared" si="54"/>
        <v>10698/202446054</v>
      </c>
      <c r="I1132" s="473">
        <f>IFERROR(INDEX(Projetos!$M$2:$M$129,MATCH(Atualizações!A1132,Projetos!$A$2:$A$129,0))," ")</f>
        <v>46387</v>
      </c>
      <c r="J1132" s="221" t="s">
        <v>1502</v>
      </c>
      <c r="K1132" s="344">
        <f>IFERROR(Tb_Atualizações[[#This Row],[% EXECUTADO]]/Tb_Atualizações[[#This Row],[% PREVISTO]],"0%")</f>
        <v>0.84615384615384615</v>
      </c>
      <c r="L1132" s="475" t="str" cm="1">
        <f t="array" aca="1" ref="L11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32" s="215"/>
      <c r="N1132" s="345"/>
      <c r="O1132" s="42">
        <f t="shared" si="55"/>
        <v>2026</v>
      </c>
      <c r="P1132" s="42" t="str">
        <f t="shared" si="56"/>
        <v>202610698/2024</v>
      </c>
      <c r="Q1132" s="42">
        <v>1</v>
      </c>
    </row>
    <row r="1133" spans="1:17" ht="409.5" hidden="1">
      <c r="A1133" s="192" t="s">
        <v>773</v>
      </c>
      <c r="B1133" s="315" t="str">
        <f>IFERROR(INDEX(Projetos!$B$3:$B$129,MATCH(A1133,Projetos!$A$3:$A$129,0))," ")</f>
        <v>API de Pessoas</v>
      </c>
      <c r="D1133" s="214">
        <v>0.77</v>
      </c>
      <c r="E1133" s="214">
        <v>0.77</v>
      </c>
      <c r="F1133" s="219">
        <v>46078</v>
      </c>
      <c r="G1133" s="220">
        <v>46054</v>
      </c>
      <c r="H1133" s="51" t="str">
        <f t="shared" si="54"/>
        <v>17372/2024 46054</v>
      </c>
      <c r="I1133" s="473">
        <f>IFERROR(INDEX(Projetos!$M$2:$M$129,MATCH(Atualizações!A1133,Projetos!$A$2:$A$129,0))," ")</f>
        <v>46371</v>
      </c>
      <c r="J1133" s="221" t="s">
        <v>1503</v>
      </c>
      <c r="K1133" s="458">
        <f>IFERROR(Tb_Atualizações[[#This Row],[% EXECUTADO]]/Tb_Atualizações[[#This Row],[% PREVISTO]],"0%")</f>
        <v>1</v>
      </c>
      <c r="L1133" s="475" t="str" cm="1">
        <f t="array" aca="1" ref="L11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33" s="215"/>
      <c r="N1133" s="345"/>
      <c r="O1133" s="42">
        <f t="shared" si="55"/>
        <v>2026</v>
      </c>
      <c r="P1133" s="42" t="str">
        <f t="shared" si="56"/>
        <v xml:space="preserve">202617372/2024 </v>
      </c>
      <c r="Q1133" s="42">
        <v>1</v>
      </c>
    </row>
    <row r="1134" spans="1:17" ht="45" hidden="1">
      <c r="A1134" s="192" t="s">
        <v>219</v>
      </c>
      <c r="B1134" s="315" t="str">
        <f>IFERROR(INDEX(Projetos!$B$3:$B$129,MATCH(A1134,Projetos!$A$3:$A$129,0))," ")</f>
        <v xml:space="preserve">Aperfeiçoamento funcional em temáticas prioritárias para o CNJ e para Justiça Federal 
(cursos, capacitações, metodologias e ferramentas avançados) – Ciclo Avançado </v>
      </c>
      <c r="D1134" s="214">
        <v>0.66</v>
      </c>
      <c r="E1134" s="214">
        <v>0.63</v>
      </c>
      <c r="F1134" s="219">
        <v>46073</v>
      </c>
      <c r="G1134" s="220">
        <v>46054</v>
      </c>
      <c r="H1134" s="51" t="str">
        <f t="shared" si="54"/>
        <v>02024/202446054</v>
      </c>
      <c r="I1134" s="473">
        <f>IFERROR(INDEX(Projetos!$M$2:$M$129,MATCH(Atualizações!A1134,Projetos!$A$2:$A$129,0))," ")</f>
        <v>46246</v>
      </c>
      <c r="J1134" s="221"/>
      <c r="K1134" s="344">
        <f>IFERROR(Tb_Atualizações[[#This Row],[% EXECUTADO]]/Tb_Atualizações[[#This Row],[% PREVISTO]],"0%")</f>
        <v>0.95454545454545447</v>
      </c>
      <c r="L1134" s="475" t="str" cm="1">
        <f t="array" aca="1" ref="L11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34" s="215"/>
      <c r="N1134" s="345"/>
      <c r="O1134" s="42">
        <f t="shared" si="55"/>
        <v>2026</v>
      </c>
      <c r="P1134" s="42" t="str">
        <f t="shared" si="56"/>
        <v>202602024/2024</v>
      </c>
      <c r="Q1134" s="42">
        <v>1</v>
      </c>
    </row>
    <row r="1135" spans="1:17" ht="409.5" hidden="1">
      <c r="A1135" s="192" t="s">
        <v>661</v>
      </c>
      <c r="B1135" s="315" t="str">
        <f>IFERROR(INDEX(Projetos!$B$3:$B$129,MATCH(A1135,Projetos!$A$3:$A$129,0))," ")</f>
        <v>BNMP – Banco Nacional de Medidas Penais e Prisões – Melhorias Evolutivas</v>
      </c>
      <c r="D1135" s="214">
        <v>0.64</v>
      </c>
      <c r="E1135" s="214">
        <v>0.56000000000000005</v>
      </c>
      <c r="F1135" s="219">
        <v>46078</v>
      </c>
      <c r="G1135" s="220">
        <v>46054</v>
      </c>
      <c r="H1135" s="51" t="str">
        <f t="shared" si="54"/>
        <v>11776/202446054</v>
      </c>
      <c r="I1135" s="473">
        <f>IFERROR(INDEX(Projetos!$M$2:$M$129,MATCH(Atualizações!A1135,Projetos!$A$2:$A$129,0))," ")</f>
        <v>46379</v>
      </c>
      <c r="J1135" s="221" t="s">
        <v>1504</v>
      </c>
      <c r="K1135" s="458">
        <f>IFERROR(Tb_Atualizações[[#This Row],[% EXECUTADO]]/Tb_Atualizações[[#This Row],[% PREVISTO]],"0%")</f>
        <v>0.87500000000000011</v>
      </c>
      <c r="L1135" s="475" t="str" cm="1">
        <f t="array" aca="1" ref="L11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35" s="215"/>
      <c r="N1135" s="345"/>
      <c r="O1135" s="42">
        <f t="shared" si="55"/>
        <v>2026</v>
      </c>
      <c r="P1135" s="42" t="str">
        <f t="shared" si="56"/>
        <v>202611776/2024</v>
      </c>
      <c r="Q1135" s="42">
        <v>1</v>
      </c>
    </row>
    <row r="1136" spans="1:17" ht="90" hidden="1">
      <c r="A1136" s="192" t="s">
        <v>152</v>
      </c>
      <c r="B1136" s="315" t="str">
        <f>IFERROR(INDEX(Projetos!$B$3:$B$129,MATCH(A1136,Projetos!$A$3:$A$129,0))," ")</f>
        <v>Painel da Fazenda Nacional.</v>
      </c>
      <c r="D1136" s="214">
        <v>0.74</v>
      </c>
      <c r="E1136" s="214">
        <v>0.61</v>
      </c>
      <c r="F1136" s="219">
        <v>46073</v>
      </c>
      <c r="G1136" s="220">
        <v>46054</v>
      </c>
      <c r="H1136" s="51" t="str">
        <f t="shared" si="54"/>
        <v>01247/202546054</v>
      </c>
      <c r="I1136" s="473">
        <f>IFERROR(INDEX(Projetos!$M$2:$M$129,MATCH(Atualizações!A1136,Projetos!$A$2:$A$129,0))," ")</f>
        <v>46387</v>
      </c>
      <c r="J1136" s="221" t="s">
        <v>1505</v>
      </c>
      <c r="K1136" s="344">
        <f>IFERROR(Tb_Atualizações[[#This Row],[% EXECUTADO]]/Tb_Atualizações[[#This Row],[% PREVISTO]],"0%")</f>
        <v>0.82432432432432434</v>
      </c>
      <c r="L1136" s="475" t="str" cm="1">
        <f t="array" aca="1" ref="L11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36" s="215"/>
      <c r="N1136" s="345"/>
      <c r="O1136" s="42">
        <f t="shared" si="55"/>
        <v>2026</v>
      </c>
      <c r="P1136" s="42" t="str">
        <f t="shared" si="56"/>
        <v>202601247/2025</v>
      </c>
      <c r="Q1136" s="42">
        <v>1</v>
      </c>
    </row>
    <row r="1137" spans="1:17" ht="409.5" hidden="1">
      <c r="A1137" s="192" t="s">
        <v>129</v>
      </c>
      <c r="B1137" s="315" t="str">
        <f>IFERROR(INDEX(Projetos!$B$3:$B$129,MATCH(A1137,Projetos!$A$3:$A$129,0))," ")</f>
        <v>Data Lake - Melhorias Evolutivas e Corretivas</v>
      </c>
      <c r="D1137" s="214">
        <v>0.5</v>
      </c>
      <c r="E1137" s="214">
        <v>0.46</v>
      </c>
      <c r="F1137" s="219">
        <v>46078</v>
      </c>
      <c r="G1137" s="220">
        <v>46054</v>
      </c>
      <c r="H1137" s="51" t="str">
        <f t="shared" si="54"/>
        <v>01167/202546054</v>
      </c>
      <c r="I1137" s="473">
        <f>IFERROR(INDEX(Projetos!$M$2:$M$129,MATCH(Atualizações!A1137,Projetos!$A$2:$A$129,0))," ")</f>
        <v>46387</v>
      </c>
      <c r="J1137" s="221" t="s">
        <v>1506</v>
      </c>
      <c r="K1137" s="344">
        <f>IFERROR(Tb_Atualizações[[#This Row],[% EXECUTADO]]/Tb_Atualizações[[#This Row],[% PREVISTO]],"0%")</f>
        <v>0.92</v>
      </c>
      <c r="L1137" s="475" t="str" cm="1">
        <f t="array" aca="1" ref="L11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37" s="215"/>
      <c r="N1137" s="345"/>
      <c r="O1137" s="42">
        <f t="shared" si="55"/>
        <v>2026</v>
      </c>
      <c r="P1137" s="42" t="str">
        <f t="shared" si="56"/>
        <v>202601167/2025</v>
      </c>
      <c r="Q1137" s="42">
        <v>1</v>
      </c>
    </row>
    <row r="1138" spans="1:17" ht="210" hidden="1">
      <c r="A1138" s="192" t="s">
        <v>738</v>
      </c>
      <c r="B1138" s="315" t="str">
        <f>IFERROR(INDEX(Projetos!$B$3:$B$129,MATCH(A1138,Projetos!$A$3:$A$129,0))," ")</f>
        <v>FONAR - Formulário Nacional de Avaliação de Risco e Formulário Rogéria</v>
      </c>
      <c r="D1138" s="48">
        <v>0.68</v>
      </c>
      <c r="E1138" s="214">
        <v>0.57999999999999996</v>
      </c>
      <c r="F1138" s="219">
        <v>46078</v>
      </c>
      <c r="G1138" s="220">
        <v>46054</v>
      </c>
      <c r="H1138" s="51" t="str">
        <f t="shared" si="54"/>
        <v>16319/202446054</v>
      </c>
      <c r="I1138" s="473">
        <f>IFERROR(INDEX(Projetos!$M$2:$M$129,MATCH(Atualizações!A1138,Projetos!$A$2:$A$129,0))," ")</f>
        <v>46195</v>
      </c>
      <c r="J1138" s="221" t="s">
        <v>1507</v>
      </c>
      <c r="K1138" s="344">
        <f>IFERROR(Tb_Atualizações[[#This Row],[% EXECUTADO]]/Tb_Atualizações[[#This Row],[% PREVISTO]],"0%")</f>
        <v>0.85294117647058809</v>
      </c>
      <c r="L1138" s="475" t="str" cm="1">
        <f t="array" aca="1" ref="L11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38" s="215"/>
      <c r="N1138" s="345"/>
      <c r="O1138" s="42">
        <f t="shared" si="55"/>
        <v>2026</v>
      </c>
      <c r="P1138" s="42" t="str">
        <f t="shared" si="56"/>
        <v>202616319/2024</v>
      </c>
      <c r="Q1138" s="42">
        <v>1</v>
      </c>
    </row>
    <row r="1139" spans="1:17" ht="270" hidden="1">
      <c r="A1139" s="192" t="s">
        <v>917</v>
      </c>
      <c r="B1139" s="315" t="str">
        <f>IFERROR(INDEX(Projetos!$B$3:$B$129,MATCH(A1139,Projetos!$A$3:$A$129,0))," ")</f>
        <v>e-NatJus 4.0</v>
      </c>
      <c r="D1139" s="214">
        <v>0.71</v>
      </c>
      <c r="E1139" s="214">
        <v>0.73</v>
      </c>
      <c r="F1139" s="219">
        <v>46078</v>
      </c>
      <c r="G1139" s="220">
        <v>46054</v>
      </c>
      <c r="H1139" s="51" t="str">
        <f t="shared" si="54"/>
        <v>17529/202446054</v>
      </c>
      <c r="I1139" s="473">
        <f>IFERROR(INDEX(Projetos!$M$2:$M$129,MATCH(Atualizações!A1139,Projetos!$A$2:$A$129,0))," ")</f>
        <v>46386</v>
      </c>
      <c r="J1139" s="221" t="s">
        <v>1508</v>
      </c>
      <c r="K1139" s="344">
        <f>IFERROR(Tb_Atualizações[[#This Row],[% EXECUTADO]]/Tb_Atualizações[[#This Row],[% PREVISTO]],"0%")</f>
        <v>1.028169014084507</v>
      </c>
      <c r="L1139" s="475" t="str" cm="1">
        <f t="array" aca="1" ref="L11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39" s="215"/>
      <c r="N1139" s="345"/>
      <c r="O1139" s="42">
        <f t="shared" si="55"/>
        <v>2026</v>
      </c>
      <c r="P1139" s="42" t="str">
        <f t="shared" si="56"/>
        <v>202617529/2024</v>
      </c>
      <c r="Q1139" s="42">
        <v>1</v>
      </c>
    </row>
    <row r="1140" spans="1:17" ht="60" hidden="1">
      <c r="A1140" s="192" t="s">
        <v>766</v>
      </c>
      <c r="B1140" s="315" t="str">
        <f>IFERROR(INDEX(Projetos!$B$3:$B$129,MATCH(A1140,Projetos!$A$3:$A$129,0))," ")</f>
        <v>Painel Crime Organizado</v>
      </c>
      <c r="D1140" s="214">
        <v>0.33</v>
      </c>
      <c r="E1140" s="214">
        <v>0.14000000000000001</v>
      </c>
      <c r="F1140" s="219">
        <v>46078</v>
      </c>
      <c r="G1140" s="220">
        <v>46054</v>
      </c>
      <c r="H1140" s="51" t="str">
        <f t="shared" si="54"/>
        <v>17085/202546054</v>
      </c>
      <c r="I1140" s="473">
        <f>IFERROR(INDEX(Projetos!$M$2:$M$129,MATCH(Atualizações!A1140,Projetos!$A$2:$A$129,0))," ")</f>
        <v>46387</v>
      </c>
      <c r="J1140" s="221" t="s">
        <v>1509</v>
      </c>
      <c r="K1140" s="344">
        <f>IFERROR(Tb_Atualizações[[#This Row],[% EXECUTADO]]/Tb_Atualizações[[#This Row],[% PREVISTO]],"0%")</f>
        <v>0.42424242424242425</v>
      </c>
      <c r="L1140" s="475" t="str" cm="1">
        <f t="array" aca="1" ref="L11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40" s="215"/>
      <c r="N1140" s="345"/>
      <c r="O1140" s="42">
        <f t="shared" si="55"/>
        <v>2026</v>
      </c>
      <c r="P1140" s="42" t="str">
        <f t="shared" si="56"/>
        <v>202617085/2025</v>
      </c>
      <c r="Q1140" s="42">
        <v>1</v>
      </c>
    </row>
    <row r="1141" spans="1:17" ht="60" hidden="1">
      <c r="A1141" s="192" t="s">
        <v>756</v>
      </c>
      <c r="B1141" s="315" t="str">
        <f>IFERROR(INDEX(Projetos!$B$3:$B$129,MATCH(A1141,Projetos!$A$3:$A$129,0))," ")</f>
        <v>Módulo de Pessoal e Estrutura Judiciária Mensal (MPM) V.2</v>
      </c>
      <c r="D1141" s="214">
        <v>0.28999999999999998</v>
      </c>
      <c r="E1141" s="214">
        <v>0.03</v>
      </c>
      <c r="F1141" s="219">
        <v>46078</v>
      </c>
      <c r="G1141" s="220">
        <v>46054</v>
      </c>
      <c r="H1141" s="51" t="str">
        <f t="shared" si="54"/>
        <v>16882/202546054</v>
      </c>
      <c r="I1141" s="473">
        <f>IFERROR(INDEX(Projetos!$M$2:$M$129,MATCH(Atualizações!A1141,Projetos!$A$2:$A$129,0))," ")</f>
        <v>46387</v>
      </c>
      <c r="J1141" s="221" t="s">
        <v>1509</v>
      </c>
      <c r="K1141" s="475"/>
      <c r="L1141" s="475" t="str" cm="1">
        <f t="array" aca="1" ref="L11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41" s="215"/>
      <c r="N1141" s="345"/>
      <c r="O1141" s="42">
        <f t="shared" si="55"/>
        <v>2026</v>
      </c>
      <c r="P1141" s="42" t="str">
        <f t="shared" si="56"/>
        <v>202616882/2025</v>
      </c>
    </row>
    <row r="1142" spans="1:17" ht="409.5" hidden="1">
      <c r="A1142" s="192" t="s">
        <v>236</v>
      </c>
      <c r="B1142" s="315" t="str">
        <f>IFERROR(INDEX(Projetos!$B$3:$B$129,MATCH(A1142,Projetos!$A$3:$A$129,0))," ")</f>
        <v>SEEU - Reescrita</v>
      </c>
      <c r="D1142" s="214">
        <v>0.54</v>
      </c>
      <c r="E1142" s="214">
        <v>0.68</v>
      </c>
      <c r="F1142" s="219">
        <v>46078</v>
      </c>
      <c r="G1142" s="220">
        <v>46054</v>
      </c>
      <c r="H1142" s="51" t="str">
        <f t="shared" si="54"/>
        <v>02245/202546054</v>
      </c>
      <c r="I1142" s="473">
        <f>IFERROR(INDEX(Projetos!$M$2:$M$129,MATCH(Atualizações!A1142,Projetos!$A$2:$A$129,0))," ")</f>
        <v>46387</v>
      </c>
      <c r="J1142" s="221" t="s">
        <v>1510</v>
      </c>
      <c r="K1142" s="344">
        <f>IFERROR(Tb_Atualizações[[#This Row],[% EXECUTADO]]/Tb_Atualizações[[#This Row],[% PREVISTO]],"0%")</f>
        <v>1.2592592592592593</v>
      </c>
      <c r="L1142" s="475" t="str" cm="1">
        <f t="array" aca="1" ref="L11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2" s="215"/>
      <c r="N1142" s="345"/>
      <c r="O1142" s="42">
        <f t="shared" si="55"/>
        <v>2026</v>
      </c>
      <c r="P1142" s="42" t="str">
        <f t="shared" si="56"/>
        <v>202602245/2025</v>
      </c>
      <c r="Q1142" s="42">
        <v>1</v>
      </c>
    </row>
    <row r="1143" spans="1:17" ht="30" hidden="1">
      <c r="A1143" s="192" t="s">
        <v>728</v>
      </c>
      <c r="B1143" s="315" t="str">
        <f>IFERROR(INDEX(Projetos!$B$3:$B$129,MATCH(A1143,Projetos!$A$3:$A$129,0))," ")</f>
        <v>Programa de Acessibilidade e Inclusão do Conselho Nacional de Justiça (CNJ)</v>
      </c>
      <c r="D1143" s="214">
        <v>0.35</v>
      </c>
      <c r="E1143" s="214">
        <v>0.35</v>
      </c>
      <c r="F1143" s="219">
        <v>46086</v>
      </c>
      <c r="G1143" s="220">
        <v>46054</v>
      </c>
      <c r="H1143" s="51" t="str">
        <f t="shared" si="54"/>
        <v>15844/202446054</v>
      </c>
      <c r="I1143" s="473">
        <f>IFERROR(INDEX(Projetos!$M$2:$M$129,MATCH(Atualizações!A1143,Projetos!$A$2:$A$129,0))," ")</f>
        <v>46376</v>
      </c>
      <c r="J1143" s="221" t="s">
        <v>1511</v>
      </c>
      <c r="K1143" s="344">
        <f>IFERROR(Tb_Atualizações[[#This Row],[% EXECUTADO]]/Tb_Atualizações[[#This Row],[% PREVISTO]],"0%")</f>
        <v>1</v>
      </c>
      <c r="L1143" s="475" t="str" cm="1">
        <f t="array" aca="1" ref="L11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3" s="215"/>
      <c r="N1143" s="345"/>
      <c r="O1143" s="42">
        <f t="shared" si="55"/>
        <v>2026</v>
      </c>
      <c r="P1143" s="42" t="str">
        <f t="shared" si="56"/>
        <v>202615844/2024</v>
      </c>
      <c r="Q1143" s="42">
        <v>1</v>
      </c>
    </row>
    <row r="1144" spans="1:17" ht="15" hidden="1">
      <c r="A1144" s="474" t="s">
        <v>629</v>
      </c>
      <c r="B1144" s="315" t="str">
        <f>IFERROR(INDEX(Projetos!$B$3:$B$129,MATCH(A1144,Projetos!$A$3:$A$129,0))," ")</f>
        <v>2º Edital da 7ª Edição da Série Justiça Pesquisa - Exercício 2024/2025</v>
      </c>
      <c r="D1144" s="214" t="s">
        <v>1455</v>
      </c>
      <c r="E1144" s="214" t="s">
        <v>1455</v>
      </c>
      <c r="F1144" s="219">
        <v>45938</v>
      </c>
      <c r="G1144" s="220">
        <v>45931</v>
      </c>
      <c r="H1144" s="51" t="str">
        <f t="shared" si="54"/>
        <v>11449/202445931</v>
      </c>
      <c r="I1144" s="473" t="str">
        <f>IFERROR(INDEX(Projetos!$M$2:$M$129,MATCH(Atualizações!A1144,Projetos!$A$2:$A$129,0))," ")</f>
        <v>27/8/2026</v>
      </c>
      <c r="J1144" s="221"/>
      <c r="K1144" s="344" t="str">
        <f>IFERROR(Tb_Atualizações[[#This Row],[% EXECUTADO]]/Tb_Atualizações[[#This Row],[% PREVISTO]],"0%")</f>
        <v>0%</v>
      </c>
      <c r="L1144" s="475" t="str" cm="1">
        <f t="array" aca="1" ref="L11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4" s="215"/>
      <c r="N1144" s="345"/>
      <c r="O1144" s="42">
        <f t="shared" si="55"/>
        <v>2025</v>
      </c>
      <c r="P1144" s="42" t="str">
        <f t="shared" si="56"/>
        <v>202511449/2024</v>
      </c>
      <c r="Q1144" s="42">
        <v>1</v>
      </c>
    </row>
    <row r="1145" spans="1:17" ht="15" hidden="1">
      <c r="A1145" s="474" t="s">
        <v>629</v>
      </c>
      <c r="B1145" s="315" t="str">
        <f>IFERROR(INDEX(Projetos!$B$3:$B$129,MATCH(A1145,Projetos!$A$3:$A$129,0))," ")</f>
        <v>2º Edital da 7ª Edição da Série Justiça Pesquisa - Exercício 2024/2025</v>
      </c>
      <c r="D1145" s="214">
        <v>0.90600000000000003</v>
      </c>
      <c r="E1145" s="214">
        <v>0.90600000000000003</v>
      </c>
      <c r="F1145" s="219">
        <v>46086</v>
      </c>
      <c r="G1145" s="220">
        <v>46054</v>
      </c>
      <c r="H1145" s="51" t="str">
        <f t="shared" si="54"/>
        <v>11449/202446054</v>
      </c>
      <c r="I1145" s="473" t="str">
        <f>IFERROR(INDEX(Projetos!$M$2:$M$129,MATCH(Atualizações!A1145,Projetos!$A$2:$A$129,0))," ")</f>
        <v>27/8/2026</v>
      </c>
      <c r="J1145" s="221"/>
      <c r="K1145" s="344">
        <f>IFERROR(Tb_Atualizações[[#This Row],[% EXECUTADO]]/Tb_Atualizações[[#This Row],[% PREVISTO]],"0%")</f>
        <v>1</v>
      </c>
      <c r="L1145" s="475" t="str" cm="1">
        <f t="array" aca="1" ref="L11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5" s="215"/>
      <c r="N1145" s="345"/>
      <c r="O1145" s="42">
        <f t="shared" si="55"/>
        <v>2026</v>
      </c>
      <c r="P1145" s="42" t="str">
        <f t="shared" si="56"/>
        <v>202611449/2024</v>
      </c>
      <c r="Q1145" s="42">
        <v>1</v>
      </c>
    </row>
    <row r="1146" spans="1:17" ht="30" hidden="1">
      <c r="A1146" s="192" t="s">
        <v>951</v>
      </c>
      <c r="B1146" s="315" t="str">
        <f>IFERROR(INDEX(Projetos!$B$3:$B$129,MATCH(A1146,Projetos!$A$3:$A$129,0))," ")</f>
        <v>Programa “Por Toda Parte, Por Todas Elas” – Plano 2026 de Enfrentamento da Violência contra Mulheres e Meninas.</v>
      </c>
      <c r="D1146" s="214">
        <v>0</v>
      </c>
      <c r="E1146" s="214">
        <v>0</v>
      </c>
      <c r="F1146" s="219">
        <v>46098</v>
      </c>
      <c r="G1146" s="220">
        <v>46082</v>
      </c>
      <c r="H1146" s="51" t="str">
        <f t="shared" si="54"/>
        <v>02797/202646082</v>
      </c>
      <c r="I1146" s="473">
        <f>IFERROR(INDEX(Projetos!$M$2:$M$129,MATCH(Atualizações!A1146,Projetos!$A$2:$A$129,0))," ")</f>
        <v>46650</v>
      </c>
      <c r="J1146" s="221" t="s">
        <v>1386</v>
      </c>
      <c r="K1146" s="344" t="str">
        <f>IFERROR(Tb_Atualizações[[#This Row],[% EXECUTADO]]/Tb_Atualizações[[#This Row],[% PREVISTO]],"0%")</f>
        <v>0%</v>
      </c>
      <c r="L1146" s="475" t="str" cm="1">
        <f t="array" aca="1" ref="L11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46" s="215"/>
      <c r="N1146" s="345"/>
      <c r="O1146" s="42">
        <f t="shared" si="55"/>
        <v>2026</v>
      </c>
      <c r="P1146" s="42" t="str">
        <f t="shared" si="56"/>
        <v>202602797/2026</v>
      </c>
      <c r="Q1146" s="42">
        <v>1</v>
      </c>
    </row>
    <row r="1147" spans="1:17" ht="135" hidden="1">
      <c r="A1147" s="192" t="s">
        <v>714</v>
      </c>
      <c r="B1147" s="315" t="str">
        <f>IFERROR(INDEX(Projetos!$B$3:$B$129,MATCH(A1147,Projetos!$A$3:$A$129,0))," ")</f>
        <v>Programa Novos Caminhos</v>
      </c>
      <c r="D1147" s="214">
        <v>0.94</v>
      </c>
      <c r="E1147" s="214">
        <v>0.94</v>
      </c>
      <c r="F1147" s="219">
        <v>46105</v>
      </c>
      <c r="G1147" s="220">
        <v>46082</v>
      </c>
      <c r="H1147" s="51" t="str">
        <f t="shared" si="54"/>
        <v>14204/202446082</v>
      </c>
      <c r="I1147" s="473">
        <f>IFERROR(INDEX(Projetos!$M$2:$M$129,MATCH(Atualizações!A1147,Projetos!$A$2:$A$129,0))," ")</f>
        <v>46293</v>
      </c>
      <c r="J1147" s="221" t="s">
        <v>1512</v>
      </c>
      <c r="K1147" s="344">
        <f>IFERROR(Tb_Atualizações[[#This Row],[% EXECUTADO]]/Tb_Atualizações[[#This Row],[% PREVISTO]],"0%")</f>
        <v>1</v>
      </c>
      <c r="L1147" s="475" t="str" cm="1">
        <f t="array" aca="1" ref="L11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7" s="215"/>
      <c r="N1147" s="345"/>
      <c r="O1147" s="42">
        <f t="shared" si="55"/>
        <v>2026</v>
      </c>
      <c r="P1147" s="42" t="str">
        <f t="shared" si="56"/>
        <v>202614204/2024</v>
      </c>
      <c r="Q1147" s="42">
        <v>1</v>
      </c>
    </row>
    <row r="1148" spans="1:17" ht="15">
      <c r="A1148" s="192" t="s">
        <v>978</v>
      </c>
      <c r="B1148" s="315" t="str">
        <f>IFERROR(INDEX(Projetos!$B$3:$B$129,MATCH(A1148,Projetos!$A$3:$A$129,0))," ")</f>
        <v>Evolução do Sistema Nacional de Adoção (SNA)</v>
      </c>
      <c r="D1148" s="214">
        <v>0.24</v>
      </c>
      <c r="E1148" s="214">
        <v>0.24</v>
      </c>
      <c r="F1148" s="219">
        <v>46105</v>
      </c>
      <c r="G1148" s="220">
        <v>46082</v>
      </c>
      <c r="H1148" s="51" t="str">
        <f t="shared" ref="H1148:H1179" si="57">A1148&amp;G1148</f>
        <v>18150/202546082</v>
      </c>
      <c r="I1148" s="473">
        <f>IFERROR(INDEX(Projetos!$M$2:$M$129,MATCH(Atualizações!A1148,Projetos!$A$2:$A$129,0))," ")</f>
        <v>46386</v>
      </c>
      <c r="J1148" s="221" t="s">
        <v>1513</v>
      </c>
      <c r="K1148" s="344">
        <f>IFERROR(Tb_Atualizações[[#This Row],[% EXECUTADO]]/Tb_Atualizações[[#This Row],[% PREVISTO]],"0%")</f>
        <v>1</v>
      </c>
      <c r="L1148" s="475" t="str" cm="1">
        <f t="array" aca="1" ref="L11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48" s="215"/>
      <c r="N1148" s="345"/>
      <c r="O1148" s="42">
        <f t="shared" ref="O1148:O1179" si="58">YEAR(F1148)</f>
        <v>2026</v>
      </c>
      <c r="P1148" s="42" t="str">
        <f t="shared" ref="P1148:P1179" si="59">O1148&amp;A1148</f>
        <v>202618150/2025</v>
      </c>
      <c r="Q1148" s="42">
        <v>1</v>
      </c>
    </row>
    <row r="1149" spans="1:17" ht="75" hidden="1">
      <c r="A1149" s="192" t="s">
        <v>957</v>
      </c>
      <c r="B1149" s="315" t="str">
        <f>IFERROR(INDEX(Projetos!$B$3:$B$129,MATCH(A1149,Projetos!$A$3:$A$129,0))," ")</f>
        <v>Subprograma Registre-se Pop Rua</v>
      </c>
      <c r="D1149" s="214">
        <v>0</v>
      </c>
      <c r="E1149" s="214">
        <v>0</v>
      </c>
      <c r="F1149" s="219">
        <v>46107</v>
      </c>
      <c r="G1149" s="220">
        <v>46082</v>
      </c>
      <c r="H1149" s="51" t="str">
        <f t="shared" si="57"/>
        <v>00037/202646082</v>
      </c>
      <c r="I1149" s="473">
        <f>IFERROR(INDEX(Projetos!$M$2:$M$129,MATCH(Atualizações!A1149,Projetos!$A$2:$A$129,0))," ")</f>
        <v>46376</v>
      </c>
      <c r="J1149" s="221" t="s">
        <v>1514</v>
      </c>
      <c r="K1149" s="344" t="str">
        <f>IFERROR(Tb_Atualizações[[#This Row],[% EXECUTADO]]/Tb_Atualizações[[#This Row],[% PREVISTO]],"0%")</f>
        <v>0%</v>
      </c>
      <c r="L1149" s="475" t="str" cm="1">
        <f t="array" aca="1" ref="L11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49" s="215"/>
      <c r="N1149" s="345"/>
      <c r="O1149" s="42">
        <f t="shared" si="58"/>
        <v>2026</v>
      </c>
      <c r="P1149" s="42" t="str">
        <f t="shared" si="59"/>
        <v>202600037/2026</v>
      </c>
      <c r="Q1149" s="42">
        <v>1</v>
      </c>
    </row>
    <row r="1150" spans="1:17" ht="30" hidden="1">
      <c r="A1150" s="192" t="s">
        <v>963</v>
      </c>
      <c r="B1150" s="315" t="str">
        <f>IFERROR(INDEX(Projetos!$B$3:$B$129,MATCH(A1150,Projetos!$A$3:$A$129,0))," ")</f>
        <v>Campanha “Maio da Auditoria Interna” – CNJ 2026</v>
      </c>
      <c r="D1150" s="214">
        <v>0</v>
      </c>
      <c r="E1150" s="214">
        <v>0</v>
      </c>
      <c r="F1150" s="219">
        <v>46107</v>
      </c>
      <c r="G1150" s="220">
        <v>46082</v>
      </c>
      <c r="H1150" s="51" t="str">
        <f t="shared" si="57"/>
        <v>04050/202646082</v>
      </c>
      <c r="I1150" s="473">
        <f>IFERROR(INDEX(Projetos!$M$2:$M$129,MATCH(Atualizações!A1150,Projetos!$A$2:$A$129,0))," ")</f>
        <v>46168</v>
      </c>
      <c r="J1150" s="221" t="s">
        <v>1515</v>
      </c>
      <c r="K1150" s="344" t="str">
        <f>IFERROR(Tb_Atualizações[[#This Row],[% EXECUTADO]]/Tb_Atualizações[[#This Row],[% PREVISTO]],"0%")</f>
        <v>0%</v>
      </c>
      <c r="L1150" s="475" t="str" cm="1">
        <f t="array" aca="1" ref="L11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50" s="215"/>
      <c r="N1150" s="345"/>
      <c r="O1150" s="42">
        <f t="shared" si="58"/>
        <v>2026</v>
      </c>
      <c r="P1150" s="42" t="str">
        <f t="shared" si="59"/>
        <v>202604050/2026</v>
      </c>
      <c r="Q1150" s="42">
        <v>1</v>
      </c>
    </row>
    <row r="1151" spans="1:17" ht="30" hidden="1">
      <c r="A1151" s="467" t="s">
        <v>944</v>
      </c>
      <c r="B1151" s="315" t="str">
        <f>IFERROR(INDEX(Projetos!$B$3:$B$129,MATCH(A1151,Projetos!$A$3:$A$129,0))," ")</f>
        <v>Subprograma Registre-se: Brasil Parente</v>
      </c>
      <c r="D1151" s="214">
        <v>0</v>
      </c>
      <c r="E1151" s="214">
        <v>0</v>
      </c>
      <c r="F1151" s="219">
        <v>46108</v>
      </c>
      <c r="G1151" s="220">
        <v>46082</v>
      </c>
      <c r="H1151" s="51" t="str">
        <f t="shared" si="57"/>
        <v>01485/202646082</v>
      </c>
      <c r="I1151" s="473">
        <f>IFERROR(INDEX(Projetos!$M$2:$M$129,MATCH(Atualizações!A1151,Projetos!$A$2:$A$129,0))," ")</f>
        <v>46173</v>
      </c>
      <c r="J1151" s="221" t="s">
        <v>1515</v>
      </c>
      <c r="K1151" s="344" t="str">
        <f>IFERROR(Tb_Atualizações[[#This Row],[% EXECUTADO]]/Tb_Atualizações[[#This Row],[% PREVISTO]],"0%")</f>
        <v>0%</v>
      </c>
      <c r="L1151" s="475" t="str" cm="1">
        <f t="array" aca="1" ref="L11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51" s="215"/>
      <c r="N1151" s="345"/>
      <c r="O1151" s="42">
        <f t="shared" si="58"/>
        <v>2026</v>
      </c>
      <c r="P1151" s="42" t="str">
        <f t="shared" si="59"/>
        <v>202601485/2026</v>
      </c>
      <c r="Q1151" s="42">
        <v>1</v>
      </c>
    </row>
    <row r="1152" spans="1:17" ht="15" hidden="1">
      <c r="A1152" s="192" t="s">
        <v>971</v>
      </c>
      <c r="B1152" s="315" t="str">
        <f>IFERROR(INDEX(Projetos!$B$3:$B$129,MATCH(A1152,Projetos!$A$3:$A$129,0))," ")</f>
        <v>Conexão Auditoria</v>
      </c>
      <c r="D1152" s="214">
        <v>0</v>
      </c>
      <c r="E1152" s="214">
        <v>0</v>
      </c>
      <c r="F1152" s="219">
        <v>46112</v>
      </c>
      <c r="G1152" s="220">
        <v>46082</v>
      </c>
      <c r="H1152" s="51" t="str">
        <f t="shared" si="57"/>
        <v>04235/202646082</v>
      </c>
      <c r="I1152" s="473">
        <f>IFERROR(INDEX(Projetos!$M$2:$M$129,MATCH(Atualizações!A1152,Projetos!$A$2:$A$129,0))," ")</f>
        <v>46650</v>
      </c>
      <c r="J1152" s="221" t="s">
        <v>1515</v>
      </c>
      <c r="K1152" s="344" t="str">
        <f>IFERROR(Tb_Atualizações[[#This Row],[% EXECUTADO]]/Tb_Atualizações[[#This Row],[% PREVISTO]],"0%")</f>
        <v>0%</v>
      </c>
      <c r="L1152" s="475" t="str" cm="1">
        <f t="array" aca="1" ref="L11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52" s="215"/>
      <c r="N1152" s="345"/>
      <c r="O1152" s="42">
        <f t="shared" si="58"/>
        <v>2026</v>
      </c>
      <c r="P1152" s="42" t="str">
        <f t="shared" si="59"/>
        <v>202604235/2026</v>
      </c>
      <c r="Q1152" s="42">
        <v>1</v>
      </c>
    </row>
    <row r="1153" spans="1:17" ht="15" hidden="1">
      <c r="A1153" s="192" t="s">
        <v>458</v>
      </c>
      <c r="B1153" s="315" t="str">
        <f>IFERROR(INDEX(Projetos!$B$3:$B$129,MATCH(A1153,Projetos!$A$3:$A$129,0))," ")</f>
        <v>SNGB - Melhorias evolutivas</v>
      </c>
      <c r="D1153" s="214">
        <v>1</v>
      </c>
      <c r="E1153" s="214">
        <v>1</v>
      </c>
      <c r="F1153" s="219">
        <v>46112</v>
      </c>
      <c r="G1153" s="220">
        <v>46082</v>
      </c>
      <c r="H1153" s="51" t="str">
        <f t="shared" si="57"/>
        <v>08370/202446082</v>
      </c>
      <c r="I1153" s="473">
        <f>IFERROR(INDEX(Projetos!$M$2:$M$129,MATCH(Atualizações!A1153,Projetos!$A$2:$A$129,0))," ")</f>
        <v>46101</v>
      </c>
      <c r="J1153" s="221"/>
      <c r="K1153" s="344">
        <f>IFERROR(Tb_Atualizações[[#This Row],[% EXECUTADO]]/Tb_Atualizações[[#This Row],[% PREVISTO]],"0%")</f>
        <v>1</v>
      </c>
      <c r="L1153" s="475" t="str" cm="1">
        <f t="array" aca="1" ref="L11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153" s="215"/>
      <c r="N1153" s="345"/>
      <c r="O1153" s="42">
        <f t="shared" si="58"/>
        <v>2026</v>
      </c>
      <c r="P1153" s="42" t="str">
        <f t="shared" si="59"/>
        <v>202608370/2024</v>
      </c>
      <c r="Q1153" s="42">
        <v>1</v>
      </c>
    </row>
    <row r="1154" spans="1:17" ht="225" hidden="1">
      <c r="A1154" s="192" t="s">
        <v>229</v>
      </c>
      <c r="B1154" s="315" t="str">
        <f>IFERROR(INDEX(Projetos!$B$3:$B$129,MATCH(A1154,Projetos!$A$3:$A$129,0))," ")</f>
        <v>Gabinete do Juízo</v>
      </c>
      <c r="D1154" s="214">
        <v>0.81</v>
      </c>
      <c r="E1154" s="214">
        <v>0.71</v>
      </c>
      <c r="F1154" s="219">
        <v>46106</v>
      </c>
      <c r="G1154" s="220">
        <v>46082</v>
      </c>
      <c r="H1154" s="51" t="str">
        <f t="shared" si="57"/>
        <v>02080/202346082</v>
      </c>
      <c r="I1154" s="473">
        <f>IFERROR(INDEX(Projetos!$M$2:$M$129,MATCH(Atualizações!A1154,Projetos!$A$2:$A$129,0))," ")</f>
        <v>46379</v>
      </c>
      <c r="J1154" s="221" t="s">
        <v>1516</v>
      </c>
      <c r="K1154" s="344">
        <f>IFERROR(Tb_Atualizações[[#This Row],[% EXECUTADO]]/Tb_Atualizações[[#This Row],[% PREVISTO]],"0%")</f>
        <v>0.87654320987654311</v>
      </c>
      <c r="L1154" s="475" t="str" cm="1">
        <f t="array" aca="1" ref="L11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54" s="215"/>
      <c r="N1154" s="345"/>
      <c r="O1154" s="42">
        <f t="shared" si="58"/>
        <v>2026</v>
      </c>
      <c r="P1154" s="42" t="str">
        <f t="shared" si="59"/>
        <v>202602080/2023</v>
      </c>
      <c r="Q1154" s="42">
        <v>1</v>
      </c>
    </row>
    <row r="1155" spans="1:17" ht="15" hidden="1">
      <c r="A1155" s="192" t="s">
        <v>350</v>
      </c>
      <c r="B1155" s="315" t="str">
        <f>IFERROR(INDEX(Projetos!$B$3:$B$129,MATCH(A1155,Projetos!$A$3:$A$129,0))," ")</f>
        <v>Painel de Estatística   - Justiça 4.0</v>
      </c>
      <c r="D1155" s="214">
        <v>0.85</v>
      </c>
      <c r="E1155" s="214">
        <v>0.73</v>
      </c>
      <c r="F1155" s="219">
        <v>46106</v>
      </c>
      <c r="G1155" s="220">
        <v>46082</v>
      </c>
      <c r="H1155" s="51" t="str">
        <f t="shared" si="57"/>
        <v>03545/202146082</v>
      </c>
      <c r="I1155" s="473">
        <f>IFERROR(INDEX(Projetos!$M$2:$M$129,MATCH(Atualizações!A1155,Projetos!$A$2:$A$129,0))," ")</f>
        <v>46387</v>
      </c>
      <c r="J1155" s="221"/>
      <c r="K1155" s="344">
        <f>IFERROR(Tb_Atualizações[[#This Row],[% EXECUTADO]]/Tb_Atualizações[[#This Row],[% PREVISTO]],"0%")</f>
        <v>0.85882352941176465</v>
      </c>
      <c r="L1155" s="475" t="str" cm="1">
        <f t="array" aca="1" ref="L11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55" s="215"/>
      <c r="N1155" s="345"/>
      <c r="O1155" s="42">
        <f t="shared" si="58"/>
        <v>2026</v>
      </c>
      <c r="P1155" s="42" t="str">
        <f t="shared" si="59"/>
        <v>202603545/2021</v>
      </c>
      <c r="Q1155" s="42">
        <v>1</v>
      </c>
    </row>
    <row r="1156" spans="1:17" ht="75" hidden="1">
      <c r="A1156" s="192" t="s">
        <v>358</v>
      </c>
      <c r="B1156" s="315" t="str">
        <f>IFERROR(INDEX(Projetos!$B$3:$B$129,MATCH(A1156,Projetos!$A$3:$A$129,0))," ")</f>
        <v>Prevjud - Automação de Processos Previdenciários - Justiça 4.0</v>
      </c>
      <c r="D1156" s="214">
        <v>0.98</v>
      </c>
      <c r="E1156" s="214">
        <v>0.99</v>
      </c>
      <c r="F1156" s="219">
        <v>46106</v>
      </c>
      <c r="G1156" s="220">
        <v>46082</v>
      </c>
      <c r="H1156" s="51" t="str">
        <f t="shared" si="57"/>
        <v>03558/202146082</v>
      </c>
      <c r="I1156" s="473" t="str">
        <f>IFERROR(INDEX(Projetos!$M$2:$M$129,MATCH(Atualizações!A1156,Projetos!$A$2:$A$129,0))," ")</f>
        <v>31/03/2026</v>
      </c>
      <c r="J1156" s="221" t="s">
        <v>1517</v>
      </c>
      <c r="K1156" s="344">
        <f>IFERROR(Tb_Atualizações[[#This Row],[% EXECUTADO]]/Tb_Atualizações[[#This Row],[% PREVISTO]],"0%")</f>
        <v>1.010204081632653</v>
      </c>
      <c r="L1156" s="475" t="str" cm="1">
        <f t="array" aca="1" ref="L11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56" s="215"/>
      <c r="N1156" s="345"/>
      <c r="O1156" s="42">
        <f t="shared" si="58"/>
        <v>2026</v>
      </c>
      <c r="P1156" s="42" t="str">
        <f t="shared" si="59"/>
        <v>202603558/2021</v>
      </c>
      <c r="Q1156" s="42">
        <v>1</v>
      </c>
    </row>
    <row r="1157" spans="1:17" ht="30" hidden="1">
      <c r="A1157" s="192" t="s">
        <v>416</v>
      </c>
      <c r="B1157" s="315" t="str">
        <f>IFERROR(INDEX(Projetos!$B$3:$B$129,MATCH(A1157,Projetos!$A$3:$A$129,0))," ")</f>
        <v>Conecta</v>
      </c>
      <c r="D1157" s="214">
        <v>0.7</v>
      </c>
      <c r="E1157" s="214">
        <v>0.57999999999999996</v>
      </c>
      <c r="F1157" s="219">
        <v>46106</v>
      </c>
      <c r="G1157" s="220">
        <v>46082</v>
      </c>
      <c r="H1157" s="51" t="str">
        <f t="shared" si="57"/>
        <v>05578/202446082</v>
      </c>
      <c r="I1157" s="473" t="str">
        <f>IFERROR(INDEX(Projetos!$M$2:$M$129,MATCH(Atualizações!A1157,Projetos!$A$2:$A$129,0))," ")</f>
        <v>31/12/2026</v>
      </c>
      <c r="J1157" s="221"/>
      <c r="K1157" s="344">
        <f>IFERROR(Tb_Atualizações[[#This Row],[% EXECUTADO]]/Tb_Atualizações[[#This Row],[% PREVISTO]],"0%")</f>
        <v>0.82857142857142851</v>
      </c>
      <c r="L1157" s="475" t="str" cm="1">
        <f t="array" aca="1" ref="L11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57" s="215"/>
      <c r="N1157" s="345"/>
      <c r="O1157" s="42">
        <f t="shared" si="58"/>
        <v>2026</v>
      </c>
      <c r="P1157" s="42" t="str">
        <f t="shared" si="59"/>
        <v>202605578/2024</v>
      </c>
      <c r="Q1157" s="42">
        <v>1</v>
      </c>
    </row>
    <row r="1158" spans="1:17" ht="409.5" hidden="1">
      <c r="A1158" s="192" t="s">
        <v>257</v>
      </c>
      <c r="B1158" s="315" t="str">
        <f>IFERROR(INDEX(Projetos!$B$3:$B$129,MATCH(A1158,Projetos!$A$3:$A$129,0))," ")</f>
        <v>SisPreq – Sistema de Precatórios e Requisições de Pequeno Valor</v>
      </c>
      <c r="D1158" s="214">
        <v>0.75</v>
      </c>
      <c r="E1158" s="214">
        <v>0.89</v>
      </c>
      <c r="F1158" s="219">
        <v>46106</v>
      </c>
      <c r="G1158" s="220">
        <v>46082</v>
      </c>
      <c r="H1158" s="51" t="str">
        <f t="shared" si="57"/>
        <v>02465/202446082</v>
      </c>
      <c r="I1158" s="473" t="str">
        <f>IFERROR(INDEX(Projetos!$M$2:$M$129,MATCH(Atualizações!A1158,Projetos!$A$2:$A$129,0))," ")</f>
        <v>15/12/2026</v>
      </c>
      <c r="J1158" s="221" t="s">
        <v>1518</v>
      </c>
      <c r="K1158" s="344">
        <f>IFERROR(Tb_Atualizações[[#This Row],[% EXECUTADO]]/Tb_Atualizações[[#This Row],[% PREVISTO]],"0%")</f>
        <v>1.1866666666666668</v>
      </c>
      <c r="L1158" s="475" t="str" cm="1">
        <f t="array" aca="1" ref="L11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58" s="215"/>
      <c r="N1158" s="345"/>
      <c r="O1158" s="42">
        <f t="shared" si="58"/>
        <v>2026</v>
      </c>
      <c r="P1158" s="42" t="str">
        <f t="shared" si="59"/>
        <v>202602465/2024</v>
      </c>
      <c r="Q1158" s="42">
        <v>1</v>
      </c>
    </row>
    <row r="1159" spans="1:17" ht="15" hidden="1">
      <c r="A1159" s="192" t="s">
        <v>638</v>
      </c>
      <c r="B1159" s="315" t="str">
        <f>IFERROR(INDEX(Projetos!$B$3:$B$129,MATCH(A1159,Projetos!$A$3:$A$129,0))," ")</f>
        <v>Sisperjud</v>
      </c>
      <c r="D1159" s="214">
        <v>0.98</v>
      </c>
      <c r="E1159" s="214">
        <v>0.94</v>
      </c>
      <c r="F1159" s="219">
        <v>46106</v>
      </c>
      <c r="G1159" s="220">
        <v>46082</v>
      </c>
      <c r="H1159" s="51" t="str">
        <f t="shared" si="57"/>
        <v>11644/202246082</v>
      </c>
      <c r="I1159" s="473">
        <f>IFERROR(INDEX(Projetos!$M$2:$M$129,MATCH(Atualizações!A1159,Projetos!$A$2:$A$129,0))," ")</f>
        <v>46352</v>
      </c>
      <c r="J1159" s="221"/>
      <c r="K1159" s="344">
        <f>IFERROR(Tb_Atualizações[[#This Row],[% EXECUTADO]]/Tb_Atualizações[[#This Row],[% PREVISTO]],"0%")</f>
        <v>0.95918367346938771</v>
      </c>
      <c r="L1159" s="475" t="str" cm="1">
        <f t="array" aca="1" ref="L11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59" s="215"/>
      <c r="N1159" s="345"/>
      <c r="O1159" s="42">
        <f t="shared" si="58"/>
        <v>2026</v>
      </c>
      <c r="P1159" s="42" t="str">
        <f t="shared" si="59"/>
        <v>202611644/2022</v>
      </c>
      <c r="Q1159" s="42">
        <v>1</v>
      </c>
    </row>
    <row r="1160" spans="1:17" ht="15" hidden="1">
      <c r="A1160" s="674" t="s">
        <v>684</v>
      </c>
      <c r="B1160" s="315" t="str">
        <f>IFERROR(INDEX(Projetos!$B$3:$B$129,MATCH(A1160,Projetos!$A$3:$A$129,0))," ")</f>
        <v>Painel dos Grandes Litigantes</v>
      </c>
      <c r="D1160" s="214">
        <v>0.82</v>
      </c>
      <c r="E1160" s="214">
        <v>0.81</v>
      </c>
      <c r="F1160" s="219">
        <v>46106</v>
      </c>
      <c r="G1160" s="220">
        <v>46082</v>
      </c>
      <c r="H1160" s="51" t="str">
        <f t="shared" si="57"/>
        <v>12135/202246082</v>
      </c>
      <c r="I1160" s="473" t="str">
        <f>IFERROR(INDEX(Projetos!$M$2:$M$129,MATCH(Atualizações!A1160,Projetos!$A$2:$A$129,0))," ")</f>
        <v>30/06/26</v>
      </c>
      <c r="J1160" s="221"/>
      <c r="K1160" s="344">
        <f>IFERROR(Tb_Atualizações[[#This Row],[% EXECUTADO]]/Tb_Atualizações[[#This Row],[% PREVISTO]],"0%")</f>
        <v>0.98780487804878059</v>
      </c>
      <c r="L1160" s="475" t="str" cm="1">
        <f t="array" aca="1" ref="L11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0" s="215"/>
      <c r="N1160" s="345"/>
      <c r="O1160" s="42">
        <f t="shared" si="58"/>
        <v>2026</v>
      </c>
      <c r="P1160" s="42" t="str">
        <f t="shared" si="59"/>
        <v>202612135/2022</v>
      </c>
      <c r="Q1160" s="42">
        <v>1</v>
      </c>
    </row>
    <row r="1161" spans="1:17" ht="409.5" hidden="1">
      <c r="A1161" s="675" t="s">
        <v>431</v>
      </c>
      <c r="B1161" s="315" t="str">
        <f>IFERROR(INDEX(Projetos!$B$3:$B$129,MATCH(A1161,Projetos!$A$3:$A$129,0))," ")</f>
        <v>Sniper BC</v>
      </c>
      <c r="D1161" s="214">
        <v>0.81</v>
      </c>
      <c r="E1161" s="214">
        <v>0.7</v>
      </c>
      <c r="F1161" s="219">
        <v>46106</v>
      </c>
      <c r="G1161" s="220">
        <v>46082</v>
      </c>
      <c r="H1161" s="51" t="str">
        <f t="shared" si="57"/>
        <v>06826/202446082</v>
      </c>
      <c r="I1161" s="473">
        <f>IFERROR(INDEX(Projetos!$M$2:$M$129,MATCH(Atualizações!A1161,Projetos!$A$2:$A$129,0))," ")</f>
        <v>46281</v>
      </c>
      <c r="J1161" s="221" t="s">
        <v>1519</v>
      </c>
      <c r="K1161" s="344">
        <f>IFERROR(Tb_Atualizações[[#This Row],[% EXECUTADO]]/Tb_Atualizações[[#This Row],[% PREVISTO]],"0%")</f>
        <v>0.86419753086419737</v>
      </c>
      <c r="L1161" s="475" t="str" cm="1">
        <f t="array" aca="1" ref="L11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61" s="215"/>
      <c r="N1161" s="345"/>
      <c r="O1161" s="42">
        <f t="shared" si="58"/>
        <v>2026</v>
      </c>
      <c r="P1161" s="42" t="str">
        <f t="shared" si="59"/>
        <v>202606826/2024</v>
      </c>
      <c r="Q1161" s="42">
        <v>1</v>
      </c>
    </row>
    <row r="1162" spans="1:17" ht="409.5" hidden="1">
      <c r="A1162" s="675" t="s">
        <v>549</v>
      </c>
      <c r="B1162" s="315" t="str">
        <f>IFERROR(INDEX(Projetos!$B$3:$B$129,MATCH(A1162,Projetos!$A$3:$A$129,0))," ")</f>
        <v>Fluxo Nacional Automatizado das Execuções Fiscais (EFIN)</v>
      </c>
      <c r="D1162" s="214">
        <v>0.84</v>
      </c>
      <c r="E1162" s="214">
        <v>0.83</v>
      </c>
      <c r="F1162" s="219">
        <v>46106</v>
      </c>
      <c r="G1162" s="220">
        <v>46082</v>
      </c>
      <c r="H1162" s="51" t="str">
        <f t="shared" si="57"/>
        <v>09796/202446082</v>
      </c>
      <c r="I1162" s="473">
        <f>IFERROR(INDEX(Projetos!$M$2:$M$129,MATCH(Atualizações!A1162,Projetos!$A$2:$A$129,0))," ")</f>
        <v>46226</v>
      </c>
      <c r="J1162" s="221" t="s">
        <v>1520</v>
      </c>
      <c r="K1162" s="344">
        <f>IFERROR(Tb_Atualizações[[#This Row],[% EXECUTADO]]/Tb_Atualizações[[#This Row],[% PREVISTO]],"0%")</f>
        <v>0.98809523809523814</v>
      </c>
      <c r="L1162" s="475" t="str" cm="1">
        <f t="array" aca="1" ref="L11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2" s="215"/>
      <c r="N1162" s="345"/>
      <c r="O1162" s="42">
        <f t="shared" si="58"/>
        <v>2026</v>
      </c>
      <c r="P1162" s="42" t="str">
        <f t="shared" si="59"/>
        <v>202609796/2024</v>
      </c>
      <c r="Q1162" s="42">
        <v>1</v>
      </c>
    </row>
    <row r="1163" spans="1:17" ht="30" hidden="1">
      <c r="A1163" s="192" t="s">
        <v>756</v>
      </c>
      <c r="B1163" s="315" t="str">
        <f>IFERROR(INDEX(Projetos!$B$3:$B$129,MATCH(A1163,Projetos!$A$3:$A$129,0))," ")</f>
        <v>Módulo de Pessoal e Estrutura Judiciária Mensal (MPM) V.2</v>
      </c>
      <c r="D1163" s="214">
        <v>0.53</v>
      </c>
      <c r="E1163" s="214">
        <v>0.45</v>
      </c>
      <c r="F1163" s="219">
        <v>46106</v>
      </c>
      <c r="G1163" s="220">
        <v>46082</v>
      </c>
      <c r="H1163" s="51" t="str">
        <f t="shared" si="57"/>
        <v>16882/202546082</v>
      </c>
      <c r="I1163" s="473">
        <f>IFERROR(INDEX(Projetos!$M$2:$M$129,MATCH(Atualizações!A1163,Projetos!$A$2:$A$129,0))," ")</f>
        <v>46387</v>
      </c>
      <c r="J1163" s="221"/>
      <c r="K1163" s="344">
        <f>IFERROR(Tb_Atualizações[[#This Row],[% EXECUTADO]]/Tb_Atualizações[[#This Row],[% PREVISTO]],"0%")</f>
        <v>0.84905660377358494</v>
      </c>
      <c r="L1163" s="475" t="str" cm="1">
        <f t="array" aca="1" ref="L11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63" s="215"/>
      <c r="N1163" s="345"/>
      <c r="O1163" s="42">
        <f t="shared" si="58"/>
        <v>2026</v>
      </c>
      <c r="P1163" s="42" t="str">
        <f t="shared" si="59"/>
        <v>202616882/2025</v>
      </c>
      <c r="Q1163" s="42">
        <v>1</v>
      </c>
    </row>
    <row r="1164" spans="1:17" ht="409.5" hidden="1">
      <c r="A1164" s="192" t="s">
        <v>396</v>
      </c>
      <c r="B1164" s="315" t="str">
        <f>IFERROR(INDEX(Projetos!$B$3:$B$129,MATCH(A1164,Projetos!$A$3:$A$129,0))," ")</f>
        <v>CODEX - Melhorias Evolutivas e Corretivas</v>
      </c>
      <c r="D1164" s="214">
        <v>0.82</v>
      </c>
      <c r="E1164" s="214">
        <v>0.85</v>
      </c>
      <c r="F1164" s="219">
        <v>46106</v>
      </c>
      <c r="G1164" s="220">
        <v>46082</v>
      </c>
      <c r="H1164" s="51" t="str">
        <f t="shared" si="57"/>
        <v>04751/202246082</v>
      </c>
      <c r="I1164" s="473">
        <f>IFERROR(INDEX(Projetos!$M$2:$M$129,MATCH(Atualizações!A1164,Projetos!$A$2:$A$129,0))," ")</f>
        <v>46387</v>
      </c>
      <c r="J1164" s="221" t="s">
        <v>1521</v>
      </c>
      <c r="K1164" s="344">
        <f>IFERROR(Tb_Atualizações[[#This Row],[% EXECUTADO]]/Tb_Atualizações[[#This Row],[% PREVISTO]],"0%")</f>
        <v>1.0365853658536586</v>
      </c>
      <c r="L1164" s="475" t="str" cm="1">
        <f t="array" aca="1" ref="L11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4" s="215"/>
      <c r="N1164" s="345"/>
      <c r="O1164" s="42">
        <f t="shared" si="58"/>
        <v>2026</v>
      </c>
      <c r="P1164" s="42" t="str">
        <f t="shared" si="59"/>
        <v>202604751/2022</v>
      </c>
      <c r="Q1164" s="42">
        <v>1</v>
      </c>
    </row>
    <row r="1165" spans="1:17" ht="409.5" hidden="1">
      <c r="A1165" s="192" t="s">
        <v>129</v>
      </c>
      <c r="B1165" s="315" t="str">
        <f>IFERROR(INDEX(Projetos!$B$3:$B$129,MATCH(A1165,Projetos!$A$3:$A$129,0))," ")</f>
        <v>Data Lake - Melhorias Evolutivas e Corretivas</v>
      </c>
      <c r="D1165" s="214">
        <v>0.56999999999999995</v>
      </c>
      <c r="E1165" s="214">
        <v>0.57999999999999996</v>
      </c>
      <c r="F1165" s="219">
        <v>46106</v>
      </c>
      <c r="G1165" s="220">
        <v>46082</v>
      </c>
      <c r="H1165" s="51" t="str">
        <f t="shared" si="57"/>
        <v>01167/202546082</v>
      </c>
      <c r="I1165" s="473">
        <f>IFERROR(INDEX(Projetos!$M$2:$M$129,MATCH(Atualizações!A1165,Projetos!$A$2:$A$129,0))," ")</f>
        <v>46387</v>
      </c>
      <c r="J1165" s="221" t="s">
        <v>1522</v>
      </c>
      <c r="K1165" s="344">
        <f>IFERROR(Tb_Atualizações[[#This Row],[% EXECUTADO]]/Tb_Atualizações[[#This Row],[% PREVISTO]],"0%")</f>
        <v>1.0175438596491229</v>
      </c>
      <c r="L1165" s="475" t="str" cm="1">
        <f t="array" aca="1" ref="L11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5" s="215"/>
      <c r="N1165" s="345"/>
      <c r="O1165" s="42">
        <f t="shared" si="58"/>
        <v>2026</v>
      </c>
      <c r="P1165" s="42" t="str">
        <f t="shared" si="59"/>
        <v>202601167/2025</v>
      </c>
      <c r="Q1165" s="42">
        <v>1</v>
      </c>
    </row>
    <row r="1166" spans="1:17" ht="15" hidden="1">
      <c r="A1166" s="192" t="s">
        <v>917</v>
      </c>
      <c r="B1166" s="315" t="str">
        <f>IFERROR(INDEX(Projetos!$B$3:$B$129,MATCH(A1166,Projetos!$A$3:$A$129,0))," ")</f>
        <v>e-NatJus 4.0</v>
      </c>
      <c r="D1166" s="214">
        <v>0.71</v>
      </c>
      <c r="E1166" s="214">
        <v>0.73</v>
      </c>
      <c r="F1166" s="219">
        <v>46106</v>
      </c>
      <c r="G1166" s="220">
        <v>46082</v>
      </c>
      <c r="H1166" s="51" t="str">
        <f t="shared" si="57"/>
        <v>17529/202446082</v>
      </c>
      <c r="I1166" s="473">
        <f>IFERROR(INDEX(Projetos!$M$2:$M$129,MATCH(Atualizações!A1166,Projetos!$A$2:$A$129,0))," ")</f>
        <v>46386</v>
      </c>
      <c r="J1166" s="221"/>
      <c r="K1166" s="344">
        <f>IFERROR(Tb_Atualizações[[#This Row],[% EXECUTADO]]/Tb_Atualizações[[#This Row],[% PREVISTO]],"0%")</f>
        <v>1.028169014084507</v>
      </c>
      <c r="L1166" s="475" t="str" cm="1">
        <f t="array" aca="1" ref="L116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6" s="215"/>
      <c r="N1166" s="345"/>
      <c r="O1166" s="42">
        <f t="shared" si="58"/>
        <v>2026</v>
      </c>
      <c r="P1166" s="42" t="str">
        <f t="shared" si="59"/>
        <v>202617529/2024</v>
      </c>
      <c r="Q1166" s="42">
        <v>1</v>
      </c>
    </row>
    <row r="1167" spans="1:17" ht="409.5" hidden="1">
      <c r="A1167" s="192" t="s">
        <v>773</v>
      </c>
      <c r="B1167" s="315" t="str">
        <f>IFERROR(INDEX(Projetos!$B$3:$B$129,MATCH(A1167,Projetos!$A$3:$A$129,0))," ")</f>
        <v>API de Pessoas</v>
      </c>
      <c r="D1167" s="214">
        <v>0.84</v>
      </c>
      <c r="E1167" s="214">
        <v>0.79</v>
      </c>
      <c r="F1167" s="219">
        <v>46106</v>
      </c>
      <c r="G1167" s="220">
        <v>46082</v>
      </c>
      <c r="H1167" s="51" t="str">
        <f t="shared" si="57"/>
        <v>17372/2024 46082</v>
      </c>
      <c r="I1167" s="473">
        <f>IFERROR(INDEX(Projetos!$M$2:$M$129,MATCH(Atualizações!A1167,Projetos!$A$2:$A$129,0))," ")</f>
        <v>46371</v>
      </c>
      <c r="J1167" s="221" t="s">
        <v>1523</v>
      </c>
      <c r="K1167" s="458">
        <f>IFERROR(Tb_Atualizações[[#This Row],[% EXECUTADO]]/Tb_Atualizações[[#This Row],[% PREVISTO]],"0%")</f>
        <v>0.94047619047619058</v>
      </c>
      <c r="L1167" s="475" t="str" cm="1">
        <f t="array" aca="1" ref="L116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67" s="215"/>
      <c r="N1167" s="345"/>
      <c r="O1167" s="42">
        <f t="shared" si="58"/>
        <v>2026</v>
      </c>
      <c r="P1167" s="42" t="str">
        <f t="shared" si="59"/>
        <v xml:space="preserve">202617372/2024 </v>
      </c>
      <c r="Q1167" s="42">
        <v>1</v>
      </c>
    </row>
    <row r="1168" spans="1:17" ht="15" hidden="1">
      <c r="A1168" s="192" t="s">
        <v>766</v>
      </c>
      <c r="B1168" s="315" t="str">
        <f>IFERROR(INDEX(Projetos!$B$3:$B$129,MATCH(A1168,Projetos!$A$3:$A$129,0))," ")</f>
        <v>Painel Crime Organizado</v>
      </c>
      <c r="D1168" s="214">
        <v>0.38</v>
      </c>
      <c r="E1168" s="214">
        <v>0.35</v>
      </c>
      <c r="F1168" s="219">
        <v>46106</v>
      </c>
      <c r="G1168" s="220">
        <v>46082</v>
      </c>
      <c r="H1168" s="51" t="str">
        <f t="shared" si="57"/>
        <v>17085/202546082</v>
      </c>
      <c r="I1168" s="473">
        <f>IFERROR(INDEX(Projetos!$M$2:$M$129,MATCH(Atualizações!A1168,Projetos!$A$2:$A$129,0))," ")</f>
        <v>46387</v>
      </c>
      <c r="J1168" s="221"/>
      <c r="K1168" s="344">
        <f>IFERROR(Tb_Atualizações[[#This Row],[% EXECUTADO]]/Tb_Atualizações[[#This Row],[% PREVISTO]],"0%")</f>
        <v>0.92105263157894735</v>
      </c>
      <c r="L1168" s="475" t="str" cm="1">
        <f t="array" aca="1" ref="L116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68" s="215"/>
      <c r="N1168" s="345"/>
      <c r="O1168" s="42">
        <f t="shared" si="58"/>
        <v>2026</v>
      </c>
      <c r="P1168" s="42" t="str">
        <f t="shared" si="59"/>
        <v>202617085/2025</v>
      </c>
      <c r="Q1168" s="42">
        <v>1</v>
      </c>
    </row>
    <row r="1169" spans="1:17" ht="15" hidden="1">
      <c r="A1169" s="192" t="s">
        <v>738</v>
      </c>
      <c r="B1169" s="315" t="str">
        <f>IFERROR(INDEX(Projetos!$B$3:$B$129,MATCH(A1169,Projetos!$A$3:$A$129,0))," ")</f>
        <v>FONAR - Formulário Nacional de Avaliação de Risco e Formulário Rogéria</v>
      </c>
      <c r="D1169" s="214">
        <v>0.63</v>
      </c>
      <c r="E1169" s="214">
        <v>0.63</v>
      </c>
      <c r="F1169" s="219">
        <v>46106</v>
      </c>
      <c r="G1169" s="220">
        <v>46082</v>
      </c>
      <c r="H1169" s="51" t="str">
        <f t="shared" si="57"/>
        <v>16319/202446082</v>
      </c>
      <c r="I1169" s="473">
        <f>IFERROR(INDEX(Projetos!$M$2:$M$129,MATCH(Atualizações!A1169,Projetos!$A$2:$A$129,0))," ")</f>
        <v>46195</v>
      </c>
      <c r="J1169" s="221"/>
      <c r="K1169" s="344">
        <f>IFERROR(Tb_Atualizações[[#This Row],[% EXECUTADO]]/Tb_Atualizações[[#This Row],[% PREVISTO]],"0%")</f>
        <v>1</v>
      </c>
      <c r="L1169" s="475" t="str" cm="1">
        <f t="array" aca="1" ref="L116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69" s="215"/>
      <c r="N1169" s="345"/>
      <c r="O1169" s="42">
        <f t="shared" si="58"/>
        <v>2026</v>
      </c>
      <c r="P1169" s="42" t="str">
        <f t="shared" si="59"/>
        <v>202616319/2024</v>
      </c>
      <c r="Q1169" s="42">
        <v>1</v>
      </c>
    </row>
    <row r="1170" spans="1:17" ht="409.5" hidden="1">
      <c r="A1170" s="192" t="s">
        <v>722</v>
      </c>
      <c r="B1170" s="315" t="str">
        <f>IFERROR(INDEX(Projetos!$B$3:$B$129,MATCH(A1170,Projetos!$A$3:$A$129,0))," ")</f>
        <v>Serviços Estruturantes - Melhorias Evolutivas e Corretivas</v>
      </c>
      <c r="D1170" s="214">
        <v>0.74</v>
      </c>
      <c r="E1170" s="214">
        <v>0.55000000000000004</v>
      </c>
      <c r="F1170" s="219">
        <v>46106</v>
      </c>
      <c r="G1170" s="220">
        <v>46082</v>
      </c>
      <c r="H1170" s="51" t="str">
        <f t="shared" si="57"/>
        <v>14965/202446082</v>
      </c>
      <c r="I1170" s="473">
        <f>IFERROR(INDEX(Projetos!$M$2:$M$129,MATCH(Atualizações!A1170,Projetos!$A$2:$A$129,0))," ")</f>
        <v>46387</v>
      </c>
      <c r="J1170" s="221" t="s">
        <v>1524</v>
      </c>
      <c r="K1170" s="344">
        <f>IFERROR(Tb_Atualizações[[#This Row],[% EXECUTADO]]/Tb_Atualizações[[#This Row],[% PREVISTO]],"0%")</f>
        <v>0.74324324324324331</v>
      </c>
      <c r="L1170" s="475" t="str" cm="1">
        <f t="array" aca="1" ref="L117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70" s="215"/>
      <c r="N1170" s="345"/>
      <c r="O1170" s="42">
        <f t="shared" si="58"/>
        <v>2026</v>
      </c>
      <c r="P1170" s="42" t="str">
        <f t="shared" si="59"/>
        <v>202614965/2024</v>
      </c>
      <c r="Q1170" s="42">
        <v>1</v>
      </c>
    </row>
    <row r="1171" spans="1:17" ht="15" hidden="1">
      <c r="A1171" s="192" t="s">
        <v>690</v>
      </c>
      <c r="B1171" s="315" t="str">
        <f>IFERROR(INDEX(Projetos!$B$3:$B$129,MATCH(A1171,Projetos!$A$3:$A$129,0))," ")</f>
        <v>Painel “Justiça Criminal e Sistema Prisional”</v>
      </c>
      <c r="D1171" s="214">
        <v>0.75</v>
      </c>
      <c r="E1171" s="214">
        <v>0.7</v>
      </c>
      <c r="F1171" s="219">
        <v>46106</v>
      </c>
      <c r="G1171" s="220">
        <v>46082</v>
      </c>
      <c r="H1171" s="51" t="str">
        <f t="shared" si="57"/>
        <v>12215/202346082</v>
      </c>
      <c r="I1171" s="473">
        <f>IFERROR(INDEX(Projetos!$M$2:$M$129,MATCH(Atualizações!A1171,Projetos!$A$2:$A$129,0))," ")</f>
        <v>46387</v>
      </c>
      <c r="J1171" s="221"/>
      <c r="K1171" s="344">
        <f>IFERROR(Tb_Atualizações[[#This Row],[% EXECUTADO]]/Tb_Atualizações[[#This Row],[% PREVISTO]],"0%")</f>
        <v>0.93333333333333324</v>
      </c>
      <c r="L1171" s="475" t="str" cm="1">
        <f t="array" aca="1" ref="L117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71" s="215"/>
      <c r="N1171" s="345"/>
      <c r="O1171" s="42">
        <f t="shared" si="58"/>
        <v>2026</v>
      </c>
      <c r="P1171" s="42" t="str">
        <f t="shared" si="59"/>
        <v>202612215/2023</v>
      </c>
      <c r="Q1171" s="42">
        <v>1</v>
      </c>
    </row>
    <row r="1172" spans="1:17" ht="409.5" hidden="1">
      <c r="A1172" s="192" t="s">
        <v>661</v>
      </c>
      <c r="B1172" s="315" t="str">
        <f>IFERROR(INDEX(Projetos!$B$3:$B$129,MATCH(A1172,Projetos!$A$3:$A$129,0))," ")</f>
        <v>BNMP – Banco Nacional de Medidas Penais e Prisões – Melhorias Evolutivas</v>
      </c>
      <c r="D1172" s="214">
        <v>0.64</v>
      </c>
      <c r="E1172" s="214">
        <v>0.56000000000000005</v>
      </c>
      <c r="F1172" s="219">
        <v>46106</v>
      </c>
      <c r="G1172" s="220">
        <v>46082</v>
      </c>
      <c r="H1172" s="51" t="str">
        <f t="shared" si="57"/>
        <v>11776/202446082</v>
      </c>
      <c r="I1172" s="473">
        <f>IFERROR(INDEX(Projetos!$M$2:$M$129,MATCH(Atualizações!A1172,Projetos!$A$2:$A$129,0))," ")</f>
        <v>46379</v>
      </c>
      <c r="J1172" s="221" t="s">
        <v>1525</v>
      </c>
      <c r="K1172" s="344">
        <f>IFERROR(Tb_Atualizações[[#This Row],[% EXECUTADO]]/Tb_Atualizações[[#This Row],[% PREVISTO]],"0%")</f>
        <v>0.87500000000000011</v>
      </c>
      <c r="L1172" s="475" t="str" cm="1">
        <f t="array" aca="1" ref="L117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72" s="215"/>
      <c r="N1172" s="345"/>
      <c r="O1172" s="42">
        <f t="shared" si="58"/>
        <v>2026</v>
      </c>
      <c r="P1172" s="42" t="str">
        <f t="shared" si="59"/>
        <v>202611776/2024</v>
      </c>
      <c r="Q1172" s="42">
        <v>1</v>
      </c>
    </row>
    <row r="1173" spans="1:17" ht="409.5" hidden="1">
      <c r="A1173" s="192" t="s">
        <v>644</v>
      </c>
      <c r="B1173" s="315" t="str">
        <f>IFERROR(INDEX(Projetos!$B$3:$B$129,MATCH(A1173,Projetos!$A$3:$A$129,0))," ")</f>
        <v>BNP/Pangea</v>
      </c>
      <c r="D1173" s="214">
        <v>0.8</v>
      </c>
      <c r="E1173" s="214">
        <v>0.77</v>
      </c>
      <c r="F1173" s="219">
        <v>46106</v>
      </c>
      <c r="G1173" s="220">
        <v>46082</v>
      </c>
      <c r="H1173" s="51" t="str">
        <f t="shared" si="57"/>
        <v>11645/202246082</v>
      </c>
      <c r="I1173" s="473" t="str">
        <f>IFERROR(INDEX(Projetos!$M$2:$M$129,MATCH(Atualizações!A1173,Projetos!$A$2:$A$129,0))," ")</f>
        <v>23/12/2026</v>
      </c>
      <c r="J1173" s="221" t="s">
        <v>1526</v>
      </c>
      <c r="K1173" s="344">
        <f>IFERROR(Tb_Atualizações[[#This Row],[% EXECUTADO]]/Tb_Atualizações[[#This Row],[% PREVISTO]],"0%")</f>
        <v>0.96250000000000002</v>
      </c>
      <c r="L1173" s="475" t="str" cm="1">
        <f t="array" aca="1" ref="L117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3" s="215"/>
      <c r="N1173" s="345"/>
      <c r="O1173" s="42">
        <f t="shared" si="58"/>
        <v>2026</v>
      </c>
      <c r="P1173" s="42" t="str">
        <f t="shared" si="59"/>
        <v>202611645/2022</v>
      </c>
      <c r="Q1173" s="42">
        <v>1</v>
      </c>
    </row>
    <row r="1174" spans="1:17" ht="15" hidden="1">
      <c r="A1174" s="192" t="s">
        <v>580</v>
      </c>
      <c r="B1174" s="315" t="str">
        <f>IFERROR(INDEX(Projetos!$B$3:$B$129,MATCH(A1174,Projetos!$A$3:$A$129,0))," ")</f>
        <v>SireneJud 2.0 - Evoluções</v>
      </c>
      <c r="D1174" s="214">
        <v>0.68</v>
      </c>
      <c r="E1174" s="214">
        <v>0.67</v>
      </c>
      <c r="F1174" s="219">
        <v>46106</v>
      </c>
      <c r="G1174" s="220">
        <v>46082</v>
      </c>
      <c r="H1174" s="51" t="str">
        <f t="shared" si="57"/>
        <v>10698/202446082</v>
      </c>
      <c r="I1174" s="473">
        <f>IFERROR(INDEX(Projetos!$M$2:$M$129,MATCH(Atualizações!A1174,Projetos!$A$2:$A$129,0))," ")</f>
        <v>46387</v>
      </c>
      <c r="J1174" s="221"/>
      <c r="K1174" s="344">
        <f>IFERROR(Tb_Atualizações[[#This Row],[% EXECUTADO]]/Tb_Atualizações[[#This Row],[% PREVISTO]],"0%")</f>
        <v>0.98529411764705876</v>
      </c>
      <c r="L1174" s="475" t="str" cm="1">
        <f t="array" aca="1" ref="L117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4" s="215"/>
      <c r="N1174" s="345"/>
      <c r="O1174" s="42">
        <f t="shared" si="58"/>
        <v>2026</v>
      </c>
      <c r="P1174" s="42" t="str">
        <f t="shared" si="59"/>
        <v>202610698/2024</v>
      </c>
      <c r="Q1174" s="42">
        <v>1</v>
      </c>
    </row>
    <row r="1175" spans="1:17" ht="409.5" hidden="1">
      <c r="A1175" s="192" t="s">
        <v>539</v>
      </c>
      <c r="B1175" s="315" t="str">
        <f>IFERROR(INDEX(Projetos!$B$3:$B$129,MATCH(A1175,Projetos!$A$3:$A$129,0))," ")</f>
        <v>Desenvolvimento do módulo de Sessão de Julgamento (PDPJ-Br)</v>
      </c>
      <c r="D1175" s="214">
        <v>0.67</v>
      </c>
      <c r="E1175" s="214">
        <v>0.54</v>
      </c>
      <c r="F1175" s="219">
        <v>46106</v>
      </c>
      <c r="G1175" s="220">
        <v>46082</v>
      </c>
      <c r="H1175" s="51" t="str">
        <f t="shared" si="57"/>
        <v>09630/202446082</v>
      </c>
      <c r="I1175" s="473">
        <f>IFERROR(INDEX(Projetos!$M$2:$M$129,MATCH(Atualizações!A1175,Projetos!$A$2:$A$129,0))," ")</f>
        <v>46387</v>
      </c>
      <c r="J1175" s="221" t="s">
        <v>1527</v>
      </c>
      <c r="K1175" s="344">
        <f>IFERROR(Tb_Atualizações[[#This Row],[% EXECUTADO]]/Tb_Atualizações[[#This Row],[% PREVISTO]],"0%")</f>
        <v>0.80597014925373134</v>
      </c>
      <c r="L1175" s="475" t="str" cm="1">
        <f t="array" aca="1" ref="L117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75" s="215"/>
      <c r="N1175" s="345"/>
      <c r="O1175" s="42">
        <f t="shared" si="58"/>
        <v>2026</v>
      </c>
      <c r="P1175" s="42" t="str">
        <f t="shared" si="59"/>
        <v>202609630/2024</v>
      </c>
      <c r="Q1175" s="42">
        <v>1</v>
      </c>
    </row>
    <row r="1176" spans="1:17" ht="409.5" hidden="1">
      <c r="A1176" s="192" t="s">
        <v>533</v>
      </c>
      <c r="B1176" s="315" t="str">
        <f>IFERROR(INDEX(Projetos!$B$3:$B$129,MATCH(A1176,Projetos!$A$3:$A$129,0))," ")</f>
        <v>Qualificação de Dados</v>
      </c>
      <c r="D1176" s="214">
        <v>0.97</v>
      </c>
      <c r="E1176" s="214">
        <v>0.93</v>
      </c>
      <c r="F1176" s="219">
        <v>46106</v>
      </c>
      <c r="G1176" s="220">
        <v>46082</v>
      </c>
      <c r="H1176" s="51" t="str">
        <f t="shared" si="57"/>
        <v>09613/202446082</v>
      </c>
      <c r="I1176" s="473">
        <f>IFERROR(INDEX(Projetos!$M$2:$M$129,MATCH(Atualizações!A1176,Projetos!$A$2:$A$129,0))," ")</f>
        <v>46386</v>
      </c>
      <c r="J1176" s="221" t="s">
        <v>1528</v>
      </c>
      <c r="K1176" s="344">
        <f>IFERROR(Tb_Atualizações[[#This Row],[% EXECUTADO]]/Tb_Atualizações[[#This Row],[% PREVISTO]],"0%")</f>
        <v>0.95876288659793818</v>
      </c>
      <c r="L1176" s="475" t="str" cm="1">
        <f t="array" aca="1" ref="L117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6" s="215"/>
      <c r="N1176" s="345"/>
      <c r="O1176" s="42">
        <f t="shared" si="58"/>
        <v>2026</v>
      </c>
      <c r="P1176" s="42" t="str">
        <f t="shared" si="59"/>
        <v>202609613/2024</v>
      </c>
      <c r="Q1176" s="42">
        <v>1</v>
      </c>
    </row>
    <row r="1177" spans="1:17" ht="15" hidden="1">
      <c r="A1177" s="192" t="s">
        <v>517</v>
      </c>
      <c r="B1177" s="315" t="str">
        <f>IFERROR(INDEX(Projetos!$B$3:$B$129,MATCH(A1177,Projetos!$A$3:$A$129,0))," ")</f>
        <v>Domicílio Judicial Eletrônico - Melhorias Evolutivas</v>
      </c>
      <c r="D1177" s="214">
        <v>0.89</v>
      </c>
      <c r="E1177" s="214">
        <v>0.88</v>
      </c>
      <c r="F1177" s="219">
        <v>46106</v>
      </c>
      <c r="G1177" s="220">
        <v>46082</v>
      </c>
      <c r="H1177" s="51" t="str">
        <f t="shared" si="57"/>
        <v>09445/202346082</v>
      </c>
      <c r="I1177" s="473">
        <f>IFERROR(INDEX(Projetos!$M$2:$M$129,MATCH(Atualizações!A1177,Projetos!$A$2:$A$129,0))," ")</f>
        <v>46203</v>
      </c>
      <c r="J1177" s="221"/>
      <c r="K1177" s="344">
        <f>IFERROR(Tb_Atualizações[[#This Row],[% EXECUTADO]]/Tb_Atualizações[[#This Row],[% PREVISTO]],"0%")</f>
        <v>0.9887640449438202</v>
      </c>
      <c r="L1177" s="475" t="str" cm="1">
        <f t="array" aca="1" ref="L117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7" s="215"/>
      <c r="N1177" s="345"/>
      <c r="O1177" s="42">
        <f t="shared" si="58"/>
        <v>2026</v>
      </c>
      <c r="P1177" s="42" t="str">
        <f t="shared" si="59"/>
        <v>202609445/2023</v>
      </c>
      <c r="Q1177" s="42">
        <v>1</v>
      </c>
    </row>
    <row r="1178" spans="1:17" ht="30" hidden="1">
      <c r="A1178" s="192" t="s">
        <v>310</v>
      </c>
      <c r="B1178" s="315" t="str">
        <f>IFERROR(INDEX(Projetos!$B$3:$B$129,MATCH(A1178,Projetos!$A$3:$A$129,0))," ")</f>
        <v>Apoio a implantação de soluções da PDPJ-Br</v>
      </c>
      <c r="D1178" s="214">
        <v>0.75</v>
      </c>
      <c r="E1178" s="214">
        <v>0.83</v>
      </c>
      <c r="F1178" s="219">
        <v>46106</v>
      </c>
      <c r="G1178" s="220">
        <v>46082</v>
      </c>
      <c r="H1178" s="51" t="str">
        <f t="shared" si="57"/>
        <v>02887/202446082</v>
      </c>
      <c r="I1178" s="473">
        <f>IFERROR(INDEX(Projetos!$M$2:$M$129,MATCH(Atualizações!A1178,Projetos!$A$2:$A$129,0))," ")</f>
        <v>46387</v>
      </c>
      <c r="J1178" s="221" t="s">
        <v>1529</v>
      </c>
      <c r="K1178" s="344">
        <f>IFERROR(Tb_Atualizações[[#This Row],[% EXECUTADO]]/Tb_Atualizações[[#This Row],[% PREVISTO]],"0%")</f>
        <v>1.1066666666666667</v>
      </c>
      <c r="L1178" s="475" t="str" cm="1">
        <f t="array" aca="1" ref="L117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8" s="215"/>
      <c r="N1178" s="345"/>
      <c r="O1178" s="42">
        <f t="shared" si="58"/>
        <v>2026</v>
      </c>
      <c r="P1178" s="42" t="str">
        <f t="shared" si="59"/>
        <v>202602887/2024</v>
      </c>
      <c r="Q1178" s="42">
        <v>1</v>
      </c>
    </row>
    <row r="1179" spans="1:17" ht="409.5" hidden="1">
      <c r="A1179" s="192" t="s">
        <v>257</v>
      </c>
      <c r="B1179" s="315" t="str">
        <f>IFERROR(INDEX(Projetos!$B$3:$B$129,MATCH(A1179,Projetos!$A$3:$A$129,0))," ")</f>
        <v>SisPreq – Sistema de Precatórios e Requisições de Pequeno Valor</v>
      </c>
      <c r="D1179" s="214">
        <v>0.75</v>
      </c>
      <c r="E1179" s="214">
        <v>0.89</v>
      </c>
      <c r="F1179" s="219">
        <v>46106</v>
      </c>
      <c r="G1179" s="220">
        <v>46082</v>
      </c>
      <c r="H1179" s="51" t="str">
        <f t="shared" si="57"/>
        <v>02465/202446082</v>
      </c>
      <c r="I1179" s="473" t="str">
        <f>IFERROR(INDEX(Projetos!$M$2:$M$129,MATCH(Atualizações!A1179,Projetos!$A$2:$A$129,0))," ")</f>
        <v>15/12/2026</v>
      </c>
      <c r="J1179" s="221" t="s">
        <v>1530</v>
      </c>
      <c r="K1179" s="344">
        <f>IFERROR(Tb_Atualizações[[#This Row],[% EXECUTADO]]/Tb_Atualizações[[#This Row],[% PREVISTO]],"0%")</f>
        <v>1.1866666666666668</v>
      </c>
      <c r="L1179" s="475" t="str" cm="1">
        <f t="array" aca="1" ref="L117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79" s="215"/>
      <c r="N1179" s="345"/>
      <c r="O1179" s="42">
        <f t="shared" si="58"/>
        <v>2026</v>
      </c>
      <c r="P1179" s="42" t="str">
        <f t="shared" si="59"/>
        <v>202602465/2024</v>
      </c>
      <c r="Q1179" s="42">
        <v>1</v>
      </c>
    </row>
    <row r="1180" spans="1:17" ht="409.5" hidden="1">
      <c r="A1180" s="192" t="s">
        <v>236</v>
      </c>
      <c r="B1180" s="315" t="str">
        <f>IFERROR(INDEX(Projetos!$B$3:$B$129,MATCH(A1180,Projetos!$A$3:$A$129,0))," ")</f>
        <v>SEEU - Reescrita</v>
      </c>
      <c r="D1180" s="214">
        <v>0.57999999999999996</v>
      </c>
      <c r="E1180" s="214">
        <v>0.8</v>
      </c>
      <c r="F1180" s="219">
        <v>46106</v>
      </c>
      <c r="G1180" s="220">
        <v>46082</v>
      </c>
      <c r="H1180" s="51" t="str">
        <f t="shared" ref="H1180:H1211" si="60">A1180&amp;G1180</f>
        <v>02245/202546082</v>
      </c>
      <c r="I1180" s="473">
        <f>IFERROR(INDEX(Projetos!$M$2:$M$129,MATCH(Atualizações!A1180,Projetos!$A$2:$A$129,0))," ")</f>
        <v>46387</v>
      </c>
      <c r="J1180" s="221" t="s">
        <v>1531</v>
      </c>
      <c r="K1180" s="344">
        <f>IFERROR(Tb_Atualizações[[#This Row],[% EXECUTADO]]/Tb_Atualizações[[#This Row],[% PREVISTO]],"0%")</f>
        <v>1.3793103448275863</v>
      </c>
      <c r="L1180" s="475" t="str" cm="1">
        <f t="array" aca="1" ref="L118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80" s="215"/>
      <c r="N1180" s="345"/>
      <c r="O1180" s="42">
        <f t="shared" ref="O1180:O1211" si="61">YEAR(F1180)</f>
        <v>2026</v>
      </c>
      <c r="P1180" s="42" t="str">
        <f t="shared" ref="P1180:P1211" si="62">O1180&amp;A1180</f>
        <v>202602245/2025</v>
      </c>
      <c r="Q1180" s="42">
        <v>1</v>
      </c>
    </row>
    <row r="1181" spans="1:17" ht="60" hidden="1">
      <c r="A1181" s="192" t="s">
        <v>152</v>
      </c>
      <c r="B1181" s="315" t="str">
        <f>IFERROR(INDEX(Projetos!$B$3:$B$129,MATCH(A1181,Projetos!$A$3:$A$129,0))," ")</f>
        <v>Painel da Fazenda Nacional.</v>
      </c>
      <c r="D1181" s="214">
        <v>0.57999999999999996</v>
      </c>
      <c r="E1181" s="214">
        <v>0.51</v>
      </c>
      <c r="F1181" s="219">
        <v>46106</v>
      </c>
      <c r="G1181" s="220">
        <v>46082</v>
      </c>
      <c r="H1181" s="51" t="str">
        <f t="shared" si="60"/>
        <v>01247/202546082</v>
      </c>
      <c r="I1181" s="473">
        <f>IFERROR(INDEX(Projetos!$M$2:$M$129,MATCH(Atualizações!A1181,Projetos!$A$2:$A$129,0))," ")</f>
        <v>46387</v>
      </c>
      <c r="J1181" s="221" t="s">
        <v>1532</v>
      </c>
      <c r="K1181" s="344">
        <f>IFERROR(Tb_Atualizações[[#This Row],[% EXECUTADO]]/Tb_Atualizações[[#This Row],[% PREVISTO]],"0%")</f>
        <v>0.8793103448275863</v>
      </c>
      <c r="L1181" s="475" t="str" cm="1">
        <f t="array" aca="1" ref="L118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81" s="215"/>
      <c r="N1181" s="345"/>
      <c r="O1181" s="42">
        <f t="shared" si="61"/>
        <v>2026</v>
      </c>
      <c r="P1181" s="42" t="str">
        <f t="shared" si="62"/>
        <v>202601247/2025</v>
      </c>
      <c r="Q1181" s="42">
        <v>1</v>
      </c>
    </row>
    <row r="1182" spans="1:17" ht="15" hidden="1">
      <c r="A1182" s="192" t="s">
        <v>83</v>
      </c>
      <c r="B1182" s="315" t="str">
        <f>IFERROR(INDEX(Projetos!$B$3:$B$129,MATCH(A1182,Projetos!$A$3:$A$129,0))," ")</f>
        <v>Painel do Programa Desjudicializa</v>
      </c>
      <c r="D1182" s="214">
        <v>0.72</v>
      </c>
      <c r="E1182" s="214">
        <v>0.7</v>
      </c>
      <c r="F1182" s="219">
        <v>46106</v>
      </c>
      <c r="G1182" s="220">
        <v>46082</v>
      </c>
      <c r="H1182" s="51" t="str">
        <f t="shared" si="60"/>
        <v>00484/202446082</v>
      </c>
      <c r="I1182" s="473">
        <f>IFERROR(INDEX(Projetos!$M$2:$M$129,MATCH(Atualizações!A1182,Projetos!$A$2:$A$129,0))," ")</f>
        <v>46387</v>
      </c>
      <c r="J1182" s="221"/>
      <c r="K1182" s="344">
        <f>IFERROR(Tb_Atualizações[[#This Row],[% EXECUTADO]]/Tb_Atualizações[[#This Row],[% PREVISTO]],"0%")</f>
        <v>0.97222222222222221</v>
      </c>
      <c r="L1182" s="475" t="str" cm="1">
        <f t="array" aca="1" ref="L118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82" s="215"/>
      <c r="N1182" s="345"/>
      <c r="O1182" s="42">
        <f t="shared" si="61"/>
        <v>2026</v>
      </c>
      <c r="P1182" s="42" t="str">
        <f t="shared" si="62"/>
        <v>202600484/2024</v>
      </c>
      <c r="Q1182" s="42">
        <v>1</v>
      </c>
    </row>
    <row r="1183" spans="1:17" ht="105" hidden="1">
      <c r="A1183" s="192" t="s">
        <v>58</v>
      </c>
      <c r="B1183" s="315" t="str">
        <f>IFERROR(INDEX(Projetos!$B$3:$B$129,MATCH(A1183,Projetos!$A$3:$A$129,0))," ")</f>
        <v>Phase-out: Transição Projetos X Operação</v>
      </c>
      <c r="D1183" s="214">
        <v>0.39</v>
      </c>
      <c r="E1183" s="214">
        <v>0.39</v>
      </c>
      <c r="F1183" s="219">
        <v>46106</v>
      </c>
      <c r="G1183" s="220">
        <v>46082</v>
      </c>
      <c r="H1183" s="51" t="str">
        <f t="shared" si="60"/>
        <v>00030/202546082</v>
      </c>
      <c r="I1183" s="473">
        <f>IFERROR(INDEX(Projetos!$M$2:$M$129,MATCH(Atualizações!A1183,Projetos!$A$2:$A$129,0))," ")</f>
        <v>46387</v>
      </c>
      <c r="J1183" s="221" t="s">
        <v>1533</v>
      </c>
      <c r="K1183" s="344">
        <f>IFERROR(Tb_Atualizações[[#This Row],[% EXECUTADO]]/Tb_Atualizações[[#This Row],[% PREVISTO]],"0%")</f>
        <v>1</v>
      </c>
      <c r="L1183" s="475" t="str" cm="1">
        <f t="array" aca="1" ref="L118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83" s="215"/>
      <c r="N1183" s="345"/>
      <c r="O1183" s="42">
        <f t="shared" si="61"/>
        <v>2026</v>
      </c>
      <c r="P1183" s="42" t="str">
        <f t="shared" si="62"/>
        <v>202600030/2025</v>
      </c>
      <c r="Q1183" s="42">
        <v>1</v>
      </c>
    </row>
    <row r="1184" spans="1:17" ht="409.5" hidden="1">
      <c r="A1184" s="192" t="s">
        <v>247</v>
      </c>
      <c r="B1184" s="315" t="str">
        <f>IFERROR(INDEX(Projetos!$B$3:$B$129,MATCH(A1184,Projetos!$A$3:$A$129,0))," ")</f>
        <v>Portal de Serviços</v>
      </c>
      <c r="D1184" s="214">
        <v>0.83</v>
      </c>
      <c r="E1184" s="214">
        <v>0.89</v>
      </c>
      <c r="F1184" s="219">
        <v>46106</v>
      </c>
      <c r="G1184" s="220">
        <v>46082</v>
      </c>
      <c r="H1184" s="51" t="str">
        <f t="shared" si="60"/>
        <v>02394/202446082</v>
      </c>
      <c r="I1184" s="473">
        <f>IFERROR(INDEX(Projetos!$M$2:$M$129,MATCH(Atualizações!A1184,Projetos!$A$2:$A$129,0))," ")</f>
        <v>46387</v>
      </c>
      <c r="J1184" s="221" t="s">
        <v>1534</v>
      </c>
      <c r="K1184" s="344">
        <f>IFERROR(Tb_Atualizações[[#This Row],[% EXECUTADO]]/Tb_Atualizações[[#This Row],[% PREVISTO]],"0%")</f>
        <v>1.072289156626506</v>
      </c>
      <c r="L1184" s="475" t="str" cm="1">
        <f t="array" aca="1" ref="L118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84" s="215"/>
      <c r="N1184" s="345"/>
      <c r="O1184" s="42">
        <f t="shared" si="61"/>
        <v>2026</v>
      </c>
      <c r="P1184" s="42" t="str">
        <f t="shared" si="62"/>
        <v>202602394/2024</v>
      </c>
      <c r="Q1184" s="42">
        <v>1</v>
      </c>
    </row>
    <row r="1185" spans="1:17" ht="45" hidden="1">
      <c r="A1185" s="192" t="s">
        <v>219</v>
      </c>
      <c r="B1185" s="315" t="str">
        <f>IFERROR(INDEX(Projetos!$B$3:$B$129,MATCH(A1185,Projetos!$A$3:$A$129,0))," ")</f>
        <v xml:space="preserve">Aperfeiçoamento funcional em temáticas prioritárias para o CNJ e para Justiça Federal 
(cursos, capacitações, metodologias e ferramentas avançados) – Ciclo Avançado </v>
      </c>
      <c r="D1185" s="214">
        <v>0.73</v>
      </c>
      <c r="E1185" s="214">
        <v>0.67</v>
      </c>
      <c r="F1185" s="219">
        <v>46106</v>
      </c>
      <c r="G1185" s="220">
        <v>46082</v>
      </c>
      <c r="H1185" s="51" t="str">
        <f t="shared" si="60"/>
        <v>02024/202446082</v>
      </c>
      <c r="I1185" s="473">
        <f>IFERROR(INDEX(Projetos!$M$2:$M$129,MATCH(Atualizações!A1185,Projetos!$A$2:$A$129,0))," ")</f>
        <v>46246</v>
      </c>
      <c r="J1185" s="221"/>
      <c r="K1185" s="344">
        <f>IFERROR(Tb_Atualizações[[#This Row],[% EXECUTADO]]/Tb_Atualizações[[#This Row],[% PREVISTO]],"0%")</f>
        <v>0.91780821917808231</v>
      </c>
      <c r="L1185" s="475" t="str" cm="1">
        <f t="array" aca="1" ref="L118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85" s="215"/>
      <c r="N1185" s="345"/>
      <c r="O1185" s="42">
        <f t="shared" si="61"/>
        <v>2026</v>
      </c>
      <c r="P1185" s="42" t="str">
        <f t="shared" si="62"/>
        <v>202602024/2024</v>
      </c>
      <c r="Q1185" s="42">
        <v>1</v>
      </c>
    </row>
    <row r="1186" spans="1:17" ht="15" hidden="1">
      <c r="A1186" s="675" t="s">
        <v>661</v>
      </c>
      <c r="B1186" s="315" t="str">
        <f>IFERROR(INDEX(Projetos!$B$3:$B$129,MATCH(A1186,Projetos!$A$3:$A$129,0))," ")</f>
        <v>BNMP – Banco Nacional de Medidas Penais e Prisões – Melhorias Evolutivas</v>
      </c>
      <c r="D1186" s="214">
        <v>0.6</v>
      </c>
      <c r="E1186" s="214">
        <v>0.6</v>
      </c>
      <c r="F1186" s="219">
        <v>46106</v>
      </c>
      <c r="G1186" s="220">
        <v>46082</v>
      </c>
      <c r="H1186" s="51" t="str">
        <f t="shared" si="60"/>
        <v>11776/202446082</v>
      </c>
      <c r="I1186" s="473">
        <f>IFERROR(INDEX(Projetos!$M$2:$M$129,MATCH(Atualizações!A1186,Projetos!$A$2:$A$129,0))," ")</f>
        <v>46379</v>
      </c>
      <c r="J1186" s="221"/>
      <c r="K1186" s="344">
        <f>IFERROR(Tb_Atualizações[[#This Row],[% EXECUTADO]]/Tb_Atualizações[[#This Row],[% PREVISTO]],"0%")</f>
        <v>1</v>
      </c>
      <c r="L1186" s="475" t="str" cm="1">
        <f t="array" aca="1" ref="L118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86" s="215"/>
      <c r="N1186" s="345"/>
      <c r="O1186" s="42">
        <f t="shared" si="61"/>
        <v>2026</v>
      </c>
      <c r="P1186" s="42" t="str">
        <f t="shared" si="62"/>
        <v>202611776/2024</v>
      </c>
      <c r="Q1186" s="42">
        <v>1</v>
      </c>
    </row>
    <row r="1187" spans="1:17" ht="15" hidden="1">
      <c r="A1187" s="192" t="s">
        <v>985</v>
      </c>
      <c r="B1187" s="315" t="str">
        <f>IFERROR(INDEX(Projetos!$B$3:$B$129,MATCH(A1187,Projetos!$A$3:$A$129,0))," ")</f>
        <v>Concilia + Saúde</v>
      </c>
      <c r="D1187" s="214">
        <v>0</v>
      </c>
      <c r="E1187" s="214">
        <v>0</v>
      </c>
      <c r="F1187" s="219">
        <v>46127</v>
      </c>
      <c r="G1187" s="220">
        <v>46082</v>
      </c>
      <c r="H1187" s="51" t="str">
        <f t="shared" si="60"/>
        <v>05947/202646082</v>
      </c>
      <c r="I1187" s="473">
        <f>IFERROR(INDEX(Projetos!$M$2:$M$129,MATCH(Atualizações!A1187,Projetos!$A$2:$A$129,0))," ")</f>
        <v>46326</v>
      </c>
      <c r="J1187" s="221" t="s">
        <v>1386</v>
      </c>
      <c r="K1187" s="344" t="str">
        <f>IFERROR(Tb_Atualizações[[#This Row],[% EXECUTADO]]/Tb_Atualizações[[#This Row],[% PREVISTO]],"0%")</f>
        <v>0%</v>
      </c>
      <c r="L1187" s="475" t="str" cm="1">
        <f t="array" aca="1" ref="L118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87" s="215"/>
      <c r="N1187" s="345"/>
      <c r="O1187" s="42">
        <f t="shared" si="61"/>
        <v>2026</v>
      </c>
      <c r="P1187" s="42" t="str">
        <f t="shared" si="62"/>
        <v>202605947/2026</v>
      </c>
      <c r="Q1187" s="42">
        <v>1</v>
      </c>
    </row>
    <row r="1188" spans="1:17" ht="30" hidden="1">
      <c r="A1188" s="192" t="s">
        <v>994</v>
      </c>
      <c r="B1188" s="315" t="str">
        <f>IFERROR(INDEX(Projetos!$B$3:$B$129,MATCH(A1188,Projetos!$A$3:$A$129,0))," ")</f>
        <v>Cadastro Nacional de Intérpretes e Tradutores de língua Indígenas do Poder Judiciário (CNITI)</v>
      </c>
      <c r="D1188" s="214">
        <v>0</v>
      </c>
      <c r="E1188" s="214">
        <v>0</v>
      </c>
      <c r="F1188" s="219">
        <v>46147</v>
      </c>
      <c r="G1188" s="220">
        <v>46113</v>
      </c>
      <c r="H1188" s="51" t="str">
        <f t="shared" si="60"/>
        <v>18801/202546113</v>
      </c>
      <c r="I1188" s="473">
        <f>IFERROR(INDEX(Projetos!$M$2:$M$129,MATCH(Atualizações!A1188,Projetos!$A$2:$A$129,0))," ")</f>
        <v>46376</v>
      </c>
      <c r="J1188" s="221" t="s">
        <v>1386</v>
      </c>
      <c r="K1188" s="344" t="str">
        <f>IFERROR(Tb_Atualizações[[#This Row],[% EXECUTADO]]/Tb_Atualizações[[#This Row],[% PREVISTO]],"0%")</f>
        <v>0%</v>
      </c>
      <c r="L1188" s="475" t="str" cm="1">
        <f t="array" aca="1" ref="L118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188" s="215"/>
      <c r="N1188" s="345"/>
      <c r="O1188" s="42">
        <f t="shared" si="61"/>
        <v>2026</v>
      </c>
      <c r="P1188" s="42" t="str">
        <f t="shared" si="62"/>
        <v>202618801/2025</v>
      </c>
      <c r="Q1188" s="42">
        <v>1</v>
      </c>
    </row>
    <row r="1189" spans="1:17" ht="409.5" hidden="1">
      <c r="A1189" s="192" t="s">
        <v>396</v>
      </c>
      <c r="B1189" s="315" t="str">
        <f>IFERROR(INDEX(Projetos!$B$3:$B$129,MATCH(A1189,Projetos!$A$3:$A$129,0))," ")</f>
        <v>CODEX - Melhorias Evolutivas e Corretivas</v>
      </c>
      <c r="D1189" s="214">
        <v>0.84</v>
      </c>
      <c r="E1189" s="214">
        <v>0.85</v>
      </c>
      <c r="F1189" s="219">
        <v>46136</v>
      </c>
      <c r="G1189" s="220">
        <v>46113</v>
      </c>
      <c r="H1189" s="51" t="str">
        <f t="shared" si="60"/>
        <v>04751/202246113</v>
      </c>
      <c r="I1189" s="473">
        <f>IFERROR(INDEX(Projetos!$M$2:$M$129,MATCH(Atualizações!A1189,Projetos!$A$2:$A$129,0))," ")</f>
        <v>46387</v>
      </c>
      <c r="J1189" s="221" t="s">
        <v>1535</v>
      </c>
      <c r="K1189" s="344">
        <f>IFERROR(Tb_Atualizações[[#This Row],[% EXECUTADO]]/Tb_Atualizações[[#This Row],[% PREVISTO]],"0%")</f>
        <v>1.0119047619047619</v>
      </c>
      <c r="L1189" s="475" t="str" cm="1">
        <f t="array" aca="1" ref="L118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89" s="215"/>
      <c r="N1189" s="345"/>
      <c r="O1189" s="42">
        <f t="shared" si="61"/>
        <v>2026</v>
      </c>
      <c r="P1189" s="42" t="str">
        <f t="shared" si="62"/>
        <v>202604751/2022</v>
      </c>
      <c r="Q1189" s="42">
        <v>1</v>
      </c>
    </row>
    <row r="1190" spans="1:17" ht="45" hidden="1" customHeight="1">
      <c r="A1190" s="192" t="s">
        <v>773</v>
      </c>
      <c r="B1190" s="315" t="str">
        <f>IFERROR(INDEX(Projetos!$B$3:$B$129,MATCH(A1190,Projetos!$A$3:$A$129,0))," ")</f>
        <v>API de Pessoas</v>
      </c>
      <c r="D1190" s="214">
        <v>0.65</v>
      </c>
      <c r="E1190" s="214">
        <v>0.43</v>
      </c>
      <c r="F1190" s="219">
        <v>46136</v>
      </c>
      <c r="G1190" s="220">
        <v>46113</v>
      </c>
      <c r="H1190" s="51" t="str">
        <f t="shared" si="60"/>
        <v>17372/2024 46113</v>
      </c>
      <c r="I1190" s="473">
        <f>IFERROR(INDEX(Projetos!$M$2:$M$129,MATCH(Atualizações!A1190,Projetos!$A$2:$A$129,0))," ")</f>
        <v>46371</v>
      </c>
      <c r="J1190" s="221" t="s">
        <v>1536</v>
      </c>
      <c r="K1190" s="344">
        <f>IFERROR(Tb_Atualizações[[#This Row],[% EXECUTADO]]/Tb_Atualizações[[#This Row],[% PREVISTO]],"0%")</f>
        <v>0.66153846153846152</v>
      </c>
      <c r="L1190" s="475" t="str" cm="1">
        <f t="array" aca="1" ref="L119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90" s="215"/>
      <c r="N1190" s="345"/>
      <c r="O1190" s="42">
        <f t="shared" si="61"/>
        <v>2026</v>
      </c>
      <c r="P1190" s="42" t="str">
        <f t="shared" si="62"/>
        <v xml:space="preserve">202617372/2024 </v>
      </c>
      <c r="Q1190" s="42">
        <v>1</v>
      </c>
    </row>
    <row r="1191" spans="1:17" ht="75" hidden="1">
      <c r="A1191" s="192" t="s">
        <v>917</v>
      </c>
      <c r="B1191" s="315" t="str">
        <f>IFERROR(INDEX(Projetos!$B$3:$B$129,MATCH(A1191,Projetos!$A$3:$A$129,0))," ")</f>
        <v>e-NatJus 4.0</v>
      </c>
      <c r="D1191" s="214">
        <v>0.62</v>
      </c>
      <c r="E1191" s="214">
        <v>0.68</v>
      </c>
      <c r="F1191" s="219">
        <v>46136</v>
      </c>
      <c r="G1191" s="220">
        <v>46113</v>
      </c>
      <c r="H1191" s="51" t="str">
        <f t="shared" si="60"/>
        <v>17529/202446113</v>
      </c>
      <c r="I1191" s="473">
        <f>IFERROR(INDEX(Projetos!$M$2:$M$129,MATCH(Atualizações!A1191,Projetos!$A$2:$A$129,0))," ")</f>
        <v>46386</v>
      </c>
      <c r="J1191" s="221" t="s">
        <v>1537</v>
      </c>
      <c r="K1191" s="344">
        <f>IFERROR(Tb_Atualizações[[#This Row],[% EXECUTADO]]/Tb_Atualizações[[#This Row],[% PREVISTO]],"0%")</f>
        <v>1.0967741935483872</v>
      </c>
      <c r="L1191" s="475" t="str" cm="1">
        <f t="array" aca="1" ref="L119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91" s="215"/>
      <c r="N1191" s="345"/>
      <c r="O1191" s="42">
        <f t="shared" si="61"/>
        <v>2026</v>
      </c>
      <c r="P1191" s="42" t="str">
        <f t="shared" si="62"/>
        <v>202617529/2024</v>
      </c>
      <c r="Q1191" s="42">
        <v>1</v>
      </c>
    </row>
    <row r="1192" spans="1:17" ht="30" hidden="1">
      <c r="A1192" s="192" t="s">
        <v>431</v>
      </c>
      <c r="B1192" s="315" t="str">
        <f>IFERROR(INDEX(Projetos!$B$3:$B$129,MATCH(A1192,Projetos!$A$3:$A$129,0))," ")</f>
        <v>Sniper BC</v>
      </c>
      <c r="D1192" s="214">
        <v>0.84</v>
      </c>
      <c r="E1192" s="214">
        <v>0.75</v>
      </c>
      <c r="F1192" s="219">
        <v>46136</v>
      </c>
      <c r="G1192" s="220">
        <v>46113</v>
      </c>
      <c r="H1192" s="51" t="str">
        <f t="shared" si="60"/>
        <v>06826/202446113</v>
      </c>
      <c r="I1192" s="473">
        <f>IFERROR(INDEX(Projetos!$M$2:$M$129,MATCH(Atualizações!A1192,Projetos!$A$2:$A$129,0))," ")</f>
        <v>46281</v>
      </c>
      <c r="J1192" s="221" t="s">
        <v>1538</v>
      </c>
      <c r="K1192" s="344">
        <f>IFERROR(Tb_Atualizações[[#This Row],[% EXECUTADO]]/Tb_Atualizações[[#This Row],[% PREVISTO]],"0%")</f>
        <v>0.8928571428571429</v>
      </c>
      <c r="L1192" s="475" t="str" cm="1">
        <f t="array" aca="1" ref="L119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92" s="215"/>
      <c r="N1192" s="345"/>
      <c r="O1192" s="42">
        <f t="shared" si="61"/>
        <v>2026</v>
      </c>
      <c r="P1192" s="42" t="str">
        <f t="shared" si="62"/>
        <v>202606826/2024</v>
      </c>
      <c r="Q1192" s="42">
        <v>1</v>
      </c>
    </row>
    <row r="1193" spans="1:17" ht="15" hidden="1">
      <c r="A1193" s="192" t="s">
        <v>738</v>
      </c>
      <c r="B1193" s="315" t="str">
        <f>IFERROR(INDEX(Projetos!$B$3:$B$129,MATCH(A1193,Projetos!$A$3:$A$129,0))," ")</f>
        <v>FONAR - Formulário Nacional de Avaliação de Risco e Formulário Rogéria</v>
      </c>
      <c r="D1193" s="214">
        <v>0.78</v>
      </c>
      <c r="E1193" s="214">
        <v>0.68</v>
      </c>
      <c r="F1193" s="219">
        <v>46136</v>
      </c>
      <c r="G1193" s="220">
        <v>46113</v>
      </c>
      <c r="H1193" s="51" t="str">
        <f t="shared" si="60"/>
        <v>16319/202446113</v>
      </c>
      <c r="I1193" s="473">
        <f>IFERROR(INDEX(Projetos!$M$2:$M$129,MATCH(Atualizações!A1193,Projetos!$A$2:$A$129,0))," ")</f>
        <v>46195</v>
      </c>
      <c r="J1193" s="221"/>
      <c r="K1193" s="344">
        <f>IFERROR(Tb_Atualizações[[#This Row],[% EXECUTADO]]/Tb_Atualizações[[#This Row],[% PREVISTO]],"0%")</f>
        <v>0.87179487179487181</v>
      </c>
      <c r="L1193" s="475" t="str" cm="1">
        <f t="array" aca="1" ref="L119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93" s="215"/>
      <c r="N1193" s="345"/>
      <c r="O1193" s="42">
        <f t="shared" si="61"/>
        <v>2026</v>
      </c>
      <c r="P1193" s="42" t="str">
        <f t="shared" si="62"/>
        <v>202616319/2024</v>
      </c>
      <c r="Q1193" s="42">
        <v>1</v>
      </c>
    </row>
    <row r="1194" spans="1:17" ht="409.5" hidden="1">
      <c r="A1194" s="192" t="s">
        <v>129</v>
      </c>
      <c r="B1194" s="315" t="str">
        <f>IFERROR(INDEX(Projetos!$B$3:$B$129,MATCH(A1194,Projetos!$A$3:$A$129,0))," ")</f>
        <v>Data Lake - Melhorias Evolutivas e Corretivas</v>
      </c>
      <c r="D1194" s="214">
        <v>0.64</v>
      </c>
      <c r="E1194" s="214">
        <v>0.63</v>
      </c>
      <c r="F1194" s="219">
        <v>46136</v>
      </c>
      <c r="G1194" s="220">
        <v>46113</v>
      </c>
      <c r="H1194" s="51" t="str">
        <f t="shared" si="60"/>
        <v>01167/202546113</v>
      </c>
      <c r="I1194" s="473">
        <f>IFERROR(INDEX(Projetos!$M$2:$M$129,MATCH(Atualizações!A1194,Projetos!$A$2:$A$129,0))," ")</f>
        <v>46387</v>
      </c>
      <c r="J1194" s="221" t="s">
        <v>1539</v>
      </c>
      <c r="K1194" s="344">
        <f>IFERROR(Tb_Atualizações[[#This Row],[% EXECUTADO]]/Tb_Atualizações[[#This Row],[% PREVISTO]],"0%")</f>
        <v>0.984375</v>
      </c>
      <c r="L1194" s="475" t="str" cm="1">
        <f t="array" aca="1" ref="L119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94" s="215"/>
      <c r="N1194" s="345"/>
      <c r="O1194" s="42">
        <f t="shared" si="61"/>
        <v>2026</v>
      </c>
      <c r="P1194" s="42" t="str">
        <f t="shared" si="62"/>
        <v>202601167/2025</v>
      </c>
      <c r="Q1194" s="42">
        <v>1</v>
      </c>
    </row>
    <row r="1195" spans="1:17" ht="330" hidden="1">
      <c r="A1195" s="192" t="s">
        <v>722</v>
      </c>
      <c r="B1195" s="315" t="str">
        <f>IFERROR(INDEX(Projetos!$B$3:$B$129,MATCH(A1195,Projetos!$A$3:$A$129,0))," ")</f>
        <v>Serviços Estruturantes - Melhorias Evolutivas e Corretivas</v>
      </c>
      <c r="D1195" s="214">
        <v>0.56000000000000005</v>
      </c>
      <c r="E1195" s="214">
        <v>0.56000000000000005</v>
      </c>
      <c r="F1195" s="219">
        <v>46136</v>
      </c>
      <c r="G1195" s="220">
        <v>46113</v>
      </c>
      <c r="H1195" s="51" t="str">
        <f t="shared" si="60"/>
        <v>14965/202446113</v>
      </c>
      <c r="I1195" s="473">
        <f>IFERROR(INDEX(Projetos!$M$2:$M$129,MATCH(Atualizações!A1195,Projetos!$A$2:$A$129,0))," ")</f>
        <v>46387</v>
      </c>
      <c r="J1195" s="221" t="s">
        <v>1540</v>
      </c>
      <c r="K1195" s="344">
        <f>IFERROR(Tb_Atualizações[[#This Row],[% EXECUTADO]]/Tb_Atualizações[[#This Row],[% PREVISTO]],"0%")</f>
        <v>1</v>
      </c>
      <c r="L1195" s="475" t="str" cm="1">
        <f t="array" aca="1" ref="L119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195" s="215"/>
      <c r="N1195" s="345"/>
      <c r="O1195" s="42">
        <f t="shared" si="61"/>
        <v>2026</v>
      </c>
      <c r="P1195" s="42" t="str">
        <f t="shared" si="62"/>
        <v>202614965/2024</v>
      </c>
      <c r="Q1195" s="42">
        <v>1</v>
      </c>
    </row>
    <row r="1196" spans="1:17" ht="30" hidden="1">
      <c r="A1196" s="192" t="s">
        <v>756</v>
      </c>
      <c r="B1196" s="315" t="str">
        <f>IFERROR(INDEX(Projetos!$B$3:$B$129,MATCH(A1196,Projetos!$A$3:$A$129,0))," ")</f>
        <v>Módulo de Pessoal e Estrutura Judiciária Mensal (MPM) V.2</v>
      </c>
      <c r="D1196" s="214">
        <v>0.6</v>
      </c>
      <c r="E1196" s="214">
        <v>0.45</v>
      </c>
      <c r="F1196" s="219">
        <v>46136</v>
      </c>
      <c r="G1196" s="220">
        <v>46113</v>
      </c>
      <c r="H1196" s="51" t="str">
        <f t="shared" si="60"/>
        <v>16882/202546113</v>
      </c>
      <c r="I1196" s="473">
        <f>IFERROR(INDEX(Projetos!$M$2:$M$129,MATCH(Atualizações!A1196,Projetos!$A$2:$A$129,0))," ")</f>
        <v>46387</v>
      </c>
      <c r="J1196" s="221"/>
      <c r="K1196" s="344">
        <f>IFERROR(Tb_Atualizações[[#This Row],[% EXECUTADO]]/Tb_Atualizações[[#This Row],[% PREVISTO]],"0%")</f>
        <v>0.75</v>
      </c>
      <c r="L1196" s="475" t="str" cm="1">
        <f t="array" aca="1" ref="L119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96" s="215"/>
      <c r="N1196" s="345"/>
      <c r="O1196" s="42">
        <f t="shared" si="61"/>
        <v>2026</v>
      </c>
      <c r="P1196" s="42" t="str">
        <f t="shared" si="62"/>
        <v>202616882/2025</v>
      </c>
      <c r="Q1196" s="42">
        <v>1</v>
      </c>
    </row>
    <row r="1197" spans="1:17" ht="30" hidden="1">
      <c r="A1197" s="192" t="s">
        <v>766</v>
      </c>
      <c r="B1197" s="315" t="str">
        <f>IFERROR(INDEX(Projetos!$B$3:$B$129,MATCH(A1197,Projetos!$A$3:$A$129,0))," ")</f>
        <v>Painel Crime Organizado</v>
      </c>
      <c r="D1197" s="214">
        <v>0.46</v>
      </c>
      <c r="E1197" s="214">
        <v>0.35</v>
      </c>
      <c r="F1197" s="219">
        <v>46136</v>
      </c>
      <c r="G1197" s="220">
        <v>46113</v>
      </c>
      <c r="H1197" s="51" t="str">
        <f t="shared" si="60"/>
        <v>17085/202546113</v>
      </c>
      <c r="I1197" s="473">
        <f>IFERROR(INDEX(Projetos!$M$2:$M$129,MATCH(Atualizações!A1197,Projetos!$A$2:$A$129,0))," ")</f>
        <v>46387</v>
      </c>
      <c r="J1197" s="221"/>
      <c r="K1197" s="344">
        <f>IFERROR(Tb_Atualizações[[#This Row],[% EXECUTADO]]/Tb_Atualizações[[#This Row],[% PREVISTO]],"0%")</f>
        <v>0.76086956521739124</v>
      </c>
      <c r="L1197" s="475" t="str" cm="1">
        <f t="array" aca="1" ref="L119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197" s="215"/>
      <c r="N1197" s="345"/>
      <c r="O1197" s="42">
        <f t="shared" si="61"/>
        <v>2026</v>
      </c>
      <c r="P1197" s="42" t="str">
        <f t="shared" si="62"/>
        <v>202617085/2025</v>
      </c>
      <c r="Q1197" s="42">
        <v>1</v>
      </c>
    </row>
    <row r="1198" spans="1:17" ht="15">
      <c r="A1198" s="192" t="s">
        <v>978</v>
      </c>
      <c r="B1198" s="315" t="str">
        <f>IFERROR(INDEX(Projetos!$B$3:$B$129,MATCH(A1198,Projetos!$A$3:$A$129,0))," ")</f>
        <v>Evolução do Sistema Nacional de Adoção (SNA)</v>
      </c>
      <c r="D1198" s="214">
        <v>0.31</v>
      </c>
      <c r="E1198" s="214">
        <v>0.28000000000000003</v>
      </c>
      <c r="F1198" s="219">
        <v>46136</v>
      </c>
      <c r="G1198" s="220">
        <v>46113</v>
      </c>
      <c r="H1198" s="51" t="str">
        <f t="shared" si="60"/>
        <v>18150/202546113</v>
      </c>
      <c r="I1198" s="473">
        <f>IFERROR(INDEX(Projetos!$M$2:$M$129,MATCH(Atualizações!A1198,Projetos!$A$2:$A$129,0))," ")</f>
        <v>46386</v>
      </c>
      <c r="J1198" s="221"/>
      <c r="K1198" s="344">
        <f>IFERROR(Tb_Atualizações[[#This Row],[% EXECUTADO]]/Tb_Atualizações[[#This Row],[% PREVISTO]],"0%")</f>
        <v>0.90322580645161299</v>
      </c>
      <c r="L1198" s="475" t="str" cm="1">
        <f t="array" aca="1" ref="L119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98" s="215"/>
      <c r="N1198" s="345"/>
      <c r="O1198" s="42">
        <f t="shared" si="61"/>
        <v>2026</v>
      </c>
      <c r="P1198" s="42" t="str">
        <f t="shared" si="62"/>
        <v>202618150/2025</v>
      </c>
      <c r="Q1198" s="42">
        <v>1</v>
      </c>
    </row>
    <row r="1199" spans="1:17" ht="15" hidden="1">
      <c r="A1199" s="192" t="s">
        <v>690</v>
      </c>
      <c r="B1199" s="315" t="str">
        <f>IFERROR(INDEX(Projetos!$B$3:$B$129,MATCH(A1199,Projetos!$A$3:$A$129,0))," ")</f>
        <v>Painel “Justiça Criminal e Sistema Prisional”</v>
      </c>
      <c r="D1199" s="214">
        <v>0.78</v>
      </c>
      <c r="E1199" s="214">
        <v>0.7</v>
      </c>
      <c r="F1199" s="219">
        <v>46136</v>
      </c>
      <c r="G1199" s="220">
        <v>46113</v>
      </c>
      <c r="H1199" s="51" t="str">
        <f t="shared" si="60"/>
        <v>12215/202346113</v>
      </c>
      <c r="I1199" s="473">
        <f>IFERROR(INDEX(Projetos!$M$2:$M$129,MATCH(Atualizações!A1199,Projetos!$A$2:$A$129,0))," ")</f>
        <v>46387</v>
      </c>
      <c r="J1199" s="221"/>
      <c r="K1199" s="344">
        <f>IFERROR(Tb_Atualizações[[#This Row],[% EXECUTADO]]/Tb_Atualizações[[#This Row],[% PREVISTO]],"0%")</f>
        <v>0.89743589743589736</v>
      </c>
      <c r="L1199" s="475" t="str" cm="1">
        <f t="array" aca="1" ref="L119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199" s="215"/>
      <c r="N1199" s="345"/>
      <c r="O1199" s="42">
        <f t="shared" si="61"/>
        <v>2026</v>
      </c>
      <c r="P1199" s="42" t="str">
        <f t="shared" si="62"/>
        <v>202612215/2023</v>
      </c>
      <c r="Q1199" s="42">
        <v>1</v>
      </c>
    </row>
    <row r="1200" spans="1:17" ht="30" hidden="1">
      <c r="A1200" s="192" t="s">
        <v>684</v>
      </c>
      <c r="B1200" s="315" t="str">
        <f>IFERROR(INDEX(Projetos!$B$3:$B$129,MATCH(A1200,Projetos!$A$3:$A$129,0))," ")</f>
        <v>Painel dos Grandes Litigantes</v>
      </c>
      <c r="D1200" s="214">
        <v>0.84</v>
      </c>
      <c r="E1200" s="214">
        <v>0.81</v>
      </c>
      <c r="F1200" s="219">
        <v>46136</v>
      </c>
      <c r="G1200" s="220">
        <v>46113</v>
      </c>
      <c r="H1200" s="51" t="str">
        <f t="shared" si="60"/>
        <v>12135/202246113</v>
      </c>
      <c r="I1200" s="473" t="str">
        <f>IFERROR(INDEX(Projetos!$M$2:$M$129,MATCH(Atualizações!A1200,Projetos!$A$2:$A$129,0))," ")</f>
        <v>30/06/26</v>
      </c>
      <c r="J1200" s="221" t="s">
        <v>1541</v>
      </c>
      <c r="K1200" s="344">
        <f>IFERROR(Tb_Atualizações[[#This Row],[% EXECUTADO]]/Tb_Atualizações[[#This Row],[% PREVISTO]],"0%")</f>
        <v>0.96428571428571441</v>
      </c>
      <c r="L1200" s="475" t="str" cm="1">
        <f t="array" aca="1" ref="L120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00" s="215"/>
      <c r="N1200" s="345"/>
      <c r="O1200" s="42">
        <f t="shared" si="61"/>
        <v>2026</v>
      </c>
      <c r="P1200" s="42" t="str">
        <f t="shared" si="62"/>
        <v>202612135/2022</v>
      </c>
      <c r="Q1200" s="42">
        <v>1</v>
      </c>
    </row>
    <row r="1201" spans="1:17" ht="120" hidden="1">
      <c r="A1201" s="192" t="s">
        <v>661</v>
      </c>
      <c r="B1201" s="315" t="str">
        <f>IFERROR(INDEX(Projetos!$B$3:$B$129,MATCH(A1201,Projetos!$A$3:$A$129,0))," ")</f>
        <v>BNMP – Banco Nacional de Medidas Penais e Prisões – Melhorias Evolutivas</v>
      </c>
      <c r="D1201" s="214">
        <v>0.69</v>
      </c>
      <c r="E1201" s="214">
        <v>0.65</v>
      </c>
      <c r="F1201" s="219">
        <v>46136</v>
      </c>
      <c r="G1201" s="220">
        <v>46113</v>
      </c>
      <c r="H1201" s="51" t="str">
        <f t="shared" si="60"/>
        <v>11776/202446113</v>
      </c>
      <c r="I1201" s="473">
        <f>IFERROR(INDEX(Projetos!$M$2:$M$129,MATCH(Atualizações!A1201,Projetos!$A$2:$A$129,0))," ")</f>
        <v>46379</v>
      </c>
      <c r="J1201" s="221" t="s">
        <v>1542</v>
      </c>
      <c r="K1201" s="344">
        <f>IFERROR(Tb_Atualizações[[#This Row],[% EXECUTADO]]/Tb_Atualizações[[#This Row],[% PREVISTO]],"0%")</f>
        <v>0.94202898550724645</v>
      </c>
      <c r="L1201" s="475" t="str" cm="1">
        <f t="array" aca="1" ref="L120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01" s="215"/>
      <c r="N1201" s="345"/>
      <c r="O1201" s="42">
        <f t="shared" si="61"/>
        <v>2026</v>
      </c>
      <c r="P1201" s="42" t="str">
        <f t="shared" si="62"/>
        <v>202611776/2024</v>
      </c>
      <c r="Q1201" s="42">
        <v>1</v>
      </c>
    </row>
    <row r="1202" spans="1:17" ht="15" hidden="1">
      <c r="A1202" s="192" t="s">
        <v>638</v>
      </c>
      <c r="B1202" s="315" t="str">
        <f>IFERROR(INDEX(Projetos!$B$3:$B$129,MATCH(A1202,Projetos!$A$3:$A$129,0))," ")</f>
        <v>Sisperjud</v>
      </c>
      <c r="D1202" s="214">
        <v>0.99</v>
      </c>
      <c r="E1202" s="214">
        <v>0.91</v>
      </c>
      <c r="F1202" s="219">
        <v>46136</v>
      </c>
      <c r="G1202" s="220">
        <v>46113</v>
      </c>
      <c r="H1202" s="51" t="str">
        <f t="shared" si="60"/>
        <v>11644/202246113</v>
      </c>
      <c r="I1202" s="473">
        <f>IFERROR(INDEX(Projetos!$M$2:$M$129,MATCH(Atualizações!A1202,Projetos!$A$2:$A$129,0))," ")</f>
        <v>46352</v>
      </c>
      <c r="J1202" s="221"/>
      <c r="K1202" s="344">
        <f>IFERROR(Tb_Atualizações[[#This Row],[% EXECUTADO]]/Tb_Atualizações[[#This Row],[% PREVISTO]],"0%")</f>
        <v>0.91919191919191923</v>
      </c>
      <c r="L1202" s="475" t="str" cm="1">
        <f t="array" aca="1" ref="L120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02" s="215"/>
      <c r="N1202" s="345"/>
      <c r="O1202" s="42">
        <f t="shared" si="61"/>
        <v>2026</v>
      </c>
      <c r="P1202" s="42" t="str">
        <f t="shared" si="62"/>
        <v>202611644/2022</v>
      </c>
      <c r="Q1202" s="42">
        <v>1</v>
      </c>
    </row>
    <row r="1203" spans="1:17" ht="15" hidden="1">
      <c r="A1203" s="192" t="s">
        <v>644</v>
      </c>
      <c r="B1203" s="315" t="str">
        <f>IFERROR(INDEX(Projetos!$B$3:$B$129,MATCH(A1203,Projetos!$A$3:$A$129,0))," ")</f>
        <v>BNP/Pangea</v>
      </c>
      <c r="D1203" s="214">
        <v>0.82</v>
      </c>
      <c r="E1203" s="214">
        <v>0.76</v>
      </c>
      <c r="F1203" s="219">
        <v>46136</v>
      </c>
      <c r="G1203" s="220">
        <v>46113</v>
      </c>
      <c r="H1203" s="51" t="str">
        <f t="shared" si="60"/>
        <v>11645/202246113</v>
      </c>
      <c r="I1203" s="473" t="str">
        <f>IFERROR(INDEX(Projetos!$M$2:$M$129,MATCH(Atualizações!A1203,Projetos!$A$2:$A$129,0))," ")</f>
        <v>23/12/2026</v>
      </c>
      <c r="J1203" s="221"/>
      <c r="K1203" s="344">
        <f>IFERROR(Tb_Atualizações[[#This Row],[% EXECUTADO]]/Tb_Atualizações[[#This Row],[% PREVISTO]],"0%")</f>
        <v>0.92682926829268297</v>
      </c>
      <c r="L1203" s="475" t="str" cm="1">
        <f t="array" aca="1" ref="L120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03" s="215"/>
      <c r="N1203" s="345"/>
      <c r="O1203" s="42">
        <f t="shared" si="61"/>
        <v>2026</v>
      </c>
      <c r="P1203" s="42" t="str">
        <f t="shared" si="62"/>
        <v>202611645/2022</v>
      </c>
      <c r="Q1203" s="42">
        <v>1</v>
      </c>
    </row>
    <row r="1204" spans="1:17" ht="15" hidden="1">
      <c r="A1204" s="192" t="s">
        <v>580</v>
      </c>
      <c r="B1204" s="315" t="str">
        <f>IFERROR(INDEX(Projetos!$B$3:$B$129,MATCH(A1204,Projetos!$A$3:$A$129,0))," ")</f>
        <v>SireneJud 2.0 - Evoluções</v>
      </c>
      <c r="D1204" s="214">
        <v>0.72</v>
      </c>
      <c r="E1204" s="214">
        <v>0.67</v>
      </c>
      <c r="F1204" s="219">
        <v>46136</v>
      </c>
      <c r="G1204" s="220">
        <v>46113</v>
      </c>
      <c r="H1204" s="51" t="str">
        <f t="shared" si="60"/>
        <v>10698/202446113</v>
      </c>
      <c r="I1204" s="473">
        <f>IFERROR(INDEX(Projetos!$M$2:$M$129,MATCH(Atualizações!A1204,Projetos!$A$2:$A$129,0))," ")</f>
        <v>46387</v>
      </c>
      <c r="J1204" s="221"/>
      <c r="K1204" s="344">
        <f>IFERROR(Tb_Atualizações[[#This Row],[% EXECUTADO]]/Tb_Atualizações[[#This Row],[% PREVISTO]],"0%")</f>
        <v>0.93055555555555569</v>
      </c>
      <c r="L1204" s="475" t="str" cm="1">
        <f t="array" aca="1" ref="L120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04" s="215"/>
      <c r="N1204" s="345"/>
      <c r="O1204" s="42">
        <f t="shared" si="61"/>
        <v>2026</v>
      </c>
      <c r="P1204" s="42" t="str">
        <f t="shared" si="62"/>
        <v>202610698/2024</v>
      </c>
      <c r="Q1204" s="42">
        <v>1</v>
      </c>
    </row>
    <row r="1205" spans="1:17" ht="15" hidden="1">
      <c r="A1205" s="192" t="s">
        <v>549</v>
      </c>
      <c r="B1205" s="315" t="str">
        <f>IFERROR(INDEX(Projetos!$B$3:$B$129,MATCH(A1205,Projetos!$A$3:$A$129,0))," ")</f>
        <v>Fluxo Nacional Automatizado das Execuções Fiscais (EFIN)</v>
      </c>
      <c r="D1205" s="214">
        <v>0.88</v>
      </c>
      <c r="E1205" s="214">
        <v>0.83</v>
      </c>
      <c r="F1205" s="219">
        <v>46136</v>
      </c>
      <c r="G1205" s="220">
        <v>46113</v>
      </c>
      <c r="H1205" s="51" t="str">
        <f t="shared" si="60"/>
        <v>09796/202446113</v>
      </c>
      <c r="I1205" s="473">
        <f>IFERROR(INDEX(Projetos!$M$2:$M$129,MATCH(Atualizações!A1205,Projetos!$A$2:$A$129,0))," ")</f>
        <v>46226</v>
      </c>
      <c r="J1205" s="221"/>
      <c r="K1205" s="344">
        <f>IFERROR(Tb_Atualizações[[#This Row],[% EXECUTADO]]/Tb_Atualizações[[#This Row],[% PREVISTO]],"0%")</f>
        <v>0.94318181818181812</v>
      </c>
      <c r="L1205" s="475" t="str" cm="1">
        <f t="array" aca="1" ref="L120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05" s="215"/>
      <c r="N1205" s="345"/>
      <c r="O1205" s="42">
        <f t="shared" si="61"/>
        <v>2026</v>
      </c>
      <c r="P1205" s="42" t="str">
        <f t="shared" si="62"/>
        <v>202609796/2024</v>
      </c>
      <c r="Q1205" s="42">
        <v>1</v>
      </c>
    </row>
    <row r="1206" spans="1:17" ht="225" hidden="1">
      <c r="A1206" s="192" t="s">
        <v>539</v>
      </c>
      <c r="B1206" s="315" t="str">
        <f>IFERROR(INDEX(Projetos!$B$3:$B$129,MATCH(A1206,Projetos!$A$3:$A$129,0))," ")</f>
        <v>Desenvolvimento do módulo de Sessão de Julgamento (PDPJ-Br)</v>
      </c>
      <c r="D1206" s="214">
        <v>0.7</v>
      </c>
      <c r="E1206" s="214">
        <v>0.51</v>
      </c>
      <c r="F1206" s="219">
        <v>46136</v>
      </c>
      <c r="G1206" s="220">
        <v>46113</v>
      </c>
      <c r="H1206" s="51" t="str">
        <f t="shared" si="60"/>
        <v>09630/202446113</v>
      </c>
      <c r="I1206" s="473">
        <f>IFERROR(INDEX(Projetos!$M$2:$M$129,MATCH(Atualizações!A1206,Projetos!$A$2:$A$129,0))," ")</f>
        <v>46387</v>
      </c>
      <c r="J1206" s="221" t="s">
        <v>1543</v>
      </c>
      <c r="K1206" s="344">
        <f>IFERROR(Tb_Atualizações[[#This Row],[% EXECUTADO]]/Tb_Atualizações[[#This Row],[% PREVISTO]],"0%")</f>
        <v>0.72857142857142865</v>
      </c>
      <c r="L1206" s="475" t="str" cm="1">
        <f t="array" aca="1" ref="L120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06" s="215"/>
      <c r="N1206" s="345"/>
      <c r="O1206" s="42">
        <f t="shared" si="61"/>
        <v>2026</v>
      </c>
      <c r="P1206" s="42" t="str">
        <f t="shared" si="62"/>
        <v>202609630/2024</v>
      </c>
      <c r="Q1206" s="42">
        <v>1</v>
      </c>
    </row>
    <row r="1207" spans="1:17" ht="375" hidden="1">
      <c r="A1207" s="192" t="s">
        <v>533</v>
      </c>
      <c r="B1207" s="315" t="str">
        <f>IFERROR(INDEX(Projetos!$B$3:$B$129,MATCH(A1207,Projetos!$A$3:$A$129,0))," ")</f>
        <v>Qualificação de Dados</v>
      </c>
      <c r="D1207" s="214">
        <v>0.71</v>
      </c>
      <c r="E1207" s="214">
        <v>0.59</v>
      </c>
      <c r="F1207" s="219">
        <v>46136</v>
      </c>
      <c r="G1207" s="220">
        <v>46113</v>
      </c>
      <c r="H1207" s="51" t="str">
        <f t="shared" si="60"/>
        <v>09613/202446113</v>
      </c>
      <c r="I1207" s="473">
        <f>IFERROR(INDEX(Projetos!$M$2:$M$129,MATCH(Atualizações!A1207,Projetos!$A$2:$A$129,0))," ")</f>
        <v>46386</v>
      </c>
      <c r="J1207" s="221" t="s">
        <v>1544</v>
      </c>
      <c r="K1207" s="344">
        <f>IFERROR(Tb_Atualizações[[#This Row],[% EXECUTADO]]/Tb_Atualizações[[#This Row],[% PREVISTO]],"0%")</f>
        <v>0.83098591549295775</v>
      </c>
      <c r="L1207" s="475" t="str" cm="1">
        <f t="array" aca="1" ref="L120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07" s="215"/>
      <c r="N1207" s="345"/>
      <c r="O1207" s="42">
        <f t="shared" si="61"/>
        <v>2026</v>
      </c>
      <c r="P1207" s="42" t="str">
        <f t="shared" si="62"/>
        <v>202609613/2024</v>
      </c>
      <c r="Q1207" s="42">
        <v>1</v>
      </c>
    </row>
    <row r="1208" spans="1:17" ht="15" hidden="1">
      <c r="A1208" s="192" t="s">
        <v>517</v>
      </c>
      <c r="B1208" s="315" t="str">
        <f>IFERROR(INDEX(Projetos!$B$3:$B$129,MATCH(A1208,Projetos!$A$3:$A$129,0))," ")</f>
        <v>Domicílio Judicial Eletrônico - Melhorias Evolutivas</v>
      </c>
      <c r="D1208" s="214">
        <v>0.91</v>
      </c>
      <c r="E1208" s="214">
        <v>0.88</v>
      </c>
      <c r="F1208" s="219">
        <v>46136</v>
      </c>
      <c r="G1208" s="220">
        <v>46113</v>
      </c>
      <c r="H1208" s="51" t="str">
        <f t="shared" si="60"/>
        <v>09445/202346113</v>
      </c>
      <c r="I1208" s="473">
        <f>IFERROR(INDEX(Projetos!$M$2:$M$129,MATCH(Atualizações!A1208,Projetos!$A$2:$A$129,0))," ")</f>
        <v>46203</v>
      </c>
      <c r="J1208" s="221"/>
      <c r="K1208" s="344">
        <f>IFERROR(Tb_Atualizações[[#This Row],[% EXECUTADO]]/Tb_Atualizações[[#This Row],[% PREVISTO]],"0%")</f>
        <v>0.96703296703296704</v>
      </c>
      <c r="L1208" s="475" t="str" cm="1">
        <f t="array" aca="1" ref="L120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08" s="215"/>
      <c r="N1208" s="345"/>
      <c r="O1208" s="42">
        <f t="shared" si="61"/>
        <v>2026</v>
      </c>
      <c r="P1208" s="42" t="str">
        <f t="shared" si="62"/>
        <v>202609445/2023</v>
      </c>
      <c r="Q1208" s="42">
        <v>1</v>
      </c>
    </row>
    <row r="1209" spans="1:17" ht="15" hidden="1">
      <c r="A1209" s="192" t="s">
        <v>416</v>
      </c>
      <c r="B1209" s="315" t="str">
        <f>IFERROR(INDEX(Projetos!$B$3:$B$129,MATCH(A1209,Projetos!$A$3:$A$129,0))," ")</f>
        <v>Conecta</v>
      </c>
      <c r="D1209" s="214">
        <v>0.72</v>
      </c>
      <c r="E1209" s="214">
        <v>0.64</v>
      </c>
      <c r="F1209" s="219">
        <v>46136</v>
      </c>
      <c r="G1209" s="220">
        <v>46113</v>
      </c>
      <c r="H1209" s="51" t="str">
        <f t="shared" si="60"/>
        <v>05578/202446113</v>
      </c>
      <c r="I1209" s="473" t="str">
        <f>IFERROR(INDEX(Projetos!$M$2:$M$129,MATCH(Atualizações!A1209,Projetos!$A$2:$A$129,0))," ")</f>
        <v>31/12/2026</v>
      </c>
      <c r="J1209" s="221"/>
      <c r="K1209" s="344">
        <f>IFERROR(Tb_Atualizações[[#This Row],[% EXECUTADO]]/Tb_Atualizações[[#This Row],[% PREVISTO]],"0%")</f>
        <v>0.88888888888888895</v>
      </c>
      <c r="L1209" s="475" t="str" cm="1">
        <f t="array" aca="1" ref="L120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09" s="215"/>
      <c r="N1209" s="345"/>
      <c r="O1209" s="42">
        <f t="shared" si="61"/>
        <v>2026</v>
      </c>
      <c r="P1209" s="42" t="str">
        <f t="shared" si="62"/>
        <v>202605578/2024</v>
      </c>
      <c r="Q1209" s="42">
        <v>1</v>
      </c>
    </row>
    <row r="1210" spans="1:17" ht="15" hidden="1">
      <c r="A1210" s="192" t="s">
        <v>358</v>
      </c>
      <c r="B1210" s="315" t="str">
        <f>IFERROR(INDEX(Projetos!$B$3:$B$129,MATCH(A1210,Projetos!$A$3:$A$129,0))," ")</f>
        <v>Prevjud - Automação de Processos Previdenciários - Justiça 4.0</v>
      </c>
      <c r="D1210" s="214">
        <v>0.99</v>
      </c>
      <c r="E1210" s="214">
        <v>1</v>
      </c>
      <c r="F1210" s="219">
        <v>46136</v>
      </c>
      <c r="G1210" s="220">
        <v>46113</v>
      </c>
      <c r="H1210" s="51" t="str">
        <f t="shared" si="60"/>
        <v>03558/202146113</v>
      </c>
      <c r="I1210" s="473" t="str">
        <f>IFERROR(INDEX(Projetos!$M$2:$M$129,MATCH(Atualizações!A1210,Projetos!$A$2:$A$129,0))," ")</f>
        <v>31/03/2026</v>
      </c>
      <c r="J1210" s="221" t="s">
        <v>1545</v>
      </c>
      <c r="K1210" s="344">
        <f>IFERROR(Tb_Atualizações[[#This Row],[% EXECUTADO]]/Tb_Atualizações[[#This Row],[% PREVISTO]],"0%")</f>
        <v>1.0101010101010102</v>
      </c>
      <c r="L1210" s="475" t="str" cm="1">
        <f t="array" aca="1" ref="L121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Finalizado</v>
      </c>
      <c r="M1210" s="215"/>
      <c r="N1210" s="345"/>
      <c r="O1210" s="42">
        <f t="shared" si="61"/>
        <v>2026</v>
      </c>
      <c r="P1210" s="42" t="str">
        <f t="shared" si="62"/>
        <v>202603558/2021</v>
      </c>
      <c r="Q1210" s="42">
        <v>1</v>
      </c>
    </row>
    <row r="1211" spans="1:17" ht="120" hidden="1">
      <c r="A1211" s="192" t="s">
        <v>229</v>
      </c>
      <c r="B1211" s="315" t="str">
        <f>IFERROR(INDEX(Projetos!$B$3:$B$129,MATCH(A1211,Projetos!$A$3:$A$129,0))," ")</f>
        <v>Gabinete do Juízo</v>
      </c>
      <c r="D1211" s="214">
        <v>0.84</v>
      </c>
      <c r="E1211" s="214">
        <v>0.69</v>
      </c>
      <c r="F1211" s="219">
        <v>46147</v>
      </c>
      <c r="G1211" s="220">
        <v>46113</v>
      </c>
      <c r="H1211" s="51" t="str">
        <f t="shared" si="60"/>
        <v>02080/202346113</v>
      </c>
      <c r="I1211" s="473">
        <f>IFERROR(INDEX(Projetos!$M$2:$M$129,MATCH(Atualizações!A1211,Projetos!$A$2:$A$129,0))," ")</f>
        <v>46379</v>
      </c>
      <c r="J1211" s="221" t="s">
        <v>1546</v>
      </c>
      <c r="K1211" s="344">
        <f>IFERROR(Tb_Atualizações[[#This Row],[% EXECUTADO]]/Tb_Atualizações[[#This Row],[% PREVISTO]],"0%")</f>
        <v>0.8214285714285714</v>
      </c>
      <c r="L1211" s="475" t="str" cm="1">
        <f t="array" aca="1" ref="L121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11" s="215"/>
      <c r="N1211" s="345"/>
      <c r="O1211" s="42">
        <f t="shared" si="61"/>
        <v>2026</v>
      </c>
      <c r="P1211" s="42" t="str">
        <f t="shared" si="62"/>
        <v>202602080/2023</v>
      </c>
      <c r="Q1211" s="42">
        <v>1</v>
      </c>
    </row>
    <row r="1212" spans="1:17" ht="409.5" hidden="1">
      <c r="A1212" s="192" t="s">
        <v>310</v>
      </c>
      <c r="B1212" s="315" t="str">
        <f>IFERROR(INDEX(Projetos!$B$3:$B$129,MATCH(A1212,Projetos!$A$3:$A$129,0))," ")</f>
        <v>Apoio a implantação de soluções da PDPJ-Br</v>
      </c>
      <c r="D1212" s="214">
        <v>0.77</v>
      </c>
      <c r="E1212" s="214">
        <v>0.93</v>
      </c>
      <c r="F1212" s="219">
        <v>46136</v>
      </c>
      <c r="G1212" s="220">
        <v>46113</v>
      </c>
      <c r="H1212" s="51" t="str">
        <f t="shared" ref="H1212:H1243" si="63">A1212&amp;G1212</f>
        <v>02887/202446113</v>
      </c>
      <c r="I1212" s="473">
        <f>IFERROR(INDEX(Projetos!$M$2:$M$129,MATCH(Atualizações!A1212,Projetos!$A$2:$A$129,0))," ")</f>
        <v>46387</v>
      </c>
      <c r="J1212" s="221" t="s">
        <v>1547</v>
      </c>
      <c r="K1212" s="344">
        <f>IFERROR(Tb_Atualizações[[#This Row],[% EXECUTADO]]/Tb_Atualizações[[#This Row],[% PREVISTO]],"0%")</f>
        <v>1.2077922077922079</v>
      </c>
      <c r="L1212" s="475" t="str" cm="1">
        <f t="array" aca="1" ref="L121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12" s="215"/>
      <c r="N1212" s="345"/>
      <c r="O1212" s="42">
        <f t="shared" ref="O1212:O1243" si="64">YEAR(F1212)</f>
        <v>2026</v>
      </c>
      <c r="P1212" s="42" t="str">
        <f t="shared" ref="P1212:P1243" si="65">O1212&amp;A1212</f>
        <v>202602887/2024</v>
      </c>
      <c r="Q1212" s="42">
        <v>1</v>
      </c>
    </row>
    <row r="1213" spans="1:17" ht="405" hidden="1">
      <c r="A1213" s="192" t="s">
        <v>257</v>
      </c>
      <c r="B1213" s="315" t="str">
        <f>IFERROR(INDEX(Projetos!$B$3:$B$129,MATCH(A1213,Projetos!$A$3:$A$129,0))," ")</f>
        <v>SisPreq – Sistema de Precatórios e Requisições de Pequeno Valor</v>
      </c>
      <c r="D1213" s="214">
        <v>0.76</v>
      </c>
      <c r="E1213" s="214">
        <v>0.65</v>
      </c>
      <c r="F1213" s="219">
        <v>46136</v>
      </c>
      <c r="G1213" s="220">
        <v>46113</v>
      </c>
      <c r="H1213" s="51" t="str">
        <f t="shared" si="63"/>
        <v>02465/202446113</v>
      </c>
      <c r="I1213" s="473" t="str">
        <f>IFERROR(INDEX(Projetos!$M$2:$M$129,MATCH(Atualizações!A1213,Projetos!$A$2:$A$129,0))," ")</f>
        <v>15/12/2026</v>
      </c>
      <c r="J1213" s="221" t="s">
        <v>1548</v>
      </c>
      <c r="K1213" s="344">
        <f>IFERROR(Tb_Atualizações[[#This Row],[% EXECUTADO]]/Tb_Atualizações[[#This Row],[% PREVISTO]],"0%")</f>
        <v>0.85526315789473684</v>
      </c>
      <c r="L1213" s="475" t="str" cm="1">
        <f t="array" aca="1" ref="L121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13" s="215"/>
      <c r="N1213" s="345"/>
      <c r="O1213" s="42">
        <f t="shared" si="64"/>
        <v>2026</v>
      </c>
      <c r="P1213" s="42" t="str">
        <f t="shared" si="65"/>
        <v>202602465/2024</v>
      </c>
      <c r="Q1213" s="42">
        <v>1</v>
      </c>
    </row>
    <row r="1214" spans="1:17" ht="409.5" hidden="1">
      <c r="A1214" s="192" t="s">
        <v>236</v>
      </c>
      <c r="B1214" s="315" t="str">
        <f>IFERROR(INDEX(Projetos!$B$3:$B$129,MATCH(A1214,Projetos!$A$3:$A$129,0))," ")</f>
        <v>SEEU - Reescrita</v>
      </c>
      <c r="D1214" s="214">
        <v>0.61</v>
      </c>
      <c r="E1214" s="214">
        <v>0.82</v>
      </c>
      <c r="F1214" s="219">
        <v>46136</v>
      </c>
      <c r="G1214" s="220">
        <v>46113</v>
      </c>
      <c r="H1214" s="51" t="str">
        <f t="shared" si="63"/>
        <v>02245/202546113</v>
      </c>
      <c r="I1214" s="473">
        <f>IFERROR(INDEX(Projetos!$M$2:$M$129,MATCH(Atualizações!A1214,Projetos!$A$2:$A$129,0))," ")</f>
        <v>46387</v>
      </c>
      <c r="J1214" s="221" t="s">
        <v>1549</v>
      </c>
      <c r="K1214" s="344">
        <f>IFERROR(Tb_Atualizações[[#This Row],[% EXECUTADO]]/Tb_Atualizações[[#This Row],[% PREVISTO]],"0%")</f>
        <v>1.3442622950819672</v>
      </c>
      <c r="L1214" s="475" t="str" cm="1">
        <f t="array" aca="1" ref="L121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14" s="215"/>
      <c r="N1214" s="345"/>
      <c r="O1214" s="42">
        <f t="shared" si="64"/>
        <v>2026</v>
      </c>
      <c r="P1214" s="42" t="str">
        <f t="shared" si="65"/>
        <v>202602245/2025</v>
      </c>
      <c r="Q1214" s="42">
        <v>1</v>
      </c>
    </row>
    <row r="1215" spans="1:17" ht="15" hidden="1">
      <c r="A1215" s="192" t="s">
        <v>83</v>
      </c>
      <c r="B1215" s="315" t="str">
        <f>IFERROR(INDEX(Projetos!$B$3:$B$129,MATCH(A1215,Projetos!$A$3:$A$129,0))," ")</f>
        <v>Painel do Programa Desjudicializa</v>
      </c>
      <c r="D1215" s="214">
        <v>0.76</v>
      </c>
      <c r="E1215" s="214">
        <v>0.7</v>
      </c>
      <c r="F1215" s="219">
        <v>46136</v>
      </c>
      <c r="G1215" s="220">
        <v>46113</v>
      </c>
      <c r="H1215" s="51" t="str">
        <f t="shared" si="63"/>
        <v>00484/202446113</v>
      </c>
      <c r="I1215" s="473">
        <f>IFERROR(INDEX(Projetos!$M$2:$M$129,MATCH(Atualizações!A1215,Projetos!$A$2:$A$129,0))," ")</f>
        <v>46387</v>
      </c>
      <c r="J1215" s="221"/>
      <c r="K1215" s="344">
        <f>IFERROR(Tb_Atualizações[[#This Row],[% EXECUTADO]]/Tb_Atualizações[[#This Row],[% PREVISTO]],"0%")</f>
        <v>0.92105263157894735</v>
      </c>
      <c r="L1215" s="475" t="str" cm="1">
        <f t="array" aca="1" ref="L121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15" s="215"/>
      <c r="N1215" s="345"/>
      <c r="O1215" s="42">
        <f t="shared" si="64"/>
        <v>2026</v>
      </c>
      <c r="P1215" s="42" t="str">
        <f t="shared" si="65"/>
        <v>202600484/2024</v>
      </c>
      <c r="Q1215" s="42">
        <v>1</v>
      </c>
    </row>
    <row r="1216" spans="1:17" ht="30" hidden="1">
      <c r="A1216" s="192" t="s">
        <v>152</v>
      </c>
      <c r="B1216" s="315" t="str">
        <f>IFERROR(INDEX(Projetos!$B$3:$B$129,MATCH(A1216,Projetos!$A$3:$A$129,0))," ")</f>
        <v>Painel da Fazenda Nacional.</v>
      </c>
      <c r="D1216" s="214">
        <v>0.63</v>
      </c>
      <c r="E1216" s="214">
        <v>0.51</v>
      </c>
      <c r="F1216" s="219">
        <v>46136</v>
      </c>
      <c r="G1216" s="220">
        <v>46113</v>
      </c>
      <c r="H1216" s="51" t="str">
        <f t="shared" si="63"/>
        <v>01247/202546113</v>
      </c>
      <c r="I1216" s="473">
        <f>IFERROR(INDEX(Projetos!$M$2:$M$129,MATCH(Atualizações!A1216,Projetos!$A$2:$A$129,0))," ")</f>
        <v>46387</v>
      </c>
      <c r="J1216" s="221"/>
      <c r="K1216" s="344">
        <f>IFERROR(Tb_Atualizações[[#This Row],[% EXECUTADO]]/Tb_Atualizações[[#This Row],[% PREVISTO]],"0%")</f>
        <v>0.80952380952380953</v>
      </c>
      <c r="L1216" s="475" t="str" cm="1">
        <f t="array" aca="1" ref="L121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16" s="215"/>
      <c r="N1216" s="345"/>
      <c r="O1216" s="42">
        <f t="shared" si="64"/>
        <v>2026</v>
      </c>
      <c r="P1216" s="42" t="str">
        <f t="shared" si="65"/>
        <v>202601247/2025</v>
      </c>
      <c r="Q1216" s="42">
        <v>1</v>
      </c>
    </row>
    <row r="1217" spans="1:17" ht="15" hidden="1">
      <c r="A1217" s="192" t="s">
        <v>58</v>
      </c>
      <c r="B1217" s="315" t="str">
        <f>IFERROR(INDEX(Projetos!$B$3:$B$129,MATCH(A1217,Projetos!$A$3:$A$129,0))," ")</f>
        <v>Phase-out: Transição Projetos X Operação</v>
      </c>
      <c r="D1217" s="214">
        <v>0.39</v>
      </c>
      <c r="E1217" s="214">
        <v>0.39</v>
      </c>
      <c r="F1217" s="219">
        <v>46136</v>
      </c>
      <c r="G1217" s="220">
        <v>46113</v>
      </c>
      <c r="H1217" s="51" t="str">
        <f t="shared" si="63"/>
        <v>00030/202546113</v>
      </c>
      <c r="I1217" s="473">
        <f>IFERROR(INDEX(Projetos!$M$2:$M$129,MATCH(Atualizações!A1217,Projetos!$A$2:$A$129,0))," ")</f>
        <v>46387</v>
      </c>
      <c r="J1217" s="221"/>
      <c r="K1217" s="344">
        <f>IFERROR(Tb_Atualizações[[#This Row],[% EXECUTADO]]/Tb_Atualizações[[#This Row],[% PREVISTO]],"0%")</f>
        <v>1</v>
      </c>
      <c r="L1217" s="475" t="str" cm="1">
        <f t="array" aca="1" ref="L121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17" s="215"/>
      <c r="N1217" s="345"/>
      <c r="O1217" s="42">
        <f t="shared" si="64"/>
        <v>2026</v>
      </c>
      <c r="P1217" s="42" t="str">
        <f t="shared" si="65"/>
        <v>202600030/2025</v>
      </c>
      <c r="Q1217" s="42">
        <v>1</v>
      </c>
    </row>
    <row r="1218" spans="1:17" ht="409.5" hidden="1">
      <c r="A1218" s="192" t="s">
        <v>247</v>
      </c>
      <c r="B1218" s="315" t="str">
        <f>IFERROR(INDEX(Projetos!$B$3:$B$129,MATCH(A1218,Projetos!$A$3:$A$129,0))," ")</f>
        <v>Portal de Serviços</v>
      </c>
      <c r="D1218" s="214">
        <v>0.79</v>
      </c>
      <c r="E1218" s="214">
        <v>0.55000000000000004</v>
      </c>
      <c r="F1218" s="219">
        <v>46141</v>
      </c>
      <c r="G1218" s="220">
        <v>46113</v>
      </c>
      <c r="H1218" s="51" t="str">
        <f t="shared" si="63"/>
        <v>02394/202446113</v>
      </c>
      <c r="I1218" s="473">
        <f>IFERROR(INDEX(Projetos!$M$2:$M$129,MATCH(Atualizações!A1218,Projetos!$A$2:$A$129,0))," ")</f>
        <v>46387</v>
      </c>
      <c r="J1218" s="221" t="s">
        <v>1550</v>
      </c>
      <c r="K1218" s="344">
        <f>IFERROR(Tb_Atualizações[[#This Row],[% EXECUTADO]]/Tb_Atualizações[[#This Row],[% PREVISTO]],"0%")</f>
        <v>0.69620253164556967</v>
      </c>
      <c r="L1218" s="475" t="str" cm="1">
        <f t="array" aca="1" ref="L121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18" s="215"/>
      <c r="N1218" s="345"/>
      <c r="O1218" s="42">
        <f t="shared" si="64"/>
        <v>2026</v>
      </c>
      <c r="P1218" s="42" t="str">
        <f t="shared" si="65"/>
        <v>202602394/2024</v>
      </c>
      <c r="Q1218" s="42">
        <v>1</v>
      </c>
    </row>
    <row r="1219" spans="1:17" ht="30" hidden="1">
      <c r="A1219" s="192" t="s">
        <v>350</v>
      </c>
      <c r="B1219" s="315" t="str">
        <f>IFERROR(INDEX(Projetos!$B$3:$B$129,MATCH(A1219,Projetos!$A$3:$A$129,0))," ")</f>
        <v>Painel de Estatística   - Justiça 4.0</v>
      </c>
      <c r="D1219" s="214">
        <v>0.87</v>
      </c>
      <c r="E1219" s="214">
        <v>0.73</v>
      </c>
      <c r="F1219" s="219">
        <v>46138</v>
      </c>
      <c r="G1219" s="220">
        <v>46113</v>
      </c>
      <c r="H1219" s="51" t="str">
        <f t="shared" si="63"/>
        <v>03545/202146113</v>
      </c>
      <c r="I1219" s="473">
        <f>IFERROR(INDEX(Projetos!$M$2:$M$129,MATCH(Atualizações!A1219,Projetos!$A$2:$A$129,0))," ")</f>
        <v>46387</v>
      </c>
      <c r="J1219" s="221"/>
      <c r="K1219" s="344">
        <f>IFERROR(Tb_Atualizações[[#This Row],[% EXECUTADO]]/Tb_Atualizações[[#This Row],[% PREVISTO]],"0%")</f>
        <v>0.83908045977011492</v>
      </c>
      <c r="L1219" s="475" t="str" cm="1">
        <f t="array" aca="1" ref="L121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19" s="215"/>
      <c r="N1219" s="345"/>
      <c r="O1219" s="42">
        <f t="shared" si="64"/>
        <v>2026</v>
      </c>
      <c r="P1219" s="42" t="str">
        <f t="shared" si="65"/>
        <v>202603545/2021</v>
      </c>
      <c r="Q1219" s="42">
        <v>1</v>
      </c>
    </row>
    <row r="1220" spans="1:17" ht="45" hidden="1">
      <c r="A1220" s="192" t="s">
        <v>219</v>
      </c>
      <c r="B1220" s="315" t="str">
        <f>IFERROR(INDEX(Projetos!$B$3:$B$129,MATCH(A1220,Projetos!$A$3:$A$129,0))," ")</f>
        <v xml:space="preserve">Aperfeiçoamento funcional em temáticas prioritárias para o CNJ e para Justiça Federal 
(cursos, capacitações, metodologias e ferramentas avançados) – Ciclo Avançado </v>
      </c>
      <c r="D1220" s="214">
        <v>0.79</v>
      </c>
      <c r="E1220" s="214">
        <v>0.77</v>
      </c>
      <c r="F1220" s="219">
        <v>46136</v>
      </c>
      <c r="G1220" s="220">
        <v>46113</v>
      </c>
      <c r="H1220" s="51" t="str">
        <f t="shared" si="63"/>
        <v>02024/202446113</v>
      </c>
      <c r="I1220" s="473">
        <f>IFERROR(INDEX(Projetos!$M$2:$M$129,MATCH(Atualizações!A1220,Projetos!$A$2:$A$129,0))," ")</f>
        <v>46246</v>
      </c>
      <c r="J1220" s="221"/>
      <c r="K1220" s="344">
        <f>IFERROR(Tb_Atualizações[[#This Row],[% EXECUTADO]]/Tb_Atualizações[[#This Row],[% PREVISTO]],"0%")</f>
        <v>0.97468354430379744</v>
      </c>
      <c r="L1220" s="475" t="str" cm="1">
        <f t="array" aca="1" ref="L122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0" s="215"/>
      <c r="N1220" s="345"/>
      <c r="O1220" s="42">
        <f t="shared" si="64"/>
        <v>2026</v>
      </c>
      <c r="P1220" s="42" t="str">
        <f t="shared" si="65"/>
        <v>202602024/2024</v>
      </c>
      <c r="Q1220" s="42">
        <v>1</v>
      </c>
    </row>
    <row r="1221" spans="1:17" ht="90" hidden="1">
      <c r="A1221" s="192" t="s">
        <v>384</v>
      </c>
      <c r="B1221" s="315" t="str">
        <f>IFERROR(INDEX(Projetos!$B$3:$B$129,MATCH(A1221,Projetos!$A$3:$A$129,0))," ")</f>
        <v>Integra - Serviço de Monitoramento de Atos do CNJ</v>
      </c>
      <c r="D1221" s="214">
        <v>0.84</v>
      </c>
      <c r="E1221" s="214">
        <v>0.82</v>
      </c>
      <c r="F1221" s="219">
        <v>46107</v>
      </c>
      <c r="G1221" s="220">
        <v>46082</v>
      </c>
      <c r="H1221" s="51" t="str">
        <f t="shared" si="63"/>
        <v>04137/202446082</v>
      </c>
      <c r="I1221" s="473">
        <f>IFERROR(INDEX(Projetos!$M$2:$M$129,MATCH(Atualizações!A1221,Projetos!$A$2:$A$129,0))," ")</f>
        <v>46285</v>
      </c>
      <c r="J1221" s="221" t="s">
        <v>1551</v>
      </c>
      <c r="K1221" s="344">
        <f>IFERROR(Tb_Atualizações[[#This Row],[% EXECUTADO]]/Tb_Atualizações[[#This Row],[% PREVISTO]],"0%")</f>
        <v>0.97619047619047616</v>
      </c>
      <c r="L1221" s="475" t="str" cm="1">
        <f t="array" aca="1" ref="L122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1" s="215"/>
      <c r="N1221" s="345"/>
      <c r="O1221" s="42">
        <f t="shared" si="64"/>
        <v>2026</v>
      </c>
      <c r="P1221" s="42" t="str">
        <f t="shared" si="65"/>
        <v>202604137/2024</v>
      </c>
      <c r="Q1221" s="42">
        <v>1</v>
      </c>
    </row>
    <row r="1222" spans="1:17" ht="15" hidden="1">
      <c r="A1222" s="192" t="s">
        <v>728</v>
      </c>
      <c r="B1222" s="315" t="str">
        <f>IFERROR(INDEX(Projetos!$B$3:$B$129,MATCH(A1222,Projetos!$A$3:$A$129,0))," ")</f>
        <v>Programa de Acessibilidade e Inclusão do Conselho Nacional de Justiça (CNJ)</v>
      </c>
      <c r="D1222" s="214">
        <v>0.43</v>
      </c>
      <c r="E1222" s="214">
        <v>0.43</v>
      </c>
      <c r="F1222" s="219">
        <v>46128</v>
      </c>
      <c r="G1222" s="220">
        <v>46082</v>
      </c>
      <c r="H1222" s="51" t="str">
        <f t="shared" si="63"/>
        <v>15844/202446082</v>
      </c>
      <c r="I1222" s="473">
        <f>IFERROR(INDEX(Projetos!$M$2:$M$129,MATCH(Atualizações!A1222,Projetos!$A$2:$A$129,0))," ")</f>
        <v>46376</v>
      </c>
      <c r="J1222" s="221"/>
      <c r="K1222" s="344">
        <f>IFERROR(Tb_Atualizações[[#This Row],[% EXECUTADO]]/Tb_Atualizações[[#This Row],[% PREVISTO]],"0%")</f>
        <v>1</v>
      </c>
      <c r="L1222" s="475" t="str" cm="1">
        <f t="array" aca="1" ref="L122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2" s="215"/>
      <c r="N1222" s="345"/>
      <c r="O1222" s="42">
        <f t="shared" si="64"/>
        <v>2026</v>
      </c>
      <c r="P1222" s="42" t="str">
        <f t="shared" si="65"/>
        <v>202615844/2024</v>
      </c>
      <c r="Q1222" s="42">
        <v>1</v>
      </c>
    </row>
    <row r="1223" spans="1:17" ht="15" hidden="1">
      <c r="A1223" s="192" t="s">
        <v>182</v>
      </c>
      <c r="B1223" s="315" t="str">
        <f>IFERROR(INDEX(Projetos!$B$3:$B$129,MATCH(A1223,Projetos!$A$3:$A$129,0))," ")</f>
        <v xml:space="preserve">Mineração de Processos do Pje </v>
      </c>
      <c r="D1223" s="214">
        <v>0.89</v>
      </c>
      <c r="E1223" s="214">
        <v>0.89</v>
      </c>
      <c r="F1223" s="219">
        <v>46142</v>
      </c>
      <c r="G1223" s="220">
        <v>46113</v>
      </c>
      <c r="H1223" s="51" t="str">
        <f t="shared" si="63"/>
        <v>01764/202046113</v>
      </c>
      <c r="I1223" s="473">
        <f>IFERROR(INDEX(Projetos!$M$2:$M$129,MATCH(Atualizações!A1223,Projetos!$A$2:$A$129,0))," ")</f>
        <v>46630</v>
      </c>
      <c r="J1223" s="221"/>
      <c r="K1223" s="344">
        <f>IFERROR(Tb_Atualizações[[#This Row],[% EXECUTADO]]/Tb_Atualizações[[#This Row],[% PREVISTO]],"0%")</f>
        <v>1</v>
      </c>
      <c r="L1223" s="475" t="str" cm="1">
        <f t="array" aca="1" ref="L122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3" s="215"/>
      <c r="N1223" s="345"/>
      <c r="O1223" s="42">
        <f t="shared" si="64"/>
        <v>2026</v>
      </c>
      <c r="P1223" s="42" t="str">
        <f t="shared" si="65"/>
        <v>202601764/2020</v>
      </c>
      <c r="Q1223" s="42">
        <v>1</v>
      </c>
    </row>
    <row r="1224" spans="1:17" ht="15" hidden="1">
      <c r="A1224" s="192" t="s">
        <v>1004</v>
      </c>
      <c r="B1224" s="315" t="str">
        <f>IFERROR(INDEX(Projetos!$B$3:$B$129,MATCH(A1224,Projetos!$A$3:$A$129,0))," ")</f>
        <v>Justiça Itinerante Cooperativa na Amazônia Legal - Edição 2026</v>
      </c>
      <c r="D1224" s="214">
        <v>0</v>
      </c>
      <c r="E1224" s="214">
        <v>0</v>
      </c>
      <c r="F1224" s="219">
        <v>46155</v>
      </c>
      <c r="G1224" s="220">
        <v>46113</v>
      </c>
      <c r="H1224" s="51" t="str">
        <f t="shared" si="63"/>
        <v>00050/202646113</v>
      </c>
      <c r="I1224" s="473">
        <f>IFERROR(INDEX(Projetos!$M$2:$M$129,MATCH(Atualizações!A1224,Projetos!$A$2:$A$129,0))," ")</f>
        <v>46295</v>
      </c>
      <c r="J1224" s="221" t="s">
        <v>1386</v>
      </c>
      <c r="K1224" s="344" t="str">
        <f>IFERROR(Tb_Atualizações[[#This Row],[% EXECUTADO]]/Tb_Atualizações[[#This Row],[% PREVISTO]],"0%")</f>
        <v>0%</v>
      </c>
      <c r="L1224" s="475" t="str" cm="1">
        <f t="array" aca="1" ref="L122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224" s="215"/>
      <c r="N1224" s="345"/>
      <c r="O1224" s="42">
        <f t="shared" si="64"/>
        <v>2026</v>
      </c>
      <c r="P1224" s="42" t="str">
        <f t="shared" si="65"/>
        <v>202600050/2026</v>
      </c>
      <c r="Q1224" s="42">
        <v>1</v>
      </c>
    </row>
    <row r="1225" spans="1:17" ht="15" hidden="1">
      <c r="A1225" s="192" t="s">
        <v>901</v>
      </c>
      <c r="B1225" s="315" t="str">
        <f>IFERROR(INDEX(Projetos!$B$3:$B$129,MATCH(A1225,Projetos!$A$3:$A$129,0))," ")</f>
        <v>Plano Nacional de Fomento ao Esporte e Lazer (sistema penal)</v>
      </c>
      <c r="D1225" s="214">
        <v>0.9</v>
      </c>
      <c r="E1225" s="214">
        <v>0.9</v>
      </c>
      <c r="F1225" s="219">
        <v>46155</v>
      </c>
      <c r="G1225" s="220">
        <v>46113</v>
      </c>
      <c r="H1225" s="51" t="str">
        <f t="shared" si="63"/>
        <v>174666/202446113</v>
      </c>
      <c r="I1225" s="473">
        <f>IFERROR(INDEX(Projetos!$M$2:$M$129,MATCH(Atualizações!A1225,Projetos!$A$2:$A$129,0))," ")</f>
        <v>46203</v>
      </c>
      <c r="J1225" s="221"/>
      <c r="K1225" s="344">
        <f>IFERROR(Tb_Atualizações[[#This Row],[% EXECUTADO]]/Tb_Atualizações[[#This Row],[% PREVISTO]],"0%")</f>
        <v>1</v>
      </c>
      <c r="L1225" s="475" t="str" cm="1">
        <f t="array" aca="1" ref="L122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5" s="215"/>
      <c r="N1225" s="345"/>
      <c r="O1225" s="42">
        <f t="shared" si="64"/>
        <v>2026</v>
      </c>
      <c r="P1225" s="42" t="str">
        <f t="shared" si="65"/>
        <v>2026174666/2024</v>
      </c>
      <c r="Q1225" s="42">
        <v>1</v>
      </c>
    </row>
    <row r="1226" spans="1:17" ht="15" hidden="1">
      <c r="A1226" s="192" t="s">
        <v>844</v>
      </c>
      <c r="B1226" s="315" t="str">
        <f>IFERROR(INDEX(Projetos!$B$3:$B$129,MATCH(A1226,Projetos!$A$3:$A$129,0))," ")</f>
        <v>Enfrentamento da Tortura</v>
      </c>
      <c r="D1226" s="214">
        <v>0.75</v>
      </c>
      <c r="E1226" s="214">
        <v>0.75</v>
      </c>
      <c r="F1226" s="219">
        <v>46155</v>
      </c>
      <c r="G1226" s="220">
        <v>46113</v>
      </c>
      <c r="H1226" s="51" t="str">
        <f t="shared" si="63"/>
        <v>1746620/202446113</v>
      </c>
      <c r="I1226" s="473">
        <f>IFERROR(INDEX(Projetos!$M$2:$M$129,MATCH(Atualizações!A1226,Projetos!$A$2:$A$129,0))," ")</f>
        <v>46387</v>
      </c>
      <c r="J1226" s="221"/>
      <c r="K1226" s="344">
        <f>IFERROR(Tb_Atualizações[[#This Row],[% EXECUTADO]]/Tb_Atualizações[[#This Row],[% PREVISTO]],"0%")</f>
        <v>1</v>
      </c>
      <c r="L1226" s="475" t="str" cm="1">
        <f t="array" aca="1" ref="L122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6" s="215"/>
      <c r="N1226" s="345"/>
      <c r="O1226" s="42">
        <f t="shared" si="64"/>
        <v>2026</v>
      </c>
      <c r="P1226" s="42" t="str">
        <f t="shared" si="65"/>
        <v>20261746620/2024</v>
      </c>
      <c r="Q1226" s="42">
        <v>1</v>
      </c>
    </row>
    <row r="1227" spans="1:17" ht="15" hidden="1">
      <c r="A1227" s="192" t="s">
        <v>865</v>
      </c>
      <c r="B1227" s="315" t="str">
        <f>IFERROR(INDEX(Projetos!$B$3:$B$129,MATCH(A1227,Projetos!$A$3:$A$129,0))," ")</f>
        <v>Articulação Internacional e Proteção dos Direitos Humanos</v>
      </c>
      <c r="D1227" s="48">
        <v>0.75</v>
      </c>
      <c r="E1227" s="48">
        <v>0.75</v>
      </c>
      <c r="F1227" s="219">
        <v>46155</v>
      </c>
      <c r="G1227" s="220">
        <v>46113</v>
      </c>
      <c r="H1227" s="51" t="str">
        <f t="shared" si="63"/>
        <v>1746625/202446113</v>
      </c>
      <c r="I1227" s="473">
        <f>IFERROR(INDEX(Projetos!$M$2:$M$129,MATCH(Atualizações!A1227,Projetos!$A$2:$A$129,0))," ")</f>
        <v>46233</v>
      </c>
      <c r="J1227" s="221"/>
      <c r="K1227" s="344">
        <f>IFERROR(Tb_Atualizações[[#This Row],[% EXECUTADO]]/Tb_Atualizações[[#This Row],[% PREVISTO]],"0%")</f>
        <v>1</v>
      </c>
      <c r="L1227" s="475" t="str" cm="1">
        <f t="array" aca="1" ref="L122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7" s="215"/>
      <c r="N1227" s="345"/>
      <c r="O1227" s="42">
        <f t="shared" si="64"/>
        <v>2026</v>
      </c>
      <c r="P1227" s="42" t="str">
        <f t="shared" si="65"/>
        <v>20261746625/2024</v>
      </c>
      <c r="Q1227" s="42">
        <v>1</v>
      </c>
    </row>
    <row r="1228" spans="1:17" ht="15" hidden="1">
      <c r="A1228" s="192" t="s">
        <v>652</v>
      </c>
      <c r="B1228" s="315" t="str">
        <f>IFERROR(INDEX(Projetos!$B$3:$B$129,MATCH(A1228,Projetos!$A$3:$A$129,0))," ")</f>
        <v>Projeto Piloto – Rede de Apoio para Avaliação Externa, com base no IA-CM</v>
      </c>
      <c r="D1228" s="48">
        <v>0.81</v>
      </c>
      <c r="E1228" s="48">
        <v>0.81</v>
      </c>
      <c r="F1228" s="219">
        <v>46155</v>
      </c>
      <c r="G1228" s="220">
        <v>46113</v>
      </c>
      <c r="H1228" s="51" t="str">
        <f t="shared" si="63"/>
        <v>11729/202546113</v>
      </c>
      <c r="I1228" s="473">
        <f>IFERROR(INDEX(Projetos!$M$2:$M$129,MATCH(Atualizações!A1228,Projetos!$A$2:$A$129,0))," ")</f>
        <v>46265</v>
      </c>
      <c r="J1228" s="221"/>
      <c r="K1228" s="344">
        <f>IFERROR(Tb_Atualizações[[#This Row],[% EXECUTADO]]/Tb_Atualizações[[#This Row],[% PREVISTO]],"0%")</f>
        <v>1</v>
      </c>
      <c r="L1228" s="475" t="str" cm="1">
        <f t="array" aca="1" ref="L122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8" s="215"/>
      <c r="N1228" s="345"/>
      <c r="O1228" s="42">
        <f t="shared" si="64"/>
        <v>2026</v>
      </c>
      <c r="P1228" s="42" t="str">
        <f t="shared" si="65"/>
        <v>202611729/2025</v>
      </c>
      <c r="Q1228" s="42">
        <v>1</v>
      </c>
    </row>
    <row r="1229" spans="1:17" ht="60" hidden="1">
      <c r="A1229" s="192" t="s">
        <v>559</v>
      </c>
      <c r="B1229" s="315" t="str">
        <f>IFERROR(INDEX(Projetos!$B$3:$B$129,MATCH(A1229,Projetos!$A$3:$A$129,0))," ")</f>
        <v>Fonajus itinerante</v>
      </c>
      <c r="D1229" s="214">
        <v>0.53</v>
      </c>
      <c r="E1229" s="214">
        <v>0.65</v>
      </c>
      <c r="F1229" s="219">
        <v>46155</v>
      </c>
      <c r="G1229" s="220">
        <v>46113</v>
      </c>
      <c r="H1229" s="51" t="str">
        <f t="shared" si="63"/>
        <v>10101/202446113</v>
      </c>
      <c r="I1229" s="473" t="str">
        <f>IFERROR(INDEX(Projetos!$M$2:$M$129,MATCH(Atualizações!A1229,Projetos!$A$2:$A$129,0))," ")</f>
        <v>30/4/2026</v>
      </c>
      <c r="J1229" s="221" t="s">
        <v>1552</v>
      </c>
      <c r="K1229" s="344">
        <f>IFERROR(Tb_Atualizações[[#This Row],[% EXECUTADO]]/Tb_Atualizações[[#This Row],[% PREVISTO]],"0%")</f>
        <v>1.2264150943396226</v>
      </c>
      <c r="L1229" s="475" t="str" cm="1">
        <f t="array" aca="1" ref="L122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29" s="215"/>
      <c r="N1229" s="345"/>
      <c r="O1229" s="42">
        <f t="shared" si="64"/>
        <v>2026</v>
      </c>
      <c r="P1229" s="42" t="str">
        <f t="shared" si="65"/>
        <v>202610101/2024</v>
      </c>
      <c r="Q1229" s="42">
        <v>1</v>
      </c>
    </row>
    <row r="1230" spans="1:17" ht="15" hidden="1">
      <c r="A1230" s="192" t="s">
        <v>629</v>
      </c>
      <c r="B1230" s="315" t="str">
        <f>IFERROR(INDEX(Projetos!$B$3:$B$129,MATCH(A1230,Projetos!$A$3:$A$129,0))," ")</f>
        <v>2º Edital da 7ª Edição da Série Justiça Pesquisa - Exercício 2024/2025</v>
      </c>
      <c r="D1230" s="214">
        <v>0.99</v>
      </c>
      <c r="E1230" s="214">
        <v>0.99</v>
      </c>
      <c r="F1230" s="219">
        <v>46157</v>
      </c>
      <c r="G1230" s="220">
        <v>46113</v>
      </c>
      <c r="H1230" s="51" t="str">
        <f t="shared" si="63"/>
        <v>11449/202446113</v>
      </c>
      <c r="I1230" s="473" t="str">
        <f>IFERROR(INDEX(Projetos!$M$2:$M$129,MATCH(Atualizações!A1230,Projetos!$A$2:$A$129,0))," ")</f>
        <v>27/8/2026</v>
      </c>
      <c r="J1230" s="221"/>
      <c r="K1230" s="344">
        <f>IFERROR(Tb_Atualizações[[#This Row],[% EXECUTADO]]/Tb_Atualizações[[#This Row],[% PREVISTO]],"0%")</f>
        <v>1</v>
      </c>
      <c r="L1230" s="475" t="str" cm="1">
        <f t="array" aca="1" ref="L123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30" s="215"/>
      <c r="N1230" s="345"/>
      <c r="O1230" s="42">
        <f t="shared" si="64"/>
        <v>2026</v>
      </c>
      <c r="P1230" s="42" t="str">
        <f t="shared" si="65"/>
        <v>202611449/2024</v>
      </c>
      <c r="Q1230" s="42">
        <v>1</v>
      </c>
    </row>
    <row r="1231" spans="1:17" ht="30" hidden="1">
      <c r="A1231" s="192" t="s">
        <v>698</v>
      </c>
      <c r="B1231" s="315" t="str">
        <f>IFERROR(INDEX(Projetos!$B$3:$B$129,MATCH(A1231,Projetos!$A$3:$A$129,0))," ")</f>
        <v>Escola Virtual do Poder Judiciário</v>
      </c>
      <c r="D1231" s="48">
        <v>0.64</v>
      </c>
      <c r="E1231" s="48">
        <v>0.32</v>
      </c>
      <c r="F1231" s="219">
        <v>46160</v>
      </c>
      <c r="G1231" s="28">
        <v>45689</v>
      </c>
      <c r="H1231" s="51" t="str">
        <f t="shared" si="63"/>
        <v>13898/202445689</v>
      </c>
      <c r="I1231" s="473">
        <f>IFERROR(INDEX(Projetos!$M$2:$M$129,MATCH(Atualizações!A1231,Projetos!$A$2:$A$129,0))," ")</f>
        <v>45930</v>
      </c>
      <c r="J1231" s="221" t="s">
        <v>1553</v>
      </c>
      <c r="K1231" s="344">
        <f>IFERROR(Tb_Atualizações[[#This Row],[% EXECUTADO]]/Tb_Atualizações[[#This Row],[% PREVISTO]],"0%")</f>
        <v>0.5</v>
      </c>
      <c r="L1231" s="475" t="s">
        <v>277</v>
      </c>
      <c r="M1231" s="215"/>
      <c r="N1231" s="345"/>
      <c r="O1231" s="42">
        <f t="shared" si="64"/>
        <v>2026</v>
      </c>
      <c r="P1231" s="42" t="str">
        <f t="shared" si="65"/>
        <v>202613898/2024</v>
      </c>
      <c r="Q1231" s="42">
        <v>1</v>
      </c>
    </row>
    <row r="1232" spans="1:17" ht="15" hidden="1">
      <c r="A1232" s="192" t="s">
        <v>1010</v>
      </c>
      <c r="B1232" s="315" t="str">
        <f>IFERROR(INDEX(Projetos!$B$3:$B$129,MATCH(A1232,Projetos!$A$3:$A$129,0))," ")</f>
        <v>Aliança Lilás</v>
      </c>
      <c r="D1232" s="214">
        <v>0</v>
      </c>
      <c r="E1232" s="214">
        <v>0</v>
      </c>
      <c r="F1232" s="219">
        <v>46154</v>
      </c>
      <c r="G1232" s="220">
        <v>46113</v>
      </c>
      <c r="H1232" s="51" t="str">
        <f t="shared" si="63"/>
        <v>03868/202646113</v>
      </c>
      <c r="I1232" s="473">
        <f>IFERROR(INDEX(Projetos!$M$2:$M$129,MATCH(Atualizações!A1232,Projetos!$A$2:$A$129,0))," ")</f>
        <v>46741</v>
      </c>
      <c r="J1232" s="221" t="s">
        <v>1386</v>
      </c>
      <c r="K1232" s="344" t="str">
        <f>IFERROR(Tb_Atualizações[[#This Row],[% EXECUTADO]]/Tb_Atualizações[[#This Row],[% PREVISTO]],"0%")</f>
        <v>0%</v>
      </c>
      <c r="L1232" s="475" t="str" cm="1">
        <f t="array" aca="1" ref="L123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232" s="215"/>
      <c r="N1232" s="345"/>
      <c r="O1232" s="42">
        <f t="shared" si="64"/>
        <v>2026</v>
      </c>
      <c r="P1232" s="42" t="str">
        <f t="shared" si="65"/>
        <v>202603868/2026</v>
      </c>
      <c r="Q1232" s="42">
        <v>1</v>
      </c>
    </row>
    <row r="1233" spans="1:17" ht="15" hidden="1">
      <c r="A1233" s="192" t="s">
        <v>1021</v>
      </c>
      <c r="B1233" s="315" t="str">
        <f>IFERROR(INDEX(Projetos!$B$3:$B$129,MATCH(A1233,Projetos!$A$3:$A$129,0))," ")</f>
        <v>Programa Justiça Carbono Zero no âmbito do CNJ</v>
      </c>
      <c r="D1233" s="214">
        <v>0</v>
      </c>
      <c r="E1233" s="214">
        <v>0</v>
      </c>
      <c r="F1233" s="219">
        <v>46161</v>
      </c>
      <c r="G1233" s="220">
        <v>46113</v>
      </c>
      <c r="H1233" s="51" t="str">
        <f t="shared" si="63"/>
        <v>20137/202546113</v>
      </c>
      <c r="I1233" s="473">
        <f>IFERROR(INDEX(Projetos!$M$2:$M$129,MATCH(Atualizações!A1233,Projetos!$A$2:$A$129,0))," ")</f>
        <v>46234</v>
      </c>
      <c r="J1233" s="221" t="s">
        <v>1386</v>
      </c>
      <c r="K1233" s="344" t="str">
        <f>IFERROR(Tb_Atualizações[[#This Row],[% EXECUTADO]]/Tb_Atualizações[[#This Row],[% PREVISTO]],"0%")</f>
        <v>0%</v>
      </c>
      <c r="L1233" s="475" t="str" cm="1">
        <f t="array" aca="1" ref="L123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233" s="215"/>
      <c r="N1233" s="345"/>
      <c r="O1233" s="42">
        <f t="shared" si="64"/>
        <v>2026</v>
      </c>
      <c r="P1233" s="42" t="str">
        <f t="shared" si="65"/>
        <v>202620137/2025</v>
      </c>
      <c r="Q1233" s="42">
        <v>1</v>
      </c>
    </row>
    <row r="1234" spans="1:17" hidden="1">
      <c r="A1234" s="192" t="s">
        <v>1031</v>
      </c>
      <c r="B1234" s="472" t="str">
        <f>IFERROR(INDEX(Projetos!$B$3:$B$129,MATCH(A1234,Projetos!$A$3:$A$129,0))," ")</f>
        <v>8ª Edição da Série Justiça Pesquisa</v>
      </c>
      <c r="D1234" s="214">
        <v>0</v>
      </c>
      <c r="E1234" s="214">
        <v>0</v>
      </c>
      <c r="F1234" s="219">
        <v>46164</v>
      </c>
      <c r="G1234" s="220">
        <v>46143</v>
      </c>
      <c r="H1234" s="51" t="str">
        <f t="shared" si="63"/>
        <v>20362/202546143</v>
      </c>
      <c r="I1234" s="473">
        <f>IFERROR(INDEX(Projetos!$M$2:$M$129,MATCH(Atualizações!A1234,Projetos!$A$2:$A$129,0))," ")</f>
        <v>46740</v>
      </c>
      <c r="J1234" s="221" t="s">
        <v>1515</v>
      </c>
      <c r="K1234" s="344" t="str">
        <f>IFERROR(Tb_Atualizações[[#This Row],[% EXECUTADO]]/Tb_Atualizações[[#This Row],[% PREVISTO]],"0%")</f>
        <v>0%</v>
      </c>
      <c r="L1234" s="475" t="str" cm="1">
        <f t="array" aca="1" ref="L123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Autorizado</v>
      </c>
      <c r="M1234" s="215"/>
      <c r="N1234" s="345"/>
      <c r="O1234" s="42">
        <f t="shared" si="64"/>
        <v>2026</v>
      </c>
      <c r="P1234" s="42" t="str">
        <f t="shared" si="65"/>
        <v>202620362/2025</v>
      </c>
      <c r="Q1234" s="42">
        <v>1</v>
      </c>
    </row>
    <row r="1235" spans="1:17" ht="30" hidden="1">
      <c r="A1235" s="192" t="s">
        <v>638</v>
      </c>
      <c r="B1235" s="472" t="str">
        <f>IFERROR(INDEX(Projetos!$B$3:$B$129,MATCH(A1235,Projetos!$A$3:$A$129,0))," ")</f>
        <v>Sisperjud</v>
      </c>
      <c r="D1235" s="214">
        <v>1</v>
      </c>
      <c r="E1235" s="214">
        <v>0.91</v>
      </c>
      <c r="F1235" s="219">
        <v>46167</v>
      </c>
      <c r="G1235" s="220">
        <v>46143</v>
      </c>
      <c r="H1235" s="51" t="str">
        <f t="shared" si="63"/>
        <v>11644/202246143</v>
      </c>
      <c r="I1235" s="473">
        <f>IFERROR(INDEX(Projetos!$M$2:$M$129,MATCH(Atualizações!A1235,Projetos!$A$2:$A$129,0))," ")</f>
        <v>46352</v>
      </c>
      <c r="J1235" s="221" t="s">
        <v>1554</v>
      </c>
      <c r="K1235" s="344">
        <f>IFERROR(Tb_Atualizações[[#This Row],[% EXECUTADO]]/Tb_Atualizações[[#This Row],[% PREVISTO]],"0%")</f>
        <v>0.91</v>
      </c>
      <c r="L1235" s="475" t="str" cm="1">
        <f t="array" aca="1" ref="L123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35" s="215"/>
      <c r="N1235" s="345"/>
      <c r="O1235" s="42">
        <f t="shared" si="64"/>
        <v>2026</v>
      </c>
      <c r="P1235" s="42" t="str">
        <f t="shared" si="65"/>
        <v>202611644/2022</v>
      </c>
      <c r="Q1235" s="42">
        <v>1</v>
      </c>
    </row>
    <row r="1236" spans="1:17" ht="285" hidden="1">
      <c r="A1236" s="192" t="s">
        <v>533</v>
      </c>
      <c r="B1236" s="472" t="str">
        <f>IFERROR(INDEX(Projetos!$B$3:$B$129,MATCH(A1236,Projetos!$A$3:$A$129,0))," ")</f>
        <v>Qualificação de Dados</v>
      </c>
      <c r="D1236" s="214">
        <v>0.75</v>
      </c>
      <c r="E1236" s="214">
        <v>0.66</v>
      </c>
      <c r="F1236" s="219">
        <v>46167</v>
      </c>
      <c r="G1236" s="220">
        <v>46143</v>
      </c>
      <c r="H1236" s="51" t="str">
        <f t="shared" si="63"/>
        <v>09613/202446143</v>
      </c>
      <c r="I1236" s="473">
        <f>IFERROR(INDEX(Projetos!$M$2:$M$129,MATCH(Atualizações!A1236,Projetos!$A$2:$A$129,0))," ")</f>
        <v>46386</v>
      </c>
      <c r="J1236" s="221" t="s">
        <v>1555</v>
      </c>
      <c r="K1236" s="344">
        <f>IFERROR(Tb_Atualizações[[#This Row],[% EXECUTADO]]/Tb_Atualizações[[#This Row],[% PREVISTO]],"0%")</f>
        <v>0.88</v>
      </c>
      <c r="L1236" s="475" t="str" cm="1">
        <f t="array" aca="1" ref="L123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36" s="215"/>
      <c r="N1236" s="345"/>
      <c r="O1236" s="42">
        <f t="shared" si="64"/>
        <v>2026</v>
      </c>
      <c r="P1236" s="42" t="str">
        <f t="shared" si="65"/>
        <v>202609613/2024</v>
      </c>
      <c r="Q1236" s="42">
        <v>1</v>
      </c>
    </row>
    <row r="1237" spans="1:17" ht="390" hidden="1">
      <c r="A1237" s="192" t="s">
        <v>257</v>
      </c>
      <c r="B1237" s="472" t="str">
        <f>IFERROR(INDEX(Projetos!$B$3:$B$129,MATCH(A1237,Projetos!$A$3:$A$129,0))," ")</f>
        <v>SisPreq – Sistema de Precatórios e Requisições de Pequeno Valor</v>
      </c>
      <c r="D1237" s="214">
        <v>0.77</v>
      </c>
      <c r="E1237" s="214">
        <v>0.5</v>
      </c>
      <c r="F1237" s="219">
        <v>46167</v>
      </c>
      <c r="G1237" s="220">
        <v>46143</v>
      </c>
      <c r="H1237" s="51" t="str">
        <f t="shared" si="63"/>
        <v>02465/202446143</v>
      </c>
      <c r="I1237" s="473" t="str">
        <f>IFERROR(INDEX(Projetos!$M$2:$M$129,MATCH(Atualizações!A1237,Projetos!$A$2:$A$129,0))," ")</f>
        <v>15/12/2026</v>
      </c>
      <c r="J1237" s="221" t="s">
        <v>1556</v>
      </c>
      <c r="K1237" s="344">
        <f>IFERROR(Tb_Atualizações[[#This Row],[% EXECUTADO]]/Tb_Atualizações[[#This Row],[% PREVISTO]],"0%")</f>
        <v>0.64935064935064934</v>
      </c>
      <c r="L1237" s="475" t="str" cm="1">
        <f t="array" aca="1" ref="L123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37" s="215"/>
      <c r="N1237" s="345"/>
      <c r="O1237" s="42">
        <f t="shared" si="64"/>
        <v>2026</v>
      </c>
      <c r="P1237" s="42" t="str">
        <f t="shared" si="65"/>
        <v>202602465/2024</v>
      </c>
      <c r="Q1237" s="42">
        <v>1</v>
      </c>
    </row>
    <row r="1238" spans="1:17" ht="30" hidden="1">
      <c r="A1238" s="192" t="s">
        <v>247</v>
      </c>
      <c r="B1238" s="472" t="str">
        <f>IFERROR(INDEX(Projetos!$B$3:$B$129,MATCH(A1238,Projetos!$A$3:$A$129,0))," ")</f>
        <v>Portal de Serviços</v>
      </c>
      <c r="D1238" s="214">
        <v>0.8</v>
      </c>
      <c r="E1238" s="214">
        <v>0.55000000000000004</v>
      </c>
      <c r="F1238" s="219">
        <v>46167</v>
      </c>
      <c r="G1238" s="220">
        <v>46143</v>
      </c>
      <c r="H1238" s="51" t="str">
        <f t="shared" si="63"/>
        <v>02394/202446143</v>
      </c>
      <c r="I1238" s="473">
        <f>IFERROR(INDEX(Projetos!$M$2:$M$129,MATCH(Atualizações!A1238,Projetos!$A$2:$A$129,0))," ")</f>
        <v>46387</v>
      </c>
      <c r="J1238" s="221"/>
      <c r="K1238" s="475"/>
      <c r="L1238" s="475" t="str" cm="1">
        <f t="array" aca="1" ref="L123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38" s="215"/>
      <c r="N1238" s="345"/>
      <c r="O1238" s="42">
        <f t="shared" si="64"/>
        <v>2026</v>
      </c>
      <c r="P1238" s="42" t="str">
        <f t="shared" si="65"/>
        <v>202602394/2024</v>
      </c>
    </row>
    <row r="1239" spans="1:17" ht="409.5" hidden="1">
      <c r="A1239" s="192" t="s">
        <v>517</v>
      </c>
      <c r="B1239" s="472" t="str">
        <f>IFERROR(INDEX(Projetos!$B$3:$B$129,MATCH(A1239,Projetos!$A$3:$A$129,0))," ")</f>
        <v>Domicílio Judicial Eletrônico - Melhorias Evolutivas</v>
      </c>
      <c r="D1239" s="214">
        <v>0.79</v>
      </c>
      <c r="E1239" s="214">
        <v>0.76</v>
      </c>
      <c r="F1239" s="219">
        <v>46167</v>
      </c>
      <c r="G1239" s="220">
        <v>46143</v>
      </c>
      <c r="H1239" s="51" t="str">
        <f t="shared" si="63"/>
        <v>09445/202346143</v>
      </c>
      <c r="I1239" s="473">
        <f>IFERROR(INDEX(Projetos!$M$2:$M$129,MATCH(Atualizações!A1239,Projetos!$A$2:$A$129,0))," ")</f>
        <v>46203</v>
      </c>
      <c r="J1239" s="221" t="s">
        <v>1557</v>
      </c>
      <c r="K1239" s="344">
        <f>IFERROR(Tb_Atualizações[[#This Row],[% EXECUTADO]]/Tb_Atualizações[[#This Row],[% PREVISTO]],"0%")</f>
        <v>0.96202531645569622</v>
      </c>
      <c r="L1239" s="475" t="str" cm="1">
        <f t="array" aca="1" ref="L123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39" s="215"/>
      <c r="N1239" s="345"/>
      <c r="O1239" s="42">
        <f t="shared" si="64"/>
        <v>2026</v>
      </c>
      <c r="P1239" s="42" t="str">
        <f t="shared" si="65"/>
        <v>202609445/2023</v>
      </c>
      <c r="Q1239" s="42">
        <v>1</v>
      </c>
    </row>
    <row r="1240" spans="1:17" ht="345" hidden="1">
      <c r="A1240" s="192" t="s">
        <v>396</v>
      </c>
      <c r="B1240" s="472" t="str">
        <f>IFERROR(INDEX(Projetos!$B$3:$B$129,MATCH(A1240,Projetos!$A$3:$A$129,0))," ")</f>
        <v>CODEX - Melhorias Evolutivas e Corretivas</v>
      </c>
      <c r="D1240" s="214">
        <v>0.86</v>
      </c>
      <c r="E1240" s="214">
        <v>0.86</v>
      </c>
      <c r="F1240" s="219">
        <v>46137</v>
      </c>
      <c r="G1240" s="220">
        <v>46143</v>
      </c>
      <c r="H1240" s="51" t="str">
        <f t="shared" si="63"/>
        <v>04751/202246143</v>
      </c>
      <c r="I1240" s="473">
        <f>IFERROR(INDEX(Projetos!$M$2:$M$129,MATCH(Atualizações!A1240,Projetos!$A$2:$A$129,0))," ")</f>
        <v>46387</v>
      </c>
      <c r="J1240" s="221" t="s">
        <v>1558</v>
      </c>
      <c r="K1240" s="344">
        <f>IFERROR(Tb_Atualizações[[#This Row],[% EXECUTADO]]/Tb_Atualizações[[#This Row],[% PREVISTO]],"0%")</f>
        <v>1</v>
      </c>
      <c r="L1240" s="475" t="str" cm="1">
        <f t="array" aca="1" ref="L124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40" s="215"/>
      <c r="N1240" s="345"/>
      <c r="O1240" s="42">
        <f t="shared" si="64"/>
        <v>2026</v>
      </c>
      <c r="P1240" s="42" t="str">
        <f t="shared" si="65"/>
        <v>202604751/2022</v>
      </c>
      <c r="Q1240" s="42">
        <v>1</v>
      </c>
    </row>
    <row r="1241" spans="1:17" ht="409.5" hidden="1">
      <c r="A1241" s="192" t="s">
        <v>549</v>
      </c>
      <c r="B1241" s="472" t="str">
        <f>IFERROR(INDEX(Projetos!$B$3:$B$129,MATCH(A1241,Projetos!$A$3:$A$129,0))," ")</f>
        <v>Fluxo Nacional Automatizado das Execuções Fiscais (EFIN)</v>
      </c>
      <c r="D1241" s="214">
        <v>0.92</v>
      </c>
      <c r="E1241" s="214">
        <v>0.86</v>
      </c>
      <c r="F1241" s="219">
        <v>46167</v>
      </c>
      <c r="G1241" s="220">
        <v>46143</v>
      </c>
      <c r="H1241" s="51" t="str">
        <f t="shared" si="63"/>
        <v>09796/202446143</v>
      </c>
      <c r="I1241" s="473">
        <f>IFERROR(INDEX(Projetos!$M$2:$M$129,MATCH(Atualizações!A1241,Projetos!$A$2:$A$129,0))," ")</f>
        <v>46226</v>
      </c>
      <c r="J1241" s="221" t="s">
        <v>1559</v>
      </c>
      <c r="K1241" s="344">
        <f>IFERROR(Tb_Atualizações[[#This Row],[% EXECUTADO]]/Tb_Atualizações[[#This Row],[% PREVISTO]],"0%")</f>
        <v>0.93478260869565211</v>
      </c>
      <c r="L1241" s="475" t="str" cm="1">
        <f t="array" aca="1" ref="L124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41" s="215"/>
      <c r="N1241" s="345"/>
      <c r="O1241" s="42">
        <f t="shared" si="64"/>
        <v>2026</v>
      </c>
      <c r="P1241" s="42" t="str">
        <f t="shared" si="65"/>
        <v>202609796/2024</v>
      </c>
      <c r="Q1241" s="42">
        <v>1</v>
      </c>
    </row>
    <row r="1242" spans="1:17" ht="409.5" hidden="1">
      <c r="A1242" s="192" t="s">
        <v>310</v>
      </c>
      <c r="B1242" s="472" t="str">
        <f>IFERROR(INDEX(Projetos!$B$3:$B$129,MATCH(A1242,Projetos!$A$3:$A$129,0))," ")</f>
        <v>Apoio a implantação de soluções da PDPJ-Br</v>
      </c>
      <c r="D1242" s="214">
        <v>0.8</v>
      </c>
      <c r="E1242" s="214">
        <v>0.8</v>
      </c>
      <c r="F1242" s="219">
        <v>46137</v>
      </c>
      <c r="G1242" s="220">
        <v>46143</v>
      </c>
      <c r="H1242" s="51" t="str">
        <f t="shared" si="63"/>
        <v>02887/202446143</v>
      </c>
      <c r="I1242" s="473">
        <f>IFERROR(INDEX(Projetos!$M$2:$M$129,MATCH(Atualizações!A1242,Projetos!$A$2:$A$129,0))," ")</f>
        <v>46387</v>
      </c>
      <c r="J1242" s="221" t="s">
        <v>1560</v>
      </c>
      <c r="K1242" s="344">
        <f>IFERROR(Tb_Atualizações[[#This Row],[% EXECUTADO]]/Tb_Atualizações[[#This Row],[% PREVISTO]],"0%")</f>
        <v>1</v>
      </c>
      <c r="L1242" s="475" t="str" cm="1">
        <f t="array" aca="1" ref="L124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42" s="215"/>
      <c r="N1242" s="345"/>
      <c r="O1242" s="42">
        <f t="shared" si="64"/>
        <v>2026</v>
      </c>
      <c r="P1242" s="42" t="str">
        <f t="shared" si="65"/>
        <v>202602887/2024</v>
      </c>
      <c r="Q1242" s="42">
        <v>1</v>
      </c>
    </row>
    <row r="1243" spans="1:17" hidden="1">
      <c r="A1243" s="192" t="s">
        <v>684</v>
      </c>
      <c r="B1243" s="472" t="str">
        <f>IFERROR(INDEX(Projetos!$B$3:$B$129,MATCH(A1243,Projetos!$A$3:$A$129,0))," ")</f>
        <v>Painel dos Grandes Litigantes</v>
      </c>
      <c r="D1243" s="214">
        <v>0.86</v>
      </c>
      <c r="E1243" s="214">
        <v>0.81</v>
      </c>
      <c r="F1243" s="219">
        <v>46167</v>
      </c>
      <c r="G1243" s="220">
        <v>46143</v>
      </c>
      <c r="H1243" s="51" t="str">
        <f t="shared" si="63"/>
        <v>12135/202246143</v>
      </c>
      <c r="I1243" s="473" t="str">
        <f>IFERROR(INDEX(Projetos!$M$2:$M$129,MATCH(Atualizações!A1243,Projetos!$A$2:$A$129,0))," ")</f>
        <v>30/06/26</v>
      </c>
      <c r="J1243" s="221"/>
      <c r="K1243" s="344">
        <f>IFERROR(Tb_Atualizações[[#This Row],[% EXECUTADO]]/Tb_Atualizações[[#This Row],[% PREVISTO]],"0%")</f>
        <v>0.94186046511627919</v>
      </c>
      <c r="L1243" s="475" t="str" cm="1">
        <f t="array" aca="1" ref="L124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43" s="215"/>
      <c r="N1243" s="345"/>
      <c r="O1243" s="42">
        <f t="shared" si="64"/>
        <v>2026</v>
      </c>
      <c r="P1243" s="42" t="str">
        <f t="shared" si="65"/>
        <v>202612135/2022</v>
      </c>
      <c r="Q1243" s="42">
        <v>1</v>
      </c>
    </row>
    <row r="1244" spans="1:17" ht="409.5" hidden="1">
      <c r="A1244" s="192" t="s">
        <v>236</v>
      </c>
      <c r="B1244" s="472" t="str">
        <f>IFERROR(INDEX(Projetos!$B$3:$B$129,MATCH(A1244,Projetos!$A$3:$A$129,0))," ")</f>
        <v>SEEU - Reescrita</v>
      </c>
      <c r="D1244" s="214">
        <v>1</v>
      </c>
      <c r="E1244" s="214">
        <v>0.85</v>
      </c>
      <c r="F1244" s="219">
        <v>46137</v>
      </c>
      <c r="G1244" s="220">
        <v>46143</v>
      </c>
      <c r="H1244" s="51" t="str">
        <f t="shared" ref="H1244:H1265" si="66">A1244&amp;G1244</f>
        <v>02245/202546143</v>
      </c>
      <c r="I1244" s="473">
        <f>IFERROR(INDEX(Projetos!$M$2:$M$129,MATCH(Atualizações!A1244,Projetos!$A$2:$A$129,0))," ")</f>
        <v>46387</v>
      </c>
      <c r="J1244" s="221" t="s">
        <v>1561</v>
      </c>
      <c r="K1244" s="344">
        <f>IFERROR(Tb_Atualizações[[#This Row],[% EXECUTADO]]/Tb_Atualizações[[#This Row],[% PREVISTO]],"0%")</f>
        <v>0.85</v>
      </c>
      <c r="L1244" s="475" t="str" cm="1">
        <f t="array" aca="1" ref="L124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44" s="215"/>
      <c r="N1244" s="345"/>
      <c r="O1244" s="42">
        <f t="shared" ref="O1244:O1265" si="67">YEAR(F1244)</f>
        <v>2026</v>
      </c>
      <c r="P1244" s="42" t="str">
        <f t="shared" ref="P1244:P1265" si="68">O1244&amp;A1244</f>
        <v>202602245/2025</v>
      </c>
      <c r="Q1244" s="42">
        <v>1</v>
      </c>
    </row>
    <row r="1245" spans="1:17" ht="390" hidden="1">
      <c r="A1245" s="192" t="s">
        <v>773</v>
      </c>
      <c r="B1245" s="472" t="str">
        <f>IFERROR(INDEX(Projetos!$B$3:$B$129,MATCH(A1245,Projetos!$A$3:$A$129,0))," ")</f>
        <v>API de Pessoas</v>
      </c>
      <c r="D1245" s="214">
        <v>0.7</v>
      </c>
      <c r="E1245" s="214">
        <v>0.5</v>
      </c>
      <c r="F1245" s="219">
        <v>46137</v>
      </c>
      <c r="G1245" s="220">
        <v>46143</v>
      </c>
      <c r="H1245" s="51" t="str">
        <f t="shared" si="66"/>
        <v>17372/2024 46143</v>
      </c>
      <c r="I1245" s="473">
        <f>IFERROR(INDEX(Projetos!$M$2:$M$129,MATCH(Atualizações!A1245,Projetos!$A$2:$A$129,0))," ")</f>
        <v>46371</v>
      </c>
      <c r="J1245" s="221" t="s">
        <v>1562</v>
      </c>
      <c r="K1245" s="344">
        <f>IFERROR(Tb_Atualizações[[#This Row],[% EXECUTADO]]/Tb_Atualizações[[#This Row],[% PREVISTO]],"0%")</f>
        <v>0.7142857142857143</v>
      </c>
      <c r="L1245" s="475" t="str" cm="1">
        <f t="array" aca="1" ref="L124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45" s="215"/>
      <c r="N1245" s="345"/>
      <c r="O1245" s="42">
        <f t="shared" si="67"/>
        <v>2026</v>
      </c>
      <c r="P1245" s="42" t="str">
        <f t="shared" si="68"/>
        <v xml:space="preserve">202617372/2024 </v>
      </c>
      <c r="Q1245" s="42">
        <v>1</v>
      </c>
    </row>
    <row r="1246" spans="1:17" ht="409.5" hidden="1">
      <c r="A1246" s="192" t="s">
        <v>644</v>
      </c>
      <c r="B1246" s="472" t="str">
        <f>IFERROR(INDEX(Projetos!$B$3:$B$129,MATCH(A1246,Projetos!$A$3:$A$129,0))," ")</f>
        <v>BNP/Pangea</v>
      </c>
      <c r="D1246" s="214">
        <v>0.83</v>
      </c>
      <c r="E1246" s="214">
        <v>0.76</v>
      </c>
      <c r="F1246" s="219">
        <v>46137</v>
      </c>
      <c r="G1246" s="220">
        <v>46143</v>
      </c>
      <c r="H1246" s="51" t="str">
        <f t="shared" si="66"/>
        <v>11645/202246143</v>
      </c>
      <c r="I1246" s="473" t="str">
        <f>IFERROR(INDEX(Projetos!$M$2:$M$129,MATCH(Atualizações!A1246,Projetos!$A$2:$A$129,0))," ")</f>
        <v>23/12/2026</v>
      </c>
      <c r="J1246" s="221" t="s">
        <v>1563</v>
      </c>
      <c r="K1246" s="344">
        <f>IFERROR(Tb_Atualizações[[#This Row],[% EXECUTADO]]/Tb_Atualizações[[#This Row],[% PREVISTO]],"0%")</f>
        <v>0.9156626506024097</v>
      </c>
      <c r="L1246" s="475" t="str" cm="1">
        <f t="array" aca="1" ref="L124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46" s="215"/>
      <c r="N1246" s="345"/>
      <c r="O1246" s="42">
        <f t="shared" si="67"/>
        <v>2026</v>
      </c>
      <c r="P1246" s="42" t="str">
        <f t="shared" si="68"/>
        <v>202611645/2022</v>
      </c>
      <c r="Q1246" s="42">
        <v>1</v>
      </c>
    </row>
    <row r="1247" spans="1:17" hidden="1">
      <c r="A1247" s="192" t="s">
        <v>917</v>
      </c>
      <c r="B1247" s="472" t="str">
        <f>IFERROR(INDEX(Projetos!$B$3:$B$129,MATCH(A1247,Projetos!$A$3:$A$129,0))," ")</f>
        <v>e-NatJus 4.0</v>
      </c>
      <c r="D1247" s="214">
        <v>0.69</v>
      </c>
      <c r="E1247" s="214">
        <v>0.66</v>
      </c>
      <c r="F1247" s="219">
        <v>46137</v>
      </c>
      <c r="G1247" s="220">
        <v>46143</v>
      </c>
      <c r="H1247" s="51" t="str">
        <f t="shared" si="66"/>
        <v>17529/202446143</v>
      </c>
      <c r="I1247" s="473">
        <f>IFERROR(INDEX(Projetos!$M$2:$M$129,MATCH(Atualizações!A1247,Projetos!$A$2:$A$129,0))," ")</f>
        <v>46386</v>
      </c>
      <c r="J1247" s="221"/>
      <c r="K1247" s="344">
        <f>IFERROR(Tb_Atualizações[[#This Row],[% EXECUTADO]]/Tb_Atualizações[[#This Row],[% PREVISTO]],"0%")</f>
        <v>0.95652173913043492</v>
      </c>
      <c r="L1247" s="475" t="str" cm="1">
        <f t="array" aca="1" ref="L124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47" s="215"/>
      <c r="N1247" s="345"/>
      <c r="O1247" s="42">
        <f t="shared" si="67"/>
        <v>2026</v>
      </c>
      <c r="P1247" s="42" t="str">
        <f t="shared" si="68"/>
        <v>202617529/2024</v>
      </c>
      <c r="Q1247" s="42">
        <v>1</v>
      </c>
    </row>
    <row r="1248" spans="1:17" hidden="1">
      <c r="A1248" s="192" t="s">
        <v>350</v>
      </c>
      <c r="B1248" s="472" t="str">
        <f>IFERROR(INDEX(Projetos!$B$3:$B$129,MATCH(A1248,Projetos!$A$3:$A$129,0))," ")</f>
        <v>Painel de Estatística   - Justiça 4.0</v>
      </c>
      <c r="D1248" s="214">
        <v>0.89</v>
      </c>
      <c r="E1248" s="214">
        <v>0.77</v>
      </c>
      <c r="F1248" s="219">
        <v>46167</v>
      </c>
      <c r="G1248" s="220">
        <v>46143</v>
      </c>
      <c r="H1248" s="51" t="str">
        <f t="shared" si="66"/>
        <v>03545/202146143</v>
      </c>
      <c r="I1248" s="473">
        <f>IFERROR(INDEX(Projetos!$M$2:$M$129,MATCH(Atualizações!A1248,Projetos!$A$2:$A$129,0))," ")</f>
        <v>46387</v>
      </c>
      <c r="J1248" s="221"/>
      <c r="K1248" s="344">
        <f>IFERROR(Tb_Atualizações[[#This Row],[% EXECUTADO]]/Tb_Atualizações[[#This Row],[% PREVISTO]],"0%")</f>
        <v>0.8651685393258427</v>
      </c>
      <c r="L1248" s="475" t="str" cm="1">
        <f t="array" aca="1" ref="L124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48" s="215"/>
      <c r="N1248" s="345"/>
      <c r="O1248" s="42">
        <f t="shared" si="67"/>
        <v>2026</v>
      </c>
      <c r="P1248" s="42" t="str">
        <f t="shared" si="68"/>
        <v>202603545/2021</v>
      </c>
      <c r="Q1248" s="42">
        <v>1</v>
      </c>
    </row>
    <row r="1249" spans="1:17" ht="120" hidden="1">
      <c r="A1249" s="192" t="s">
        <v>229</v>
      </c>
      <c r="B1249" s="472" t="str">
        <f>IFERROR(INDEX(Projetos!$B$3:$B$129,MATCH(A1249,Projetos!$A$3:$A$129,0))," ")</f>
        <v>Gabinete do Juízo</v>
      </c>
      <c r="D1249" s="214">
        <v>0.85</v>
      </c>
      <c r="E1249" s="214">
        <v>0.66</v>
      </c>
      <c r="F1249" s="219">
        <v>46167</v>
      </c>
      <c r="G1249" s="220">
        <v>46143</v>
      </c>
      <c r="H1249" s="51" t="str">
        <f t="shared" si="66"/>
        <v>02080/202346143</v>
      </c>
      <c r="I1249" s="473">
        <f>IFERROR(INDEX(Projetos!$M$2:$M$129,MATCH(Atualizações!A1249,Projetos!$A$2:$A$129,0))," ")</f>
        <v>46379</v>
      </c>
      <c r="J1249" s="221" t="s">
        <v>1546</v>
      </c>
      <c r="K1249" s="344">
        <f>IFERROR(Tb_Atualizações[[#This Row],[% EXECUTADO]]/Tb_Atualizações[[#This Row],[% PREVISTO]],"0%")</f>
        <v>0.77647058823529413</v>
      </c>
      <c r="L1249" s="475" t="str" cm="1">
        <f t="array" aca="1" ref="L124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49" s="215"/>
      <c r="N1249" s="345"/>
      <c r="O1249" s="42">
        <f t="shared" si="67"/>
        <v>2026</v>
      </c>
      <c r="P1249" s="42" t="str">
        <f t="shared" si="68"/>
        <v>202602080/2023</v>
      </c>
      <c r="Q1249" s="42">
        <v>1</v>
      </c>
    </row>
    <row r="1250" spans="1:17" ht="105" hidden="1">
      <c r="A1250" s="192" t="s">
        <v>690</v>
      </c>
      <c r="B1250" s="472" t="str">
        <f>IFERROR(INDEX(Projetos!$B$3:$B$129,MATCH(A1250,Projetos!$A$3:$A$129,0))," ")</f>
        <v>Painel “Justiça Criminal e Sistema Prisional”</v>
      </c>
      <c r="D1250" s="214">
        <v>0.8</v>
      </c>
      <c r="E1250" s="214">
        <v>0.7</v>
      </c>
      <c r="F1250" s="219">
        <v>46167</v>
      </c>
      <c r="G1250" s="220">
        <v>46143</v>
      </c>
      <c r="H1250" s="51" t="str">
        <f t="shared" si="66"/>
        <v>12215/202346143</v>
      </c>
      <c r="I1250" s="473">
        <f>IFERROR(INDEX(Projetos!$M$2:$M$129,MATCH(Atualizações!A1250,Projetos!$A$2:$A$129,0))," ")</f>
        <v>46387</v>
      </c>
      <c r="J1250" s="221" t="s">
        <v>1564</v>
      </c>
      <c r="K1250" s="344">
        <f>IFERROR(Tb_Atualizações[[#This Row],[% EXECUTADO]]/Tb_Atualizações[[#This Row],[% PREVISTO]],"0%")</f>
        <v>0.87499999999999989</v>
      </c>
      <c r="L1250" s="475" t="str" cm="1">
        <f t="array" aca="1" ref="L125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0" s="215"/>
      <c r="N1250" s="345"/>
      <c r="O1250" s="42">
        <f t="shared" si="67"/>
        <v>2026</v>
      </c>
      <c r="P1250" s="42" t="str">
        <f t="shared" si="68"/>
        <v>202612215/2023</v>
      </c>
      <c r="Q1250" s="42">
        <v>1</v>
      </c>
    </row>
    <row r="1251" spans="1:17" ht="409.5" hidden="1">
      <c r="A1251" s="192" t="s">
        <v>431</v>
      </c>
      <c r="B1251" s="472" t="str">
        <f>IFERROR(INDEX(Projetos!$B$3:$B$129,MATCH(A1251,Projetos!$A$3:$A$129,0))," ")</f>
        <v>Sniper BC</v>
      </c>
      <c r="D1251" s="214">
        <v>0.86</v>
      </c>
      <c r="E1251" s="214">
        <v>0.76</v>
      </c>
      <c r="F1251" s="219">
        <v>46167</v>
      </c>
      <c r="G1251" s="220">
        <v>46143</v>
      </c>
      <c r="H1251" s="51" t="str">
        <f t="shared" si="66"/>
        <v>06826/202446143</v>
      </c>
      <c r="I1251" s="473">
        <f>IFERROR(INDEX(Projetos!$M$2:$M$129,MATCH(Atualizações!A1251,Projetos!$A$2:$A$129,0))," ")</f>
        <v>46281</v>
      </c>
      <c r="J1251" s="221" t="s">
        <v>1565</v>
      </c>
      <c r="K1251" s="344">
        <f>IFERROR(Tb_Atualizações[[#This Row],[% EXECUTADO]]/Tb_Atualizações[[#This Row],[% PREVISTO]],"0%")</f>
        <v>0.88372093023255816</v>
      </c>
      <c r="L1251" s="475" t="str" cm="1">
        <f t="array" aca="1" ref="L125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1" s="215"/>
      <c r="N1251" s="345"/>
      <c r="O1251" s="42">
        <f t="shared" si="67"/>
        <v>2026</v>
      </c>
      <c r="P1251" s="42" t="str">
        <f t="shared" si="68"/>
        <v>202606826/2024</v>
      </c>
      <c r="Q1251" s="42">
        <v>1</v>
      </c>
    </row>
    <row r="1252" spans="1:17" hidden="1">
      <c r="A1252" s="192" t="s">
        <v>83</v>
      </c>
      <c r="B1252" s="472" t="str">
        <f>IFERROR(INDEX(Projetos!$B$3:$B$129,MATCH(A1252,Projetos!$A$3:$A$129,0))," ")</f>
        <v>Painel do Programa Desjudicializa</v>
      </c>
      <c r="D1252" s="214">
        <v>0.78</v>
      </c>
      <c r="E1252" s="214">
        <v>0.7</v>
      </c>
      <c r="F1252" s="219">
        <v>46167</v>
      </c>
      <c r="G1252" s="220">
        <v>46143</v>
      </c>
      <c r="H1252" s="51" t="str">
        <f t="shared" si="66"/>
        <v>00484/202446143</v>
      </c>
      <c r="I1252" s="473">
        <f>IFERROR(INDEX(Projetos!$M$2:$M$129,MATCH(Atualizações!A1252,Projetos!$A$2:$A$129,0))," ")</f>
        <v>46387</v>
      </c>
      <c r="J1252" s="221"/>
      <c r="K1252" s="344">
        <f>IFERROR(Tb_Atualizações[[#This Row],[% EXECUTADO]]/Tb_Atualizações[[#This Row],[% PREVISTO]],"0%")</f>
        <v>0.89743589743589736</v>
      </c>
      <c r="L1252" s="475" t="str" cm="1">
        <f t="array" aca="1" ref="L125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2" s="215"/>
      <c r="N1252" s="345"/>
      <c r="O1252" s="42">
        <f t="shared" si="67"/>
        <v>2026</v>
      </c>
      <c r="P1252" s="42" t="str">
        <f t="shared" si="68"/>
        <v>202600484/2024</v>
      </c>
      <c r="Q1252" s="42">
        <v>1</v>
      </c>
    </row>
    <row r="1253" spans="1:17" hidden="1">
      <c r="A1253" s="192" t="s">
        <v>580</v>
      </c>
      <c r="B1253" s="472" t="str">
        <f>IFERROR(INDEX(Projetos!$B$3:$B$129,MATCH(A1253,Projetos!$A$3:$A$129,0))," ")</f>
        <v>SireneJud 2.0 - Evoluções</v>
      </c>
      <c r="D1253" s="214">
        <v>0.75</v>
      </c>
      <c r="E1253" s="214">
        <v>0.67</v>
      </c>
      <c r="F1253" s="219">
        <v>46167</v>
      </c>
      <c r="G1253" s="220">
        <v>46143</v>
      </c>
      <c r="H1253" s="51" t="str">
        <f t="shared" si="66"/>
        <v>10698/202446143</v>
      </c>
      <c r="I1253" s="473">
        <f>IFERROR(INDEX(Projetos!$M$2:$M$129,MATCH(Atualizações!A1253,Projetos!$A$2:$A$129,0))," ")</f>
        <v>46387</v>
      </c>
      <c r="J1253" s="221"/>
      <c r="K1253" s="344">
        <f>IFERROR(Tb_Atualizações[[#This Row],[% EXECUTADO]]/Tb_Atualizações[[#This Row],[% PREVISTO]],"0%")</f>
        <v>0.89333333333333342</v>
      </c>
      <c r="L1253" s="475" t="str" cm="1">
        <f t="array" aca="1" ref="L125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3" s="215"/>
      <c r="N1253" s="345"/>
      <c r="O1253" s="42">
        <f t="shared" si="67"/>
        <v>2026</v>
      </c>
      <c r="P1253" s="42" t="str">
        <f t="shared" si="68"/>
        <v>202610698/2024</v>
      </c>
      <c r="Q1253" s="42">
        <v>1</v>
      </c>
    </row>
    <row r="1254" spans="1:17" ht="63" hidden="1">
      <c r="A1254" s="192" t="s">
        <v>219</v>
      </c>
      <c r="B1254" s="472" t="str">
        <f>IFERROR(INDEX(Projetos!$B$3:$B$129,MATCH(A1254,Projetos!$A$3:$A$129,0))," ")</f>
        <v xml:space="preserve">Aperfeiçoamento funcional em temáticas prioritárias para o CNJ e para Justiça Federal 
(cursos, capacitações, metodologias e ferramentas avançados) – Ciclo Avançado </v>
      </c>
      <c r="D1254" s="214">
        <v>0.84</v>
      </c>
      <c r="E1254" s="214">
        <v>0.88</v>
      </c>
      <c r="F1254" s="219">
        <v>46167</v>
      </c>
      <c r="G1254" s="220">
        <v>46143</v>
      </c>
      <c r="H1254" s="51" t="str">
        <f t="shared" si="66"/>
        <v>02024/202446143</v>
      </c>
      <c r="I1254" s="473">
        <f>IFERROR(INDEX(Projetos!$M$2:$M$129,MATCH(Atualizações!A1254,Projetos!$A$2:$A$129,0))," ")</f>
        <v>46246</v>
      </c>
      <c r="J1254" s="221"/>
      <c r="K1254" s="344">
        <f>IFERROR(Tb_Atualizações[[#This Row],[% EXECUTADO]]/Tb_Atualizações[[#This Row],[% PREVISTO]],"0%")</f>
        <v>1.0476190476190477</v>
      </c>
      <c r="L1254" s="475" t="str" cm="1">
        <f t="array" aca="1" ref="L125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54" s="215"/>
      <c r="N1254" s="345"/>
      <c r="O1254" s="42">
        <f t="shared" si="67"/>
        <v>2026</v>
      </c>
      <c r="P1254" s="42" t="str">
        <f t="shared" si="68"/>
        <v>202602024/2024</v>
      </c>
      <c r="Q1254" s="42">
        <v>1</v>
      </c>
    </row>
    <row r="1255" spans="1:17" ht="255" hidden="1">
      <c r="A1255" s="192" t="s">
        <v>738</v>
      </c>
      <c r="B1255" s="472" t="str">
        <f>IFERROR(INDEX(Projetos!$B$3:$B$129,MATCH(A1255,Projetos!$A$3:$A$129,0))," ")</f>
        <v>FONAR - Formulário Nacional de Avaliação de Risco e Formulário Rogéria</v>
      </c>
      <c r="D1255" s="214">
        <v>0.91</v>
      </c>
      <c r="E1255" s="214">
        <v>0.67</v>
      </c>
      <c r="F1255" s="219">
        <v>46167</v>
      </c>
      <c r="G1255" s="220">
        <v>46143</v>
      </c>
      <c r="H1255" s="51" t="str">
        <f t="shared" si="66"/>
        <v>16319/202446143</v>
      </c>
      <c r="I1255" s="473">
        <f>IFERROR(INDEX(Projetos!$M$2:$M$129,MATCH(Atualizações!A1255,Projetos!$A$2:$A$129,0))," ")</f>
        <v>46195</v>
      </c>
      <c r="J1255" s="221" t="s">
        <v>1566</v>
      </c>
      <c r="K1255" s="344">
        <f>IFERROR(Tb_Atualizações[[#This Row],[% EXECUTADO]]/Tb_Atualizações[[#This Row],[% PREVISTO]],"0%")</f>
        <v>0.73626373626373631</v>
      </c>
      <c r="L1255" s="475" t="str" cm="1">
        <f t="array" aca="1" ref="L125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55" s="215"/>
      <c r="N1255" s="345"/>
      <c r="O1255" s="42">
        <f t="shared" si="67"/>
        <v>2026</v>
      </c>
      <c r="P1255" s="42" t="str">
        <f t="shared" si="68"/>
        <v>202616319/2024</v>
      </c>
      <c r="Q1255" s="42">
        <v>1</v>
      </c>
    </row>
    <row r="1256" spans="1:17" ht="255" hidden="1">
      <c r="A1256" s="192" t="s">
        <v>661</v>
      </c>
      <c r="B1256" s="472" t="str">
        <f>IFERROR(INDEX(Projetos!$B$3:$B$129,MATCH(A1256,Projetos!$A$3:$A$129,0))," ")</f>
        <v>BNMP – Banco Nacional de Medidas Penais e Prisões – Melhorias Evolutivas</v>
      </c>
      <c r="D1256" s="214">
        <v>0.73</v>
      </c>
      <c r="E1256" s="214">
        <v>0.67</v>
      </c>
      <c r="F1256" s="219">
        <v>46167</v>
      </c>
      <c r="G1256" s="220">
        <v>46143</v>
      </c>
      <c r="H1256" s="51" t="str">
        <f t="shared" si="66"/>
        <v>11776/202446143</v>
      </c>
      <c r="I1256" s="473">
        <f>IFERROR(INDEX(Projetos!$M$2:$M$129,MATCH(Atualizações!A1256,Projetos!$A$2:$A$129,0))," ")</f>
        <v>46379</v>
      </c>
      <c r="J1256" s="221" t="s">
        <v>1567</v>
      </c>
      <c r="K1256" s="344">
        <f>IFERROR(Tb_Atualizações[[#This Row],[% EXECUTADO]]/Tb_Atualizações[[#This Row],[% PREVISTO]],"0%")</f>
        <v>0.91780821917808231</v>
      </c>
      <c r="L1256" s="475" t="str" cm="1">
        <f t="array" aca="1" ref="L1256"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6" s="215"/>
      <c r="N1256" s="345"/>
      <c r="O1256" s="42">
        <f t="shared" si="67"/>
        <v>2026</v>
      </c>
      <c r="P1256" s="42" t="str">
        <f t="shared" si="68"/>
        <v>202611776/2024</v>
      </c>
      <c r="Q1256" s="42">
        <v>1</v>
      </c>
    </row>
    <row r="1257" spans="1:17" hidden="1">
      <c r="A1257" s="192" t="s">
        <v>129</v>
      </c>
      <c r="B1257" s="472" t="str">
        <f>IFERROR(INDEX(Projetos!$B$3:$B$129,MATCH(A1257,Projetos!$A$3:$A$129,0))," ")</f>
        <v>Data Lake - Melhorias Evolutivas e Corretivas</v>
      </c>
      <c r="D1257" s="214">
        <v>0.68</v>
      </c>
      <c r="E1257" s="214">
        <v>0.64</v>
      </c>
      <c r="F1257" s="219">
        <v>46167</v>
      </c>
      <c r="G1257" s="220">
        <v>46143</v>
      </c>
      <c r="H1257" s="51" t="str">
        <f t="shared" si="66"/>
        <v>01167/202546143</v>
      </c>
      <c r="I1257" s="473">
        <f>IFERROR(INDEX(Projetos!$M$2:$M$129,MATCH(Atualizações!A1257,Projetos!$A$2:$A$129,0))," ")</f>
        <v>46387</v>
      </c>
      <c r="J1257" s="221"/>
      <c r="K1257" s="344">
        <f>IFERROR(Tb_Atualizações[[#This Row],[% EXECUTADO]]/Tb_Atualizações[[#This Row],[% PREVISTO]],"0%")</f>
        <v>0.94117647058823528</v>
      </c>
      <c r="L1257" s="475" t="str" cm="1">
        <f t="array" aca="1" ref="L1257"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Em atenção</v>
      </c>
      <c r="M1257" s="215"/>
      <c r="N1257" s="345"/>
      <c r="O1257" s="42">
        <f t="shared" si="67"/>
        <v>2026</v>
      </c>
      <c r="P1257" s="42" t="str">
        <f t="shared" si="68"/>
        <v>202601167/2025</v>
      </c>
      <c r="Q1257" s="42">
        <v>1</v>
      </c>
    </row>
    <row r="1258" spans="1:17" ht="30" hidden="1">
      <c r="A1258" s="192" t="s">
        <v>416</v>
      </c>
      <c r="B1258" s="472" t="str">
        <f>IFERROR(INDEX(Projetos!$B$3:$B$129,MATCH(A1258,Projetos!$A$3:$A$129,0))," ")</f>
        <v>Conecta</v>
      </c>
      <c r="D1258" s="214">
        <v>0.76</v>
      </c>
      <c r="E1258" s="214">
        <v>0.64</v>
      </c>
      <c r="F1258" s="219">
        <v>46167</v>
      </c>
      <c r="G1258" s="220">
        <v>46143</v>
      </c>
      <c r="H1258" s="51" t="str">
        <f t="shared" si="66"/>
        <v>05578/202446143</v>
      </c>
      <c r="I1258" s="473" t="str">
        <f>IFERROR(INDEX(Projetos!$M$2:$M$129,MATCH(Atualizações!A1258,Projetos!$A$2:$A$129,0))," ")</f>
        <v>31/12/2026</v>
      </c>
      <c r="J1258" s="221"/>
      <c r="K1258" s="344">
        <f>IFERROR(Tb_Atualizações[[#This Row],[% EXECUTADO]]/Tb_Atualizações[[#This Row],[% PREVISTO]],"0%")</f>
        <v>0.84210526315789469</v>
      </c>
      <c r="L1258" s="475" t="str" cm="1">
        <f t="array" aca="1" ref="L1258"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58" s="215"/>
      <c r="N1258" s="345"/>
      <c r="O1258" s="42">
        <f t="shared" si="67"/>
        <v>2026</v>
      </c>
      <c r="P1258" s="42" t="str">
        <f t="shared" si="68"/>
        <v>202605578/2024</v>
      </c>
      <c r="Q1258" s="42">
        <v>1</v>
      </c>
    </row>
    <row r="1259" spans="1:17" ht="409.5" hidden="1">
      <c r="A1259" s="192" t="s">
        <v>722</v>
      </c>
      <c r="B1259" s="472" t="str">
        <f>IFERROR(INDEX(Projetos!$B$3:$B$129,MATCH(A1259,Projetos!$A$3:$A$129,0))," ")</f>
        <v>Serviços Estruturantes - Melhorias Evolutivas e Corretivas</v>
      </c>
      <c r="D1259" s="214">
        <v>0.56000000000000005</v>
      </c>
      <c r="E1259" s="214">
        <v>0.56000000000000005</v>
      </c>
      <c r="F1259" s="219">
        <v>46167</v>
      </c>
      <c r="G1259" s="220">
        <v>46143</v>
      </c>
      <c r="H1259" s="51" t="str">
        <f t="shared" si="66"/>
        <v>14965/202446143</v>
      </c>
      <c r="I1259" s="473">
        <f>IFERROR(INDEX(Projetos!$M$2:$M$129,MATCH(Atualizações!A1259,Projetos!$A$2:$A$129,0))," ")</f>
        <v>46387</v>
      </c>
      <c r="J1259" s="221" t="s">
        <v>1568</v>
      </c>
      <c r="K1259" s="344">
        <f>IFERROR(Tb_Atualizações[[#This Row],[% EXECUTADO]]/Tb_Atualizações[[#This Row],[% PREVISTO]],"0%")</f>
        <v>1</v>
      </c>
      <c r="L1259" s="475" t="str" cm="1">
        <f t="array" aca="1" ref="L1259"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No prazo</v>
      </c>
      <c r="M1259" s="215"/>
      <c r="N1259" s="345"/>
      <c r="O1259" s="42">
        <f t="shared" si="67"/>
        <v>2026</v>
      </c>
      <c r="P1259" s="42" t="str">
        <f t="shared" si="68"/>
        <v>202614965/2024</v>
      </c>
      <c r="Q1259" s="42">
        <v>1</v>
      </c>
    </row>
    <row r="1260" spans="1:17" ht="210" hidden="1">
      <c r="A1260" s="192" t="s">
        <v>539</v>
      </c>
      <c r="B1260" s="472" t="str">
        <f>IFERROR(INDEX(Projetos!$B$3:$B$129,MATCH(A1260,Projetos!$A$3:$A$129,0))," ")</f>
        <v>Desenvolvimento do módulo de Sessão de Julgamento (PDPJ-Br)</v>
      </c>
      <c r="D1260" s="214">
        <v>0.74</v>
      </c>
      <c r="E1260" s="214">
        <v>0.43</v>
      </c>
      <c r="F1260" s="219">
        <v>46167</v>
      </c>
      <c r="G1260" s="220">
        <v>46143</v>
      </c>
      <c r="H1260" s="51" t="str">
        <f t="shared" si="66"/>
        <v>09630/202446143</v>
      </c>
      <c r="I1260" s="473">
        <f>IFERROR(INDEX(Projetos!$M$2:$M$129,MATCH(Atualizações!A1260,Projetos!$A$2:$A$129,0))," ")</f>
        <v>46387</v>
      </c>
      <c r="J1260" s="221" t="s">
        <v>1569</v>
      </c>
      <c r="K1260" s="344">
        <f>IFERROR(Tb_Atualizações[[#This Row],[% EXECUTADO]]/Tb_Atualizações[[#This Row],[% PREVISTO]],"0%")</f>
        <v>0.58108108108108103</v>
      </c>
      <c r="L1260" s="475" t="str" cm="1">
        <f t="array" aca="1" ref="L1260"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60" s="215"/>
      <c r="N1260" s="345"/>
      <c r="O1260" s="42">
        <f t="shared" si="67"/>
        <v>2026</v>
      </c>
      <c r="P1260" s="42" t="str">
        <f t="shared" si="68"/>
        <v>202609630/2024</v>
      </c>
      <c r="Q1260" s="42">
        <v>1</v>
      </c>
    </row>
    <row r="1261" spans="1:17" ht="30" hidden="1">
      <c r="A1261" s="192" t="s">
        <v>152</v>
      </c>
      <c r="B1261" s="472" t="str">
        <f>IFERROR(INDEX(Projetos!$B$3:$B$129,MATCH(A1261,Projetos!$A$3:$A$129,0))," ")</f>
        <v>Painel da Fazenda Nacional.</v>
      </c>
      <c r="D1261" s="214">
        <v>0.67</v>
      </c>
      <c r="E1261" s="214">
        <v>0.51</v>
      </c>
      <c r="F1261" s="219">
        <v>46167</v>
      </c>
      <c r="G1261" s="220">
        <v>46143</v>
      </c>
      <c r="H1261" s="51" t="str">
        <f t="shared" si="66"/>
        <v>01247/202546143</v>
      </c>
      <c r="I1261" s="473">
        <f>IFERROR(INDEX(Projetos!$M$2:$M$129,MATCH(Atualizações!A1261,Projetos!$A$2:$A$129,0))," ")</f>
        <v>46387</v>
      </c>
      <c r="J1261" s="221"/>
      <c r="K1261" s="344">
        <f>IFERROR(Tb_Atualizações[[#This Row],[% EXECUTADO]]/Tb_Atualizações[[#This Row],[% PREVISTO]],"0%")</f>
        <v>0.76119402985074625</v>
      </c>
      <c r="L1261" s="475" t="str" cm="1">
        <f t="array" aca="1" ref="L1261"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61" s="215"/>
      <c r="N1261" s="345"/>
      <c r="O1261" s="42">
        <f t="shared" si="67"/>
        <v>2026</v>
      </c>
      <c r="P1261" s="42" t="str">
        <f t="shared" si="68"/>
        <v>202601247/2025</v>
      </c>
      <c r="Q1261" s="42">
        <v>1</v>
      </c>
    </row>
    <row r="1262" spans="1:17" ht="30" hidden="1">
      <c r="A1262" s="192" t="s">
        <v>756</v>
      </c>
      <c r="B1262" s="472" t="str">
        <f>IFERROR(INDEX(Projetos!$B$3:$B$129,MATCH(A1262,Projetos!$A$3:$A$129,0))," ")</f>
        <v>Módulo de Pessoal e Estrutura Judiciária Mensal (MPM) V.2</v>
      </c>
      <c r="D1262" s="214">
        <v>0.64</v>
      </c>
      <c r="E1262" s="214">
        <v>0.45</v>
      </c>
      <c r="F1262" s="219">
        <v>46167</v>
      </c>
      <c r="G1262" s="220">
        <v>46143</v>
      </c>
      <c r="H1262" s="51" t="str">
        <f t="shared" si="66"/>
        <v>16882/202546143</v>
      </c>
      <c r="I1262" s="473">
        <f>IFERROR(INDEX(Projetos!$M$2:$M$129,MATCH(Atualizações!A1262,Projetos!$A$2:$A$129,0))," ")</f>
        <v>46387</v>
      </c>
      <c r="J1262" s="221"/>
      <c r="K1262" s="344">
        <f>IFERROR(Tb_Atualizações[[#This Row],[% EXECUTADO]]/Tb_Atualizações[[#This Row],[% PREVISTO]],"0%")</f>
        <v>0.703125</v>
      </c>
      <c r="L1262" s="475" t="str" cm="1">
        <f t="array" aca="1" ref="L1262"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62" s="215"/>
      <c r="N1262" s="345"/>
      <c r="O1262" s="42">
        <f t="shared" si="67"/>
        <v>2026</v>
      </c>
      <c r="P1262" s="42" t="str">
        <f t="shared" si="68"/>
        <v>202616882/2025</v>
      </c>
      <c r="Q1262" s="42">
        <v>1</v>
      </c>
    </row>
    <row r="1263" spans="1:17" ht="30" hidden="1">
      <c r="A1263" s="192" t="s">
        <v>58</v>
      </c>
      <c r="B1263" s="472" t="str">
        <f>IFERROR(INDEX(Projetos!$B$3:$B$129,MATCH(A1263,Projetos!$A$3:$A$129,0))," ")</f>
        <v>Phase-out: Transição Projetos X Operação</v>
      </c>
      <c r="D1263" s="214">
        <v>0.69</v>
      </c>
      <c r="E1263" s="214">
        <v>0.39</v>
      </c>
      <c r="F1263" s="219">
        <v>46167</v>
      </c>
      <c r="G1263" s="220">
        <v>46143</v>
      </c>
      <c r="H1263" s="51" t="str">
        <f t="shared" si="66"/>
        <v>00030/202546143</v>
      </c>
      <c r="I1263" s="473">
        <f>IFERROR(INDEX(Projetos!$M$2:$M$129,MATCH(Atualizações!A1263,Projetos!$A$2:$A$129,0))," ")</f>
        <v>46387</v>
      </c>
      <c r="J1263" s="221"/>
      <c r="K1263" s="344">
        <f>IFERROR(Tb_Atualizações[[#This Row],[% EXECUTADO]]/Tb_Atualizações[[#This Row],[% PREVISTO]],"0%")</f>
        <v>0.56521739130434789</v>
      </c>
      <c r="L1263" s="475" t="str" cm="1">
        <f t="array" aca="1" ref="L1263"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63" s="215"/>
      <c r="N1263" s="345"/>
      <c r="O1263" s="42">
        <f t="shared" si="67"/>
        <v>2026</v>
      </c>
      <c r="P1263" s="42" t="str">
        <f t="shared" si="68"/>
        <v>202600030/2025</v>
      </c>
      <c r="Q1263" s="42">
        <v>1</v>
      </c>
    </row>
    <row r="1264" spans="1:17" ht="30" hidden="1">
      <c r="A1264" s="192" t="s">
        <v>766</v>
      </c>
      <c r="B1264" s="472" t="str">
        <f>IFERROR(INDEX(Projetos!$B$3:$B$129,MATCH(A1264,Projetos!$A$3:$A$129,0))," ")</f>
        <v>Painel Crime Organizado</v>
      </c>
      <c r="D1264" s="214">
        <v>0.52</v>
      </c>
      <c r="E1264" s="214">
        <v>0.35</v>
      </c>
      <c r="F1264" s="219">
        <v>46167</v>
      </c>
      <c r="G1264" s="220">
        <v>46143</v>
      </c>
      <c r="H1264" s="51" t="str">
        <f t="shared" si="66"/>
        <v>17085/202546143</v>
      </c>
      <c r="I1264" s="473">
        <f>IFERROR(INDEX(Projetos!$M$2:$M$129,MATCH(Atualizações!A1264,Projetos!$A$2:$A$129,0))," ")</f>
        <v>46387</v>
      </c>
      <c r="J1264" s="221"/>
      <c r="K1264" s="344">
        <f>IFERROR(Tb_Atualizações[[#This Row],[% EXECUTADO]]/Tb_Atualizações[[#This Row],[% PREVISTO]],"0%")</f>
        <v>0.67307692307692302</v>
      </c>
      <c r="L1264" s="475" t="str" cm="1">
        <f t="array" aca="1" ref="L1264"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64" s="215"/>
      <c r="N1264" s="345"/>
      <c r="O1264" s="42">
        <f t="shared" si="67"/>
        <v>2026</v>
      </c>
      <c r="P1264" s="42" t="str">
        <f t="shared" si="68"/>
        <v>202617085/2025</v>
      </c>
      <c r="Q1264" s="42">
        <v>1</v>
      </c>
    </row>
    <row r="1265" spans="1:17" ht="30">
      <c r="A1265" s="192" t="s">
        <v>978</v>
      </c>
      <c r="B1265" s="472" t="str">
        <f>IFERROR(INDEX(Projetos!$B$3:$B$129,MATCH(A1265,Projetos!$A$3:$A$129,0))," ")</f>
        <v>Evolução do Sistema Nacional de Adoção (SNA)</v>
      </c>
      <c r="D1265" s="214">
        <v>0.37</v>
      </c>
      <c r="E1265" s="214">
        <v>0.22</v>
      </c>
      <c r="F1265" s="219">
        <v>46167</v>
      </c>
      <c r="G1265" s="220">
        <v>46143</v>
      </c>
      <c r="H1265" s="51" t="str">
        <f t="shared" si="66"/>
        <v>18150/202546143</v>
      </c>
      <c r="I1265" s="473">
        <f>IFERROR(INDEX(Projetos!$M$2:$M$129,MATCH(Atualizações!A1265,Projetos!$A$2:$A$129,0))," ")</f>
        <v>46386</v>
      </c>
      <c r="J1265" s="221"/>
      <c r="K1265" s="344">
        <f>IFERROR(Tb_Atualizações[[#This Row],[% EXECUTADO]]/Tb_Atualizações[[#This Row],[% PREVISTO]],"0%")</f>
        <v>0.59459459459459463</v>
      </c>
      <c r="L1265" s="475" t="str" cm="1">
        <f t="array" aca="1" ref="L1265" ca="1">IF(Tb_Atualizações[[#This Row],[% EXECUTADO]]=100%,"Finalizado",
    IF(Tb_Atualizações[[#This Row],[PREVISÃO DE TÉRMINO]] &lt;
        IF(Tb_Atualizações[[#This Row],[DATA DE ATUALIZAÇÃO]] = MAX(IF(Tb_Atualizações[PROJETO]=Tb_Atualizações[[#This Row],[PROJETO]],Tb_Atualizações[DATA DE ATUALIZAÇÃO])), TODAY(), Tb_Atualizações[[#This Row],[DATA DE ATUALIZAÇÃO]]),
    "Atrasado ou Crítico",
    IF(Tb_Atualizações[[#This Row],[% EXECUTADO]]=0,"Autorizado",
    IF(Tb_Atualizações[[#This Row],[Medição de status]]&gt;=95%,"No prazo",
    IF(Tb_Atualizações[[#This Row],[Medição de status]]&lt;85%,"Atrasado ou Crítico",
    IF(Tb_Atualizações[[#This Row],[Medição de status]]&lt;=95%,"Em atenção"))))))</f>
        <v>Atrasado ou Crítico</v>
      </c>
      <c r="M1265" s="215"/>
      <c r="N1265" s="345"/>
      <c r="O1265" s="42">
        <f t="shared" si="67"/>
        <v>2026</v>
      </c>
      <c r="P1265" s="42" t="str">
        <f t="shared" si="68"/>
        <v>202618150/2025</v>
      </c>
      <c r="Q1265" s="42">
        <v>1</v>
      </c>
    </row>
  </sheetData>
  <protectedRanges>
    <protectedRange sqref="A369" name="Range1"/>
  </protectedRanges>
  <phoneticPr fontId="14" type="noConversion"/>
  <conditionalFormatting sqref="A493">
    <cfRule type="duplicateValues" dxfId="370" priority="85"/>
  </conditionalFormatting>
  <conditionalFormatting sqref="A952">
    <cfRule type="duplicateValues" dxfId="369" priority="417"/>
  </conditionalFormatting>
  <conditionalFormatting sqref="A953">
    <cfRule type="duplicateValues" dxfId="368" priority="72"/>
  </conditionalFormatting>
  <conditionalFormatting sqref="A954">
    <cfRule type="duplicateValues" dxfId="367" priority="71"/>
  </conditionalFormatting>
  <conditionalFormatting sqref="A955">
    <cfRule type="duplicateValues" dxfId="366" priority="70"/>
  </conditionalFormatting>
  <conditionalFormatting sqref="A956">
    <cfRule type="duplicateValues" dxfId="365" priority="69"/>
  </conditionalFormatting>
  <conditionalFormatting sqref="A957">
    <cfRule type="duplicateValues" dxfId="364" priority="68"/>
  </conditionalFormatting>
  <conditionalFormatting sqref="A958">
    <cfRule type="duplicateValues" dxfId="363" priority="67"/>
  </conditionalFormatting>
  <conditionalFormatting sqref="A959">
    <cfRule type="duplicateValues" dxfId="362" priority="66"/>
  </conditionalFormatting>
  <conditionalFormatting sqref="A960">
    <cfRule type="duplicateValues" dxfId="361" priority="65"/>
  </conditionalFormatting>
  <conditionalFormatting sqref="A961">
    <cfRule type="duplicateValues" dxfId="360" priority="64"/>
  </conditionalFormatting>
  <conditionalFormatting sqref="A962">
    <cfRule type="duplicateValues" dxfId="359" priority="63"/>
  </conditionalFormatting>
  <conditionalFormatting sqref="A963">
    <cfRule type="duplicateValues" dxfId="358" priority="62"/>
  </conditionalFormatting>
  <conditionalFormatting sqref="A964">
    <cfRule type="duplicateValues" dxfId="357" priority="61"/>
  </conditionalFormatting>
  <conditionalFormatting sqref="A965">
    <cfRule type="duplicateValues" dxfId="356" priority="60"/>
  </conditionalFormatting>
  <conditionalFormatting sqref="A966">
    <cfRule type="duplicateValues" dxfId="355" priority="59"/>
  </conditionalFormatting>
  <conditionalFormatting sqref="A967">
    <cfRule type="duplicateValues" dxfId="354" priority="58"/>
  </conditionalFormatting>
  <conditionalFormatting sqref="A968">
    <cfRule type="duplicateValues" dxfId="353" priority="57"/>
  </conditionalFormatting>
  <conditionalFormatting sqref="A969">
    <cfRule type="duplicateValues" dxfId="352" priority="56"/>
  </conditionalFormatting>
  <conditionalFormatting sqref="A970">
    <cfRule type="duplicateValues" dxfId="351" priority="55"/>
  </conditionalFormatting>
  <conditionalFormatting sqref="A971">
    <cfRule type="duplicateValues" dxfId="350" priority="54"/>
  </conditionalFormatting>
  <conditionalFormatting sqref="A972">
    <cfRule type="duplicateValues" dxfId="349" priority="53"/>
  </conditionalFormatting>
  <conditionalFormatting sqref="A973">
    <cfRule type="duplicateValues" dxfId="348" priority="52"/>
  </conditionalFormatting>
  <conditionalFormatting sqref="A974">
    <cfRule type="duplicateValues" dxfId="347" priority="51"/>
  </conditionalFormatting>
  <conditionalFormatting sqref="A975">
    <cfRule type="duplicateValues" dxfId="346" priority="49"/>
  </conditionalFormatting>
  <conditionalFormatting sqref="A976">
    <cfRule type="duplicateValues" dxfId="345" priority="48"/>
  </conditionalFormatting>
  <conditionalFormatting sqref="A977">
    <cfRule type="duplicateValues" dxfId="344" priority="47"/>
  </conditionalFormatting>
  <conditionalFormatting sqref="A978">
    <cfRule type="duplicateValues" dxfId="343" priority="46"/>
  </conditionalFormatting>
  <conditionalFormatting sqref="A979">
    <cfRule type="duplicateValues" dxfId="342" priority="45"/>
  </conditionalFormatting>
  <conditionalFormatting sqref="A980">
    <cfRule type="duplicateValues" dxfId="341" priority="44"/>
  </conditionalFormatting>
  <conditionalFormatting sqref="A981:A985">
    <cfRule type="duplicateValues" dxfId="340" priority="43"/>
  </conditionalFormatting>
  <conditionalFormatting sqref="A986">
    <cfRule type="duplicateValues" dxfId="339" priority="42"/>
  </conditionalFormatting>
  <conditionalFormatting sqref="A988">
    <cfRule type="duplicateValues" dxfId="338" priority="41"/>
  </conditionalFormatting>
  <conditionalFormatting sqref="A992">
    <cfRule type="duplicateValues" dxfId="337" priority="40"/>
  </conditionalFormatting>
  <conditionalFormatting sqref="A1014">
    <cfRule type="duplicateValues" dxfId="336" priority="39"/>
  </conditionalFormatting>
  <conditionalFormatting sqref="A1015">
    <cfRule type="duplicateValues" dxfId="335" priority="38"/>
  </conditionalFormatting>
  <conditionalFormatting sqref="A1016">
    <cfRule type="duplicateValues" dxfId="334" priority="37"/>
  </conditionalFormatting>
  <conditionalFormatting sqref="A1028">
    <cfRule type="duplicateValues" dxfId="333" priority="36"/>
  </conditionalFormatting>
  <conditionalFormatting sqref="A1031">
    <cfRule type="duplicateValues" dxfId="332" priority="35"/>
  </conditionalFormatting>
  <conditionalFormatting sqref="A1066">
    <cfRule type="duplicateValues" dxfId="331" priority="26"/>
  </conditionalFormatting>
  <conditionalFormatting sqref="A1067">
    <cfRule type="duplicateValues" dxfId="330" priority="23"/>
  </conditionalFormatting>
  <conditionalFormatting sqref="A1071">
    <cfRule type="duplicateValues" dxfId="329" priority="19"/>
  </conditionalFormatting>
  <conditionalFormatting sqref="A1101">
    <cfRule type="duplicateValues" dxfId="328" priority="15"/>
  </conditionalFormatting>
  <conditionalFormatting sqref="A1102">
    <cfRule type="duplicateValues" dxfId="327" priority="14"/>
  </conditionalFormatting>
  <conditionalFormatting sqref="A1103">
    <cfRule type="duplicateValues" dxfId="326" priority="13"/>
  </conditionalFormatting>
  <conditionalFormatting sqref="A1104">
    <cfRule type="duplicateValues" dxfId="325" priority="12"/>
  </conditionalFormatting>
  <conditionalFormatting sqref="A1105">
    <cfRule type="duplicateValues" dxfId="324" priority="11"/>
  </conditionalFormatting>
  <conditionalFormatting sqref="A1151">
    <cfRule type="duplicateValues" dxfId="323" priority="10"/>
  </conditionalFormatting>
  <conditionalFormatting sqref="D551 E1260:E1048576">
    <cfRule type="cellIs" dxfId="322" priority="84" operator="equal">
      <formula>1</formula>
    </cfRule>
  </conditionalFormatting>
  <conditionalFormatting sqref="D564:D565">
    <cfRule type="cellIs" dxfId="321" priority="80" operator="equal">
      <formula>1</formula>
    </cfRule>
  </conditionalFormatting>
  <conditionalFormatting sqref="D570">
    <cfRule type="cellIs" dxfId="320" priority="78" operator="equal">
      <formula>1</formula>
    </cfRule>
  </conditionalFormatting>
  <conditionalFormatting sqref="D573">
    <cfRule type="cellIs" dxfId="319" priority="76" operator="equal">
      <formula>1</formula>
    </cfRule>
  </conditionalFormatting>
  <conditionalFormatting sqref="D586:D591">
    <cfRule type="cellIs" dxfId="318" priority="75" operator="equal">
      <formula>1</formula>
    </cfRule>
  </conditionalFormatting>
  <conditionalFormatting sqref="D960:D961">
    <cfRule type="cellIs" dxfId="317" priority="28" operator="equal">
      <formula>1</formula>
    </cfRule>
  </conditionalFormatting>
  <conditionalFormatting sqref="D993">
    <cfRule type="cellIs" dxfId="316" priority="27" operator="equal">
      <formula>1</formula>
    </cfRule>
  </conditionalFormatting>
  <conditionalFormatting sqref="D1183">
    <cfRule type="cellIs" dxfId="315" priority="9" operator="equal">
      <formula>1</formula>
    </cfRule>
  </conditionalFormatting>
  <conditionalFormatting sqref="D1195">
    <cfRule type="cellIs" dxfId="314" priority="8" operator="equal">
      <formula>1</formula>
    </cfRule>
  </conditionalFormatting>
  <conditionalFormatting sqref="D1217">
    <cfRule type="cellIs" dxfId="313" priority="7" operator="equal">
      <formula>1</formula>
    </cfRule>
  </conditionalFormatting>
  <conditionalFormatting sqref="D1227:D1228">
    <cfRule type="cellIs" dxfId="312" priority="5" operator="equal">
      <formula>1</formula>
    </cfRule>
  </conditionalFormatting>
  <conditionalFormatting sqref="D1259">
    <cfRule type="cellIs" dxfId="311" priority="2" operator="equal">
      <formula>1</formula>
    </cfRule>
  </conditionalFormatting>
  <conditionalFormatting sqref="E1:E263 D264:E264">
    <cfRule type="cellIs" dxfId="310" priority="92" operator="equal">
      <formula>1</formula>
    </cfRule>
  </conditionalFormatting>
  <conditionalFormatting sqref="E266:E805 D549">
    <cfRule type="cellIs" dxfId="309" priority="74" operator="equal">
      <formula>1</formula>
    </cfRule>
  </conditionalFormatting>
  <conditionalFormatting sqref="E807:E1259">
    <cfRule type="cellIs" dxfId="308" priority="1" operator="equal">
      <formula>1</formula>
    </cfRule>
  </conditionalFormatting>
  <conditionalFormatting sqref="I1:I1048576">
    <cfRule type="cellIs" dxfId="307" priority="91" operator="lessThan">
      <formula>$R$1</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CA9C-7B6E-4F32-A965-96D7023AA62A}">
  <sheetPr>
    <tabColor theme="4"/>
  </sheetPr>
  <dimension ref="A1:AR109"/>
  <sheetViews>
    <sheetView topLeftCell="B1" workbookViewId="0"/>
  </sheetViews>
  <sheetFormatPr defaultColWidth="9.140625" defaultRowHeight="15"/>
  <cols>
    <col min="1" max="1" width="14.5703125" style="151" hidden="1" customWidth="1"/>
    <col min="2" max="2" width="44.42578125" style="139" customWidth="1"/>
    <col min="3" max="3" width="62.5703125" style="79" customWidth="1"/>
    <col min="4" max="4" width="57.5703125" style="79" hidden="1" customWidth="1"/>
    <col min="5" max="5" width="30.42578125" style="79" customWidth="1"/>
    <col min="6" max="6" width="28.5703125" style="79" customWidth="1"/>
    <col min="7" max="7" width="31.5703125" style="79" hidden="1" customWidth="1"/>
    <col min="8" max="8" width="29.85546875" style="19" hidden="1" customWidth="1"/>
    <col min="9" max="9" width="46.42578125" style="79" hidden="1" customWidth="1"/>
    <col min="10" max="10" width="36.140625" style="79" hidden="1" customWidth="1"/>
    <col min="11" max="11" width="38.5703125" style="79" hidden="1" customWidth="1"/>
    <col min="12" max="12" width="30.42578125" style="79" customWidth="1"/>
    <col min="13" max="13" width="31.42578125" style="79" customWidth="1"/>
    <col min="14" max="14" width="31.42578125" style="79" hidden="1" customWidth="1"/>
    <col min="15" max="15" width="22.85546875" style="79" customWidth="1"/>
    <col min="16" max="16" width="14.5703125" style="151" bestFit="1" customWidth="1"/>
    <col min="17" max="17" width="23.5703125" style="152" customWidth="1"/>
    <col min="18" max="18" width="19.5703125" style="79" customWidth="1"/>
    <col min="19" max="19" width="26.5703125" style="79" hidden="1" customWidth="1"/>
    <col min="20" max="21" width="29.42578125" style="79" hidden="1" customWidth="1"/>
    <col min="22" max="22" width="42.5703125" style="79" hidden="1" customWidth="1"/>
    <col min="23" max="23" width="9.140625" style="79" customWidth="1"/>
    <col min="24" max="24" width="19.42578125" style="153" customWidth="1"/>
    <col min="25" max="25" width="42.42578125" style="79" hidden="1" customWidth="1"/>
    <col min="26" max="26" width="11.42578125" style="19" hidden="1" customWidth="1"/>
    <col min="27" max="27" width="51" style="79" hidden="1" customWidth="1"/>
    <col min="28" max="28" width="54.5703125" style="79" hidden="1" customWidth="1"/>
    <col min="29" max="29" width="27.5703125" style="79" hidden="1" customWidth="1"/>
    <col min="30" max="30" width="65.85546875" style="79" hidden="1" customWidth="1"/>
    <col min="31" max="32" width="31.42578125" style="79" customWidth="1"/>
    <col min="33" max="33" width="63.85546875" style="79" customWidth="1"/>
    <col min="34" max="34" width="54.85546875" style="79" customWidth="1"/>
    <col min="35" max="35" width="15.42578125" style="19" customWidth="1"/>
    <col min="36" max="36" width="35.42578125" style="79" customWidth="1"/>
    <col min="37" max="37" width="40.42578125" style="79" customWidth="1"/>
    <col min="38" max="38" width="18.85546875" style="79" customWidth="1"/>
    <col min="39" max="39" width="12.5703125" style="79" customWidth="1"/>
    <col min="40" max="40" width="14.42578125" style="79" customWidth="1"/>
    <col min="41" max="41" width="9.140625" style="79" customWidth="1"/>
    <col min="42" max="42" width="19" style="79" customWidth="1"/>
    <col min="43" max="43" width="28.140625" style="79" customWidth="1"/>
    <col min="44" max="44" width="10.5703125" style="79" hidden="1" customWidth="1"/>
    <col min="45" max="16384" width="9.140625" style="79"/>
  </cols>
  <sheetData>
    <row r="1" spans="1:44" ht="33" customHeight="1">
      <c r="A1" s="425" t="s">
        <v>0</v>
      </c>
      <c r="B1" s="425"/>
      <c r="C1" s="425"/>
      <c r="D1" s="407"/>
      <c r="E1" s="425"/>
      <c r="F1" s="425"/>
      <c r="G1" s="407"/>
      <c r="H1" s="407"/>
      <c r="I1" s="407"/>
      <c r="J1" s="407"/>
      <c r="K1" s="407"/>
      <c r="L1" s="407"/>
      <c r="M1" s="1"/>
      <c r="N1" s="1"/>
      <c r="O1" s="425"/>
      <c r="P1" s="425" t="s">
        <v>0</v>
      </c>
      <c r="Q1" s="426"/>
      <c r="R1" s="425"/>
      <c r="S1" s="425"/>
      <c r="T1" s="425"/>
      <c r="U1" s="425"/>
      <c r="V1" s="425"/>
      <c r="W1" s="425"/>
      <c r="X1" s="425"/>
      <c r="Y1" s="425"/>
      <c r="Z1" s="425"/>
      <c r="AA1" s="425"/>
      <c r="AB1" s="425"/>
      <c r="AC1" s="425"/>
      <c r="AD1" s="425"/>
      <c r="AE1" s="1"/>
      <c r="AF1" s="1"/>
      <c r="AR1" s="145">
        <f ca="1">TODAY()</f>
        <v>46176</v>
      </c>
    </row>
    <row r="2" spans="1:44" s="154" customFormat="1" ht="40.5">
      <c r="A2" s="227" t="s">
        <v>1</v>
      </c>
      <c r="B2" s="228" t="s">
        <v>2</v>
      </c>
      <c r="C2" s="228" t="s">
        <v>3</v>
      </c>
      <c r="D2" s="228" t="s">
        <v>4</v>
      </c>
      <c r="E2" s="228" t="s">
        <v>5</v>
      </c>
      <c r="F2" s="228" t="s">
        <v>6</v>
      </c>
      <c r="G2" s="228" t="s">
        <v>7</v>
      </c>
      <c r="H2" s="228" t="s">
        <v>8</v>
      </c>
      <c r="I2" s="228" t="s">
        <v>9</v>
      </c>
      <c r="J2" s="228" t="s">
        <v>10</v>
      </c>
      <c r="K2" s="228" t="s">
        <v>11</v>
      </c>
      <c r="L2" s="228" t="s">
        <v>12</v>
      </c>
      <c r="M2" s="228" t="s">
        <v>28</v>
      </c>
      <c r="N2" s="230" t="s">
        <v>29</v>
      </c>
      <c r="O2" s="228" t="s">
        <v>20</v>
      </c>
      <c r="P2" s="227" t="s">
        <v>1570</v>
      </c>
      <c r="Q2" s="229" t="s">
        <v>13</v>
      </c>
      <c r="R2" s="228" t="s">
        <v>15</v>
      </c>
      <c r="S2" s="228" t="s">
        <v>16</v>
      </c>
      <c r="T2" s="228" t="s">
        <v>17</v>
      </c>
      <c r="U2" s="228" t="s">
        <v>18</v>
      </c>
      <c r="V2" s="228" t="s">
        <v>19</v>
      </c>
      <c r="W2" s="228" t="s">
        <v>1571</v>
      </c>
      <c r="X2" s="228" t="s">
        <v>21</v>
      </c>
      <c r="Y2" s="228" t="s">
        <v>22</v>
      </c>
      <c r="Z2" s="228" t="s">
        <v>23</v>
      </c>
      <c r="AA2" s="228" t="s">
        <v>24</v>
      </c>
      <c r="AB2" s="228" t="s">
        <v>25</v>
      </c>
      <c r="AC2" s="228" t="s">
        <v>26</v>
      </c>
      <c r="AD2" s="228" t="s">
        <v>27</v>
      </c>
      <c r="AE2" s="228" t="s">
        <v>1572</v>
      </c>
      <c r="AF2" s="230" t="s">
        <v>1573</v>
      </c>
      <c r="AG2" s="230" t="s">
        <v>30</v>
      </c>
      <c r="AH2" s="231" t="s">
        <v>31</v>
      </c>
      <c r="AI2" s="231" t="s">
        <v>32</v>
      </c>
      <c r="AJ2" s="231" t="s">
        <v>33</v>
      </c>
      <c r="AK2" s="228" t="s">
        <v>34</v>
      </c>
      <c r="AL2" s="228" t="s">
        <v>35</v>
      </c>
      <c r="AM2" s="228" t="s">
        <v>54</v>
      </c>
      <c r="AN2" s="228" t="s">
        <v>36</v>
      </c>
      <c r="AO2" s="228" t="s">
        <v>55</v>
      </c>
      <c r="AP2" s="228" t="s">
        <v>37</v>
      </c>
      <c r="AQ2" s="228" t="s">
        <v>39</v>
      </c>
    </row>
    <row r="3" spans="1:44" ht="165">
      <c r="A3" s="232" t="s">
        <v>58</v>
      </c>
      <c r="B3" s="75" t="s">
        <v>59</v>
      </c>
      <c r="C3" s="73" t="s">
        <v>60</v>
      </c>
      <c r="D3" s="73"/>
      <c r="E3" s="79" t="s">
        <v>43</v>
      </c>
      <c r="F3" s="73" t="s">
        <v>44</v>
      </c>
      <c r="G3" s="73" t="s">
        <v>61</v>
      </c>
      <c r="H3" s="2" t="s">
        <v>46</v>
      </c>
      <c r="I3" s="73" t="s">
        <v>62</v>
      </c>
      <c r="J3" s="73" t="s">
        <v>63</v>
      </c>
      <c r="K3" s="2" t="s">
        <v>64</v>
      </c>
      <c r="L3" s="233">
        <v>45659</v>
      </c>
      <c r="M3" s="241" t="s">
        <v>66</v>
      </c>
      <c r="N3" s="240" t="s">
        <v>67</v>
      </c>
      <c r="O3" s="2" t="s">
        <v>48</v>
      </c>
      <c r="P3" s="232" t="s">
        <v>58</v>
      </c>
      <c r="Q3" s="238">
        <v>46387</v>
      </c>
      <c r="R3" s="234">
        <f>_xlfn.XLOOKUP(Tb_Portfólio11[[#This Row],[SEI]],Tb_Atualizações[PROCESSO SEI],Tb_Atualizações[% EXECUTADO],"",0,-1)</f>
        <v>0.39</v>
      </c>
      <c r="S3" s="408" t="str">
        <f>IFERROR(Tb_Portfólio11[[#This Row],[% EXECUTADO]]/#REF!,"0%")</f>
        <v>0%</v>
      </c>
      <c r="T3" s="146">
        <f>_xlfn.XLOOKUP(Tb_Portfólio11[[#This Row],[SEI]],Tb_Atualizações[PROCESSO SEI],Tb_Atualizações[DATA DE ATUALIZAÇÃO],"",0,-1)</f>
        <v>46167</v>
      </c>
      <c r="U3" s="336">
        <f>_xlfn.XLOOKUP(Tb_Portfólio11[[#This Row],[SEI]],Tb_Atualizações[PROCESSO SEI],Tb_Atualizações[Mês],,0,-1)</f>
        <v>46143</v>
      </c>
      <c r="V3" s="233"/>
      <c r="W3" s="2" t="s">
        <v>48</v>
      </c>
      <c r="X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3" s="409"/>
      <c r="Z3" s="236">
        <f>IFERROR(Tb_Portfólio11[[#This Row],[% EXECUTADO]]/#REF!,0)</f>
        <v>0</v>
      </c>
      <c r="AA3" s="242" t="s">
        <v>65</v>
      </c>
      <c r="AB3" s="410">
        <v>409011.54</v>
      </c>
      <c r="AC3" s="410"/>
      <c r="AD3" s="73" t="s">
        <v>51</v>
      </c>
      <c r="AE3" s="241" t="s">
        <v>66</v>
      </c>
      <c r="AF3" s="240" t="s">
        <v>67</v>
      </c>
      <c r="AG3" s="98" t="s">
        <v>68</v>
      </c>
      <c r="AH3" s="239"/>
      <c r="AI3" s="225">
        <f t="shared" ref="AI3:AI34" ca="1" si="0">TODAY()</f>
        <v>46176</v>
      </c>
      <c r="AJ3" s="73" t="s">
        <v>69</v>
      </c>
      <c r="AK3" s="73" t="s">
        <v>67</v>
      </c>
      <c r="AM3" s="79" t="str">
        <f>2024&amp;Tb_Portfólio11[[#This Row],[SEI]]</f>
        <v>202400030/2025</v>
      </c>
      <c r="AN3" s="79" t="str">
        <f>IFERROR(IF(MATCH(AM3,Atualizações!$P$1:$P$1265,0)&gt;0, "Sim"), "Não")</f>
        <v>Não</v>
      </c>
      <c r="AO3" s="79" t="str">
        <f>2025&amp;Tb_Portfólio11[[#This Row],[SEI]]</f>
        <v>202500030/2025</v>
      </c>
      <c r="AP3" s="79" t="str">
        <f>IFERROR(IF(MATCH(AO3,Atualizações!$P$1:$P$1265,0)&gt;0, "Sim"), "Não")</f>
        <v>Sim</v>
      </c>
      <c r="AQ3" s="79">
        <f>_xlfn.XLOOKUP(Tb_Portfólio11[[#This Row],[SEI]],Tb_Atualizações[PROCESSO SEI],Tb_Atualizações[Explicações],"",0,-1)</f>
        <v>0</v>
      </c>
    </row>
    <row r="4" spans="1:44" ht="120" hidden="1" customHeight="1">
      <c r="A4" s="232" t="s">
        <v>70</v>
      </c>
      <c r="B4" s="75" t="s">
        <v>71</v>
      </c>
      <c r="C4" s="2" t="s">
        <v>72</v>
      </c>
      <c r="D4" s="73"/>
      <c r="E4" s="73" t="s">
        <v>73</v>
      </c>
      <c r="F4" s="73" t="s">
        <v>44</v>
      </c>
      <c r="G4" s="19" t="s">
        <v>1574</v>
      </c>
      <c r="H4" s="2" t="s">
        <v>80</v>
      </c>
      <c r="I4" s="2" t="s">
        <v>75</v>
      </c>
      <c r="J4" s="17" t="s">
        <v>76</v>
      </c>
      <c r="K4" s="300" t="s">
        <v>77</v>
      </c>
      <c r="L4" s="233">
        <v>45328</v>
      </c>
      <c r="M4" s="73" t="s">
        <v>73</v>
      </c>
      <c r="N4" s="2" t="s">
        <v>80</v>
      </c>
      <c r="O4" s="2"/>
      <c r="P4" s="232" t="s">
        <v>70</v>
      </c>
      <c r="Q4" s="146">
        <v>45928</v>
      </c>
      <c r="R4" s="234">
        <f>_xlfn.XLOOKUP(Tb_Portfólio11[[#This Row],[SEI]],Tb_Atualizações[PROCESSO SEI],Tb_Atualizações[% EXECUTADO],"",0,-1)</f>
        <v>0.89</v>
      </c>
      <c r="S4" s="408" t="str">
        <f>IFERROR(Tb_Portfólio11[[#This Row],[% EXECUTADO]]/#REF!,"0%")</f>
        <v>0%</v>
      </c>
      <c r="T4" s="146">
        <f>_xlfn.XLOOKUP(Tb_Portfólio11[[#This Row],[SEI]],Tb_Atualizações[PROCESSO SEI],Tb_Atualizações[DATA DE ATUALIZAÇÃO],"",0,-1)</f>
        <v>46035</v>
      </c>
      <c r="U4" s="336">
        <f>_xlfn.XLOOKUP(Tb_Portfólio11[[#This Row],[SEI]],Tb_Atualizações[PROCESSO SEI],Tb_Atualizações[Mês],,0,-1)</f>
        <v>45839</v>
      </c>
      <c r="V4" s="235"/>
      <c r="W4" s="2"/>
      <c r="X4"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4" s="409"/>
      <c r="Z4" s="236">
        <f>IFERROR(Tb_Portfólio11[[#This Row],[% EXECUTADO]]/#REF!,0)</f>
        <v>0</v>
      </c>
      <c r="AA4" s="73" t="s">
        <v>1575</v>
      </c>
      <c r="AB4" s="410"/>
      <c r="AC4" s="410"/>
      <c r="AD4" s="73"/>
      <c r="AE4" s="304"/>
      <c r="AF4" s="2"/>
      <c r="AG4" s="98" t="s">
        <v>81</v>
      </c>
      <c r="AH4" s="264" t="s">
        <v>82</v>
      </c>
      <c r="AI4" s="225">
        <f t="shared" ca="1" si="0"/>
        <v>46176</v>
      </c>
      <c r="AJ4" s="73"/>
      <c r="AK4" s="73"/>
      <c r="AM4" s="79" t="str">
        <f>2024&amp;Tb_Portfólio11[[#This Row],[SEI]]</f>
        <v>202400139/2024</v>
      </c>
      <c r="AN4" t="str">
        <f>IFERROR(IF(MATCH(AM4,Atualizações!$P$1:$P$1265,0)&gt;0, "Sim"), "Não")</f>
        <v>Sim</v>
      </c>
      <c r="AO4" s="79" t="str">
        <f>2025&amp;Tb_Portfólio11[[#This Row],[SEI]]</f>
        <v>202500139/2024</v>
      </c>
      <c r="AP4" t="str">
        <f>IFERROR(IF(MATCH(AO4,Atualizações!$P$1:$P$1265,0)&gt;0, "Sim"), "Não")</f>
        <v>Sim</v>
      </c>
      <c r="AQ4" s="79" t="str">
        <f>_xlfn.XLOOKUP(Tb_Portfólio11[[#This Row],[SEI]],Tb_Atualizações[PROCESSO SEI],Tb_Atualizações[Explicações],"",0,-1)</f>
        <v>Medição duplicada apenas para incluir no portfólio de 2026</v>
      </c>
    </row>
    <row r="5" spans="1:44" ht="409.5" customHeight="1">
      <c r="A5" s="232" t="s">
        <v>83</v>
      </c>
      <c r="B5" s="248" t="s">
        <v>84</v>
      </c>
      <c r="C5" s="73" t="s">
        <v>85</v>
      </c>
      <c r="D5" s="73"/>
      <c r="E5" s="73" t="s">
        <v>86</v>
      </c>
      <c r="F5" s="16" t="s">
        <v>44</v>
      </c>
      <c r="G5" s="79" t="s">
        <v>87</v>
      </c>
      <c r="H5" s="2" t="s">
        <v>46</v>
      </c>
      <c r="I5" s="2" t="s">
        <v>88</v>
      </c>
      <c r="J5" s="17" t="s">
        <v>89</v>
      </c>
      <c r="K5" s="249" t="s">
        <v>90</v>
      </c>
      <c r="L5" s="233">
        <v>45323</v>
      </c>
      <c r="M5" s="73" t="s">
        <v>86</v>
      </c>
      <c r="N5" s="16" t="s">
        <v>92</v>
      </c>
      <c r="O5" s="2" t="s">
        <v>48</v>
      </c>
      <c r="P5" s="232" t="s">
        <v>83</v>
      </c>
      <c r="Q5" s="238">
        <v>46192</v>
      </c>
      <c r="R5" s="234">
        <f>_xlfn.XLOOKUP(Tb_Portfólio11[[#This Row],[SEI]],Tb_Atualizações[PROCESSO SEI],Tb_Atualizações[% EXECUTADO],"",0,-1)</f>
        <v>0.7</v>
      </c>
      <c r="S5" s="408" t="str">
        <f>IFERROR(Tb_Portfólio11[[#This Row],[% EXECUTADO]]/#REF!,"0%")</f>
        <v>0%</v>
      </c>
      <c r="T5" s="146">
        <f>_xlfn.XLOOKUP(Tb_Portfólio11[[#This Row],[SEI]],Tb_Atualizações[PROCESSO SEI],Tb_Atualizações[DATA DE ATUALIZAÇÃO],"",0,-1)</f>
        <v>46167</v>
      </c>
      <c r="U5" s="336">
        <f>_xlfn.XLOOKUP(Tb_Portfólio11[[#This Row],[SEI]],Tb_Atualizações[PROCESSO SEI],Tb_Atualizações[Mês],,0,-1)</f>
        <v>46143</v>
      </c>
      <c r="V5" s="235"/>
      <c r="W5" s="2" t="s">
        <v>48</v>
      </c>
      <c r="X5"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5" s="409"/>
      <c r="Z5" s="236">
        <f>IFERROR(Tb_Portfólio11[[#This Row],[% EXECUTADO]]/#REF!,0)</f>
        <v>0</v>
      </c>
      <c r="AA5" s="73" t="s">
        <v>91</v>
      </c>
      <c r="AB5" s="410"/>
      <c r="AC5" s="410"/>
      <c r="AD5" s="73" t="s">
        <v>51</v>
      </c>
      <c r="AE5" s="73" t="s">
        <v>86</v>
      </c>
      <c r="AF5" s="16" t="s">
        <v>92</v>
      </c>
      <c r="AG5" s="98" t="s">
        <v>93</v>
      </c>
      <c r="AH5" s="239" t="s">
        <v>94</v>
      </c>
      <c r="AI5" s="225">
        <f t="shared" ca="1" si="0"/>
        <v>46176</v>
      </c>
      <c r="AJ5" s="79" t="s">
        <v>95</v>
      </c>
      <c r="AK5" s="73" t="s">
        <v>96</v>
      </c>
      <c r="AM5" s="79" t="str">
        <f>2024&amp;Tb_Portfólio11[[#This Row],[SEI]]</f>
        <v>202400484/2024</v>
      </c>
      <c r="AN5" t="str">
        <f>IFERROR(IF(MATCH(AM5,Atualizações!$P$1:$P$1265,0)&gt;0, "Sim"), "Não")</f>
        <v>Sim</v>
      </c>
      <c r="AO5" s="79" t="str">
        <f>2025&amp;Tb_Portfólio11[[#This Row],[SEI]]</f>
        <v>202500484/2024</v>
      </c>
      <c r="AP5" t="str">
        <f>IFERROR(IF(MATCH(AO5,Atualizações!$P$1:$P$1265,0)&gt;0, "Sim"), "Não")</f>
        <v>Sim</v>
      </c>
      <c r="AQ5" s="79">
        <f>_xlfn.XLOOKUP(Tb_Portfólio11[[#This Row],[SEI]],Tb_Atualizações[PROCESSO SEI],Tb_Atualizações[Explicações],"",0,-1)</f>
        <v>0</v>
      </c>
    </row>
    <row r="6" spans="1:44" ht="210">
      <c r="A6" s="232" t="s">
        <v>97</v>
      </c>
      <c r="B6" s="75" t="s">
        <v>98</v>
      </c>
      <c r="C6" s="2" t="s">
        <v>99</v>
      </c>
      <c r="D6" s="2" t="s">
        <v>100</v>
      </c>
      <c r="E6" s="244" t="s">
        <v>101</v>
      </c>
      <c r="F6" s="16" t="s">
        <v>44</v>
      </c>
      <c r="G6" s="2" t="s">
        <v>102</v>
      </c>
      <c r="H6" s="2" t="s">
        <v>103</v>
      </c>
      <c r="I6" s="2" t="s">
        <v>104</v>
      </c>
      <c r="J6" s="2" t="s">
        <v>105</v>
      </c>
      <c r="K6" s="2"/>
      <c r="L6" s="233">
        <v>43557</v>
      </c>
      <c r="M6" s="73" t="s">
        <v>110</v>
      </c>
      <c r="N6" s="2" t="s">
        <v>44</v>
      </c>
      <c r="O6" s="2" t="s">
        <v>106</v>
      </c>
      <c r="P6" s="232" t="s">
        <v>97</v>
      </c>
      <c r="Q6" s="146">
        <v>45930</v>
      </c>
      <c r="R6" s="234">
        <f>_xlfn.XLOOKUP(Tb_Portfólio11[[#This Row],[SEI]],Tb_Atualizações[PROCESSO SEI],Tb_Atualizações[% EXECUTADO],"",0,-1)</f>
        <v>1</v>
      </c>
      <c r="S6" s="408" t="str">
        <f>IFERROR(Tb_Portfólio11[[#This Row],[% EXECUTADO]]/#REF!,"0%")</f>
        <v>0%</v>
      </c>
      <c r="T6" s="146">
        <f>_xlfn.XLOOKUP(Tb_Portfólio11[[#This Row],[SEI]],Tb_Atualizações[PROCESSO SEI],Tb_Atualizações[DATA DE ATUALIZAÇÃO],"",0,-1)</f>
        <v>45624</v>
      </c>
      <c r="U6" s="336">
        <f>_xlfn.XLOOKUP(Tb_Portfólio11[[#This Row],[SEI]],Tb_Atualizações[PROCESSO SEI],Tb_Atualizações[Mês],,0,-1)</f>
        <v>45597</v>
      </c>
      <c r="V6" s="409"/>
      <c r="W6" s="2" t="s">
        <v>106</v>
      </c>
      <c r="X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6" s="409" t="s">
        <v>107</v>
      </c>
      <c r="Z6" s="236">
        <f>IFERROR(Tb_Portfólio11[[#This Row],[% EXECUTADO]]/#REF!,0)</f>
        <v>0</v>
      </c>
      <c r="AA6" s="73" t="s">
        <v>108</v>
      </c>
      <c r="AB6" s="410">
        <v>40936.83</v>
      </c>
      <c r="AC6" s="410">
        <v>40936.83</v>
      </c>
      <c r="AD6" s="73" t="s">
        <v>109</v>
      </c>
      <c r="AE6" s="73" t="s">
        <v>110</v>
      </c>
      <c r="AF6" s="2" t="s">
        <v>44</v>
      </c>
      <c r="AG6" s="98"/>
      <c r="AH6" s="237" t="s">
        <v>111</v>
      </c>
      <c r="AI6" s="225">
        <f t="shared" ca="1" si="0"/>
        <v>46176</v>
      </c>
      <c r="AJ6" s="239"/>
      <c r="AM6" s="79" t="str">
        <f>2024&amp;Tb_Portfólio11[[#This Row],[SEI]]</f>
        <v>202400535/2019</v>
      </c>
      <c r="AN6" t="str">
        <f>IFERROR(IF(MATCH(AM6,Atualizações!$P$1:$P$1265,0)&gt;0, "Sim"), "Não")</f>
        <v>Sim</v>
      </c>
      <c r="AO6" s="79" t="str">
        <f>2025&amp;Tb_Portfólio11[[#This Row],[SEI]]</f>
        <v>202500535/2019</v>
      </c>
      <c r="AP6" t="str">
        <f>IFERROR(IF(MATCH(AO6,Atualizações!$P$1:$P$1265,0)&gt;0, "Sim"), "Não")</f>
        <v>Não</v>
      </c>
      <c r="AQ6" s="79" t="str">
        <f>_xlfn.XLOOKUP(Tb_Portfólio11[[#This Row],[SEI]],Tb_Atualizações[PROCESSO SEI],Tb_Atualizações[Explicações],"",0,-1)</f>
        <v>Projeto finalizado - As atividades remanescentes e futuras melhorias serão tratadas no âmbito do Projeto “Fluxo Nacional Automatizado de Execuções Fiscais”, do programa Justiça 4.0</v>
      </c>
    </row>
    <row r="7" spans="1:44" ht="409.5" hidden="1">
      <c r="A7" s="232" t="s">
        <v>112</v>
      </c>
      <c r="B7" s="139" t="s">
        <v>113</v>
      </c>
      <c r="C7" s="73" t="s">
        <v>114</v>
      </c>
      <c r="D7" s="73"/>
      <c r="E7" s="73" t="s">
        <v>115</v>
      </c>
      <c r="F7" s="73" t="s">
        <v>116</v>
      </c>
      <c r="G7" s="321" t="s">
        <v>117</v>
      </c>
      <c r="H7" s="2" t="s">
        <v>118</v>
      </c>
      <c r="I7" s="73" t="s">
        <v>119</v>
      </c>
      <c r="J7" s="73" t="s">
        <v>120</v>
      </c>
      <c r="K7" s="2"/>
      <c r="L7" s="233">
        <v>45390</v>
      </c>
      <c r="M7" s="73" t="s">
        <v>124</v>
      </c>
      <c r="N7" s="98" t="s">
        <v>80</v>
      </c>
      <c r="O7" s="2" t="s">
        <v>121</v>
      </c>
      <c r="P7" s="232" t="s">
        <v>112</v>
      </c>
      <c r="Q7" s="238">
        <v>46022</v>
      </c>
      <c r="R7" s="234">
        <f>_xlfn.XLOOKUP(Tb_Portfólio11[[#This Row],[SEI]],Tb_Atualizações[PROCESSO SEI],Tb_Atualizações[% EXECUTADO],"",0,-1)</f>
        <v>0.62829999999999997</v>
      </c>
      <c r="S7" s="408" t="str">
        <f>IFERROR(Tb_Portfólio11[[#This Row],[% EXECUTADO]]/#REF!,"0%")</f>
        <v>0%</v>
      </c>
      <c r="T7" s="146">
        <f>_xlfn.XLOOKUP(Tb_Portfólio11[[#This Row],[SEI]],Tb_Atualizações[PROCESSO SEI],Tb_Atualizações[DATA DE ATUALIZAÇÃO],"",0,-1)</f>
        <v>45799</v>
      </c>
      <c r="U7" s="336">
        <f>_xlfn.XLOOKUP(Tb_Portfólio11[[#This Row],[SEI]],Tb_Atualizações[PROCESSO SEI],Tb_Atualizações[Mês],,0,-1)</f>
        <v>45748</v>
      </c>
      <c r="V7" s="235"/>
      <c r="W7" s="2" t="s">
        <v>121</v>
      </c>
      <c r="X7"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7" s="208" t="s">
        <v>122</v>
      </c>
      <c r="Z7" s="236">
        <f>IFERROR(Tb_Portfólio11[[#This Row],[% EXECUTADO]]/#REF!,0)</f>
        <v>0</v>
      </c>
      <c r="AA7" s="242" t="s">
        <v>123</v>
      </c>
      <c r="AB7" s="410"/>
      <c r="AC7" s="410"/>
      <c r="AD7" s="208" t="s">
        <v>122</v>
      </c>
      <c r="AE7" s="73" t="s">
        <v>124</v>
      </c>
      <c r="AF7" s="98" t="s">
        <v>80</v>
      </c>
      <c r="AG7" s="98" t="s">
        <v>125</v>
      </c>
      <c r="AH7" s="264" t="s">
        <v>126</v>
      </c>
      <c r="AI7" s="225">
        <f t="shared" ca="1" si="0"/>
        <v>46176</v>
      </c>
      <c r="AJ7" s="79" t="s">
        <v>127</v>
      </c>
      <c r="AK7" s="79" t="s">
        <v>128</v>
      </c>
      <c r="AM7" s="79" t="str">
        <f>2024&amp;Tb_Portfólio11[[#This Row],[SEI]]</f>
        <v>202400600/2023</v>
      </c>
      <c r="AN7" s="79" t="str">
        <f>IFERROR(IF(MATCH(AM7,Atualizações!$P$1:$P$1265,0)&gt;0, "Sim"), "Não")</f>
        <v>Sim</v>
      </c>
      <c r="AO7" s="79" t="str">
        <f>2025&amp;Tb_Portfólio11[[#This Row],[SEI]]</f>
        <v>202500600/2023</v>
      </c>
      <c r="AP7" s="79" t="str">
        <f>IFERROR(IF(MATCH(AO7,Atualizações!$P$1:$P$1265,0)&gt;0, "Sim"), "Não")</f>
        <v>Sim</v>
      </c>
      <c r="AQ7" s="79">
        <f>_xlfn.XLOOKUP(Tb_Portfólio11[[#This Row],[SEI]],Tb_Atualizações[PROCESSO SEI],Tb_Atualizações[Explicações],"",0,-1)</f>
        <v>0</v>
      </c>
    </row>
    <row r="8" spans="1:44" ht="165">
      <c r="A8" s="232" t="s">
        <v>129</v>
      </c>
      <c r="B8" s="75" t="s">
        <v>130</v>
      </c>
      <c r="C8" s="73" t="s">
        <v>131</v>
      </c>
      <c r="D8" s="73"/>
      <c r="E8" s="97" t="s">
        <v>43</v>
      </c>
      <c r="F8" s="73" t="s">
        <v>44</v>
      </c>
      <c r="G8" s="73" t="s">
        <v>321</v>
      </c>
      <c r="H8" s="2" t="s">
        <v>46</v>
      </c>
      <c r="I8" s="73" t="s">
        <v>133</v>
      </c>
      <c r="J8" s="73" t="s">
        <v>134</v>
      </c>
      <c r="K8" s="2" t="s">
        <v>135</v>
      </c>
      <c r="L8" s="233">
        <v>45658</v>
      </c>
      <c r="M8" s="73" t="s">
        <v>137</v>
      </c>
      <c r="N8" s="73" t="s">
        <v>67</v>
      </c>
      <c r="O8" s="2" t="s">
        <v>48</v>
      </c>
      <c r="P8" s="232" t="s">
        <v>129</v>
      </c>
      <c r="Q8" s="238">
        <v>46387</v>
      </c>
      <c r="R8" s="234">
        <f>_xlfn.XLOOKUP(Tb_Portfólio11[[#This Row],[SEI]],Tb_Atualizações[PROCESSO SEI],Tb_Atualizações[% EXECUTADO],"",0,-1)</f>
        <v>0.64</v>
      </c>
      <c r="S8" s="408" t="str">
        <f>IFERROR(Tb_Portfólio11[[#This Row],[% EXECUTADO]]/#REF!,"0%")</f>
        <v>0%</v>
      </c>
      <c r="T8" s="146">
        <f>_xlfn.XLOOKUP(Tb_Portfólio11[[#This Row],[SEI]],Tb_Atualizações[PROCESSO SEI],Tb_Atualizações[DATA DE ATUALIZAÇÃO],"",0,-1)</f>
        <v>46167</v>
      </c>
      <c r="U8" s="336">
        <f>_xlfn.XLOOKUP(Tb_Portfólio11[[#This Row],[SEI]],Tb_Atualizações[PROCESSO SEI],Tb_Atualizações[Mês],,0,-1)</f>
        <v>46143</v>
      </c>
      <c r="V8" s="235"/>
      <c r="W8" s="2" t="s">
        <v>48</v>
      </c>
      <c r="X8"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8" s="409"/>
      <c r="Z8" s="236">
        <f>IFERROR(Tb_Portfólio11[[#This Row],[% EXECUTADO]]/#REF!,0)</f>
        <v>0</v>
      </c>
      <c r="AA8" s="242" t="s">
        <v>136</v>
      </c>
      <c r="AB8" s="410">
        <v>1919522.65</v>
      </c>
      <c r="AC8" s="410"/>
      <c r="AD8" s="73" t="s">
        <v>51</v>
      </c>
      <c r="AE8" s="73" t="s">
        <v>137</v>
      </c>
      <c r="AF8" s="73" t="s">
        <v>67</v>
      </c>
      <c r="AG8" s="98" t="s">
        <v>138</v>
      </c>
      <c r="AH8" s="239"/>
      <c r="AI8" s="225">
        <f t="shared" ca="1" si="0"/>
        <v>46176</v>
      </c>
      <c r="AJ8" s="239" t="s">
        <v>140</v>
      </c>
      <c r="AK8" s="79" t="s">
        <v>67</v>
      </c>
      <c r="AM8" s="79" t="str">
        <f>2024&amp;Tb_Portfólio11[[#This Row],[SEI]]</f>
        <v>202401167/2025</v>
      </c>
      <c r="AN8" s="79" t="str">
        <f>IFERROR(IF(MATCH(AM8,Atualizações!$P$1:$P$1265,0)&gt;0, "Sim"), "Não")</f>
        <v>Não</v>
      </c>
      <c r="AO8" s="79" t="str">
        <f>2025&amp;Tb_Portfólio11[[#This Row],[SEI]]</f>
        <v>202501167/2025</v>
      </c>
      <c r="AP8" s="79" t="str">
        <f>IFERROR(IF(MATCH(AO8,Atualizações!$P$1:$P$1265,0)&gt;0, "Sim"), "Não")</f>
        <v>Sim</v>
      </c>
      <c r="AQ8" s="79">
        <f>_xlfn.XLOOKUP(Tb_Portfólio11[[#This Row],[SEI]],Tb_Atualizações[PROCESSO SEI],Tb_Atualizações[Explicações],"",0,-1)</f>
        <v>0</v>
      </c>
    </row>
    <row r="9" spans="1:44" ht="315">
      <c r="A9" s="232" t="s">
        <v>141</v>
      </c>
      <c r="B9" s="75" t="s">
        <v>142</v>
      </c>
      <c r="C9" s="2" t="s">
        <v>143</v>
      </c>
      <c r="D9" s="73"/>
      <c r="E9" s="246" t="s">
        <v>144</v>
      </c>
      <c r="F9" s="16" t="s">
        <v>44</v>
      </c>
      <c r="G9" s="19" t="s">
        <v>145</v>
      </c>
      <c r="H9" s="2" t="s">
        <v>92</v>
      </c>
      <c r="I9" s="2" t="s">
        <v>75</v>
      </c>
      <c r="J9" s="2" t="s">
        <v>146</v>
      </c>
      <c r="K9" s="2" t="s">
        <v>147</v>
      </c>
      <c r="L9" s="233">
        <v>44963</v>
      </c>
      <c r="M9" s="73" t="s">
        <v>150</v>
      </c>
      <c r="N9" s="2" t="s">
        <v>92</v>
      </c>
      <c r="O9" s="2"/>
      <c r="P9" s="232" t="s">
        <v>141</v>
      </c>
      <c r="Q9" s="146">
        <v>45597</v>
      </c>
      <c r="R9" s="234">
        <f>_xlfn.XLOOKUP(Tb_Portfólio11[[#This Row],[SEI]],Tb_Atualizações[PROCESSO SEI],Tb_Atualizações[% EXECUTADO],"",0,-1)</f>
        <v>1</v>
      </c>
      <c r="S9" s="408" t="str">
        <f>IFERROR(Tb_Portfólio11[[#This Row],[% EXECUTADO]]/#REF!,"0%")</f>
        <v>0%</v>
      </c>
      <c r="T9" s="146">
        <f>_xlfn.XLOOKUP(Tb_Portfólio11[[#This Row],[SEI]],Tb_Atualizações[PROCESSO SEI],Tb_Atualizações[DATA DE ATUALIZAÇÃO],"",0,-1)</f>
        <v>45726</v>
      </c>
      <c r="U9" s="336">
        <f>_xlfn.XLOOKUP(Tb_Portfólio11[[#This Row],[SEI]],Tb_Atualizações[PROCESSO SEI],Tb_Atualizações[Mês],,0,-1)</f>
        <v>45689</v>
      </c>
      <c r="V9" s="235"/>
      <c r="W9" s="2"/>
      <c r="X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 s="235" t="s">
        <v>148</v>
      </c>
      <c r="Z9" s="236">
        <f>IFERROR(Tb_Portfólio11[[#This Row],[% EXECUTADO]]/#REF!,0)</f>
        <v>0</v>
      </c>
      <c r="AA9" s="73" t="s">
        <v>149</v>
      </c>
      <c r="AB9" s="405">
        <v>2937684.96</v>
      </c>
      <c r="AC9" s="405">
        <v>2406900.52</v>
      </c>
      <c r="AD9" s="73"/>
      <c r="AE9" s="73" t="s">
        <v>150</v>
      </c>
      <c r="AF9" s="2" t="s">
        <v>92</v>
      </c>
      <c r="AG9" s="98"/>
      <c r="AH9" s="237" t="s">
        <v>151</v>
      </c>
      <c r="AI9" s="225">
        <f t="shared" ca="1" si="0"/>
        <v>46176</v>
      </c>
      <c r="AJ9" s="73"/>
      <c r="AK9" s="73"/>
      <c r="AM9" s="79" t="str">
        <f>2024&amp;Tb_Portfólio11[[#This Row],[SEI]]</f>
        <v>202401179/2023</v>
      </c>
      <c r="AN9" t="str">
        <f>IFERROR(IF(MATCH(AM9,Atualizações!$P$1:$P$1265,0)&gt;0, "Sim"), "Não")</f>
        <v>Sim</v>
      </c>
      <c r="AO9" s="79" t="str">
        <f>2025&amp;Tb_Portfólio11[[#This Row],[SEI]]</f>
        <v>202501179/2023</v>
      </c>
      <c r="AP9" t="str">
        <f>IFERROR(IF(MATCH(AO9,Atualizações!$P$1:$P$1265,0)&gt;0, "Sim"), "Não")</f>
        <v>Sim</v>
      </c>
      <c r="AQ9" s="79" t="str">
        <f>_xlfn.XLOOKUP(Tb_Portfólio11[[#This Row],[SEI]],Tb_Atualizações[PROCESSO SEI],Tb_Atualizações[Explicações],"",0,-1)</f>
        <v>Projeto finalizado. O gerente está providenciando o Termo de Encerramento.</v>
      </c>
    </row>
    <row r="10" spans="1:44" ht="150">
      <c r="A10" s="232" t="s">
        <v>152</v>
      </c>
      <c r="B10" s="241" t="s">
        <v>153</v>
      </c>
      <c r="C10" s="73" t="s">
        <v>154</v>
      </c>
      <c r="D10" s="73"/>
      <c r="E10" s="97" t="s">
        <v>86</v>
      </c>
      <c r="F10" s="16" t="s">
        <v>44</v>
      </c>
      <c r="G10" s="79" t="s">
        <v>87</v>
      </c>
      <c r="H10" s="2" t="s">
        <v>46</v>
      </c>
      <c r="I10" s="73" t="s">
        <v>155</v>
      </c>
      <c r="J10" s="73" t="s">
        <v>156</v>
      </c>
      <c r="K10" s="2" t="s">
        <v>157</v>
      </c>
      <c r="L10" s="233">
        <v>45689</v>
      </c>
      <c r="M10" s="73" t="s">
        <v>86</v>
      </c>
      <c r="N10" s="376" t="s">
        <v>92</v>
      </c>
      <c r="O10" s="2" t="s">
        <v>48</v>
      </c>
      <c r="P10" s="232" t="s">
        <v>152</v>
      </c>
      <c r="Q10" s="238">
        <v>46174</v>
      </c>
      <c r="R10" s="234">
        <f>_xlfn.XLOOKUP(Tb_Portfólio11[[#This Row],[SEI]],Tb_Atualizações[PROCESSO SEI],Tb_Atualizações[% EXECUTADO],"",0,-1)</f>
        <v>0.51</v>
      </c>
      <c r="S10" s="408" t="str">
        <f>IFERROR(Tb_Portfólio11[[#This Row],[% EXECUTADO]]/#REF!,"0%")</f>
        <v>0%</v>
      </c>
      <c r="T10" s="146">
        <f>_xlfn.XLOOKUP(Tb_Portfólio11[[#This Row],[SEI]],Tb_Atualizações[PROCESSO SEI],Tb_Atualizações[DATA DE ATUALIZAÇÃO],"",0,-1)</f>
        <v>46167</v>
      </c>
      <c r="U10" s="336">
        <f>_xlfn.XLOOKUP(Tb_Portfólio11[[#This Row],[SEI]],Tb_Atualizações[PROCESSO SEI],Tb_Atualizações[Mês],,0,-1)</f>
        <v>46143</v>
      </c>
      <c r="V10" s="235"/>
      <c r="W10" s="2" t="s">
        <v>48</v>
      </c>
      <c r="X10"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0" s="409"/>
      <c r="Z10" s="236">
        <f>IFERROR(Tb_Portfólio11[[#This Row],[% EXECUTADO]]/#REF!,0)</f>
        <v>0</v>
      </c>
      <c r="AA10" s="242" t="s">
        <v>158</v>
      </c>
      <c r="AB10" s="410">
        <v>2958354.76</v>
      </c>
      <c r="AC10" s="410"/>
      <c r="AD10" s="73" t="s">
        <v>51</v>
      </c>
      <c r="AE10" s="73" t="s">
        <v>86</v>
      </c>
      <c r="AF10" s="376" t="s">
        <v>92</v>
      </c>
      <c r="AG10" s="79" t="s">
        <v>159</v>
      </c>
      <c r="AH10" s="239"/>
      <c r="AI10" s="225">
        <f t="shared" ca="1" si="0"/>
        <v>46176</v>
      </c>
      <c r="AJ10" s="73" t="s">
        <v>95</v>
      </c>
      <c r="AK10" s="73" t="s">
        <v>92</v>
      </c>
      <c r="AM10" s="79" t="str">
        <f>2024&amp;Tb_Portfólio11[[#This Row],[SEI]]</f>
        <v>202401247/2025</v>
      </c>
      <c r="AN10" s="79" t="str">
        <f>IFERROR(IF(MATCH(AM10,Atualizações!$P$1:$P$1265,0)&gt;0, "Sim"), "Não")</f>
        <v>Não</v>
      </c>
      <c r="AO10" s="79" t="str">
        <f>2025&amp;Tb_Portfólio11[[#This Row],[SEI]]</f>
        <v>202501247/2025</v>
      </c>
      <c r="AP10" s="79" t="str">
        <f>IFERROR(IF(MATCH(AO10,Atualizações!$P$1:$P$1265,0)&gt;0, "Sim"), "Não")</f>
        <v>Sim</v>
      </c>
      <c r="AQ10" s="79">
        <f>_xlfn.XLOOKUP(Tb_Portfólio11[[#This Row],[SEI]],Tb_Atualizações[PROCESSO SEI],Tb_Atualizações[Explicações],"",0,-1)</f>
        <v>0</v>
      </c>
    </row>
    <row r="11" spans="1:44" ht="405" hidden="1">
      <c r="A11" s="232" t="s">
        <v>160</v>
      </c>
      <c r="B11" s="75" t="s">
        <v>161</v>
      </c>
      <c r="C11" s="2" t="s">
        <v>162</v>
      </c>
      <c r="D11" s="73"/>
      <c r="E11" s="79" t="s">
        <v>163</v>
      </c>
      <c r="F11" s="73" t="s">
        <v>67</v>
      </c>
      <c r="G11" s="19" t="s">
        <v>164</v>
      </c>
      <c r="H11" s="2" t="s">
        <v>46</v>
      </c>
      <c r="I11" s="2" t="s">
        <v>165</v>
      </c>
      <c r="J11" s="2" t="s">
        <v>166</v>
      </c>
      <c r="K11" s="2" t="s">
        <v>147</v>
      </c>
      <c r="L11" s="233">
        <v>44473</v>
      </c>
      <c r="M11" s="73" t="s">
        <v>163</v>
      </c>
      <c r="N11" s="73" t="s">
        <v>67</v>
      </c>
      <c r="O11" s="2" t="s">
        <v>48</v>
      </c>
      <c r="P11" s="232" t="s">
        <v>160</v>
      </c>
      <c r="Q11" s="146">
        <v>45566</v>
      </c>
      <c r="R11" s="234">
        <f>_xlfn.XLOOKUP(Tb_Portfólio11[[#This Row],[SEI]],Tb_Atualizações[PROCESSO SEI],Tb_Atualizações[% EXECUTADO],"",0,-1)</f>
        <v>1</v>
      </c>
      <c r="S11" s="408" t="str">
        <f>IFERROR(Tb_Portfólio11[[#This Row],[% EXECUTADO]]/#REF!,"0%")</f>
        <v>0%</v>
      </c>
      <c r="T11" s="146">
        <f>_xlfn.XLOOKUP(Tb_Portfólio11[[#This Row],[SEI]],Tb_Atualizações[PROCESSO SEI],Tb_Atualizações[DATA DE ATUALIZAÇÃO],"",0,-1)</f>
        <v>45544</v>
      </c>
      <c r="U11" s="336">
        <f>_xlfn.XLOOKUP(Tb_Portfólio11[[#This Row],[SEI]],Tb_Atualizações[PROCESSO SEI],Tb_Atualizações[Mês],,0,-1)</f>
        <v>45505</v>
      </c>
      <c r="V11" s="235"/>
      <c r="W11" s="2" t="s">
        <v>48</v>
      </c>
      <c r="X1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1" s="409" t="s">
        <v>167</v>
      </c>
      <c r="Z11" s="236">
        <f>IFERROR(Tb_Portfólio11[[#This Row],[% EXECUTADO]]/#REF!,0)</f>
        <v>0</v>
      </c>
      <c r="AA11" s="242" t="s">
        <v>168</v>
      </c>
      <c r="AB11" s="410"/>
      <c r="AC11" s="410"/>
      <c r="AD11" s="409" t="s">
        <v>51</v>
      </c>
      <c r="AE11" s="73" t="s">
        <v>163</v>
      </c>
      <c r="AF11" s="73" t="s">
        <v>67</v>
      </c>
      <c r="AG11" s="98" t="s">
        <v>169</v>
      </c>
      <c r="AH11" s="237" t="s">
        <v>170</v>
      </c>
      <c r="AI11" s="225">
        <f t="shared" ca="1" si="0"/>
        <v>46176</v>
      </c>
      <c r="AJ11" s="73" t="s">
        <v>171</v>
      </c>
      <c r="AK11" s="73" t="s">
        <v>67</v>
      </c>
      <c r="AM11" s="79" t="str">
        <f>2024&amp;Tb_Portfólio11[[#This Row],[SEI]]</f>
        <v>202401487/2022</v>
      </c>
      <c r="AN11" t="str">
        <f>IFERROR(IF(MATCH(AM11,Atualizações!$P$1:$P$1265,0)&gt;0, "Sim"), "Não")</f>
        <v>Sim</v>
      </c>
      <c r="AO11" s="79" t="str">
        <f>2025&amp;Tb_Portfólio11[[#This Row],[SEI]]</f>
        <v>202501487/2022</v>
      </c>
      <c r="AP11" t="str">
        <f>IFERROR(IF(MATCH(AO11,Atualizações!$P$1:$P$1265,0)&gt;0, "Sim"), "Não")</f>
        <v>Não</v>
      </c>
      <c r="AQ11" s="79">
        <f>_xlfn.XLOOKUP(Tb_Portfólio11[[#This Row],[SEI]],Tb_Atualizações[PROCESSO SEI],Tb_Atualizações[Explicações],"",0,-1)</f>
        <v>0</v>
      </c>
    </row>
    <row r="12" spans="1:44" ht="135" hidden="1">
      <c r="A12" s="232" t="s">
        <v>172</v>
      </c>
      <c r="B12" s="75" t="s">
        <v>173</v>
      </c>
      <c r="C12" s="73" t="s">
        <v>174</v>
      </c>
      <c r="D12" s="73"/>
      <c r="E12" s="18" t="s">
        <v>66</v>
      </c>
      <c r="F12" s="240" t="s">
        <v>67</v>
      </c>
      <c r="G12" s="73" t="s">
        <v>175</v>
      </c>
      <c r="H12" s="2" t="s">
        <v>46</v>
      </c>
      <c r="I12" s="2" t="s">
        <v>165</v>
      </c>
      <c r="J12" s="110" t="s">
        <v>176</v>
      </c>
      <c r="K12" s="110" t="s">
        <v>177</v>
      </c>
      <c r="L12" s="233">
        <v>45373</v>
      </c>
      <c r="M12" s="616" t="s">
        <v>179</v>
      </c>
      <c r="N12" s="71" t="s">
        <v>44</v>
      </c>
      <c r="O12" s="2" t="s">
        <v>48</v>
      </c>
      <c r="P12" s="232" t="s">
        <v>172</v>
      </c>
      <c r="Q12" s="238">
        <v>45639</v>
      </c>
      <c r="R12" s="234">
        <f>_xlfn.XLOOKUP(Tb_Portfólio11[[#This Row],[SEI]],Tb_Atualizações[PROCESSO SEI],Tb_Atualizações[% EXECUTADO],"",0,-1)</f>
        <v>1</v>
      </c>
      <c r="S12" s="408" t="str">
        <f>IFERROR(Tb_Portfólio11[[#This Row],[% EXECUTADO]]/#REF!,"0%")</f>
        <v>0%</v>
      </c>
      <c r="T12" s="146">
        <f>_xlfn.XLOOKUP(Tb_Portfólio11[[#This Row],[SEI]],Tb_Atualizações[PROCESSO SEI],Tb_Atualizações[DATA DE ATUALIZAÇÃO],"",0,-1)</f>
        <v>45645</v>
      </c>
      <c r="U12" s="336">
        <f>_xlfn.XLOOKUP(Tb_Portfólio11[[#This Row],[SEI]],Tb_Atualizações[PROCESSO SEI],Tb_Atualizações[Mês],,0,-1)</f>
        <v>45627</v>
      </c>
      <c r="V12" s="235"/>
      <c r="W12" s="2" t="s">
        <v>48</v>
      </c>
      <c r="X12"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2" s="208" t="s">
        <v>178</v>
      </c>
      <c r="Z12" s="236">
        <f>IFERROR(Tb_Portfólio11[[#This Row],[% EXECUTADO]]/#REF!,0)</f>
        <v>0</v>
      </c>
      <c r="AA12" s="73"/>
      <c r="AB12" s="410"/>
      <c r="AC12" s="410"/>
      <c r="AD12" s="73" t="s">
        <v>51</v>
      </c>
      <c r="AE12" s="616" t="s">
        <v>179</v>
      </c>
      <c r="AF12" s="71" t="s">
        <v>44</v>
      </c>
      <c r="AG12" s="98" t="s">
        <v>180</v>
      </c>
      <c r="AH12" s="239"/>
      <c r="AI12" s="225">
        <f t="shared" ca="1" si="0"/>
        <v>46176</v>
      </c>
      <c r="AJ12" s="382" t="s">
        <v>181</v>
      </c>
      <c r="AK12" s="79" t="s">
        <v>67</v>
      </c>
      <c r="AM12" s="79" t="str">
        <f>2024&amp;Tb_Portfólio11[[#This Row],[SEI]]</f>
        <v>202401703/2024</v>
      </c>
      <c r="AN12" t="str">
        <f>IFERROR(IF(MATCH(AM12,Atualizações!$P$1:$P$1265,0)&gt;0, "Sim"), "Não")</f>
        <v>Sim</v>
      </c>
      <c r="AO12" s="79" t="str">
        <f>2025&amp;Tb_Portfólio11[[#This Row],[SEI]]</f>
        <v>202501703/2024</v>
      </c>
      <c r="AP12" t="str">
        <f>IFERROR(IF(MATCH(AO12,Atualizações!$P$1:$P$1265,0)&gt;0, "Sim"), "Não")</f>
        <v>Não</v>
      </c>
      <c r="AQ12" s="79" t="str">
        <f>_xlfn.XLOOKUP(Tb_Portfólio11[[#This Row],[SEI]],Tb_Atualizações[PROCESSO SEI],Tb_Atualizações[Explicações],"",0,-1)</f>
        <v>Projeto finalizado e já consta TEP no processo. Todavia, o despacho de encaminhamento para o ECP ainda não foi assinado. Daniel informa que estão esperando o retorno do dr. Dorotheo, no dia 20/1, para assinatura do despacho</v>
      </c>
    </row>
    <row r="13" spans="1:44" ht="409.5" hidden="1">
      <c r="A13" s="232" t="s">
        <v>182</v>
      </c>
      <c r="B13" s="75" t="s">
        <v>183</v>
      </c>
      <c r="C13" s="2" t="s">
        <v>184</v>
      </c>
      <c r="D13" s="2" t="s">
        <v>185</v>
      </c>
      <c r="E13" s="73" t="s">
        <v>137</v>
      </c>
      <c r="F13" s="2" t="s">
        <v>67</v>
      </c>
      <c r="G13" s="2" t="s">
        <v>186</v>
      </c>
      <c r="H13" s="2" t="s">
        <v>103</v>
      </c>
      <c r="I13" s="2" t="s">
        <v>165</v>
      </c>
      <c r="J13" s="2" t="s">
        <v>176</v>
      </c>
      <c r="K13" s="2"/>
      <c r="L13" s="233">
        <v>44013</v>
      </c>
      <c r="M13" s="73" t="s">
        <v>137</v>
      </c>
      <c r="N13" s="19" t="s">
        <v>67</v>
      </c>
      <c r="O13" s="2"/>
      <c r="P13" s="232" t="s">
        <v>182</v>
      </c>
      <c r="Q13" s="146">
        <v>45869</v>
      </c>
      <c r="R13" s="234">
        <f>_xlfn.XLOOKUP(Tb_Portfólio11[[#This Row],[SEI]],Tb_Atualizações[PROCESSO SEI],Tb_Atualizações[% EXECUTADO],"",0,-1)</f>
        <v>0.89</v>
      </c>
      <c r="S13" s="408" t="str">
        <f>IFERROR(Tb_Portfólio11[[#This Row],[% EXECUTADO]]/#REF!,"0%")</f>
        <v>0%</v>
      </c>
      <c r="T13" s="146">
        <f>_xlfn.XLOOKUP(Tb_Portfólio11[[#This Row],[SEI]],Tb_Atualizações[PROCESSO SEI],Tb_Atualizações[DATA DE ATUALIZAÇÃO],"",0,-1)</f>
        <v>46142</v>
      </c>
      <c r="U13" s="336">
        <f>_xlfn.XLOOKUP(Tb_Portfólio11[[#This Row],[SEI]],Tb_Atualizações[PROCESSO SEI],Tb_Atualizações[Mês],,0,-1)</f>
        <v>46113</v>
      </c>
      <c r="V13" s="235"/>
      <c r="W13" s="2"/>
      <c r="X1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3" s="409"/>
      <c r="Z13" s="236">
        <f>IFERROR(Tb_Portfólio11[[#This Row],[% EXECUTADO]]/#REF!,0)</f>
        <v>0</v>
      </c>
      <c r="AA13" s="73" t="s">
        <v>187</v>
      </c>
      <c r="AB13" s="410"/>
      <c r="AC13" s="410"/>
      <c r="AD13" s="73"/>
      <c r="AE13" s="73" t="s">
        <v>137</v>
      </c>
      <c r="AF13" s="19" t="s">
        <v>67</v>
      </c>
      <c r="AH13" s="264" t="s">
        <v>188</v>
      </c>
      <c r="AI13" s="225">
        <f t="shared" ca="1" si="0"/>
        <v>46176</v>
      </c>
      <c r="AJ13" s="73"/>
      <c r="AK13" s="73"/>
      <c r="AM13" s="79" t="str">
        <f>2024&amp;Tb_Portfólio11[[#This Row],[SEI]]</f>
        <v>202401764/2020</v>
      </c>
      <c r="AN13" t="str">
        <f>IFERROR(IF(MATCH(AM13,Atualizações!$P$1:$P$1265,0)&gt;0, "Sim"), "Não")</f>
        <v>Sim</v>
      </c>
      <c r="AO13" s="79" t="str">
        <f>2025&amp;Tb_Portfólio11[[#This Row],[SEI]]</f>
        <v>202501764/2020</v>
      </c>
      <c r="AP13" t="str">
        <f>IFERROR(IF(MATCH(AO13,Atualizações!$P$1:$P$1265,0)&gt;0, "Sim"), "Não")</f>
        <v>Sim</v>
      </c>
      <c r="AQ13" s="79">
        <f>_xlfn.XLOOKUP(Tb_Portfólio11[[#This Row],[SEI]],Tb_Atualizações[PROCESSO SEI],Tb_Atualizações[Explicações],"",0,-1)</f>
        <v>0</v>
      </c>
    </row>
    <row r="14" spans="1:44" ht="135">
      <c r="A14" s="232" t="s">
        <v>209</v>
      </c>
      <c r="B14" s="75" t="s">
        <v>210</v>
      </c>
      <c r="C14" s="2" t="s">
        <v>211</v>
      </c>
      <c r="D14" s="73"/>
      <c r="E14" s="73" t="s">
        <v>43</v>
      </c>
      <c r="F14" s="16" t="s">
        <v>44</v>
      </c>
      <c r="G14" s="2" t="s">
        <v>212</v>
      </c>
      <c r="H14" s="2" t="s">
        <v>46</v>
      </c>
      <c r="I14" s="2" t="s">
        <v>213</v>
      </c>
      <c r="J14" s="2" t="s">
        <v>214</v>
      </c>
      <c r="K14" s="2" t="s">
        <v>147</v>
      </c>
      <c r="L14" s="233">
        <v>44971</v>
      </c>
      <c r="M14" s="73" t="s">
        <v>163</v>
      </c>
      <c r="N14" s="73" t="s">
        <v>67</v>
      </c>
      <c r="O14" s="2" t="s">
        <v>48</v>
      </c>
      <c r="P14" s="232" t="s">
        <v>209</v>
      </c>
      <c r="Q14" s="146">
        <v>45866</v>
      </c>
      <c r="R14" s="234">
        <f>_xlfn.XLOOKUP(Tb_Portfólio11[[#This Row],[SEI]],Tb_Atualizações[PROCESSO SEI],Tb_Atualizações[% EXECUTADO],"",0,-1)</f>
        <v>1</v>
      </c>
      <c r="S14" s="408" t="str">
        <f>IFERROR(Tb_Portfólio11[[#This Row],[% EXECUTADO]]/#REF!,"0%")</f>
        <v>0%</v>
      </c>
      <c r="T14" s="146">
        <f>_xlfn.XLOOKUP(Tb_Portfólio11[[#This Row],[SEI]],Tb_Atualizações[PROCESSO SEI],Tb_Atualizações[DATA DE ATUALIZAÇÃO],"",0,-1)</f>
        <v>45895</v>
      </c>
      <c r="U14" s="336">
        <f>_xlfn.XLOOKUP(Tb_Portfólio11[[#This Row],[SEI]],Tb_Atualizações[PROCESSO SEI],Tb_Atualizações[Mês],,0,-1)</f>
        <v>45870</v>
      </c>
      <c r="V14" s="235"/>
      <c r="W14" s="2" t="s">
        <v>48</v>
      </c>
      <c r="X14"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4" s="409" t="s">
        <v>215</v>
      </c>
      <c r="Z14" s="236">
        <f>IFERROR(Tb_Portfólio11[[#This Row],[% EXECUTADO]]/#REF!,0)</f>
        <v>0</v>
      </c>
      <c r="AA14" s="73" t="s">
        <v>216</v>
      </c>
      <c r="AB14" s="410"/>
      <c r="AC14" s="410"/>
      <c r="AD14" s="73" t="s">
        <v>51</v>
      </c>
      <c r="AE14" s="73" t="s">
        <v>163</v>
      </c>
      <c r="AF14" s="73" t="s">
        <v>67</v>
      </c>
      <c r="AG14" s="98" t="s">
        <v>217</v>
      </c>
      <c r="AH14" s="237" t="s">
        <v>218</v>
      </c>
      <c r="AI14" s="225">
        <f t="shared" ca="1" si="0"/>
        <v>46176</v>
      </c>
      <c r="AJ14" s="239" t="s">
        <v>69</v>
      </c>
      <c r="AK14" s="79" t="s">
        <v>67</v>
      </c>
      <c r="AM14" s="79" t="str">
        <f>2024&amp;Tb_Portfólio11[[#This Row],[SEI]]</f>
        <v>202401945/2022</v>
      </c>
      <c r="AN14" t="str">
        <f>IFERROR(IF(MATCH(AM14,Atualizações!$P$1:$P$1265,0)&gt;0, "Sim"), "Não")</f>
        <v>Sim</v>
      </c>
      <c r="AO14" s="79" t="str">
        <f>2025&amp;Tb_Portfólio11[[#This Row],[SEI]]</f>
        <v>202501945/2022</v>
      </c>
      <c r="AP14" t="str">
        <f>IFERROR(IF(MATCH(AO14,Atualizações!$P$1:$P$1265,0)&gt;0, "Sim"), "Não")</f>
        <v>Sim</v>
      </c>
      <c r="AQ14" s="79" t="str">
        <f>_xlfn.XLOOKUP(Tb_Portfólio11[[#This Row],[SEI]],Tb_Atualizações[PROCESSO SEI],Tb_Atualizações[Explicações],"",0,-1)</f>
        <v>TEP formalizado no dia 26/8/2025 por meio do documento 2300117</v>
      </c>
    </row>
    <row r="15" spans="1:44" ht="315">
      <c r="A15" s="232" t="s">
        <v>219</v>
      </c>
      <c r="B15" s="75" t="s">
        <v>220</v>
      </c>
      <c r="C15" s="73" t="s">
        <v>221</v>
      </c>
      <c r="D15" s="73"/>
      <c r="E15" s="97" t="s">
        <v>86</v>
      </c>
      <c r="F15" s="16" t="s">
        <v>44</v>
      </c>
      <c r="G15" s="73" t="s">
        <v>212</v>
      </c>
      <c r="H15" s="2" t="s">
        <v>46</v>
      </c>
      <c r="I15" s="73" t="s">
        <v>223</v>
      </c>
      <c r="J15" s="73" t="s">
        <v>224</v>
      </c>
      <c r="K15" s="2" t="s">
        <v>225</v>
      </c>
      <c r="L15" s="233">
        <v>45700</v>
      </c>
      <c r="M15" s="73" t="s">
        <v>86</v>
      </c>
      <c r="N15" s="250" t="s">
        <v>44</v>
      </c>
      <c r="O15" s="2" t="s">
        <v>48</v>
      </c>
      <c r="P15" s="232" t="s">
        <v>219</v>
      </c>
      <c r="Q15" s="238">
        <v>46246</v>
      </c>
      <c r="R15" s="234">
        <f>_xlfn.XLOOKUP(Tb_Portfólio11[[#This Row],[SEI]],Tb_Atualizações[PROCESSO SEI],Tb_Atualizações[% EXECUTADO],"",0,-1)</f>
        <v>0.88</v>
      </c>
      <c r="S15" s="408" t="str">
        <f>IFERROR(Tb_Portfólio11[[#This Row],[% EXECUTADO]]/#REF!,"0%")</f>
        <v>0%</v>
      </c>
      <c r="T15" s="146">
        <f>_xlfn.XLOOKUP(Tb_Portfólio11[[#This Row],[SEI]],Tb_Atualizações[PROCESSO SEI],Tb_Atualizações[DATA DE ATUALIZAÇÃO],"",0,-1)</f>
        <v>46167</v>
      </c>
      <c r="U15" s="336">
        <f>_xlfn.XLOOKUP(Tb_Portfólio11[[#This Row],[SEI]],Tb_Atualizações[PROCESSO SEI],Tb_Atualizações[Mês],,0,-1)</f>
        <v>46143</v>
      </c>
      <c r="V15" s="235"/>
      <c r="W15" s="2" t="s">
        <v>48</v>
      </c>
      <c r="X15"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15" s="409"/>
      <c r="Z15" s="236">
        <f>IFERROR(Tb_Portfólio11[[#This Row],[% EXECUTADO]]/#REF!,0)</f>
        <v>0</v>
      </c>
      <c r="AA15" s="73" t="s">
        <v>226</v>
      </c>
      <c r="AB15" s="410">
        <v>448695</v>
      </c>
      <c r="AC15" s="410"/>
      <c r="AD15" s="73" t="s">
        <v>51</v>
      </c>
      <c r="AE15" s="73" t="s">
        <v>86</v>
      </c>
      <c r="AF15" s="250" t="s">
        <v>44</v>
      </c>
      <c r="AG15" s="98" t="s">
        <v>227</v>
      </c>
      <c r="AH15" s="239"/>
      <c r="AI15" s="225">
        <f t="shared" ca="1" si="0"/>
        <v>46176</v>
      </c>
      <c r="AJ15" s="239" t="s">
        <v>145</v>
      </c>
      <c r="AK15" s="79" t="s">
        <v>228</v>
      </c>
      <c r="AM15" s="79" t="str">
        <f>2024&amp;Tb_Portfólio11[[#This Row],[SEI]]</f>
        <v>202402024/2024</v>
      </c>
      <c r="AN15" s="79" t="str">
        <f>IFERROR(IF(MATCH(AM15,Atualizações!$P$1:$P$1265,0)&gt;0, "Sim"), "Não")</f>
        <v>Não</v>
      </c>
      <c r="AO15" s="79" t="str">
        <f>2025&amp;Tb_Portfólio11[[#This Row],[SEI]]</f>
        <v>202502024/2024</v>
      </c>
      <c r="AP15" s="79" t="str">
        <f>IFERROR(IF(MATCH(AO15,Atualizações!$P$1:$P$1265,0)&gt;0, "Sim"), "Não")</f>
        <v>Sim</v>
      </c>
      <c r="AQ15" s="79">
        <f>_xlfn.XLOOKUP(Tb_Portfólio11[[#This Row],[SEI]],Tb_Atualizações[PROCESSO SEI],Tb_Atualizações[Explicações],"",0,-1)</f>
        <v>0</v>
      </c>
    </row>
    <row r="16" spans="1:44" ht="195">
      <c r="A16" s="232" t="s">
        <v>229</v>
      </c>
      <c r="B16" s="75" t="s">
        <v>230</v>
      </c>
      <c r="C16" s="75" t="s">
        <v>231</v>
      </c>
      <c r="D16" s="73"/>
      <c r="E16" s="73" t="s">
        <v>43</v>
      </c>
      <c r="F16" s="16" t="s">
        <v>44</v>
      </c>
      <c r="G16" s="19" t="s">
        <v>232</v>
      </c>
      <c r="H16" s="2" t="s">
        <v>46</v>
      </c>
      <c r="I16" s="2" t="s">
        <v>104</v>
      </c>
      <c r="J16" s="2" t="s">
        <v>146</v>
      </c>
      <c r="K16" s="2" t="s">
        <v>147</v>
      </c>
      <c r="L16" s="233">
        <v>45078</v>
      </c>
      <c r="M16" s="73" t="s">
        <v>163</v>
      </c>
      <c r="N16" s="98" t="s">
        <v>67</v>
      </c>
      <c r="O16" s="2" t="s">
        <v>48</v>
      </c>
      <c r="P16" s="232" t="s">
        <v>229</v>
      </c>
      <c r="Q16" s="146">
        <v>46021</v>
      </c>
      <c r="R16" s="234">
        <f>_xlfn.XLOOKUP(Tb_Portfólio11[[#This Row],[SEI]],Tb_Atualizações[PROCESSO SEI],Tb_Atualizações[% EXECUTADO],"",0,-1)</f>
        <v>0.66</v>
      </c>
      <c r="S16" s="408" t="str">
        <f>IFERROR(Tb_Portfólio11[[#This Row],[% EXECUTADO]]/#REF!,"0%")</f>
        <v>0%</v>
      </c>
      <c r="T16" s="146">
        <f>_xlfn.XLOOKUP(Tb_Portfólio11[[#This Row],[SEI]],Tb_Atualizações[PROCESSO SEI],Tb_Atualizações[DATA DE ATUALIZAÇÃO],"",0,-1)</f>
        <v>46167</v>
      </c>
      <c r="U16" s="336">
        <f>_xlfn.XLOOKUP(Tb_Portfólio11[[#This Row],[SEI]],Tb_Atualizações[PROCESSO SEI],Tb_Atualizações[Mês],,0,-1)</f>
        <v>46143</v>
      </c>
      <c r="V16" s="235"/>
      <c r="W16" s="2" t="s">
        <v>48</v>
      </c>
      <c r="X16"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6" s="409"/>
      <c r="Z16" s="236">
        <f>IFERROR(Tb_Portfólio11[[#This Row],[% EXECUTADO]]/#REF!,0)</f>
        <v>0</v>
      </c>
      <c r="AA16" s="73" t="s">
        <v>1576</v>
      </c>
      <c r="AB16" s="410"/>
      <c r="AC16" s="410"/>
      <c r="AD16" s="73" t="s">
        <v>51</v>
      </c>
      <c r="AE16" s="73" t="s">
        <v>163</v>
      </c>
      <c r="AF16" s="98" t="s">
        <v>67</v>
      </c>
      <c r="AG16" s="98" t="s">
        <v>234</v>
      </c>
      <c r="AH16" s="237" t="s">
        <v>1577</v>
      </c>
      <c r="AI16" s="225">
        <f t="shared" ca="1" si="0"/>
        <v>46176</v>
      </c>
      <c r="AJ16" s="73" t="s">
        <v>140</v>
      </c>
      <c r="AK16" s="73" t="s">
        <v>67</v>
      </c>
      <c r="AM16" s="79" t="str">
        <f>2024&amp;Tb_Portfólio11[[#This Row],[SEI]]</f>
        <v>202402080/2023</v>
      </c>
      <c r="AN16" t="str">
        <f>IFERROR(IF(MATCH(AM16,Atualizações!$P$1:$P$1265,0)&gt;0, "Sim"), "Não")</f>
        <v>Sim</v>
      </c>
      <c r="AO16" s="79" t="str">
        <f>2025&amp;Tb_Portfólio11[[#This Row],[SEI]]</f>
        <v>202502080/2023</v>
      </c>
      <c r="AP16" t="str">
        <f>IFERROR(IF(MATCH(AO16,Atualizações!$P$1:$P$1265,0)&gt;0, "Sim"), "Não")</f>
        <v>Sim</v>
      </c>
      <c r="AQ16" s="79" t="str">
        <f>_xlfn.XLOOKUP(Tb_Portfólio11[[#This Row],[SEI]],Tb_Atualizações[PROCESSO SEI],Tb_Atualizações[Explicações],"",0,-1)</f>
        <v>Apesar de o projeto encontra-se em atraso, o gerente relata que o projeto encontra-se sendo executado conforme o esperado, sendo o atraso registrado decorrente de um problema na ferramenta de acompanhamento do projeto. A equipe do PNUD já está ciente da situação e encontra-se trabalhando para regularizar a ferramenta de acompanhamento.</v>
      </c>
    </row>
    <row r="17" spans="1:43" ht="270">
      <c r="A17" s="232" t="s">
        <v>247</v>
      </c>
      <c r="B17" s="241" t="s">
        <v>248</v>
      </c>
      <c r="C17" s="73" t="s">
        <v>249</v>
      </c>
      <c r="D17" s="73"/>
      <c r="E17" s="73" t="s">
        <v>43</v>
      </c>
      <c r="F17" s="73" t="s">
        <v>44</v>
      </c>
      <c r="G17" s="617" t="s">
        <v>250</v>
      </c>
      <c r="H17" s="2" t="s">
        <v>46</v>
      </c>
      <c r="I17" s="73" t="s">
        <v>251</v>
      </c>
      <c r="J17" s="73" t="s">
        <v>252</v>
      </c>
      <c r="K17" s="2" t="s">
        <v>253</v>
      </c>
      <c r="L17" s="233">
        <v>45200</v>
      </c>
      <c r="M17" s="616" t="s">
        <v>179</v>
      </c>
      <c r="N17" s="250" t="s">
        <v>44</v>
      </c>
      <c r="O17" s="2" t="s">
        <v>48</v>
      </c>
      <c r="P17" s="232" t="s">
        <v>247</v>
      </c>
      <c r="Q17" s="238">
        <v>46387</v>
      </c>
      <c r="R17" s="234">
        <f>_xlfn.XLOOKUP(Tb_Portfólio11[[#This Row],[SEI]],Tb_Atualizações[PROCESSO SEI],Tb_Atualizações[% EXECUTADO],"",0,-1)</f>
        <v>0.55000000000000004</v>
      </c>
      <c r="S17" s="408" t="str">
        <f>IFERROR(Tb_Portfólio11[[#This Row],[% EXECUTADO]]/#REF!,"0%")</f>
        <v>0%</v>
      </c>
      <c r="T17" s="146">
        <f>_xlfn.XLOOKUP(Tb_Portfólio11[[#This Row],[SEI]],Tb_Atualizações[PROCESSO SEI],Tb_Atualizações[DATA DE ATUALIZAÇÃO],"",0,-1)</f>
        <v>46167</v>
      </c>
      <c r="U17" s="336">
        <f>_xlfn.XLOOKUP(Tb_Portfólio11[[#This Row],[SEI]],Tb_Atualizações[PROCESSO SEI],Tb_Atualizações[Mês],,0,-1)</f>
        <v>46143</v>
      </c>
      <c r="V17" s="235"/>
      <c r="W17" s="2" t="s">
        <v>48</v>
      </c>
      <c r="X17"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17" s="409"/>
      <c r="Z17" s="236">
        <f>IFERROR(Tb_Portfólio11[[#This Row],[% EXECUTADO]]/#REF!,0)</f>
        <v>0</v>
      </c>
      <c r="AA17" s="73" t="s">
        <v>1578</v>
      </c>
      <c r="AB17" s="410">
        <v>6575248.5700000003</v>
      </c>
      <c r="AC17" s="410"/>
      <c r="AD17" s="73" t="s">
        <v>51</v>
      </c>
      <c r="AE17" s="616" t="s">
        <v>179</v>
      </c>
      <c r="AF17" s="250" t="s">
        <v>44</v>
      </c>
      <c r="AG17" s="98" t="s">
        <v>255</v>
      </c>
      <c r="AH17" s="239" t="s">
        <v>1579</v>
      </c>
      <c r="AI17" s="225">
        <f t="shared" ca="1" si="0"/>
        <v>46176</v>
      </c>
      <c r="AJ17" s="618" t="s">
        <v>197</v>
      </c>
      <c r="AK17" s="79" t="s">
        <v>67</v>
      </c>
      <c r="AM17" s="79" t="str">
        <f>2024&amp;Tb_Portfólio11[[#This Row],[SEI]]</f>
        <v>202402394/2024</v>
      </c>
      <c r="AN17" t="str">
        <f>IFERROR(IF(MATCH(AM17,Atualizações!$P$1:$P$1265,0)&gt;0, "Sim"), "Não")</f>
        <v>Sim</v>
      </c>
      <c r="AO17" s="79" t="str">
        <f>2025&amp;Tb_Portfólio11[[#This Row],[SEI]]</f>
        <v>202502394/2024</v>
      </c>
      <c r="AP17" t="str">
        <f>IFERROR(IF(MATCH(AO17,Atualizações!$P$1:$P$1265,0)&gt;0, "Sim"), "Não")</f>
        <v>Sim</v>
      </c>
      <c r="AQ17" s="79">
        <f>_xlfn.XLOOKUP(Tb_Portfólio11[[#This Row],[SEI]],Tb_Atualizações[PROCESSO SEI],Tb_Atualizações[Explicações],"",0,-1)</f>
        <v>0</v>
      </c>
    </row>
    <row r="18" spans="1:43" ht="409.5">
      <c r="A18" s="232" t="s">
        <v>257</v>
      </c>
      <c r="B18" s="75" t="s">
        <v>258</v>
      </c>
      <c r="C18" s="73" t="s">
        <v>259</v>
      </c>
      <c r="D18" s="73"/>
      <c r="E18" s="246" t="s">
        <v>514</v>
      </c>
      <c r="F18" s="16" t="s">
        <v>44</v>
      </c>
      <c r="G18" s="73" t="s">
        <v>260</v>
      </c>
      <c r="H18" s="2" t="s">
        <v>46</v>
      </c>
      <c r="I18" s="73" t="s">
        <v>240</v>
      </c>
      <c r="J18" s="17" t="s">
        <v>105</v>
      </c>
      <c r="K18" s="2" t="s">
        <v>261</v>
      </c>
      <c r="L18" s="233">
        <v>45293</v>
      </c>
      <c r="M18" s="73" t="s">
        <v>514</v>
      </c>
      <c r="N18" s="250" t="s">
        <v>44</v>
      </c>
      <c r="O18" s="2" t="s">
        <v>48</v>
      </c>
      <c r="P18" s="232" t="s">
        <v>257</v>
      </c>
      <c r="Q18" s="238">
        <v>46022</v>
      </c>
      <c r="R18" s="234">
        <f>_xlfn.XLOOKUP(Tb_Portfólio11[[#This Row],[SEI]],Tb_Atualizações[PROCESSO SEI],Tb_Atualizações[% EXECUTADO],"",0,-1)</f>
        <v>0.5</v>
      </c>
      <c r="S18" s="408" t="str">
        <f>IFERROR(Tb_Portfólio11[[#This Row],[% EXECUTADO]]/#REF!,"0%")</f>
        <v>0%</v>
      </c>
      <c r="T18" s="146">
        <f>_xlfn.XLOOKUP(Tb_Portfólio11[[#This Row],[SEI]],Tb_Atualizações[PROCESSO SEI],Tb_Atualizações[DATA DE ATUALIZAÇÃO],"",0,-1)</f>
        <v>46167</v>
      </c>
      <c r="U18" s="336">
        <f>_xlfn.XLOOKUP(Tb_Portfólio11[[#This Row],[SEI]],Tb_Atualizações[PROCESSO SEI],Tb_Atualizações[Mês],,0,-1)</f>
        <v>46143</v>
      </c>
      <c r="V18" s="235"/>
      <c r="W18" s="2" t="s">
        <v>48</v>
      </c>
      <c r="X18"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8" s="409"/>
      <c r="Z18" s="236">
        <f>IFERROR(Tb_Portfólio11[[#This Row],[% EXECUTADO]]/#REF!,0)</f>
        <v>0</v>
      </c>
      <c r="AA18" s="242" t="s">
        <v>263</v>
      </c>
      <c r="AB18" s="254">
        <v>3897842.74</v>
      </c>
      <c r="AC18" s="410"/>
      <c r="AD18" s="73" t="s">
        <v>51</v>
      </c>
      <c r="AE18" s="73" t="s">
        <v>514</v>
      </c>
      <c r="AF18" s="250" t="s">
        <v>44</v>
      </c>
      <c r="AG18" s="243" t="s">
        <v>264</v>
      </c>
      <c r="AH18" s="239"/>
      <c r="AI18" s="225">
        <f t="shared" ca="1" si="0"/>
        <v>46176</v>
      </c>
      <c r="AJ18" s="73" t="s">
        <v>197</v>
      </c>
      <c r="AK18" s="73" t="s">
        <v>67</v>
      </c>
      <c r="AM18" s="79" t="str">
        <f>2024&amp;Tb_Portfólio11[[#This Row],[SEI]]</f>
        <v>202402465/2024</v>
      </c>
      <c r="AN18" t="str">
        <f>IFERROR(IF(MATCH(AM18,Atualizações!$P$1:$P$1265,0)&gt;0, "Sim"), "Não")</f>
        <v>Sim</v>
      </c>
      <c r="AO18" s="79" t="str">
        <f>2025&amp;Tb_Portfólio11[[#This Row],[SEI]]</f>
        <v>202502465/2024</v>
      </c>
      <c r="AP18" t="str">
        <f>IFERROR(IF(MATCH(AO18,Atualizações!$P$1:$P$1265,0)&gt;0, "Sim"), "Não")</f>
        <v>Sim</v>
      </c>
      <c r="AQ18" s="79" t="str">
        <f>_xlfn.XLOOKUP(Tb_Portfólio11[[#This Row],[SEI]],Tb_Atualizações[PROCESSO SEI],Tb_Atualizações[Explicações],"",0,-1)</f>
        <v xml:space="preserve">Entregas Realizadas:
* Realizado no período: Subida para produção da funcionalidade de Retificação de Ofício; reuniões de demonstração técnica realizadas para os tribunais TJAC, TJPB, TJMG, TJAL, TJPA, TJTO, TJRR, TJPE e TJMA.  
* Em andamento: Desenvolvimento e homologação do módulo Calculadora com regras retroativas a 2015 (IPCA-E e juros da poupança). 
Entregas planejadas para o próximo mês :
* Planejado: Formalização e publicação da portaria de criação do Grupo de Trabalho de Dados de Precatórios envolvendo a Justiça do Trabalho, CJF e TJSP. 
Outros fatos relevantes a registrar:
* A integração física com o ambiente do Data Lake está travada/pendente há três semanas por falta de disponibilização de ambiente.  
* Página oficial sobre Precatórios desatualizada no portal do CNJ.  
* Solicitação: Alocação emergencial de mais um Analista de Requisitos para suprir a alta demanda de novos tribunais aderindo ao sistema. </v>
      </c>
    </row>
    <row r="19" spans="1:43" ht="120" customHeight="1">
      <c r="A19" s="232" t="s">
        <v>266</v>
      </c>
      <c r="B19" s="75" t="s">
        <v>267</v>
      </c>
      <c r="C19" s="73" t="s">
        <v>268</v>
      </c>
      <c r="D19" s="73"/>
      <c r="E19" s="245" t="s">
        <v>144</v>
      </c>
      <c r="F19" s="16" t="s">
        <v>44</v>
      </c>
      <c r="G19" s="517" t="s">
        <v>269</v>
      </c>
      <c r="H19" s="2" t="s">
        <v>44</v>
      </c>
      <c r="I19" s="73" t="s">
        <v>240</v>
      </c>
      <c r="J19" s="110" t="s">
        <v>166</v>
      </c>
      <c r="K19" s="2" t="s">
        <v>270</v>
      </c>
      <c r="L19" s="233">
        <v>45344</v>
      </c>
      <c r="M19" s="73" t="s">
        <v>150</v>
      </c>
      <c r="N19" s="6" t="s">
        <v>44</v>
      </c>
      <c r="O19" s="260"/>
      <c r="P19" s="232" t="s">
        <v>266</v>
      </c>
      <c r="Q19" s="238">
        <v>45590</v>
      </c>
      <c r="R19" s="234">
        <f>_xlfn.XLOOKUP(Tb_Portfólio11[[#This Row],[SEI]],Tb_Atualizações[PROCESSO SEI],Tb_Atualizações[% EXECUTADO],"",0,-1)</f>
        <v>1</v>
      </c>
      <c r="S19" s="408" t="str">
        <f>IFERROR(Tb_Portfólio11[[#This Row],[% EXECUTADO]]/#REF!,"0%")</f>
        <v>0%</v>
      </c>
      <c r="T19" s="146">
        <f>_xlfn.XLOOKUP(Tb_Portfólio11[[#This Row],[SEI]],Tb_Atualizações[PROCESSO SEI],Tb_Atualizações[DATA DE ATUALIZAÇÃO],"",0,-1)</f>
        <v>45714</v>
      </c>
      <c r="U19" s="336">
        <f>_xlfn.XLOOKUP(Tb_Portfólio11[[#This Row],[SEI]],Tb_Atualizações[PROCESSO SEI],Tb_Atualizações[Mês],,0,-1)</f>
        <v>45689</v>
      </c>
      <c r="V19" s="235"/>
      <c r="W19" s="260"/>
      <c r="X1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9" s="409"/>
      <c r="Z19" s="236">
        <f>IFERROR(Tb_Portfólio11[[#This Row],[% EXECUTADO]]/#REF!,0)</f>
        <v>0</v>
      </c>
      <c r="AA19" s="242" t="s">
        <v>271</v>
      </c>
      <c r="AB19" s="410"/>
      <c r="AC19" s="410"/>
      <c r="AD19" s="73"/>
      <c r="AE19" s="73" t="s">
        <v>150</v>
      </c>
      <c r="AF19" s="6" t="s">
        <v>44</v>
      </c>
      <c r="AG19" s="422" t="s">
        <v>272</v>
      </c>
      <c r="AH19" s="239"/>
      <c r="AI19" s="225">
        <f t="shared" ca="1" si="0"/>
        <v>46176</v>
      </c>
      <c r="AK19" s="73"/>
      <c r="AM19" s="79" t="str">
        <f>2024&amp;Tb_Portfólio11[[#This Row],[SEI]]</f>
        <v>202402476/2024</v>
      </c>
      <c r="AN19" t="str">
        <f>IFERROR(IF(MATCH(AM19,Atualizações!$P$1:$P$1265,0)&gt;0, "Sim"), "Não")</f>
        <v>Sim</v>
      </c>
      <c r="AO19" s="79" t="str">
        <f>2025&amp;Tb_Portfólio11[[#This Row],[SEI]]</f>
        <v>202502476/2024</v>
      </c>
      <c r="AP19" t="str">
        <f>IFERROR(IF(MATCH(AO19,Atualizações!$P$1:$P$1265,0)&gt;0, "Sim"), "Não")</f>
        <v>Sim</v>
      </c>
      <c r="AQ19" s="79" t="str">
        <f>_xlfn.XLOOKUP(Tb_Portfólio11[[#This Row],[SEI]],Tb_Atualizações[PROCESSO SEI],Tb_Atualizações[Explicações],"",0,-1)</f>
        <v>Projeto concluído com a entrega do TEP. Resultados da itinerância disponíveis no relatório 2101807, páginas 63 a 138</v>
      </c>
    </row>
    <row r="20" spans="1:43" ht="155.25" customHeight="1">
      <c r="A20" s="232" t="s">
        <v>273</v>
      </c>
      <c r="B20" s="75" t="s">
        <v>274</v>
      </c>
      <c r="C20" s="73" t="s">
        <v>275</v>
      </c>
      <c r="D20" s="73"/>
      <c r="E20" s="73" t="s">
        <v>276</v>
      </c>
      <c r="F20" s="16" t="s">
        <v>44</v>
      </c>
      <c r="G20" s="73" t="s">
        <v>45</v>
      </c>
      <c r="H20" s="2" t="s">
        <v>46</v>
      </c>
      <c r="I20" s="73" t="s">
        <v>165</v>
      </c>
      <c r="J20" s="17" t="s">
        <v>120</v>
      </c>
      <c r="K20" s="2" t="s">
        <v>147</v>
      </c>
      <c r="L20" s="233">
        <v>45293</v>
      </c>
      <c r="M20" s="73" t="s">
        <v>279</v>
      </c>
      <c r="N20" s="250" t="s">
        <v>44</v>
      </c>
      <c r="O20" s="2" t="s">
        <v>48</v>
      </c>
      <c r="P20" s="232" t="s">
        <v>273</v>
      </c>
      <c r="Q20" s="146">
        <v>46022</v>
      </c>
      <c r="R20" s="234">
        <f>_xlfn.XLOOKUP(Tb_Portfólio11[[#This Row],[SEI]],Tb_Atualizações[PROCESSO SEI],Tb_Atualizações[% EXECUTADO],"",0,-1)</f>
        <v>0.76</v>
      </c>
      <c r="S20" s="408" t="str">
        <f>IFERROR(Tb_Portfólio11[[#This Row],[% EXECUTADO]]/#REF!,"0%")</f>
        <v>0%</v>
      </c>
      <c r="T20" s="146">
        <f>_xlfn.XLOOKUP(Tb_Portfólio11[[#This Row],[SEI]],Tb_Atualizações[PROCESSO SEI],Tb_Atualizações[DATA DE ATUALIZAÇÃO],"",0,-1)</f>
        <v>45985</v>
      </c>
      <c r="U20" s="336">
        <f>_xlfn.XLOOKUP(Tb_Portfólio11[[#This Row],[SEI]],Tb_Atualizações[PROCESSO SEI],Tb_Atualizações[Mês],,0,-1)</f>
        <v>45962</v>
      </c>
      <c r="V20" s="235"/>
      <c r="W20" s="2" t="s">
        <v>48</v>
      </c>
      <c r="X20" s="235" t="s">
        <v>277</v>
      </c>
      <c r="Y20" s="409"/>
      <c r="Z20" s="236">
        <f>IFERROR(Tb_Portfólio11[[#This Row],[% EXECUTADO]]/#REF!,0)</f>
        <v>0</v>
      </c>
      <c r="AA20" s="73" t="s">
        <v>278</v>
      </c>
      <c r="AB20" s="410">
        <v>2733325.28</v>
      </c>
      <c r="AC20" s="410"/>
      <c r="AD20" s="73" t="s">
        <v>51</v>
      </c>
      <c r="AE20" s="73" t="s">
        <v>279</v>
      </c>
      <c r="AF20" s="250" t="s">
        <v>44</v>
      </c>
      <c r="AG20" s="98" t="s">
        <v>280</v>
      </c>
      <c r="AH20" s="239"/>
      <c r="AI20" s="225">
        <f t="shared" ca="1" si="0"/>
        <v>46176</v>
      </c>
      <c r="AJ20" s="239" t="s">
        <v>95</v>
      </c>
      <c r="AK20" s="79" t="s">
        <v>92</v>
      </c>
      <c r="AM20" s="79" t="str">
        <f>2024&amp;Tb_Portfólio11[[#This Row],[SEI]]</f>
        <v>202402483/2023</v>
      </c>
      <c r="AN20" t="str">
        <f>IFERROR(IF(MATCH(AM20,Atualizações!$P$1:$P$1265,0)&gt;0, "Sim"), "Não")</f>
        <v>Sim</v>
      </c>
      <c r="AO20" s="79" t="str">
        <f>2025&amp;Tb_Portfólio11[[#This Row],[SEI]]</f>
        <v>202502483/2023</v>
      </c>
      <c r="AP20" t="str">
        <f>IFERROR(IF(MATCH(AO20,Atualizações!$P$1:$P$1265,0)&gt;0, "Sim"), "Não")</f>
        <v>Sim</v>
      </c>
      <c r="AQ20" s="79">
        <f>_xlfn.XLOOKUP(Tb_Portfólio11[[#This Row],[SEI]],Tb_Atualizações[PROCESSO SEI],Tb_Atualizações[Explicações],"",0,-1)</f>
        <v>0</v>
      </c>
    </row>
    <row r="21" spans="1:43" ht="90">
      <c r="A21" s="232" t="s">
        <v>290</v>
      </c>
      <c r="B21" s="75" t="s">
        <v>291</v>
      </c>
      <c r="C21" s="73" t="s">
        <v>292</v>
      </c>
      <c r="D21" s="73"/>
      <c r="E21" s="246" t="s">
        <v>144</v>
      </c>
      <c r="F21" s="16" t="s">
        <v>44</v>
      </c>
      <c r="G21" s="73" t="s">
        <v>293</v>
      </c>
      <c r="H21" s="16" t="s">
        <v>44</v>
      </c>
      <c r="I21" s="73" t="s">
        <v>240</v>
      </c>
      <c r="J21" s="73" t="s">
        <v>294</v>
      </c>
      <c r="K21" s="2" t="s">
        <v>295</v>
      </c>
      <c r="L21" s="233">
        <v>45714</v>
      </c>
      <c r="M21" s="73" t="s">
        <v>150</v>
      </c>
      <c r="N21" s="250" t="s">
        <v>44</v>
      </c>
      <c r="O21" s="2"/>
      <c r="P21" s="232" t="s">
        <v>290</v>
      </c>
      <c r="Q21" s="238">
        <v>45912</v>
      </c>
      <c r="R21" s="234">
        <f>_xlfn.XLOOKUP(Tb_Portfólio11[[#This Row],[SEI]],Tb_Atualizações[PROCESSO SEI],Tb_Atualizações[% EXECUTADO],"",0,-1)</f>
        <v>1</v>
      </c>
      <c r="S21" s="408" t="str">
        <f>IFERROR(Tb_Portfólio11[[#This Row],[% EXECUTADO]]/#REF!,"0%")</f>
        <v>0%</v>
      </c>
      <c r="T21" s="146">
        <f>_xlfn.XLOOKUP(Tb_Portfólio11[[#This Row],[SEI]],Tb_Atualizações[PROCESSO SEI],Tb_Atualizações[DATA DE ATUALIZAÇÃO],"",0,-1)</f>
        <v>45925</v>
      </c>
      <c r="U21" s="336">
        <f>_xlfn.XLOOKUP(Tb_Portfólio11[[#This Row],[SEI]],Tb_Atualizações[PROCESSO SEI],Tb_Atualizações[Mês],,0,-1)</f>
        <v>45901</v>
      </c>
      <c r="V21" s="235"/>
      <c r="W21" s="2"/>
      <c r="X2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1" s="409"/>
      <c r="Z21" s="236">
        <f>IFERROR(Tb_Portfólio11[[#This Row],[% EXECUTADO]]/#REF!,0)</f>
        <v>0</v>
      </c>
      <c r="AA21" s="73" t="s">
        <v>296</v>
      </c>
      <c r="AB21" s="410"/>
      <c r="AC21" s="410"/>
      <c r="AD21" s="73"/>
      <c r="AE21" s="73" t="s">
        <v>150</v>
      </c>
      <c r="AF21" s="250" t="s">
        <v>44</v>
      </c>
      <c r="AG21" s="98" t="s">
        <v>297</v>
      </c>
      <c r="AH21" s="239"/>
      <c r="AI21" s="225">
        <f t="shared" ca="1" si="0"/>
        <v>46176</v>
      </c>
      <c r="AK21" s="73"/>
      <c r="AM21" s="79" t="str">
        <f>2024&amp;Tb_Portfólio11[[#This Row],[SEI]]</f>
        <v>202402633/2025</v>
      </c>
      <c r="AN21" s="79" t="str">
        <f>IFERROR(IF(MATCH(AM21,Atualizações!$P$1:$P$1265,0)&gt;0, "Sim"), "Não")</f>
        <v>Não</v>
      </c>
      <c r="AO21" s="79" t="str">
        <f>2025&amp;Tb_Portfólio11[[#This Row],[SEI]]</f>
        <v>202502633/2025</v>
      </c>
      <c r="AP21" s="79" t="str">
        <f>IFERROR(IF(MATCH(AO21,Atualizações!$P$1:$P$1265,0)&gt;0, "Sim"), "Não")</f>
        <v>Sim</v>
      </c>
      <c r="AQ21" s="79" t="str">
        <f>_xlfn.XLOOKUP(Tb_Portfólio11[[#This Row],[SEI]],Tb_Atualizações[PROCESSO SEI],Tb_Atualizações[Explicações],"",0,-1)</f>
        <v>TEP recebido.</v>
      </c>
    </row>
    <row r="22" spans="1:43" ht="120" hidden="1">
      <c r="A22" s="232" t="s">
        <v>298</v>
      </c>
      <c r="B22" s="75" t="s">
        <v>299</v>
      </c>
      <c r="C22" s="2" t="s">
        <v>300</v>
      </c>
      <c r="D22" s="73"/>
      <c r="E22" s="73" t="s">
        <v>301</v>
      </c>
      <c r="F22" s="79" t="s">
        <v>302</v>
      </c>
      <c r="G22" s="2" t="s">
        <v>303</v>
      </c>
      <c r="H22" s="2" t="s">
        <v>304</v>
      </c>
      <c r="I22" s="2" t="s">
        <v>305</v>
      </c>
      <c r="J22" s="2" t="s">
        <v>120</v>
      </c>
      <c r="K22" s="2" t="s">
        <v>306</v>
      </c>
      <c r="L22" s="233">
        <v>44959</v>
      </c>
      <c r="M22" s="73" t="s">
        <v>307</v>
      </c>
      <c r="N22" s="73" t="s">
        <v>302</v>
      </c>
      <c r="O22" s="2"/>
      <c r="P22" s="232" t="s">
        <v>298</v>
      </c>
      <c r="Q22" s="238">
        <v>45485</v>
      </c>
      <c r="R22" s="234">
        <f>_xlfn.XLOOKUP(Tb_Portfólio11[[#This Row],[SEI]],Tb_Atualizações[PROCESSO SEI],Tb_Atualizações[% EXECUTADO],"",0,-1)</f>
        <v>1</v>
      </c>
      <c r="S22" s="408" t="str">
        <f>IFERROR(Tb_Portfólio11[[#This Row],[% EXECUTADO]]/#REF!,"0%")</f>
        <v>0%</v>
      </c>
      <c r="T22" s="146">
        <f>_xlfn.XLOOKUP(Tb_Portfólio11[[#This Row],[SEI]],Tb_Atualizações[PROCESSO SEI],Tb_Atualizações[DATA DE ATUALIZAÇÃO],"",0,-1)</f>
        <v>45645</v>
      </c>
      <c r="U22" s="336">
        <f>_xlfn.XLOOKUP(Tb_Portfólio11[[#This Row],[SEI]],Tb_Atualizações[PROCESSO SEI],Tb_Atualizações[Mês],,0,-1)</f>
        <v>45627</v>
      </c>
      <c r="V22" s="235"/>
      <c r="W22" s="2"/>
      <c r="X22"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2" s="409"/>
      <c r="Z22" s="236">
        <f>IFERROR(Tb_Portfólio11[[#This Row],[% EXECUTADO]]/#REF!,0)</f>
        <v>0</v>
      </c>
      <c r="AA22" s="73"/>
      <c r="AB22" s="410"/>
      <c r="AC22" s="410"/>
      <c r="AD22" s="73"/>
      <c r="AE22" s="73" t="s">
        <v>307</v>
      </c>
      <c r="AF22" s="73" t="s">
        <v>302</v>
      </c>
      <c r="AG22" s="98" t="s">
        <v>308</v>
      </c>
      <c r="AH22" s="237" t="s">
        <v>309</v>
      </c>
      <c r="AI22" s="225">
        <f t="shared" ca="1" si="0"/>
        <v>46176</v>
      </c>
      <c r="AJ22" s="73"/>
      <c r="AK22" s="73"/>
      <c r="AM22" s="79" t="str">
        <f>2024&amp;Tb_Portfólio11[[#This Row],[SEI]]</f>
        <v>202402660/2023</v>
      </c>
      <c r="AN22" t="str">
        <f>IFERROR(IF(MATCH(AM22,Atualizações!$P$1:$P$1265,0)&gt;0, "Sim"), "Não")</f>
        <v>Sim</v>
      </c>
      <c r="AO22" s="79" t="str">
        <f>2025&amp;Tb_Portfólio11[[#This Row],[SEI]]</f>
        <v>202502660/2023</v>
      </c>
      <c r="AP22" t="str">
        <f>IFERROR(IF(MATCH(AO22,Atualizações!$P$1:$P$1265,0)&gt;0, "Sim"), "Não")</f>
        <v>Não</v>
      </c>
      <c r="AQ22" s="79">
        <f>_xlfn.XLOOKUP(Tb_Portfólio11[[#This Row],[SEI]],Tb_Atualizações[PROCESSO SEI],Tb_Atualizações[Explicações],"",0,-1)</f>
        <v>0</v>
      </c>
    </row>
    <row r="23" spans="1:43" ht="409.5" hidden="1">
      <c r="A23" s="232" t="s">
        <v>310</v>
      </c>
      <c r="B23" s="75" t="s">
        <v>311</v>
      </c>
      <c r="C23" s="73" t="s">
        <v>312</v>
      </c>
      <c r="D23" s="73"/>
      <c r="E23" s="321" t="s">
        <v>66</v>
      </c>
      <c r="F23" s="240" t="s">
        <v>67</v>
      </c>
      <c r="G23" s="79" t="s">
        <v>61</v>
      </c>
      <c r="H23" s="2" t="s">
        <v>46</v>
      </c>
      <c r="I23" s="2" t="s">
        <v>313</v>
      </c>
      <c r="J23" s="110" t="s">
        <v>176</v>
      </c>
      <c r="K23" s="2" t="s">
        <v>314</v>
      </c>
      <c r="L23" s="233">
        <v>45200</v>
      </c>
      <c r="M23" s="71" t="s">
        <v>179</v>
      </c>
      <c r="N23" s="16" t="s">
        <v>44</v>
      </c>
      <c r="O23" s="2" t="s">
        <v>48</v>
      </c>
      <c r="P23" s="232" t="s">
        <v>310</v>
      </c>
      <c r="Q23" s="238">
        <v>46203</v>
      </c>
      <c r="R23" s="234">
        <f>_xlfn.XLOOKUP(Tb_Portfólio11[[#This Row],[SEI]],Tb_Atualizações[PROCESSO SEI],Tb_Atualizações[% EXECUTADO],"",0,-1)</f>
        <v>0.8</v>
      </c>
      <c r="S23" s="408" t="str">
        <f>IFERROR(Tb_Portfólio11[[#This Row],[% EXECUTADO]]/#REF!,"0%")</f>
        <v>0%</v>
      </c>
      <c r="T23" s="146">
        <f>_xlfn.XLOOKUP(Tb_Portfólio11[[#This Row],[SEI]],Tb_Atualizações[PROCESSO SEI],Tb_Atualizações[DATA DE ATUALIZAÇÃO],"",0,-1)</f>
        <v>46137</v>
      </c>
      <c r="U23" s="336">
        <f>_xlfn.XLOOKUP(Tb_Portfólio11[[#This Row],[SEI]],Tb_Atualizações[PROCESSO SEI],Tb_Atualizações[Mês],,0,-1)</f>
        <v>46143</v>
      </c>
      <c r="V23" s="235"/>
      <c r="W23" s="2" t="s">
        <v>48</v>
      </c>
      <c r="X2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23" s="409"/>
      <c r="Z23" s="236">
        <f>IFERROR(Tb_Portfólio11[[#This Row],[% EXECUTADO]]/#REF!,0)</f>
        <v>0</v>
      </c>
      <c r="AA23" s="242" t="s">
        <v>1580</v>
      </c>
      <c r="AB23" s="410">
        <v>1182811.3400000001</v>
      </c>
      <c r="AC23" s="410"/>
      <c r="AD23" s="73" t="s">
        <v>51</v>
      </c>
      <c r="AE23" s="71" t="s">
        <v>179</v>
      </c>
      <c r="AF23" s="16" t="s">
        <v>44</v>
      </c>
      <c r="AG23" s="243" t="s">
        <v>316</v>
      </c>
      <c r="AH23" s="239"/>
      <c r="AI23" s="225">
        <f t="shared" ca="1" si="0"/>
        <v>46176</v>
      </c>
      <c r="AJ23" s="247" t="s">
        <v>197</v>
      </c>
      <c r="AK23" s="79" t="s">
        <v>67</v>
      </c>
      <c r="AM23" s="79" t="str">
        <f>2024&amp;Tb_Portfólio11[[#This Row],[SEI]]</f>
        <v>202402887/2024</v>
      </c>
      <c r="AN23" t="str">
        <f>IFERROR(IF(MATCH(AM23,Atualizações!$P$1:$P$1265,0)&gt;0, "Sim"), "Não")</f>
        <v>Sim</v>
      </c>
      <c r="AO23" s="79" t="str">
        <f>2025&amp;Tb_Portfólio11[[#This Row],[SEI]]</f>
        <v>202502887/2024</v>
      </c>
      <c r="AP23" t="str">
        <f>IFERROR(IF(MATCH(AO23,Atualizações!$P$1:$P$1265,0)&gt;0, "Sim"), "Não")</f>
        <v>Sim</v>
      </c>
      <c r="AQ23" s="79" t="str">
        <f>_xlfn.XLOOKUP(Tb_Portfólio11[[#This Row],[SEI]],Tb_Atualizações[PROCESSO SEI],Tb_Atualizações[Explicações],"",0,-1)</f>
        <v xml:space="preserve">▪ Etapa atual: Atendimento N2 e Apoio técnico (sistemas/soluções desenvolvidas pelo PNUD). 
▪ Soluções em atendimento – Suporte Nível 2 em andamento: 
• BNMP; 
• CODEX; 
• Consulta Nacional de Pessoas; 
• Delegação de Perfil; 
• Domicílio Judicial Eletrônico; 
• INTEGRA; 
• Integração PDPJ; 
• Serviços Estruturantes; 
• SISPERJUD; 
• SNA; 
• SISPREQ; 
• SPVATJUD. 
▪ Tarefas N2 atendidas: 
• 186 tarefas no período de 15 a 21/05/2026; 
• 225 tarefas no período anterior. 
▪ Tarefas N2 criadas: 
• 172 tarefas no período de 15 a 21/05/2026; 
• 267 tarefas no período anterior. 
▪ Tarefas N2 pendentes: 
• 86 tarefas em 21/05/2026; 
• 85 tarefas no período anterior. 
▪ Sistemas mais demandados pelo Time de Apoio no período de 15 a 21/05/2026: 
• BNMP:  
o 75 tarefas criadas; 
o 105 tarefas atendidas; 
o Maior ofensor: erros de servidor (500/403/404), travamento de tela em carregamento, falhas na finalização de peças e bugs de integração de lotação; 
o Impossibilidade de inclusão de CPF, duplicidade de nomes de genitores e ajustes em registros de irmãos gêmeos; 
o Dúvidas sobre o novo fluxo de exclusão, regras de unificação de RJI, cadastro de CPFs e orientações sobre alertas de monitoramento; 
o Mensagens de "HTTP ERROR 404" e "Status 500" no ambiente de produção e testes; 
o Ponto crítico identificado: ID 220744 - trata de um cumprimento fraudulento de mandado de prisão decorrente de uma invasão no sistema. 
• Domicílio Judicial Eletrônico: 
o 35 tarefas criadas; 
o 32 tarefas atendidas; 
o Maior ofensor: solicitações de informações relacionadas ao DJE, acesso, perfil, coligadas e notificações por email; 
o Problemas relacionados a instabilidades temporárias do DJE; 
o Solicitação direcionadas para outras filas, exemplo: perguntas sobre autenticação de duas etapas; 
o Usuários com dificuldade para visualizar comunicações processuais devido à ausência de permissão ou ao não recebimento das comunicações; </v>
      </c>
    </row>
    <row r="24" spans="1:43" ht="75" hidden="1">
      <c r="A24" s="232" t="s">
        <v>318</v>
      </c>
      <c r="B24" s="75" t="s">
        <v>319</v>
      </c>
      <c r="C24" s="73" t="s">
        <v>320</v>
      </c>
      <c r="D24" s="73"/>
      <c r="E24" s="73" t="s">
        <v>163</v>
      </c>
      <c r="F24" s="2" t="s">
        <v>67</v>
      </c>
      <c r="G24" s="67" t="s">
        <v>321</v>
      </c>
      <c r="H24" s="2" t="s">
        <v>46</v>
      </c>
      <c r="I24" s="73" t="s">
        <v>75</v>
      </c>
      <c r="J24" s="109" t="s">
        <v>105</v>
      </c>
      <c r="K24" s="2" t="s">
        <v>314</v>
      </c>
      <c r="L24" s="233">
        <v>45170</v>
      </c>
      <c r="M24" s="71" t="s">
        <v>179</v>
      </c>
      <c r="N24" s="252" t="s">
        <v>44</v>
      </c>
      <c r="O24" s="2" t="s">
        <v>48</v>
      </c>
      <c r="P24" s="232" t="s">
        <v>318</v>
      </c>
      <c r="Q24" s="238">
        <v>45473</v>
      </c>
      <c r="R24" s="234">
        <f>_xlfn.XLOOKUP(Tb_Portfólio11[[#This Row],[SEI]],Tb_Atualizações[PROCESSO SEI],Tb_Atualizações[% EXECUTADO],"",0,-1)</f>
        <v>1</v>
      </c>
      <c r="S24" s="408" t="str">
        <f>IFERROR(Tb_Portfólio11[[#This Row],[% EXECUTADO]]/#REF!,"0%")</f>
        <v>0%</v>
      </c>
      <c r="T24" s="146">
        <f>_xlfn.XLOOKUP(Tb_Portfólio11[[#This Row],[SEI]],Tb_Atualizações[PROCESSO SEI],Tb_Atualizações[DATA DE ATUALIZAÇÃO],"",0,-1)</f>
        <v>45576</v>
      </c>
      <c r="U24" s="336">
        <f>_xlfn.XLOOKUP(Tb_Portfólio11[[#This Row],[SEI]],Tb_Atualizações[PROCESSO SEI],Tb_Atualizações[Mês],,0,-1)</f>
        <v>45536</v>
      </c>
      <c r="V24" s="235"/>
      <c r="W24" s="2" t="s">
        <v>48</v>
      </c>
      <c r="X24"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4" s="409"/>
      <c r="Z24" s="236">
        <f>IFERROR(Tb_Portfólio11[[#This Row],[% EXECUTADO]]/#REF!,0)</f>
        <v>0</v>
      </c>
      <c r="AA24" s="73"/>
      <c r="AB24" s="253">
        <v>279886.73</v>
      </c>
      <c r="AC24" s="410"/>
      <c r="AD24" s="73" t="s">
        <v>51</v>
      </c>
      <c r="AE24" s="71" t="s">
        <v>179</v>
      </c>
      <c r="AF24" s="252" t="s">
        <v>44</v>
      </c>
      <c r="AG24" s="98"/>
      <c r="AH24" s="239"/>
      <c r="AI24" s="225">
        <f t="shared" ca="1" si="0"/>
        <v>46176</v>
      </c>
      <c r="AJ24" s="247" t="s">
        <v>197</v>
      </c>
      <c r="AK24" s="79" t="s">
        <v>67</v>
      </c>
      <c r="AM24" s="79" t="str">
        <f>2024&amp;Tb_Portfólio11[[#This Row],[SEI]]</f>
        <v>202402888/2024</v>
      </c>
      <c r="AN24" t="str">
        <f>IFERROR(IF(MATCH(AM24,Atualizações!$P$1:$P$1265,0)&gt;0, "Sim"), "Não")</f>
        <v>Sim</v>
      </c>
      <c r="AO24" s="79" t="str">
        <f>2025&amp;Tb_Portfólio11[[#This Row],[SEI]]</f>
        <v>202502888/2024</v>
      </c>
      <c r="AP24" t="str">
        <f>IFERROR(IF(MATCH(AO24,Atualizações!$P$1:$P$1265,0)&gt;0, "Sim"), "Não")</f>
        <v>Não</v>
      </c>
      <c r="AQ24" s="79">
        <f>_xlfn.XLOOKUP(Tb_Portfólio11[[#This Row],[SEI]],Tb_Atualizações[PROCESSO SEI],Tb_Atualizações[Explicações],"",0,-1)</f>
        <v>0</v>
      </c>
    </row>
    <row r="25" spans="1:43" ht="409.5">
      <c r="A25" s="232" t="s">
        <v>322</v>
      </c>
      <c r="B25" s="75" t="s">
        <v>323</v>
      </c>
      <c r="C25" s="2" t="s">
        <v>324</v>
      </c>
      <c r="D25" s="2" t="s">
        <v>325</v>
      </c>
      <c r="E25" s="73" t="s">
        <v>276</v>
      </c>
      <c r="F25" s="16" t="s">
        <v>44</v>
      </c>
      <c r="G25" s="2" t="s">
        <v>326</v>
      </c>
      <c r="H25" s="2" t="s">
        <v>46</v>
      </c>
      <c r="I25" s="2" t="s">
        <v>165</v>
      </c>
      <c r="J25" s="3" t="s">
        <v>176</v>
      </c>
      <c r="K25" s="2" t="s">
        <v>147</v>
      </c>
      <c r="L25" s="233">
        <v>44390</v>
      </c>
      <c r="M25" s="73" t="s">
        <v>43</v>
      </c>
      <c r="N25" s="98" t="s">
        <v>44</v>
      </c>
      <c r="O25" s="2" t="s">
        <v>48</v>
      </c>
      <c r="P25" s="232" t="s">
        <v>322</v>
      </c>
      <c r="Q25" s="146">
        <v>45519</v>
      </c>
      <c r="R25" s="234">
        <f>_xlfn.XLOOKUP(Tb_Portfólio11[[#This Row],[SEI]],Tb_Atualizações[PROCESSO SEI],Tb_Atualizações[% EXECUTADO],"",0,-1)</f>
        <v>1</v>
      </c>
      <c r="S25" s="408" t="str">
        <f>IFERROR(Tb_Portfólio11[[#This Row],[% EXECUTADO]]/#REF!,"0%")</f>
        <v>0%</v>
      </c>
      <c r="T25" s="146">
        <f>_xlfn.XLOOKUP(Tb_Portfólio11[[#This Row],[SEI]],Tb_Atualizações[PROCESSO SEI],Tb_Atualizações[DATA DE ATUALIZAÇÃO],"",0,-1)</f>
        <v>45519</v>
      </c>
      <c r="U25" s="336">
        <f>_xlfn.XLOOKUP(Tb_Portfólio11[[#This Row],[SEI]],Tb_Atualizações[PROCESSO SEI],Tb_Atualizações[Mês],,0,-1)</f>
        <v>45474</v>
      </c>
      <c r="V25" s="235"/>
      <c r="W25" s="2" t="s">
        <v>48</v>
      </c>
      <c r="X25"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5" s="409" t="s">
        <v>327</v>
      </c>
      <c r="Z25" s="236">
        <f>IFERROR(Tb_Portfólio11[[#This Row],[% EXECUTADO]]/#REF!,0)</f>
        <v>0</v>
      </c>
      <c r="AA25" s="73" t="s">
        <v>328</v>
      </c>
      <c r="AB25" s="410"/>
      <c r="AC25" s="410"/>
      <c r="AD25" s="73" t="s">
        <v>51</v>
      </c>
      <c r="AE25" s="73" t="s">
        <v>43</v>
      </c>
      <c r="AF25" s="98" t="s">
        <v>44</v>
      </c>
      <c r="AG25" s="98" t="s">
        <v>329</v>
      </c>
      <c r="AH25" s="237" t="s">
        <v>330</v>
      </c>
      <c r="AI25" s="225">
        <f t="shared" ca="1" si="0"/>
        <v>46176</v>
      </c>
      <c r="AJ25" s="79" t="s">
        <v>171</v>
      </c>
      <c r="AK25" s="79" t="s">
        <v>67</v>
      </c>
      <c r="AM25" s="79" t="str">
        <f>2024&amp;Tb_Portfólio11[[#This Row],[SEI]]</f>
        <v>202402938/2021</v>
      </c>
      <c r="AN25" t="str">
        <f>IFERROR(IF(MATCH(AM25,Atualizações!$P$1:$P$1265,0)&gt;0, "Sim"), "Não")</f>
        <v>Sim</v>
      </c>
      <c r="AO25" s="79" t="str">
        <f>2025&amp;Tb_Portfólio11[[#This Row],[SEI]]</f>
        <v>202502938/2021</v>
      </c>
      <c r="AP25" t="str">
        <f>IFERROR(IF(MATCH(AO25,Atualizações!$P$1:$P$1265,0)&gt;0, "Sim"), "Não")</f>
        <v>Não</v>
      </c>
      <c r="AQ25" s="79">
        <f>_xlfn.XLOOKUP(Tb_Portfólio11[[#This Row],[SEI]],Tb_Atualizações[PROCESSO SEI],Tb_Atualizações[Explicações],"",0,-1)</f>
        <v>0</v>
      </c>
    </row>
    <row r="26" spans="1:43" ht="165">
      <c r="A26" s="232" t="s">
        <v>331</v>
      </c>
      <c r="B26" s="75" t="s">
        <v>332</v>
      </c>
      <c r="C26" s="2" t="s">
        <v>333</v>
      </c>
      <c r="D26" s="2" t="s">
        <v>334</v>
      </c>
      <c r="E26" s="73" t="s">
        <v>276</v>
      </c>
      <c r="F26" s="16" t="s">
        <v>44</v>
      </c>
      <c r="G26" s="2" t="s">
        <v>335</v>
      </c>
      <c r="H26" s="7" t="s">
        <v>46</v>
      </c>
      <c r="I26" s="2" t="s">
        <v>165</v>
      </c>
      <c r="J26" s="17" t="s">
        <v>176</v>
      </c>
      <c r="K26" s="2" t="s">
        <v>147</v>
      </c>
      <c r="L26" s="233">
        <v>44433</v>
      </c>
      <c r="M26" s="73" t="s">
        <v>43</v>
      </c>
      <c r="N26" s="250" t="s">
        <v>44</v>
      </c>
      <c r="O26" s="2" t="s">
        <v>48</v>
      </c>
      <c r="P26" s="232" t="s">
        <v>331</v>
      </c>
      <c r="Q26" s="146">
        <v>45442</v>
      </c>
      <c r="R26" s="234">
        <f>_xlfn.XLOOKUP(Tb_Portfólio11[[#This Row],[SEI]],Tb_Atualizações[PROCESSO SEI],Tb_Atualizações[% EXECUTADO],"",0,-1)</f>
        <v>1</v>
      </c>
      <c r="S26" s="408" t="str">
        <f>IFERROR(Tb_Portfólio11[[#This Row],[% EXECUTADO]]/#REF!,"0%")</f>
        <v>0%</v>
      </c>
      <c r="T26" s="146">
        <f>_xlfn.XLOOKUP(Tb_Portfólio11[[#This Row],[SEI]],Tb_Atualizações[PROCESSO SEI],Tb_Atualizações[DATA DE ATUALIZAÇÃO],"",0,-1)</f>
        <v>45392</v>
      </c>
      <c r="U26" s="336">
        <f>_xlfn.XLOOKUP(Tb_Portfólio11[[#This Row],[SEI]],Tb_Atualizações[PROCESSO SEI],Tb_Atualizações[Mês],,0,-1)</f>
        <v>45352</v>
      </c>
      <c r="V26" s="235"/>
      <c r="W26" s="2" t="s">
        <v>48</v>
      </c>
      <c r="X2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6" s="411" t="s">
        <v>336</v>
      </c>
      <c r="Z26" s="236">
        <f>IFERROR(Tb_Portfólio11[[#This Row],[% EXECUTADO]]/#REF!,0)</f>
        <v>0</v>
      </c>
      <c r="AA26" s="73" t="s">
        <v>337</v>
      </c>
      <c r="AB26" s="351">
        <v>375089</v>
      </c>
      <c r="AC26" s="351">
        <v>533000.65</v>
      </c>
      <c r="AD26" s="73" t="s">
        <v>51</v>
      </c>
      <c r="AE26" s="73" t="s">
        <v>43</v>
      </c>
      <c r="AF26" s="250" t="s">
        <v>44</v>
      </c>
      <c r="AG26" s="98" t="s">
        <v>338</v>
      </c>
      <c r="AH26" s="267" t="s">
        <v>339</v>
      </c>
      <c r="AI26" s="225">
        <f t="shared" ca="1" si="0"/>
        <v>46176</v>
      </c>
      <c r="AJ26" s="619" t="s">
        <v>340</v>
      </c>
      <c r="AK26" s="73" t="s">
        <v>67</v>
      </c>
      <c r="AM26" s="79" t="str">
        <f>2024&amp;Tb_Portfólio11[[#This Row],[SEI]]</f>
        <v>202402941/2021</v>
      </c>
      <c r="AN26" t="str">
        <f>IFERROR(IF(MATCH(AM26,Atualizações!$P$1:$P$1265,0)&gt;0, "Sim"), "Não")</f>
        <v>Sim</v>
      </c>
      <c r="AO26" s="79" t="str">
        <f>2025&amp;Tb_Portfólio11[[#This Row],[SEI]]</f>
        <v>202502941/2021</v>
      </c>
      <c r="AP26" t="str">
        <f>IFERROR(IF(MATCH(AO26,Atualizações!$P$1:$P$1265,0)&gt;0, "Sim"), "Não")</f>
        <v>Não</v>
      </c>
      <c r="AQ26" s="79">
        <f>_xlfn.XLOOKUP(Tb_Portfólio11[[#This Row],[SEI]],Tb_Atualizações[PROCESSO SEI],Tb_Atualizações[Explicações],"",0,-1)</f>
        <v>0</v>
      </c>
    </row>
    <row r="27" spans="1:43" ht="315">
      <c r="A27" s="232" t="s">
        <v>341</v>
      </c>
      <c r="B27" s="75" t="s">
        <v>342</v>
      </c>
      <c r="C27" s="2" t="s">
        <v>343</v>
      </c>
      <c r="D27" s="2" t="s">
        <v>344</v>
      </c>
      <c r="E27" s="73" t="s">
        <v>276</v>
      </c>
      <c r="F27" s="16" t="s">
        <v>44</v>
      </c>
      <c r="G27" s="16" t="s">
        <v>345</v>
      </c>
      <c r="H27" s="2" t="s">
        <v>46</v>
      </c>
      <c r="I27" s="2" t="s">
        <v>346</v>
      </c>
      <c r="J27" s="2" t="s">
        <v>146</v>
      </c>
      <c r="K27" s="2" t="s">
        <v>147</v>
      </c>
      <c r="L27" s="233">
        <v>44306</v>
      </c>
      <c r="M27" s="73" t="s">
        <v>348</v>
      </c>
      <c r="N27" s="16" t="s">
        <v>44</v>
      </c>
      <c r="O27" s="2" t="s">
        <v>48</v>
      </c>
      <c r="P27" s="232" t="s">
        <v>341</v>
      </c>
      <c r="Q27" s="146">
        <v>45291</v>
      </c>
      <c r="R27" s="234">
        <f>_xlfn.XLOOKUP(Tb_Portfólio11[[#This Row],[SEI]],Tb_Atualizações[PROCESSO SEI],Tb_Atualizações[% EXECUTADO],"",0,-1)</f>
        <v>1</v>
      </c>
      <c r="S27" s="408" t="str">
        <f>IFERROR(Tb_Portfólio11[[#This Row],[% EXECUTADO]]/#REF!,"0%")</f>
        <v>0%</v>
      </c>
      <c r="T27" s="146">
        <f>_xlfn.XLOOKUP(Tb_Portfólio11[[#This Row],[SEI]],Tb_Atualizações[PROCESSO SEI],Tb_Atualizações[DATA DE ATUALIZAÇÃO],"",0,-1)</f>
        <v>45512</v>
      </c>
      <c r="U27" s="336">
        <f>_xlfn.XLOOKUP(Tb_Portfólio11[[#This Row],[SEI]],Tb_Atualizações[PROCESSO SEI],Tb_Atualizações[Mês],,0,-1)</f>
        <v>45474</v>
      </c>
      <c r="V27" s="235"/>
      <c r="W27" s="2" t="s">
        <v>48</v>
      </c>
      <c r="X2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7" s="409"/>
      <c r="Z27" s="236">
        <f>IFERROR(Tb_Portfólio11[[#This Row],[% EXECUTADO]]/#REF!,0)</f>
        <v>0</v>
      </c>
      <c r="AA27" s="73" t="s">
        <v>347</v>
      </c>
      <c r="AB27" s="410"/>
      <c r="AC27" s="410"/>
      <c r="AD27" s="73" t="s">
        <v>51</v>
      </c>
      <c r="AE27" s="73" t="s">
        <v>348</v>
      </c>
      <c r="AF27" s="16" t="s">
        <v>44</v>
      </c>
      <c r="AG27" s="98"/>
      <c r="AH27" s="239" t="s">
        <v>349</v>
      </c>
      <c r="AI27" s="225">
        <f t="shared" ca="1" si="0"/>
        <v>46176</v>
      </c>
      <c r="AJ27" s="143" t="s">
        <v>127</v>
      </c>
      <c r="AK27" s="19" t="s">
        <v>128</v>
      </c>
      <c r="AM27" s="79" t="str">
        <f>2024&amp;Tb_Portfólio11[[#This Row],[SEI]]</f>
        <v>202403096/2021</v>
      </c>
      <c r="AN27" t="str">
        <f>IFERROR(IF(MATCH(AM27,Atualizações!$P$1:$P$1265,0)&gt;0, "Sim"), "Não")</f>
        <v>Sim</v>
      </c>
      <c r="AO27" s="79" t="str">
        <f>2025&amp;Tb_Portfólio11[[#This Row],[SEI]]</f>
        <v>202503096/2021</v>
      </c>
      <c r="AP27" t="str">
        <f>IFERROR(IF(MATCH(AO27,Atualizações!$P$1:$P$1265,0)&gt;0, "Sim"), "Não")</f>
        <v>Não</v>
      </c>
      <c r="AQ27" s="79">
        <f>_xlfn.XLOOKUP(Tb_Portfólio11[[#This Row],[SEI]],Tb_Atualizações[PROCESSO SEI],Tb_Atualizações[Explicações],"",0,-1)</f>
        <v>0</v>
      </c>
    </row>
    <row r="28" spans="1:43" ht="255">
      <c r="A28" s="149" t="s">
        <v>350</v>
      </c>
      <c r="B28" s="103" t="s">
        <v>351</v>
      </c>
      <c r="C28" s="2" t="s">
        <v>352</v>
      </c>
      <c r="D28" s="2" t="s">
        <v>353</v>
      </c>
      <c r="E28" s="97" t="s">
        <v>86</v>
      </c>
      <c r="F28" s="255" t="s">
        <v>44</v>
      </c>
      <c r="G28" s="378" t="s">
        <v>87</v>
      </c>
      <c r="H28" s="7" t="s">
        <v>46</v>
      </c>
      <c r="I28" s="7" t="s">
        <v>88</v>
      </c>
      <c r="J28" s="7" t="s">
        <v>146</v>
      </c>
      <c r="K28" s="7" t="s">
        <v>354</v>
      </c>
      <c r="L28" s="256">
        <v>44317</v>
      </c>
      <c r="M28" s="97" t="s">
        <v>86</v>
      </c>
      <c r="N28" s="255" t="s">
        <v>92</v>
      </c>
      <c r="O28" s="2" t="s">
        <v>48</v>
      </c>
      <c r="P28" s="149" t="s">
        <v>350</v>
      </c>
      <c r="Q28" s="266">
        <v>46366</v>
      </c>
      <c r="R28" s="234">
        <f>_xlfn.XLOOKUP(Tb_Portfólio11[[#This Row],[SEI]],Tb_Atualizações[PROCESSO SEI],Tb_Atualizações[% EXECUTADO],"",0,-1)</f>
        <v>0.77</v>
      </c>
      <c r="S28" s="408" t="str">
        <f>IFERROR(Tb_Portfólio11[[#This Row],[% EXECUTADO]]/#REF!,"0%")</f>
        <v>0%</v>
      </c>
      <c r="T28" s="146">
        <f>_xlfn.XLOOKUP(Tb_Portfólio11[[#This Row],[SEI]],Tb_Atualizações[PROCESSO SEI],Tb_Atualizações[DATA DE ATUALIZAÇÃO],"",0,-1)</f>
        <v>46167</v>
      </c>
      <c r="U28" s="336">
        <f>_xlfn.XLOOKUP(Tb_Portfólio11[[#This Row],[SEI]],Tb_Atualizações[PROCESSO SEI],Tb_Atualizações[Mês],,0,-1)</f>
        <v>46143</v>
      </c>
      <c r="V28" s="259"/>
      <c r="W28" s="2" t="s">
        <v>48</v>
      </c>
      <c r="X28"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28" s="412"/>
      <c r="Z28" s="236">
        <f>IFERROR(Tb_Portfólio11[[#This Row],[% EXECUTADO]]/#REF!,0)</f>
        <v>0</v>
      </c>
      <c r="AA28" s="97" t="s">
        <v>355</v>
      </c>
      <c r="AB28" s="413"/>
      <c r="AC28" s="413"/>
      <c r="AD28" s="97" t="s">
        <v>51</v>
      </c>
      <c r="AE28" s="97" t="s">
        <v>86</v>
      </c>
      <c r="AF28" s="255" t="s">
        <v>92</v>
      </c>
      <c r="AG28" s="263" t="s">
        <v>356</v>
      </c>
      <c r="AH28" s="237" t="s">
        <v>357</v>
      </c>
      <c r="AI28" s="225">
        <f t="shared" ca="1" si="0"/>
        <v>46176</v>
      </c>
      <c r="AJ28" s="79" t="s">
        <v>95</v>
      </c>
      <c r="AK28" s="73" t="s">
        <v>92</v>
      </c>
      <c r="AM28" s="79" t="str">
        <f>2024&amp;Tb_Portfólio11[[#This Row],[SEI]]</f>
        <v>202403545/2021</v>
      </c>
      <c r="AN28" t="str">
        <f>IFERROR(IF(MATCH(AM28,Atualizações!$P$1:$P$1265,0)&gt;0, "Sim"), "Não")</f>
        <v>Sim</v>
      </c>
      <c r="AO28" s="79" t="str">
        <f>2025&amp;Tb_Portfólio11[[#This Row],[SEI]]</f>
        <v>202503545/2021</v>
      </c>
      <c r="AP28" t="str">
        <f>IFERROR(IF(MATCH(AO28,Atualizações!$P$1:$P$1265,0)&gt;0, "Sim"), "Não")</f>
        <v>Sim</v>
      </c>
      <c r="AQ28" s="79">
        <f>_xlfn.XLOOKUP(Tb_Portfólio11[[#This Row],[SEI]],Tb_Atualizações[PROCESSO SEI],Tb_Atualizações[Explicações],"",0,-1)</f>
        <v>0</v>
      </c>
    </row>
    <row r="29" spans="1:43" ht="409.5">
      <c r="A29" s="149" t="s">
        <v>358</v>
      </c>
      <c r="B29" s="103" t="s">
        <v>359</v>
      </c>
      <c r="C29" s="7" t="s">
        <v>360</v>
      </c>
      <c r="D29" s="7" t="s">
        <v>361</v>
      </c>
      <c r="E29" s="246" t="s">
        <v>144</v>
      </c>
      <c r="F29" s="255" t="s">
        <v>44</v>
      </c>
      <c r="G29" s="7" t="s">
        <v>362</v>
      </c>
      <c r="H29" s="7" t="s">
        <v>46</v>
      </c>
      <c r="I29" s="7" t="s">
        <v>240</v>
      </c>
      <c r="J29" s="7" t="s">
        <v>105</v>
      </c>
      <c r="K29" s="7" t="s">
        <v>147</v>
      </c>
      <c r="L29" s="262">
        <v>44315</v>
      </c>
      <c r="M29" s="97" t="s">
        <v>150</v>
      </c>
      <c r="N29" s="255" t="s">
        <v>44</v>
      </c>
      <c r="O29" s="2" t="s">
        <v>48</v>
      </c>
      <c r="P29" s="149" t="s">
        <v>358</v>
      </c>
      <c r="Q29" s="266">
        <v>46011</v>
      </c>
      <c r="R29" s="234">
        <f>_xlfn.XLOOKUP(Tb_Portfólio11[[#This Row],[SEI]],Tb_Atualizações[PROCESSO SEI],Tb_Atualizações[% EXECUTADO],"",0,-1)</f>
        <v>1</v>
      </c>
      <c r="S29" s="408" t="str">
        <f>IFERROR(Tb_Portfólio11[[#This Row],[% EXECUTADO]]/#REF!,"0%")</f>
        <v>0%</v>
      </c>
      <c r="T29" s="146">
        <f>_xlfn.XLOOKUP(Tb_Portfólio11[[#This Row],[SEI]],Tb_Atualizações[PROCESSO SEI],Tb_Atualizações[DATA DE ATUALIZAÇÃO],"",0,-1)</f>
        <v>46136</v>
      </c>
      <c r="U29" s="336">
        <f>_xlfn.XLOOKUP(Tb_Portfólio11[[#This Row],[SEI]],Tb_Atualizações[PROCESSO SEI],Tb_Atualizações[Mês],,0,-1)</f>
        <v>46113</v>
      </c>
      <c r="V29" s="259"/>
      <c r="W29" s="2" t="s">
        <v>48</v>
      </c>
      <c r="X2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29" s="414" t="s">
        <v>364</v>
      </c>
      <c r="Z29" s="236">
        <f>IFERROR(Tb_Portfólio11[[#This Row],[% EXECUTADO]]/#REF!,0)</f>
        <v>0</v>
      </c>
      <c r="AA29" s="97" t="s">
        <v>365</v>
      </c>
      <c r="AB29" s="413"/>
      <c r="AC29" s="413"/>
      <c r="AD29" s="73" t="s">
        <v>51</v>
      </c>
      <c r="AE29" s="97" t="s">
        <v>150</v>
      </c>
      <c r="AF29" s="255" t="s">
        <v>44</v>
      </c>
      <c r="AG29" s="263" t="s">
        <v>366</v>
      </c>
      <c r="AH29" s="237" t="s">
        <v>367</v>
      </c>
      <c r="AI29" s="225">
        <f t="shared" ca="1" si="0"/>
        <v>46176</v>
      </c>
      <c r="AJ29" s="620" t="s">
        <v>368</v>
      </c>
      <c r="AK29" s="79" t="s">
        <v>128</v>
      </c>
      <c r="AM29" s="79" t="str">
        <f>2024&amp;Tb_Portfólio11[[#This Row],[SEI]]</f>
        <v>202403558/2021</v>
      </c>
      <c r="AN29" t="str">
        <f>IFERROR(IF(MATCH(AM29,Atualizações!$P$1:$P$1265,0)&gt;0, "Sim"), "Não")</f>
        <v>Sim</v>
      </c>
      <c r="AO29" s="79" t="str">
        <f>2025&amp;Tb_Portfólio11[[#This Row],[SEI]]</f>
        <v>202503558/2021</v>
      </c>
      <c r="AP29" t="str">
        <f>IFERROR(IF(MATCH(AO29,Atualizações!$P$1:$P$1265,0)&gt;0, "Sim"), "Não")</f>
        <v>Sim</v>
      </c>
      <c r="AQ29" s="79" t="str">
        <f>_xlfn.XLOOKUP(Tb_Portfólio11[[#This Row],[SEI]],Tb_Atualizações[PROCESSO SEI],Tb_Atualizações[Explicações],"",0,-1)</f>
        <v>Projeto finalizado, aguardando assinatura do TEP</v>
      </c>
    </row>
    <row r="30" spans="1:43" ht="360">
      <c r="A30" s="235" t="s">
        <v>369</v>
      </c>
      <c r="B30" s="75" t="s">
        <v>370</v>
      </c>
      <c r="C30" s="2" t="s">
        <v>371</v>
      </c>
      <c r="D30" s="73" t="s">
        <v>372</v>
      </c>
      <c r="E30" s="73" t="s">
        <v>276</v>
      </c>
      <c r="F30" s="16" t="s">
        <v>44</v>
      </c>
      <c r="G30" s="2" t="s">
        <v>212</v>
      </c>
      <c r="H30" s="2" t="s">
        <v>46</v>
      </c>
      <c r="I30" s="2" t="s">
        <v>213</v>
      </c>
      <c r="J30" s="2" t="s">
        <v>146</v>
      </c>
      <c r="K30" s="2" t="s">
        <v>147</v>
      </c>
      <c r="L30" s="233">
        <v>44501</v>
      </c>
      <c r="M30" s="73" t="s">
        <v>86</v>
      </c>
      <c r="N30" s="2" t="s">
        <v>92</v>
      </c>
      <c r="O30" s="2" t="s">
        <v>48</v>
      </c>
      <c r="P30" s="235" t="s">
        <v>369</v>
      </c>
      <c r="Q30" s="146">
        <v>45351</v>
      </c>
      <c r="R30" s="234">
        <f>_xlfn.XLOOKUP(Tb_Portfólio11[[#This Row],[SEI]],Tb_Atualizações[PROCESSO SEI],Tb_Atualizações[% EXECUTADO],"",0,-1)</f>
        <v>1</v>
      </c>
      <c r="S30" s="408" t="str">
        <f>IFERROR(Tb_Portfólio11[[#This Row],[% EXECUTADO]]/#REF!,"0%")</f>
        <v>0%</v>
      </c>
      <c r="T30" s="146">
        <f>_xlfn.XLOOKUP(Tb_Portfólio11[[#This Row],[SEI]],Tb_Atualizações[PROCESSO SEI],Tb_Atualizações[DATA DE ATUALIZAÇÃO],"",0,-1)</f>
        <v>45358</v>
      </c>
      <c r="U30" s="336">
        <f>_xlfn.XLOOKUP(Tb_Portfólio11[[#This Row],[SEI]],Tb_Atualizações[PROCESSO SEI],Tb_Atualizações[Mês],,0,-1)</f>
        <v>45323</v>
      </c>
      <c r="V30" s="235"/>
      <c r="W30" s="2" t="s">
        <v>48</v>
      </c>
      <c r="X30"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30" s="409"/>
      <c r="Z30" s="236">
        <f>IFERROR(Tb_Portfólio11[[#This Row],[% EXECUTADO]]/#REF!,0)</f>
        <v>0</v>
      </c>
      <c r="AA30" s="73" t="s">
        <v>373</v>
      </c>
      <c r="AB30" s="73"/>
      <c r="AC30" s="410"/>
      <c r="AD30" s="73" t="s">
        <v>51</v>
      </c>
      <c r="AE30" s="73" t="s">
        <v>86</v>
      </c>
      <c r="AF30" s="2" t="s">
        <v>92</v>
      </c>
      <c r="AG30" s="98" t="s">
        <v>374</v>
      </c>
      <c r="AH30" s="267" t="s">
        <v>375</v>
      </c>
      <c r="AI30" s="225">
        <f t="shared" ca="1" si="0"/>
        <v>46176</v>
      </c>
      <c r="AJ30" s="79" t="s">
        <v>145</v>
      </c>
      <c r="AK30" s="79" t="s">
        <v>92</v>
      </c>
      <c r="AM30" s="79" t="str">
        <f>2024&amp;Tb_Portfólio11[[#This Row],[SEI]]</f>
        <v>202403559/2021</v>
      </c>
      <c r="AN30" t="str">
        <f>IFERROR(IF(MATCH(AM30,Atualizações!$P$1:$P$1265,0)&gt;0, "Sim"), "Não")</f>
        <v>Sim</v>
      </c>
      <c r="AO30" s="79" t="str">
        <f>2025&amp;Tb_Portfólio11[[#This Row],[SEI]]</f>
        <v>202503559/2021</v>
      </c>
      <c r="AP30" t="str">
        <f>IFERROR(IF(MATCH(AO30,Atualizações!$P$1:$P$1265,0)&gt;0, "Sim"), "Não")</f>
        <v>Não</v>
      </c>
      <c r="AQ30" s="79">
        <f>_xlfn.XLOOKUP(Tb_Portfólio11[[#This Row],[SEI]],Tb_Atualizações[PROCESSO SEI],Tb_Atualizações[Explicações],"",0,-1)</f>
        <v>0</v>
      </c>
    </row>
    <row r="31" spans="1:43" ht="135">
      <c r="A31" s="235" t="s">
        <v>376</v>
      </c>
      <c r="B31" s="75" t="s">
        <v>377</v>
      </c>
      <c r="C31" s="73" t="s">
        <v>378</v>
      </c>
      <c r="D31" s="73"/>
      <c r="E31" s="73" t="s">
        <v>43</v>
      </c>
      <c r="F31" s="73" t="s">
        <v>44</v>
      </c>
      <c r="G31" s="73" t="s">
        <v>379</v>
      </c>
      <c r="H31" s="2" t="s">
        <v>46</v>
      </c>
      <c r="I31" s="73" t="s">
        <v>240</v>
      </c>
      <c r="J31" s="17" t="s">
        <v>105</v>
      </c>
      <c r="K31" s="2" t="s">
        <v>147</v>
      </c>
      <c r="L31" s="233">
        <v>45200</v>
      </c>
      <c r="M31" s="73" t="s">
        <v>284</v>
      </c>
      <c r="N31" s="73" t="s">
        <v>244</v>
      </c>
      <c r="O31" s="2" t="s">
        <v>48</v>
      </c>
      <c r="P31" s="235" t="s">
        <v>376</v>
      </c>
      <c r="Q31" s="146">
        <v>45565</v>
      </c>
      <c r="R31" s="234">
        <f>_xlfn.XLOOKUP(Tb_Portfólio11[[#This Row],[SEI]],Tb_Atualizações[PROCESSO SEI],Tb_Atualizações[% EXECUTADO],"",0,-1)</f>
        <v>1</v>
      </c>
      <c r="S31" s="408" t="str">
        <f>IFERROR(Tb_Portfólio11[[#This Row],[% EXECUTADO]]/#REF!,"0%")</f>
        <v>0%</v>
      </c>
      <c r="T31" s="146">
        <f>_xlfn.XLOOKUP(Tb_Portfólio11[[#This Row],[SEI]],Tb_Atualizações[PROCESSO SEI],Tb_Atualizações[DATA DE ATUALIZAÇÃO],"",0,-1)</f>
        <v>45755</v>
      </c>
      <c r="U31" s="336">
        <f>_xlfn.XLOOKUP(Tb_Portfólio11[[#This Row],[SEI]],Tb_Atualizações[PROCESSO SEI],Tb_Atualizações[Mês],,0,-1)</f>
        <v>45717</v>
      </c>
      <c r="V31" s="235"/>
      <c r="W31" s="2" t="s">
        <v>48</v>
      </c>
      <c r="X3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31" s="409"/>
      <c r="Z31" s="236">
        <f>IFERROR(Tb_Portfólio11[[#This Row],[% EXECUTADO]]/#REF!,0)</f>
        <v>0</v>
      </c>
      <c r="AA31" s="73" t="s">
        <v>380</v>
      </c>
      <c r="AB31" s="410"/>
      <c r="AC31" s="410"/>
      <c r="AD31" s="73" t="s">
        <v>51</v>
      </c>
      <c r="AE31" s="73" t="s">
        <v>284</v>
      </c>
      <c r="AF31" s="73" t="s">
        <v>244</v>
      </c>
      <c r="AG31" s="98" t="s">
        <v>381</v>
      </c>
      <c r="AH31" s="239"/>
      <c r="AI31" s="225">
        <f t="shared" ca="1" si="0"/>
        <v>46176</v>
      </c>
      <c r="AJ31" s="239" t="s">
        <v>383</v>
      </c>
      <c r="AK31" s="79" t="s">
        <v>67</v>
      </c>
      <c r="AM31" s="79" t="str">
        <f>2024&amp;Tb_Portfólio11[[#This Row],[SEI]]</f>
        <v>202403924/2023</v>
      </c>
      <c r="AN31" t="str">
        <f>IFERROR(IF(MATCH(AM31,Atualizações!$P$1:$P$1265,0)&gt;0, "Sim"), "Não")</f>
        <v>Sim</v>
      </c>
      <c r="AO31" s="79" t="str">
        <f>2025&amp;Tb_Portfólio11[[#This Row],[SEI]]</f>
        <v>202503924/2023</v>
      </c>
      <c r="AP31" t="str">
        <f>IFERROR(IF(MATCH(AO31,Atualizações!$P$1:$P$1265,0)&gt;0, "Sim"), "Não")</f>
        <v>Sim</v>
      </c>
      <c r="AQ31" s="79" t="str">
        <f>_xlfn.XLOOKUP(Tb_Portfólio11[[#This Row],[SEI]],Tb_Atualizações[PROCESSO SEI],Tb_Atualizações[Explicações],"",0,-1)</f>
        <v>Daniel informa que o projeto finalizou no Programa Justiça 4.0 e será transferido para o Fazendo Justiça.
Foi solicitado ao gerente do projeto colocar essa informação no TEP, que se encontra em elaboração.</v>
      </c>
    </row>
    <row r="32" spans="1:43" ht="165" hidden="1">
      <c r="A32" s="235" t="s">
        <v>384</v>
      </c>
      <c r="B32" s="75" t="s">
        <v>385</v>
      </c>
      <c r="C32" s="73" t="s">
        <v>466</v>
      </c>
      <c r="D32" s="73"/>
      <c r="E32" s="73" t="s">
        <v>387</v>
      </c>
      <c r="F32" s="73" t="s">
        <v>116</v>
      </c>
      <c r="G32" s="73" t="s">
        <v>388</v>
      </c>
      <c r="H32" s="2" t="s">
        <v>389</v>
      </c>
      <c r="I32" s="73" t="s">
        <v>390</v>
      </c>
      <c r="J32" s="265" t="s">
        <v>146</v>
      </c>
      <c r="K32" s="2" t="s">
        <v>391</v>
      </c>
      <c r="L32" s="233">
        <v>45352</v>
      </c>
      <c r="M32" s="73" t="s">
        <v>393</v>
      </c>
      <c r="N32" s="73" t="s">
        <v>80</v>
      </c>
      <c r="O32" s="2"/>
      <c r="P32" s="235" t="s">
        <v>384</v>
      </c>
      <c r="Q32" s="146">
        <v>46022</v>
      </c>
      <c r="R32" s="234">
        <f>_xlfn.XLOOKUP(Tb_Portfólio11[[#This Row],[SEI]],Tb_Atualizações[PROCESSO SEI],Tb_Atualizações[% EXECUTADO],"",0,-1)</f>
        <v>0.82</v>
      </c>
      <c r="S32" s="408" t="str">
        <f>IFERROR(Tb_Portfólio11[[#This Row],[% EXECUTADO]]/#REF!,"0%")</f>
        <v>0%</v>
      </c>
      <c r="T32" s="146">
        <f>_xlfn.XLOOKUP(Tb_Portfólio11[[#This Row],[SEI]],Tb_Atualizações[PROCESSO SEI],Tb_Atualizações[DATA DE ATUALIZAÇÃO],"",0,-1)</f>
        <v>46107</v>
      </c>
      <c r="U32" s="336">
        <f>_xlfn.XLOOKUP(Tb_Portfólio11[[#This Row],[SEI]],Tb_Atualizações[PROCESSO SEI],Tb_Atualizações[Mês],,0,-1)</f>
        <v>46082</v>
      </c>
      <c r="V32" s="235"/>
      <c r="W32" s="2"/>
      <c r="X32"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32" s="409"/>
      <c r="Z32" s="236">
        <f>IFERROR(Tb_Portfólio11[[#This Row],[% EXECUTADO]]/#REF!,0)</f>
        <v>0</v>
      </c>
      <c r="AA32" s="73" t="s">
        <v>392</v>
      </c>
      <c r="AB32" s="410"/>
      <c r="AC32" s="410"/>
      <c r="AD32" s="73"/>
      <c r="AE32" s="73" t="s">
        <v>393</v>
      </c>
      <c r="AF32" s="73" t="s">
        <v>80</v>
      </c>
      <c r="AG32" s="98" t="s">
        <v>394</v>
      </c>
      <c r="AH32" s="239"/>
      <c r="AI32" s="225">
        <f t="shared" ca="1" si="0"/>
        <v>46176</v>
      </c>
      <c r="AJ32" s="73" t="s">
        <v>395</v>
      </c>
      <c r="AK32" s="73" t="s">
        <v>67</v>
      </c>
      <c r="AM32" s="79" t="str">
        <f>2024&amp;Tb_Portfólio11[[#This Row],[SEI]]</f>
        <v>202404137/2024</v>
      </c>
      <c r="AN32" t="str">
        <f>IFERROR(IF(MATCH(AM32,Atualizações!$P$1:$P$1265,0)&gt;0, "Sim"), "Não")</f>
        <v>Sim</v>
      </c>
      <c r="AO32" s="79" t="str">
        <f>2025&amp;Tb_Portfólio11[[#This Row],[SEI]]</f>
        <v>202504137/2024</v>
      </c>
      <c r="AP32" t="str">
        <f>IFERROR(IF(MATCH(AO32,Atualizações!$P$1:$P$1265,0)&gt;0, "Sim"), "Não")</f>
        <v>Sim</v>
      </c>
      <c r="AQ32" s="79" t="str">
        <f>_xlfn.XLOOKUP(Tb_Portfólio11[[#This Row],[SEI]],Tb_Atualizações[PROCESSO SEI],Tb_Atualizações[Explicações],"",0,-1)</f>
        <v>Data de término atualizada de julho de 2026 para setembro de 2026 devido à necessidade de ajustar o MVP do painel. É esperado que a data de término ainda sofra novas mudanças, tendo em vista que o projeto prevê a criação de novos painéis, os quais ainda não tiveram seu planejamento iniciado.</v>
      </c>
    </row>
    <row r="33" spans="1:43" ht="409.5">
      <c r="A33" s="149" t="s">
        <v>396</v>
      </c>
      <c r="B33" s="103" t="s">
        <v>397</v>
      </c>
      <c r="C33" s="97" t="s">
        <v>398</v>
      </c>
      <c r="D33" s="97"/>
      <c r="E33" s="79" t="s">
        <v>43</v>
      </c>
      <c r="F33" s="73" t="s">
        <v>44</v>
      </c>
      <c r="G33" s="97" t="s">
        <v>321</v>
      </c>
      <c r="H33" s="2" t="s">
        <v>46</v>
      </c>
      <c r="I33" s="79" t="s">
        <v>165</v>
      </c>
      <c r="J33" s="73" t="s">
        <v>399</v>
      </c>
      <c r="K33" s="2" t="s">
        <v>400</v>
      </c>
      <c r="L33" s="262">
        <v>44673</v>
      </c>
      <c r="M33" s="97" t="s">
        <v>137</v>
      </c>
      <c r="N33" s="621" t="s">
        <v>67</v>
      </c>
      <c r="O33" s="2" t="s">
        <v>48</v>
      </c>
      <c r="P33" s="149" t="s">
        <v>396</v>
      </c>
      <c r="Q33" s="257">
        <v>46022</v>
      </c>
      <c r="R33" s="234">
        <f>_xlfn.XLOOKUP(Tb_Portfólio11[[#This Row],[SEI]],Tb_Atualizações[PROCESSO SEI],Tb_Atualizações[% EXECUTADO],"",0,-1)</f>
        <v>0.86</v>
      </c>
      <c r="S33" s="408" t="str">
        <f>IFERROR(Tb_Portfólio11[[#This Row],[% EXECUTADO]]/#REF!,"0%")</f>
        <v>0%</v>
      </c>
      <c r="T33" s="146">
        <f>_xlfn.XLOOKUP(Tb_Portfólio11[[#This Row],[SEI]],Tb_Atualizações[PROCESSO SEI],Tb_Atualizações[DATA DE ATUALIZAÇÃO],"",0,-1)</f>
        <v>46137</v>
      </c>
      <c r="U33" s="336">
        <f>_xlfn.XLOOKUP(Tb_Portfólio11[[#This Row],[SEI]],Tb_Atualizações[PROCESSO SEI],Tb_Atualizações[Mês],,0,-1)</f>
        <v>46143</v>
      </c>
      <c r="V33" s="259"/>
      <c r="W33" s="2" t="s">
        <v>48</v>
      </c>
      <c r="X3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33" s="414"/>
      <c r="Z33" s="236">
        <f>IFERROR(Tb_Portfólio11[[#This Row],[% EXECUTADO]]/#REF!,0)</f>
        <v>0</v>
      </c>
      <c r="AA33" s="97"/>
      <c r="AB33" s="413">
        <v>4803533.72</v>
      </c>
      <c r="AC33" s="413"/>
      <c r="AD33" s="73" t="s">
        <v>51</v>
      </c>
      <c r="AE33" s="97" t="s">
        <v>137</v>
      </c>
      <c r="AF33" s="621" t="s">
        <v>67</v>
      </c>
      <c r="AG33" s="263" t="s">
        <v>401</v>
      </c>
      <c r="AH33" s="239" t="s">
        <v>402</v>
      </c>
      <c r="AI33" s="225">
        <f t="shared" ca="1" si="0"/>
        <v>46176</v>
      </c>
      <c r="AJ33" s="239" t="s">
        <v>403</v>
      </c>
      <c r="AK33" s="79" t="s">
        <v>67</v>
      </c>
      <c r="AM33" s="79" t="str">
        <f>2024&amp;Tb_Portfólio11[[#This Row],[SEI]]</f>
        <v>202404751/2022</v>
      </c>
      <c r="AN33" s="79" t="str">
        <f>IFERROR(IF(MATCH(AM33,Atualizações!$P$1:$P$1265,0)&gt;0, "Sim"), "Não")</f>
        <v>Não</v>
      </c>
      <c r="AO33" s="79" t="str">
        <f>2025&amp;Tb_Portfólio11[[#This Row],[SEI]]</f>
        <v>202504751/2022</v>
      </c>
      <c r="AP33" s="79" t="str">
        <f>IFERROR(IF(MATCH(AO33,Atualizações!$P$1:$P$1265,0)&gt;0, "Sim"), "Não")</f>
        <v>Sim</v>
      </c>
      <c r="AQ33" s="79" t="str">
        <f>_xlfn.XLOOKUP(Tb_Portfólio11[[#This Row],[SEI]],Tb_Atualizações[PROCESSO SEI],Tb_Atualizações[Explicações],"",0,-1)</f>
        <v>Entregas realizadas:
• Atualização para a versão Backend 1.62.0 com várias correções e ajustes realizados. 
• Manutenção e correção de vários Bugs detectados. 
• Melhorias voltadas para a criação solução para atualização de Órgão Julgador. 
• Verificar volume de mensagens suspensas. 
•  TJMS(SAJ) carga de arquivo. 
Entregas planejadas para o próximo mês:
• Correção de Inconsistências na integração CODEX x SISPREQ. 
• Ajustar comportamento do botão limpar na listagem de mensagens. 
• Desabilitar JOB atualização. 
Outros fatos relevantes a registrar:
• Suporte aos tribunais quanto ao Prêmio de Qualidade CNJ.. 
• Inclusão do ProcessoCompilado no S3 do Data Lake. Em fase final. 
• Acessos, SSO e incidentes de autenticação. 
• Desabilitado o JOB de Sincronismo CNPJS e CPFS</v>
      </c>
    </row>
    <row r="34" spans="1:43" ht="270">
      <c r="A34" s="149" t="s">
        <v>404</v>
      </c>
      <c r="B34" s="103" t="s">
        <v>405</v>
      </c>
      <c r="C34" s="97" t="s">
        <v>406</v>
      </c>
      <c r="D34" s="97"/>
      <c r="E34" s="79" t="s">
        <v>43</v>
      </c>
      <c r="F34" s="73" t="s">
        <v>44</v>
      </c>
      <c r="G34" s="73" t="s">
        <v>407</v>
      </c>
      <c r="H34" s="2" t="s">
        <v>44</v>
      </c>
      <c r="I34" s="97" t="s">
        <v>240</v>
      </c>
      <c r="J34" s="97" t="s">
        <v>76</v>
      </c>
      <c r="K34" s="7" t="s">
        <v>147</v>
      </c>
      <c r="L34" s="262">
        <v>45404</v>
      </c>
      <c r="M34" s="73" t="s">
        <v>179</v>
      </c>
      <c r="N34" s="16" t="s">
        <v>44</v>
      </c>
      <c r="O34" s="268"/>
      <c r="P34" s="149" t="s">
        <v>404</v>
      </c>
      <c r="Q34" s="266">
        <v>45993</v>
      </c>
      <c r="R34" s="234">
        <f>_xlfn.XLOOKUP(Tb_Portfólio11[[#This Row],[SEI]],Tb_Atualizações[PROCESSO SEI],Tb_Atualizações[% EXECUTADO],"",0,-1)</f>
        <v>0.67</v>
      </c>
      <c r="S34" s="408" t="str">
        <f>IFERROR(Tb_Portfólio11[[#This Row],[% EXECUTADO]]/#REF!,"0%")</f>
        <v>0%</v>
      </c>
      <c r="T34" s="146">
        <f>_xlfn.XLOOKUP(Tb_Portfólio11[[#This Row],[SEI]],Tb_Atualizações[PROCESSO SEI],Tb_Atualizações[DATA DE ATUALIZAÇÃO],"",0,-1)</f>
        <v>45920</v>
      </c>
      <c r="U34" s="336">
        <f>_xlfn.XLOOKUP(Tb_Portfólio11[[#This Row],[SEI]],Tb_Atualizações[PROCESSO SEI],Tb_Atualizações[Mês],,0,-1)</f>
        <v>45870</v>
      </c>
      <c r="V34" s="259"/>
      <c r="W34" s="268"/>
      <c r="X34"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34" s="414"/>
      <c r="Z34" s="236">
        <f>IFERROR(Tb_Portfólio11[[#This Row],[% EXECUTADO]]/#REF!,0)</f>
        <v>0</v>
      </c>
      <c r="AA34" s="97" t="s">
        <v>408</v>
      </c>
      <c r="AB34" s="413"/>
      <c r="AC34" s="413"/>
      <c r="AD34" s="97" t="s">
        <v>51</v>
      </c>
      <c r="AE34" s="73" t="s">
        <v>179</v>
      </c>
      <c r="AF34" s="16" t="s">
        <v>44</v>
      </c>
      <c r="AG34" s="263" t="s">
        <v>409</v>
      </c>
      <c r="AH34" s="239"/>
      <c r="AI34" s="225">
        <f t="shared" ca="1" si="0"/>
        <v>46176</v>
      </c>
      <c r="AJ34" s="239" t="s">
        <v>197</v>
      </c>
      <c r="AK34" s="79" t="s">
        <v>67</v>
      </c>
      <c r="AM34" s="79" t="str">
        <f>2024&amp;Tb_Portfólio11[[#This Row],[SEI]]</f>
        <v>202405138/2024</v>
      </c>
      <c r="AN34" t="str">
        <f>IFERROR(IF(MATCH(AM34,Atualizações!$P$1:$P$1265,0)&gt;0, "Sim"), "Não")</f>
        <v>Sim</v>
      </c>
      <c r="AO34" s="79" t="str">
        <f>2025&amp;Tb_Portfólio11[[#This Row],[SEI]]</f>
        <v>202505138/2024</v>
      </c>
      <c r="AP34" t="str">
        <f>IFERROR(IF(MATCH(AO34,Atualizações!$P$1:$P$1265,0)&gt;0, "Sim"), "Não")</f>
        <v>Sim</v>
      </c>
      <c r="AQ34" s="79" t="str">
        <f>_xlfn.XLOOKUP(Tb_Portfólio11[[#This Row],[SEI]],Tb_Atualizações[PROCESSO SEI],Tb_Atualizações[Explicações],"",0,-1)</f>
        <v>Projeto dado como finalizado parcialmente. O resto do escopo será concluído no projeto "API de Pessoas", em execução no programa justiça 4.0. Necessário que o TEP deste projeto tenha essa informação.</v>
      </c>
    </row>
    <row r="35" spans="1:43" ht="120">
      <c r="A35" s="149" t="s">
        <v>410</v>
      </c>
      <c r="B35" s="139" t="s">
        <v>411</v>
      </c>
      <c r="C35" s="97" t="s">
        <v>412</v>
      </c>
      <c r="D35" s="97"/>
      <c r="E35" s="245" t="s">
        <v>144</v>
      </c>
      <c r="F35" s="376" t="s">
        <v>44</v>
      </c>
      <c r="G35" s="7" t="s">
        <v>145</v>
      </c>
      <c r="H35" s="16" t="s">
        <v>92</v>
      </c>
      <c r="I35" s="19" t="s">
        <v>75</v>
      </c>
      <c r="J35" s="109" t="s">
        <v>166</v>
      </c>
      <c r="K35" s="7" t="s">
        <v>413</v>
      </c>
      <c r="L35" s="262">
        <v>45401</v>
      </c>
      <c r="M35" s="97" t="s">
        <v>150</v>
      </c>
      <c r="N35" s="376" t="s">
        <v>92</v>
      </c>
      <c r="O35" s="268"/>
      <c r="P35" s="149" t="s">
        <v>410</v>
      </c>
      <c r="Q35" s="257" t="s">
        <v>1581</v>
      </c>
      <c r="R35" s="234">
        <f>_xlfn.XLOOKUP(Tb_Portfólio11[[#This Row],[SEI]],Tb_Atualizações[PROCESSO SEI],Tb_Atualizações[% EXECUTADO],"",0,-1)</f>
        <v>1</v>
      </c>
      <c r="S35" s="408" t="str">
        <f>IFERROR(Tb_Portfólio11[[#This Row],[% EXECUTADO]]/#REF!,"0%")</f>
        <v>0%</v>
      </c>
      <c r="T35" s="146">
        <f>_xlfn.XLOOKUP(Tb_Portfólio11[[#This Row],[SEI]],Tb_Atualizações[PROCESSO SEI],Tb_Atualizações[DATA DE ATUALIZAÇÃO],"",0,-1)</f>
        <v>46011</v>
      </c>
      <c r="U35" s="336">
        <f>_xlfn.XLOOKUP(Tb_Portfólio11[[#This Row],[SEI]],Tb_Atualizações[PROCESSO SEI],Tb_Atualizações[Mês],,0,-1)</f>
        <v>45992</v>
      </c>
      <c r="V35" s="259"/>
      <c r="W35" s="268"/>
      <c r="X35"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35" s="414"/>
      <c r="Z35" s="236">
        <f>IFERROR(Tb_Portfólio11[[#This Row],[% EXECUTADO]]/#REF!,0)</f>
        <v>0</v>
      </c>
      <c r="AA35" s="261" t="s">
        <v>414</v>
      </c>
      <c r="AB35" s="413"/>
      <c r="AC35" s="413"/>
      <c r="AD35" s="73"/>
      <c r="AE35" s="97" t="s">
        <v>150</v>
      </c>
      <c r="AF35" s="376" t="s">
        <v>92</v>
      </c>
      <c r="AG35" s="263" t="s">
        <v>415</v>
      </c>
      <c r="AH35" s="239"/>
      <c r="AI35" s="225">
        <f t="shared" ref="AI35:AI66" ca="1" si="1">TODAY()</f>
        <v>46176</v>
      </c>
      <c r="AM35" s="79" t="str">
        <f>2024&amp;Tb_Portfólio11[[#This Row],[SEI]]</f>
        <v>202405150/2024</v>
      </c>
      <c r="AN35" t="str">
        <f>IFERROR(IF(MATCH(AM35,Atualizações!$P$1:$P$1265,0)&gt;0, "Sim"), "Não")</f>
        <v>Sim</v>
      </c>
      <c r="AO35" s="79" t="str">
        <f>2025&amp;Tb_Portfólio11[[#This Row],[SEI]]</f>
        <v>202505150/2024</v>
      </c>
      <c r="AP35" t="str">
        <f>IFERROR(IF(MATCH(AO35,Atualizações!$P$1:$P$1265,0)&gt;0, "Sim"), "Não")</f>
        <v>Sim</v>
      </c>
      <c r="AQ35" s="79" t="str">
        <f>_xlfn.XLOOKUP(Tb_Portfólio11[[#This Row],[SEI]],Tb_Atualizações[PROCESSO SEI],Tb_Atualizações[Explicações],"",0,-1)</f>
        <v>Em conversa com a Dani no dia 14/1, fui informado de que o projeto foi concluído com sucesso no dia 18/12. Combinei com ela que o projeto seria finalizado na nossa base, mas ficamos no aguardo do TEP.</v>
      </c>
    </row>
    <row r="36" spans="1:43" ht="315" hidden="1" customHeight="1">
      <c r="A36" s="149" t="s">
        <v>416</v>
      </c>
      <c r="B36" s="622" t="s">
        <v>417</v>
      </c>
      <c r="C36" s="97" t="s">
        <v>418</v>
      </c>
      <c r="D36" s="97"/>
      <c r="E36" s="79" t="s">
        <v>66</v>
      </c>
      <c r="F36" s="240" t="s">
        <v>67</v>
      </c>
      <c r="G36" s="73" t="s">
        <v>419</v>
      </c>
      <c r="H36" s="2" t="s">
        <v>46</v>
      </c>
      <c r="I36" s="73" t="s">
        <v>165</v>
      </c>
      <c r="J36" s="17" t="s">
        <v>146</v>
      </c>
      <c r="K36" s="7" t="s">
        <v>177</v>
      </c>
      <c r="L36" s="262">
        <v>45425</v>
      </c>
      <c r="M36" s="97" t="s">
        <v>422</v>
      </c>
      <c r="N36" s="73" t="s">
        <v>67</v>
      </c>
      <c r="O36" s="268" t="s">
        <v>48</v>
      </c>
      <c r="P36" s="149" t="s">
        <v>416</v>
      </c>
      <c r="Q36" s="257">
        <v>46386</v>
      </c>
      <c r="R36" s="234">
        <f>_xlfn.XLOOKUP(Tb_Portfólio11[[#This Row],[SEI]],Tb_Atualizações[PROCESSO SEI],Tb_Atualizações[% EXECUTADO],"",0,-1)</f>
        <v>0.64</v>
      </c>
      <c r="S36" s="408" t="str">
        <f>IFERROR(Tb_Portfólio11[[#This Row],[% EXECUTADO]]/#REF!,"0%")</f>
        <v>0%</v>
      </c>
      <c r="T36" s="146">
        <f>_xlfn.XLOOKUP(Tb_Portfólio11[[#This Row],[SEI]],Tb_Atualizações[PROCESSO SEI],Tb_Atualizações[DATA DE ATUALIZAÇÃO],"",0,-1)</f>
        <v>46167</v>
      </c>
      <c r="U36" s="336">
        <f>_xlfn.XLOOKUP(Tb_Portfólio11[[#This Row],[SEI]],Tb_Atualizações[PROCESSO SEI],Tb_Atualizações[Mês],,0,-1)</f>
        <v>46143</v>
      </c>
      <c r="V36" s="259"/>
      <c r="W36" s="268" t="s">
        <v>48</v>
      </c>
      <c r="X36"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36" s="414"/>
      <c r="Z36" s="236">
        <f>IFERROR(Tb_Portfólio11[[#This Row],[% EXECUTADO]]/#REF!,0)</f>
        <v>0</v>
      </c>
      <c r="AA36" s="261" t="s">
        <v>421</v>
      </c>
      <c r="AB36" s="415"/>
      <c r="AC36" s="413"/>
      <c r="AD36" s="73" t="s">
        <v>51</v>
      </c>
      <c r="AE36" s="97" t="s">
        <v>422</v>
      </c>
      <c r="AF36" s="73" t="s">
        <v>67</v>
      </c>
      <c r="AG36" s="263" t="s">
        <v>423</v>
      </c>
      <c r="AH36" s="239"/>
      <c r="AI36" s="225">
        <f t="shared" ca="1" si="1"/>
        <v>46176</v>
      </c>
      <c r="AJ36" s="79" t="s">
        <v>424</v>
      </c>
      <c r="AK36" s="79" t="s">
        <v>67</v>
      </c>
      <c r="AM36" s="79" t="str">
        <f>2024&amp;Tb_Portfólio11[[#This Row],[SEI]]</f>
        <v>202405578/2024</v>
      </c>
      <c r="AN36" t="str">
        <f>IFERROR(IF(MATCH(AM36,Atualizações!$P$1:$P$1265,0)&gt;0, "Sim"), "Não")</f>
        <v>Sim</v>
      </c>
      <c r="AO36" s="79" t="str">
        <f>2025&amp;Tb_Portfólio11[[#This Row],[SEI]]</f>
        <v>202505578/2024</v>
      </c>
      <c r="AP36" t="str">
        <f>IFERROR(IF(MATCH(AO36,Atualizações!$P$1:$P$1265,0)&gt;0, "Sim"), "Não")</f>
        <v>Sim</v>
      </c>
      <c r="AQ36" s="79">
        <f>_xlfn.XLOOKUP(Tb_Portfólio11[[#This Row],[SEI]],Tb_Atualizações[PROCESSO SEI],Tb_Atualizações[Explicações],"",0,-1)</f>
        <v>0</v>
      </c>
    </row>
    <row r="37" spans="1:43" ht="409.5">
      <c r="A37" s="271" t="s">
        <v>425</v>
      </c>
      <c r="B37" s="103" t="s">
        <v>426</v>
      </c>
      <c r="C37" s="97" t="s">
        <v>427</v>
      </c>
      <c r="D37" s="97"/>
      <c r="E37" s="79" t="s">
        <v>43</v>
      </c>
      <c r="F37" s="16" t="s">
        <v>44</v>
      </c>
      <c r="G37" s="19" t="s">
        <v>175</v>
      </c>
      <c r="H37" s="16" t="s">
        <v>46</v>
      </c>
      <c r="I37" s="73" t="s">
        <v>75</v>
      </c>
      <c r="J37" s="275" t="s">
        <v>146</v>
      </c>
      <c r="K37" s="7" t="s">
        <v>147</v>
      </c>
      <c r="L37" s="262">
        <v>45161</v>
      </c>
      <c r="M37" s="97" t="s">
        <v>43</v>
      </c>
      <c r="N37" s="16" t="s">
        <v>44</v>
      </c>
      <c r="O37" s="268" t="s">
        <v>48</v>
      </c>
      <c r="P37" s="271" t="s">
        <v>425</v>
      </c>
      <c r="Q37" s="257">
        <v>45605</v>
      </c>
      <c r="R37" s="234">
        <f>_xlfn.XLOOKUP(Tb_Portfólio11[[#This Row],[SEI]],Tb_Atualizações[PROCESSO SEI],Tb_Atualizações[% EXECUTADO],"",0,-1)</f>
        <v>1</v>
      </c>
      <c r="S37" s="408" t="str">
        <f>IFERROR(Tb_Portfólio11[[#This Row],[% EXECUTADO]]/#REF!,"0%")</f>
        <v>0%</v>
      </c>
      <c r="T37" s="146">
        <f>_xlfn.XLOOKUP(Tb_Portfólio11[[#This Row],[SEI]],Tb_Atualizações[PROCESSO SEI],Tb_Atualizações[DATA DE ATUALIZAÇÃO],"",0,-1)</f>
        <v>45608</v>
      </c>
      <c r="U37" s="336">
        <f>_xlfn.XLOOKUP(Tb_Portfólio11[[#This Row],[SEI]],Tb_Atualizações[PROCESSO SEI],Tb_Atualizações[Mês],,0,-1)</f>
        <v>45597</v>
      </c>
      <c r="V37" s="259"/>
      <c r="W37" s="268" t="s">
        <v>48</v>
      </c>
      <c r="X3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37" s="414"/>
      <c r="Z37" s="236">
        <f>IFERROR(Tb_Portfólio11[[#This Row],[% EXECUTADO]]/#REF!,0)</f>
        <v>0</v>
      </c>
      <c r="AA37" s="97" t="s">
        <v>428</v>
      </c>
      <c r="AB37" s="413"/>
      <c r="AC37" s="413"/>
      <c r="AD37" s="97" t="s">
        <v>51</v>
      </c>
      <c r="AE37" s="97" t="s">
        <v>43</v>
      </c>
      <c r="AF37" s="16" t="s">
        <v>44</v>
      </c>
      <c r="AG37" s="263" t="s">
        <v>429</v>
      </c>
      <c r="AH37" s="237" t="s">
        <v>430</v>
      </c>
      <c r="AI37" s="225">
        <f t="shared" ca="1" si="1"/>
        <v>46176</v>
      </c>
      <c r="AJ37" s="239" t="s">
        <v>145</v>
      </c>
      <c r="AK37" s="333" t="s">
        <v>92</v>
      </c>
      <c r="AM37" s="79" t="str">
        <f>2024&amp;Tb_Portfólio11[[#This Row],[SEI]]</f>
        <v>202406767/2022</v>
      </c>
      <c r="AN37" t="str">
        <f>IFERROR(IF(MATCH(AM37,Atualizações!$P$1:$P$1265,0)&gt;0, "Sim"), "Não")</f>
        <v>Sim</v>
      </c>
      <c r="AO37" s="79" t="str">
        <f>2025&amp;Tb_Portfólio11[[#This Row],[SEI]]</f>
        <v>202506767/2022</v>
      </c>
      <c r="AP37" t="str">
        <f>IFERROR(IF(MATCH(AO37,Atualizações!$P$1:$P$1265,0)&gt;0, "Sim"), "Não")</f>
        <v>Não</v>
      </c>
      <c r="AQ37" s="79">
        <f>_xlfn.XLOOKUP(Tb_Portfólio11[[#This Row],[SEI]],Tb_Atualizações[PROCESSO SEI],Tb_Atualizações[Explicações],"",0,-1)</f>
        <v>0</v>
      </c>
    </row>
    <row r="38" spans="1:43" ht="409.5">
      <c r="A38" s="269" t="s">
        <v>431</v>
      </c>
      <c r="B38" s="346" t="s">
        <v>432</v>
      </c>
      <c r="C38" s="239" t="s">
        <v>433</v>
      </c>
      <c r="D38" s="270"/>
      <c r="E38" s="79" t="s">
        <v>43</v>
      </c>
      <c r="F38" s="16" t="s">
        <v>44</v>
      </c>
      <c r="G38" s="623" t="s">
        <v>335</v>
      </c>
      <c r="H38" s="2" t="s">
        <v>46</v>
      </c>
      <c r="I38" s="2" t="s">
        <v>104</v>
      </c>
      <c r="J38" s="110" t="s">
        <v>105</v>
      </c>
      <c r="K38" s="112" t="s">
        <v>177</v>
      </c>
      <c r="L38" s="262">
        <v>45504</v>
      </c>
      <c r="M38" s="624" t="s">
        <v>179</v>
      </c>
      <c r="N38" s="16" t="s">
        <v>44</v>
      </c>
      <c r="O38" s="268" t="s">
        <v>48</v>
      </c>
      <c r="P38" s="269" t="s">
        <v>431</v>
      </c>
      <c r="Q38" s="257">
        <v>46112</v>
      </c>
      <c r="R38" s="234">
        <f>_xlfn.XLOOKUP(Tb_Portfólio11[[#This Row],[SEI]],Tb_Atualizações[PROCESSO SEI],Tb_Atualizações[% EXECUTADO],"",0,-1)</f>
        <v>0.76</v>
      </c>
      <c r="S38" s="408" t="str">
        <f>IFERROR(Tb_Portfólio11[[#This Row],[% EXECUTADO]]/#REF!,"0%")</f>
        <v>0%</v>
      </c>
      <c r="T38" s="146">
        <f>_xlfn.XLOOKUP(Tb_Portfólio11[[#This Row],[SEI]],Tb_Atualizações[PROCESSO SEI],Tb_Atualizações[DATA DE ATUALIZAÇÃO],"",0,-1)</f>
        <v>46167</v>
      </c>
      <c r="U38" s="336">
        <f>_xlfn.XLOOKUP(Tb_Portfólio11[[#This Row],[SEI]],Tb_Atualizações[PROCESSO SEI],Tb_Atualizações[Mês],,0,-1)</f>
        <v>46143</v>
      </c>
      <c r="V38" s="259"/>
      <c r="W38" s="268" t="s">
        <v>48</v>
      </c>
      <c r="X38"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38" s="414"/>
      <c r="Z38" s="236">
        <f>IFERROR(Tb_Portfólio11[[#This Row],[% EXECUTADO]]/#REF!,0)</f>
        <v>0</v>
      </c>
      <c r="AA38" s="97"/>
      <c r="AB38" s="413"/>
      <c r="AC38" s="413"/>
      <c r="AD38" s="73" t="s">
        <v>51</v>
      </c>
      <c r="AE38" s="624" t="s">
        <v>179</v>
      </c>
      <c r="AF38" s="16" t="s">
        <v>44</v>
      </c>
      <c r="AG38" s="263" t="s">
        <v>434</v>
      </c>
      <c r="AH38" s="239"/>
      <c r="AI38" s="225">
        <f t="shared" ca="1" si="1"/>
        <v>46176</v>
      </c>
      <c r="AJ38" s="625" t="s">
        <v>340</v>
      </c>
      <c r="AK38" s="79" t="s">
        <v>67</v>
      </c>
      <c r="AM38" s="79" t="str">
        <f>2024&amp;Tb_Portfólio11[[#This Row],[SEI]]</f>
        <v>202406826/2024</v>
      </c>
      <c r="AN38" t="str">
        <f>IFERROR(IF(MATCH(AM38,Atualizações!$P$1:$P$1265,0)&gt;0, "Sim"), "Não")</f>
        <v>Sim</v>
      </c>
      <c r="AO38" s="79" t="str">
        <f>2025&amp;Tb_Portfólio11[[#This Row],[SEI]]</f>
        <v>202506826/2024</v>
      </c>
      <c r="AP38" t="str">
        <f>IFERROR(IF(MATCH(AO38,Atualizações!$P$1:$P$1265,0)&gt;0, "Sim"), "Não")</f>
        <v>Sim</v>
      </c>
      <c r="AQ38" s="79" t="str">
        <f>_xlfn.XLOOKUP(Tb_Portfólio11[[#This Row],[SEI]],Tb_Atualizações[PROCESSO SEI],Tb_Atualizações[Explicações],"",0,-1)</f>
        <v xml:space="preserve">Entregas realizadas 
• Produto 6 -Implantação da integração base de dados da SERP/ONR 
 Roteiro aprovado 
 Envio parcial dos vídeos 
• Produto 9 –Protótipo das Melhorias Evolutivas 
 Reunião de aprovação com magistrados em  
 Envio da documentação de requisitos e arquitetura 
Entregas planejadas para o próximo mês 
• SNIPERBC-42 Produto 10–Implantação das Melhorias Evolutivas  
 Relatório descritivo sobre sistema implementado em ambiente de homologação e produção 
 Relatório descritivo acerca da conclusão da disponibilização de acesso via API 
 Relatório de testes
Outros fatos relevantes a registrar 
• Limitação de acesso às partes impedem de usar o Sniper para alguns processos e isto tem acontecido com alguns vindos do Datalake( provavelmente sigilosos ).  
• Chamados abertos para o Sniper mas são limitações de acesso às partes do processo no Datalake. </v>
      </c>
    </row>
    <row r="39" spans="1:43" ht="405">
      <c r="A39" s="149" t="s">
        <v>436</v>
      </c>
      <c r="B39" s="139" t="s">
        <v>437</v>
      </c>
      <c r="C39" s="374" t="s">
        <v>438</v>
      </c>
      <c r="D39" s="97"/>
      <c r="E39" s="97" t="s">
        <v>276</v>
      </c>
      <c r="F39" s="255" t="s">
        <v>44</v>
      </c>
      <c r="G39" s="255" t="s">
        <v>345</v>
      </c>
      <c r="H39" s="7" t="s">
        <v>46</v>
      </c>
      <c r="I39" s="2" t="s">
        <v>213</v>
      </c>
      <c r="J39" s="519" t="s">
        <v>214</v>
      </c>
      <c r="K39" s="7" t="s">
        <v>147</v>
      </c>
      <c r="L39" s="262">
        <v>44487</v>
      </c>
      <c r="M39" s="97" t="s">
        <v>43</v>
      </c>
      <c r="N39" s="16" t="s">
        <v>44</v>
      </c>
      <c r="O39" s="268" t="s">
        <v>48</v>
      </c>
      <c r="P39" s="149" t="s">
        <v>436</v>
      </c>
      <c r="Q39" s="266">
        <v>45412</v>
      </c>
      <c r="R39" s="234">
        <f>_xlfn.XLOOKUP(Tb_Portfólio11[[#This Row],[SEI]],Tb_Atualizações[PROCESSO SEI],Tb_Atualizações[% EXECUTADO],"",0,-1)</f>
        <v>1</v>
      </c>
      <c r="S39" s="408" t="str">
        <f>IFERROR(Tb_Portfólio11[[#This Row],[% EXECUTADO]]/#REF!,"0%")</f>
        <v>0%</v>
      </c>
      <c r="T39" s="146">
        <f>_xlfn.XLOOKUP(Tb_Portfólio11[[#This Row],[SEI]],Tb_Atualizações[PROCESSO SEI],Tb_Atualizações[DATA DE ATUALIZAÇÃO],"",0,-1)</f>
        <v>45412</v>
      </c>
      <c r="U39" s="336">
        <f>_xlfn.XLOOKUP(Tb_Portfólio11[[#This Row],[SEI]],Tb_Atualizações[PROCESSO SEI],Tb_Atualizações[Mês],,0,-1)</f>
        <v>45383</v>
      </c>
      <c r="V39" s="266"/>
      <c r="W39" s="268" t="s">
        <v>48</v>
      </c>
      <c r="X3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39" s="414"/>
      <c r="Z39" s="236">
        <f>IFERROR(Tb_Portfólio11[[#This Row],[% EXECUTADO]]/#REF!,0)</f>
        <v>0</v>
      </c>
      <c r="AA39" s="97" t="s">
        <v>439</v>
      </c>
      <c r="AB39" s="415">
        <v>256100.06</v>
      </c>
      <c r="AC39" s="413"/>
      <c r="AD39" s="97" t="s">
        <v>51</v>
      </c>
      <c r="AE39" s="97" t="s">
        <v>43</v>
      </c>
      <c r="AF39" s="16" t="s">
        <v>44</v>
      </c>
      <c r="AG39" s="97" t="s">
        <v>440</v>
      </c>
      <c r="AH39" s="381" t="s">
        <v>441</v>
      </c>
      <c r="AI39" s="273">
        <f t="shared" ca="1" si="1"/>
        <v>46176</v>
      </c>
      <c r="AJ39" s="274" t="s">
        <v>442</v>
      </c>
      <c r="AK39" s="79" t="s">
        <v>44</v>
      </c>
      <c r="AM39" s="79" t="str">
        <f>2024&amp;Tb_Portfólio11[[#This Row],[SEI]]</f>
        <v>202407855/2022</v>
      </c>
      <c r="AN39" t="str">
        <f>IFERROR(IF(MATCH(AM39,Atualizações!$P$1:$P$1265,0)&gt;0, "Sim"), "Não")</f>
        <v>Sim</v>
      </c>
      <c r="AO39" s="79" t="str">
        <f>2025&amp;Tb_Portfólio11[[#This Row],[SEI]]</f>
        <v>202507855/2022</v>
      </c>
      <c r="AP39" t="str">
        <f>IFERROR(IF(MATCH(AO39,Atualizações!$P$1:$P$1265,0)&gt;0, "Sim"), "Não")</f>
        <v>Não</v>
      </c>
      <c r="AQ39" s="79">
        <f>_xlfn.XLOOKUP(Tb_Portfólio11[[#This Row],[SEI]],Tb_Atualizações[PROCESSO SEI],Tb_Atualizações[Explicações],"",0,-1)</f>
        <v>0</v>
      </c>
    </row>
    <row r="40" spans="1:43" ht="150" hidden="1">
      <c r="A40" s="149" t="s">
        <v>443</v>
      </c>
      <c r="B40" s="139" t="s">
        <v>444</v>
      </c>
      <c r="C40" s="97" t="s">
        <v>445</v>
      </c>
      <c r="D40" s="97"/>
      <c r="E40" s="73" t="s">
        <v>446</v>
      </c>
      <c r="F40" s="7" t="s">
        <v>202</v>
      </c>
      <c r="G40" s="7" t="s">
        <v>447</v>
      </c>
      <c r="H40" s="7" t="s">
        <v>202</v>
      </c>
      <c r="I40" s="7" t="s">
        <v>448</v>
      </c>
      <c r="J40" s="265" t="s">
        <v>105</v>
      </c>
      <c r="K40" s="7"/>
      <c r="L40" s="262">
        <v>44854</v>
      </c>
      <c r="M40" s="73" t="s">
        <v>449</v>
      </c>
      <c r="N40" s="97" t="s">
        <v>202</v>
      </c>
      <c r="O40" s="268"/>
      <c r="P40" s="149" t="s">
        <v>443</v>
      </c>
      <c r="Q40" s="266">
        <v>45688</v>
      </c>
      <c r="R40" s="234">
        <f>_xlfn.XLOOKUP(Tb_Portfólio11[[#This Row],[SEI]],Tb_Atualizações[PROCESSO SEI],Tb_Atualizações[% EXECUTADO],"",0,-1)</f>
        <v>0.42</v>
      </c>
      <c r="S40" s="408" t="str">
        <f>IFERROR(Tb_Portfólio11[[#This Row],[% EXECUTADO]]/#REF!,"0%")</f>
        <v>0%</v>
      </c>
      <c r="T40" s="146">
        <f>_xlfn.XLOOKUP(Tb_Portfólio11[[#This Row],[SEI]],Tb_Atualizações[PROCESSO SEI],Tb_Atualizações[DATA DE ATUALIZAÇÃO],"",0,-1)</f>
        <v>45680</v>
      </c>
      <c r="U40" s="336">
        <f>_xlfn.XLOOKUP(Tb_Portfólio11[[#This Row],[SEI]],Tb_Atualizações[PROCESSO SEI],Tb_Atualizações[Mês],,0,-1)</f>
        <v>45200</v>
      </c>
      <c r="V40" s="259"/>
      <c r="W40" s="268"/>
      <c r="X40"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40" s="414"/>
      <c r="Z40" s="236">
        <f>IFERROR(Tb_Portfólio11[[#This Row],[% EXECUTADO]]/#REF!,0)</f>
        <v>0</v>
      </c>
      <c r="AA40" s="97"/>
      <c r="AB40" s="413"/>
      <c r="AC40" s="413"/>
      <c r="AD40" s="97"/>
      <c r="AE40" s="73" t="s">
        <v>449</v>
      </c>
      <c r="AF40" s="97" t="s">
        <v>202</v>
      </c>
      <c r="AG40" s="97" t="s">
        <v>450</v>
      </c>
      <c r="AH40" s="274"/>
      <c r="AI40" s="273">
        <f t="shared" ca="1" si="1"/>
        <v>46176</v>
      </c>
      <c r="AM40" s="79" t="str">
        <f>2024&amp;Tb_Portfólio11[[#This Row],[SEI]]</f>
        <v>202408286/2022</v>
      </c>
      <c r="AN40" t="str">
        <f>IFERROR(IF(MATCH(AM40,Atualizações!$P$1:$P$1265,0)&gt;0, "Sim"), "Não")</f>
        <v>Sim</v>
      </c>
      <c r="AO40" s="79" t="str">
        <f>2025&amp;Tb_Portfólio11[[#This Row],[SEI]]</f>
        <v>202508286/2022</v>
      </c>
      <c r="AP40" t="str">
        <f>IFERROR(IF(MATCH(AO40,Atualizações!$P$1:$P$1265,0)&gt;0, "Sim"), "Não")</f>
        <v>Sim</v>
      </c>
      <c r="AQ40" s="79" t="str">
        <f>_xlfn.XLOOKUP(Tb_Portfólio11[[#This Row],[SEI]],Tb_Atualizações[PROCESSO SEI],Tb_Atualizações[Explicações],"",0,-1)</f>
        <v>Medição duplicada apenas para incluir no portfólio de 2025</v>
      </c>
    </row>
    <row r="41" spans="1:43" ht="165" hidden="1">
      <c r="A41" s="149" t="s">
        <v>451</v>
      </c>
      <c r="B41" s="139" t="s">
        <v>452</v>
      </c>
      <c r="C41" s="7" t="s">
        <v>453</v>
      </c>
      <c r="D41" s="97" t="s">
        <v>454</v>
      </c>
      <c r="E41" s="73" t="s">
        <v>446</v>
      </c>
      <c r="F41" s="2" t="s">
        <v>202</v>
      </c>
      <c r="G41" s="7" t="s">
        <v>447</v>
      </c>
      <c r="H41" s="7" t="s">
        <v>202</v>
      </c>
      <c r="I41" s="7" t="s">
        <v>455</v>
      </c>
      <c r="J41" s="6" t="s">
        <v>89</v>
      </c>
      <c r="K41" s="6" t="s">
        <v>456</v>
      </c>
      <c r="L41" s="262">
        <v>44895</v>
      </c>
      <c r="M41" s="97" t="s">
        <v>449</v>
      </c>
      <c r="N41" s="97" t="s">
        <v>202</v>
      </c>
      <c r="O41" s="268"/>
      <c r="P41" s="149" t="s">
        <v>451</v>
      </c>
      <c r="Q41" s="266">
        <v>45199</v>
      </c>
      <c r="R41" s="234">
        <f>_xlfn.XLOOKUP(Tb_Portfólio11[[#This Row],[SEI]],Tb_Atualizações[PROCESSO SEI],Tb_Atualizações[% EXECUTADO],"",0,-1)</f>
        <v>1.0999999999999999E-2</v>
      </c>
      <c r="S41" s="408" t="str">
        <f>IFERROR(Tb_Portfólio11[[#This Row],[% EXECUTADO]]/#REF!,"0%")</f>
        <v>0%</v>
      </c>
      <c r="T41" s="146">
        <f>_xlfn.XLOOKUP(Tb_Portfólio11[[#This Row],[SEI]],Tb_Atualizações[PROCESSO SEI],Tb_Atualizações[DATA DE ATUALIZAÇÃO],"",0,-1)</f>
        <v>45383</v>
      </c>
      <c r="U41" s="336">
        <f>_xlfn.XLOOKUP(Tb_Portfólio11[[#This Row],[SEI]],Tb_Atualizações[PROCESSO SEI],Tb_Atualizações[Mês],,0,-1)</f>
        <v>45017</v>
      </c>
      <c r="V41" s="259"/>
      <c r="W41" s="268"/>
      <c r="X41" s="235" t="s">
        <v>49</v>
      </c>
      <c r="Y41" s="414"/>
      <c r="Z41" s="236">
        <f>IFERROR(Tb_Portfólio11[[#This Row],[% EXECUTADO]]/#REF!,0)</f>
        <v>0</v>
      </c>
      <c r="AA41" s="97"/>
      <c r="AB41" s="413"/>
      <c r="AC41" s="413"/>
      <c r="AD41" s="73"/>
      <c r="AE41" s="97" t="s">
        <v>449</v>
      </c>
      <c r="AF41" s="97" t="s">
        <v>202</v>
      </c>
      <c r="AG41" s="97" t="s">
        <v>457</v>
      </c>
      <c r="AH41" s="276" t="s">
        <v>413</v>
      </c>
      <c r="AI41" s="273">
        <f t="shared" ca="1" si="1"/>
        <v>46176</v>
      </c>
      <c r="AJ41" s="274"/>
      <c r="AM41" s="79" t="str">
        <f>2024&amp;Tb_Portfólio11[[#This Row],[SEI]]</f>
        <v>202408287/2022</v>
      </c>
      <c r="AN41" t="str">
        <f>IFERROR(IF(MATCH(AM41,Atualizações!$P$1:$P$1265,0)&gt;0, "Sim"), "Não")</f>
        <v>Sim</v>
      </c>
      <c r="AO41" s="79" t="str">
        <f>2025&amp;Tb_Portfólio11[[#This Row],[SEI]]</f>
        <v>202508287/2022</v>
      </c>
      <c r="AP41" t="str">
        <f>IFERROR(IF(MATCH(AO41,Atualizações!$P$1:$P$1265,0)&gt;0, "Sim"), "Não")</f>
        <v>Não</v>
      </c>
      <c r="AQ41" s="79" t="str">
        <f>_xlfn.XLOOKUP(Tb_Portfólio11[[#This Row],[SEI]],Tb_Atualizações[PROCESSO SEI],Tb_Atualizações[Explicações],"",0,-1)</f>
        <v>Inclusão no portfólio de 2024</v>
      </c>
    </row>
    <row r="42" spans="1:43" ht="60.75">
      <c r="A42" s="149" t="s">
        <v>458</v>
      </c>
      <c r="B42" s="347" t="s">
        <v>459</v>
      </c>
      <c r="C42" s="373" t="s">
        <v>460</v>
      </c>
      <c r="D42" s="97"/>
      <c r="E42" s="97" t="s">
        <v>43</v>
      </c>
      <c r="F42" s="97" t="s">
        <v>44</v>
      </c>
      <c r="G42" s="7" t="s">
        <v>326</v>
      </c>
      <c r="H42" s="19" t="s">
        <v>46</v>
      </c>
      <c r="I42" s="7" t="s">
        <v>165</v>
      </c>
      <c r="J42" s="7" t="s">
        <v>461</v>
      </c>
      <c r="K42" s="107" t="s">
        <v>462</v>
      </c>
      <c r="L42" s="262">
        <v>45523</v>
      </c>
      <c r="M42" s="352" t="s">
        <v>179</v>
      </c>
      <c r="N42" s="16" t="s">
        <v>44</v>
      </c>
      <c r="O42" s="268" t="s">
        <v>48</v>
      </c>
      <c r="P42" s="149" t="s">
        <v>458</v>
      </c>
      <c r="Q42" s="257">
        <v>45947</v>
      </c>
      <c r="R42" s="234">
        <f>_xlfn.XLOOKUP(Tb_Portfólio11[[#This Row],[SEI]],Tb_Atualizações[PROCESSO SEI],Tb_Atualizações[% EXECUTADO],"",0,-1)</f>
        <v>1</v>
      </c>
      <c r="S42" s="408" t="str">
        <f>IFERROR(Tb_Portfólio11[[#This Row],[% EXECUTADO]]/#REF!,"0%")</f>
        <v>0%</v>
      </c>
      <c r="T42" s="146">
        <f>_xlfn.XLOOKUP(Tb_Portfólio11[[#This Row],[SEI]],Tb_Atualizações[PROCESSO SEI],Tb_Atualizações[DATA DE ATUALIZAÇÃO],"",0,-1)</f>
        <v>46112</v>
      </c>
      <c r="U42" s="336">
        <f>_xlfn.XLOOKUP(Tb_Portfólio11[[#This Row],[SEI]],Tb_Atualizações[PROCESSO SEI],Tb_Atualizações[Mês],,0,-1)</f>
        <v>46082</v>
      </c>
      <c r="V42" s="259"/>
      <c r="W42" s="268" t="s">
        <v>48</v>
      </c>
      <c r="X42"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2" s="414"/>
      <c r="Z42" s="236">
        <f>IFERROR(Tb_Portfólio11[[#This Row],[% EXECUTADO]]/#REF!,0)</f>
        <v>0</v>
      </c>
      <c r="AA42" s="97"/>
      <c r="AB42" s="413"/>
      <c r="AC42" s="413"/>
      <c r="AD42" s="97" t="s">
        <v>51</v>
      </c>
      <c r="AE42" s="352" t="s">
        <v>179</v>
      </c>
      <c r="AF42" s="16" t="s">
        <v>44</v>
      </c>
      <c r="AG42" s="97" t="s">
        <v>463</v>
      </c>
      <c r="AH42" s="274"/>
      <c r="AI42" s="273">
        <f t="shared" ca="1" si="1"/>
        <v>46176</v>
      </c>
      <c r="AJ42" s="274" t="s">
        <v>171</v>
      </c>
      <c r="AK42" s="79" t="s">
        <v>67</v>
      </c>
      <c r="AM42" s="79" t="str">
        <f>2024&amp;Tb_Portfólio11[[#This Row],[SEI]]</f>
        <v>202408370/2024</v>
      </c>
      <c r="AN42" t="str">
        <f>IFERROR(IF(MATCH(AM42,Atualizações!$P$1:$P$1265,0)&gt;0, "Sim"), "Não")</f>
        <v>Sim</v>
      </c>
      <c r="AO42" s="79" t="str">
        <f>2025&amp;Tb_Portfólio11[[#This Row],[SEI]]</f>
        <v>202508370/2024</v>
      </c>
      <c r="AP42" t="str">
        <f>IFERROR(IF(MATCH(AO42,Atualizações!$P$1:$P$1265,0)&gt;0, "Sim"), "Não")</f>
        <v>Sim</v>
      </c>
      <c r="AQ42" s="79">
        <f>_xlfn.XLOOKUP(Tb_Portfólio11[[#This Row],[SEI]],Tb_Atualizações[PROCESSO SEI],Tb_Atualizações[Explicações],"",0,-1)</f>
        <v>0</v>
      </c>
    </row>
    <row r="43" spans="1:43" ht="135">
      <c r="A43" s="277" t="s">
        <v>464</v>
      </c>
      <c r="B43" s="100" t="s">
        <v>465</v>
      </c>
      <c r="C43" s="255" t="s">
        <v>466</v>
      </c>
      <c r="D43" s="255"/>
      <c r="E43" s="73" t="s">
        <v>276</v>
      </c>
      <c r="F43" s="16" t="s">
        <v>44</v>
      </c>
      <c r="G43" s="626" t="s">
        <v>95</v>
      </c>
      <c r="H43" s="16" t="s">
        <v>92</v>
      </c>
      <c r="I43" s="7" t="s">
        <v>305</v>
      </c>
      <c r="J43" s="2" t="s">
        <v>120</v>
      </c>
      <c r="K43" s="250"/>
      <c r="L43" s="278">
        <v>44319</v>
      </c>
      <c r="M43" s="97" t="s">
        <v>150</v>
      </c>
      <c r="N43" s="376" t="s">
        <v>92</v>
      </c>
      <c r="O43" s="268" t="s">
        <v>48</v>
      </c>
      <c r="P43" s="277" t="s">
        <v>464</v>
      </c>
      <c r="Q43" s="279">
        <v>45433</v>
      </c>
      <c r="R43" s="234">
        <f>_xlfn.XLOOKUP(Tb_Portfólio11[[#This Row],[SEI]],Tb_Atualizações[PROCESSO SEI],Tb_Atualizações[% EXECUTADO],"",0,-1)</f>
        <v>1</v>
      </c>
      <c r="S43" s="408" t="str">
        <f>IFERROR(Tb_Portfólio11[[#This Row],[% EXECUTADO]]/#REF!,"0%")</f>
        <v>0%</v>
      </c>
      <c r="T43" s="146">
        <f>_xlfn.XLOOKUP(Tb_Portfólio11[[#This Row],[SEI]],Tb_Atualizações[PROCESSO SEI],Tb_Atualizações[DATA DE ATUALIZAÇÃO],"",0,-1)</f>
        <v>45419</v>
      </c>
      <c r="U43" s="336">
        <f>_xlfn.XLOOKUP(Tb_Portfólio11[[#This Row],[SEI]],Tb_Atualizações[PROCESSO SEI],Tb_Atualizações[Mês],,0,-1)</f>
        <v>45383</v>
      </c>
      <c r="V43" s="259"/>
      <c r="W43" s="268" t="s">
        <v>48</v>
      </c>
      <c r="X43"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3" s="414" t="s">
        <v>467</v>
      </c>
      <c r="Z43" s="236">
        <f>IFERROR(Tb_Portfólio11[[#This Row],[% EXECUTADO]]/#REF!,0)</f>
        <v>0</v>
      </c>
      <c r="AA43" s="97" t="s">
        <v>468</v>
      </c>
      <c r="AB43" s="413"/>
      <c r="AC43" s="413"/>
      <c r="AD43" s="73"/>
      <c r="AE43" s="97" t="s">
        <v>150</v>
      </c>
      <c r="AF43" s="376" t="s">
        <v>92</v>
      </c>
      <c r="AG43" s="97" t="s">
        <v>469</v>
      </c>
      <c r="AH43" s="272" t="s">
        <v>470</v>
      </c>
      <c r="AI43" s="273">
        <f t="shared" ca="1" si="1"/>
        <v>46176</v>
      </c>
      <c r="AM43" s="79" t="str">
        <f>2024&amp;Tb_Portfólio11[[#This Row],[SEI]]</f>
        <v>202408536/2022</v>
      </c>
      <c r="AN43" t="str">
        <f>IFERROR(IF(MATCH(AM43,Atualizações!$P$1:$P$1265,0)&gt;0, "Sim"), "Não")</f>
        <v>Sim</v>
      </c>
      <c r="AO43" s="79" t="str">
        <f>2025&amp;Tb_Portfólio11[[#This Row],[SEI]]</f>
        <v>202508536/2022</v>
      </c>
      <c r="AP43" t="str">
        <f>IFERROR(IF(MATCH(AO43,Atualizações!$P$1:$P$1265,0)&gt;0, "Sim"), "Não")</f>
        <v>Não</v>
      </c>
      <c r="AQ43" s="79">
        <f>_xlfn.XLOOKUP(Tb_Portfólio11[[#This Row],[SEI]],Tb_Atualizações[PROCESSO SEI],Tb_Atualizações[Explicações],"",0,-1)</f>
        <v>0</v>
      </c>
    </row>
    <row r="44" spans="1:43" ht="255" hidden="1">
      <c r="A44" s="149" t="s">
        <v>471</v>
      </c>
      <c r="B44" s="103" t="s">
        <v>472</v>
      </c>
      <c r="C44" s="7" t="s">
        <v>473</v>
      </c>
      <c r="D44" s="97"/>
      <c r="E44" s="79" t="s">
        <v>474</v>
      </c>
      <c r="F44" s="526" t="s">
        <v>67</v>
      </c>
      <c r="G44" s="7" t="s">
        <v>212</v>
      </c>
      <c r="H44" s="2" t="s">
        <v>46</v>
      </c>
      <c r="I44" s="2" t="s">
        <v>213</v>
      </c>
      <c r="J44" s="7" t="s">
        <v>214</v>
      </c>
      <c r="K44" s="6" t="s">
        <v>147</v>
      </c>
      <c r="L44" s="262">
        <v>44719</v>
      </c>
      <c r="M44" s="97" t="s">
        <v>137</v>
      </c>
      <c r="N44" s="240" t="s">
        <v>67</v>
      </c>
      <c r="O44" s="268" t="s">
        <v>48</v>
      </c>
      <c r="P44" s="149" t="s">
        <v>471</v>
      </c>
      <c r="Q44" s="266">
        <v>45716</v>
      </c>
      <c r="R44" s="234">
        <f>_xlfn.XLOOKUP(Tb_Portfólio11[[#This Row],[SEI]],Tb_Atualizações[PROCESSO SEI],Tb_Atualizações[% EXECUTADO],"",0,-1)</f>
        <v>1</v>
      </c>
      <c r="S44" s="408" t="str">
        <f>IFERROR(Tb_Portfólio11[[#This Row],[% EXECUTADO]]/#REF!,"0%")</f>
        <v>0%</v>
      </c>
      <c r="T44" s="146">
        <f>_xlfn.XLOOKUP(Tb_Portfólio11[[#This Row],[SEI]],Tb_Atualizações[PROCESSO SEI],Tb_Atualizações[DATA DE ATUALIZAÇÃO],"",0,-1)</f>
        <v>45623</v>
      </c>
      <c r="U44" s="336">
        <f>_xlfn.XLOOKUP(Tb_Portfólio11[[#This Row],[SEI]],Tb_Atualizações[PROCESSO SEI],Tb_Atualizações[Mês],,0,-1)</f>
        <v>45597</v>
      </c>
      <c r="V44" s="259"/>
      <c r="W44" s="268" t="s">
        <v>48</v>
      </c>
      <c r="X44"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4" s="416" t="s">
        <v>475</v>
      </c>
      <c r="Z44" s="236">
        <f>IFERROR(Tb_Portfólio11[[#This Row],[% EXECUTADO]]/#REF!,0)</f>
        <v>0</v>
      </c>
      <c r="AA44" s="97" t="s">
        <v>476</v>
      </c>
      <c r="AB44" s="413"/>
      <c r="AC44" s="413"/>
      <c r="AD44" s="73" t="s">
        <v>51</v>
      </c>
      <c r="AE44" s="97" t="s">
        <v>137</v>
      </c>
      <c r="AF44" s="240" t="s">
        <v>67</v>
      </c>
      <c r="AG44" s="97" t="s">
        <v>477</v>
      </c>
      <c r="AH44" s="272" t="s">
        <v>478</v>
      </c>
      <c r="AI44" s="273">
        <f t="shared" ca="1" si="1"/>
        <v>46176</v>
      </c>
      <c r="AJ44" s="79" t="s">
        <v>140</v>
      </c>
      <c r="AK44" s="79" t="s">
        <v>67</v>
      </c>
      <c r="AM44" s="79" t="str">
        <f>2024&amp;Tb_Portfólio11[[#This Row],[SEI]]</f>
        <v>202408543/2021</v>
      </c>
      <c r="AN44" t="str">
        <f>IFERROR(IF(MATCH(AM44,Atualizações!$P$1:$P$1265,0)&gt;0, "Sim"), "Não")</f>
        <v>Sim</v>
      </c>
      <c r="AO44" s="79" t="str">
        <f>2025&amp;Tb_Portfólio11[[#This Row],[SEI]]</f>
        <v>202508543/2021</v>
      </c>
      <c r="AP44" t="str">
        <f>IFERROR(IF(MATCH(AO44,Atualizações!$P$1:$P$1265,0)&gt;0, "Sim"), "Não")</f>
        <v>Não</v>
      </c>
      <c r="AQ44" s="79">
        <f>_xlfn.XLOOKUP(Tb_Portfólio11[[#This Row],[SEI]],Tb_Atualizações[PROCESSO SEI],Tb_Atualizações[Explicações],"",0,-1)</f>
        <v>0</v>
      </c>
    </row>
    <row r="45" spans="1:43" ht="195">
      <c r="A45" s="149" t="s">
        <v>479</v>
      </c>
      <c r="B45" s="103" t="s">
        <v>480</v>
      </c>
      <c r="C45" s="103" t="s">
        <v>481</v>
      </c>
      <c r="D45" s="97"/>
      <c r="E45" s="79" t="s">
        <v>43</v>
      </c>
      <c r="F45" s="7" t="s">
        <v>44</v>
      </c>
      <c r="G45" s="97" t="s">
        <v>482</v>
      </c>
      <c r="H45" s="2" t="s">
        <v>46</v>
      </c>
      <c r="I45" s="7" t="s">
        <v>88</v>
      </c>
      <c r="J45" s="2" t="s">
        <v>176</v>
      </c>
      <c r="K45" s="7" t="s">
        <v>147</v>
      </c>
      <c r="L45" s="262">
        <v>44984</v>
      </c>
      <c r="M45" s="73" t="s">
        <v>163</v>
      </c>
      <c r="N45" s="97" t="s">
        <v>67</v>
      </c>
      <c r="O45" s="268" t="s">
        <v>48</v>
      </c>
      <c r="P45" s="149" t="s">
        <v>479</v>
      </c>
      <c r="Q45" s="266" t="s">
        <v>483</v>
      </c>
      <c r="R45" s="234">
        <f>_xlfn.XLOOKUP(Tb_Portfólio11[[#This Row],[SEI]],Tb_Atualizações[PROCESSO SEI],Tb_Atualizações[% EXECUTADO],"",0,-1)</f>
        <v>1</v>
      </c>
      <c r="S45" s="408" t="str">
        <f>IFERROR(Tb_Portfólio11[[#This Row],[% EXECUTADO]]/#REF!,"0%")</f>
        <v>0%</v>
      </c>
      <c r="T45" s="146">
        <f>_xlfn.XLOOKUP(Tb_Portfólio11[[#This Row],[SEI]],Tb_Atualizações[PROCESSO SEI],Tb_Atualizações[DATA DE ATUALIZAÇÃO],"",0,-1)</f>
        <v>45646</v>
      </c>
      <c r="U45" s="336">
        <f>_xlfn.XLOOKUP(Tb_Portfólio11[[#This Row],[SEI]],Tb_Atualizações[PROCESSO SEI],Tb_Atualizações[Mês],,0,-1)</f>
        <v>45627</v>
      </c>
      <c r="V45" s="259"/>
      <c r="W45" s="268" t="s">
        <v>48</v>
      </c>
      <c r="X45"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5" s="414"/>
      <c r="Z45" s="236">
        <f>IFERROR(Tb_Portfólio11[[#This Row],[% EXECUTADO]]/#REF!,0)</f>
        <v>0</v>
      </c>
      <c r="AA45" s="97" t="s">
        <v>484</v>
      </c>
      <c r="AB45" s="413"/>
      <c r="AC45" s="413"/>
      <c r="AD45" s="73" t="s">
        <v>51</v>
      </c>
      <c r="AE45" s="73" t="s">
        <v>163</v>
      </c>
      <c r="AF45" s="97" t="s">
        <v>67</v>
      </c>
      <c r="AG45" s="97" t="s">
        <v>485</v>
      </c>
      <c r="AH45" s="272" t="s">
        <v>486</v>
      </c>
      <c r="AI45" s="273">
        <f t="shared" ca="1" si="1"/>
        <v>46176</v>
      </c>
      <c r="AJ45" s="79" t="s">
        <v>140</v>
      </c>
      <c r="AK45" s="79" t="s">
        <v>67</v>
      </c>
      <c r="AM45" s="79" t="str">
        <f>2024&amp;Tb_Portfólio11[[#This Row],[SEI]]</f>
        <v>202408547/2021</v>
      </c>
      <c r="AN45" t="str">
        <f>IFERROR(IF(MATCH(AM45,Atualizações!$P$1:$P$1265,0)&gt;0, "Sim"), "Não")</f>
        <v>Sim</v>
      </c>
      <c r="AO45" s="79" t="str">
        <f>2025&amp;Tb_Portfólio11[[#This Row],[SEI]]</f>
        <v>202508547/2021</v>
      </c>
      <c r="AP45" t="str">
        <f>IFERROR(IF(MATCH(AO45,Atualizações!$P$1:$P$1265,0)&gt;0, "Sim"), "Não")</f>
        <v>Não</v>
      </c>
      <c r="AQ45" s="79" t="str">
        <f>_xlfn.XLOOKUP(Tb_Portfólio11[[#This Row],[SEI]],Tb_Atualizações[PROCESSO SEI],Tb_Atualizações[Explicações],"",0,-1)</f>
        <v>Projeto concluído. TEP já consta no processo SEI, mas é necessário que o despacho de encaminhamento seja assinado e o processo seja encaminhado para o ECP. Conversamos com Daniel no dia 7/1/2025</v>
      </c>
    </row>
    <row r="46" spans="1:43" ht="105">
      <c r="A46" s="149" t="s">
        <v>487</v>
      </c>
      <c r="B46" s="103" t="s">
        <v>488</v>
      </c>
      <c r="C46" s="7" t="s">
        <v>489</v>
      </c>
      <c r="D46" s="97"/>
      <c r="E46" s="322" t="s">
        <v>490</v>
      </c>
      <c r="F46" s="255" t="s">
        <v>44</v>
      </c>
      <c r="G46" s="255" t="s">
        <v>269</v>
      </c>
      <c r="H46" s="7" t="s">
        <v>44</v>
      </c>
      <c r="I46" s="255" t="s">
        <v>240</v>
      </c>
      <c r="J46" s="376" t="s">
        <v>105</v>
      </c>
      <c r="K46" s="7"/>
      <c r="L46" s="262">
        <v>44713</v>
      </c>
      <c r="M46" s="73" t="s">
        <v>490</v>
      </c>
      <c r="N46" s="7" t="s">
        <v>44</v>
      </c>
      <c r="O46" s="268"/>
      <c r="P46" s="149" t="s">
        <v>487</v>
      </c>
      <c r="Q46" s="266">
        <v>45913</v>
      </c>
      <c r="R46" s="234">
        <f>_xlfn.XLOOKUP(Tb_Portfólio11[[#This Row],[SEI]],Tb_Atualizações[PROCESSO SEI],Tb_Atualizações[% EXECUTADO],"",0,-1)</f>
        <v>7.3499999999999996E-2</v>
      </c>
      <c r="S46" s="408" t="str">
        <f>IFERROR(Tb_Portfólio11[[#This Row],[% EXECUTADO]]/#REF!,"0%")</f>
        <v>0%</v>
      </c>
      <c r="T46" s="146">
        <f>_xlfn.XLOOKUP(Tb_Portfólio11[[#This Row],[SEI]],Tb_Atualizações[PROCESSO SEI],Tb_Atualizações[DATA DE ATUALIZAÇÃO],"",0,-1)</f>
        <v>45943</v>
      </c>
      <c r="U46" s="336">
        <f>_xlfn.XLOOKUP(Tb_Portfólio11[[#This Row],[SEI]],Tb_Atualizações[PROCESSO SEI],Tb_Atualizações[Mês],,0,-1)</f>
        <v>45931</v>
      </c>
      <c r="V46" s="259"/>
      <c r="W46" s="268"/>
      <c r="X46" s="235" t="s">
        <v>277</v>
      </c>
      <c r="Y46" s="414" t="s">
        <v>491</v>
      </c>
      <c r="Z46" s="236">
        <f>IFERROR(Tb_Portfólio11[[#This Row],[% EXECUTADO]]/#REF!,0)</f>
        <v>0</v>
      </c>
      <c r="AA46" s="97" t="s">
        <v>492</v>
      </c>
      <c r="AB46" s="413"/>
      <c r="AC46" s="413"/>
      <c r="AD46" s="73"/>
      <c r="AE46" s="73" t="s">
        <v>490</v>
      </c>
      <c r="AF46" s="7" t="s">
        <v>44</v>
      </c>
      <c r="AG46" s="97" t="s">
        <v>493</v>
      </c>
      <c r="AH46" s="272" t="s">
        <v>494</v>
      </c>
      <c r="AI46" s="273">
        <f t="shared" ca="1" si="1"/>
        <v>46176</v>
      </c>
      <c r="AM46" s="79" t="str">
        <f>2024&amp;Tb_Portfólio11[[#This Row],[SEI]]</f>
        <v>202408610/2022</v>
      </c>
      <c r="AN46" t="str">
        <f>IFERROR(IF(MATCH(AM46,Atualizações!$P$1:$P$1265,0)&gt;0, "Sim"), "Não")</f>
        <v>Sim</v>
      </c>
      <c r="AO46" s="79" t="str">
        <f>2025&amp;Tb_Portfólio11[[#This Row],[SEI]]</f>
        <v>202508610/2022</v>
      </c>
      <c r="AP46" t="str">
        <f>IFERROR(IF(MATCH(AO46,Atualizações!$P$1:$P$1265,0)&gt;0, "Sim"), "Não")</f>
        <v>Sim</v>
      </c>
      <c r="AQ46" s="79" t="str">
        <f>_xlfn.XLOOKUP(Tb_Portfólio11[[#This Row],[SEI]],Tb_Atualizações[PROCESSO SEI],Tb_Atualizações[Explicações],"",0,-1)</f>
        <v>Finalização do projeto, nos termos da informação 2357739</v>
      </c>
    </row>
    <row r="47" spans="1:43" ht="285">
      <c r="A47" s="149" t="s">
        <v>495</v>
      </c>
      <c r="B47" s="282" t="s">
        <v>496</v>
      </c>
      <c r="C47" s="97" t="s">
        <v>497</v>
      </c>
      <c r="D47" s="97"/>
      <c r="E47" s="97" t="s">
        <v>498</v>
      </c>
      <c r="F47" s="97" t="s">
        <v>44</v>
      </c>
      <c r="G47" s="283" t="s">
        <v>192</v>
      </c>
      <c r="H47" s="7" t="s">
        <v>46</v>
      </c>
      <c r="I47" s="97" t="s">
        <v>165</v>
      </c>
      <c r="J47" s="112" t="s">
        <v>176</v>
      </c>
      <c r="K47" s="7" t="s">
        <v>147</v>
      </c>
      <c r="L47" s="262">
        <v>45110</v>
      </c>
      <c r="M47" s="79" t="s">
        <v>137</v>
      </c>
      <c r="N47" s="348" t="s">
        <v>67</v>
      </c>
      <c r="O47" s="268" t="s">
        <v>48</v>
      </c>
      <c r="P47" s="149" t="s">
        <v>495</v>
      </c>
      <c r="Q47" s="266">
        <v>45487</v>
      </c>
      <c r="R47" s="234">
        <f>_xlfn.XLOOKUP(Tb_Portfólio11[[#This Row],[SEI]],Tb_Atualizações[PROCESSO SEI],Tb_Atualizações[% EXECUTADO],"",0,-1)</f>
        <v>1</v>
      </c>
      <c r="S47" s="408" t="str">
        <f>IFERROR(Tb_Portfólio11[[#This Row],[% EXECUTADO]]/#REF!,"0%")</f>
        <v>0%</v>
      </c>
      <c r="T47" s="146">
        <f>_xlfn.XLOOKUP(Tb_Portfólio11[[#This Row],[SEI]],Tb_Atualizações[PROCESSO SEI],Tb_Atualizações[DATA DE ATUALIZAÇÃO],"",0,-1)</f>
        <v>45518</v>
      </c>
      <c r="U47" s="336">
        <f>_xlfn.XLOOKUP(Tb_Portfólio11[[#This Row],[SEI]],Tb_Atualizações[PROCESSO SEI],Tb_Atualizações[Mês],,0,-1)</f>
        <v>45474</v>
      </c>
      <c r="V47" s="259"/>
      <c r="W47" s="268" t="s">
        <v>48</v>
      </c>
      <c r="X4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7" s="414"/>
      <c r="Z47" s="236">
        <f>IFERROR(Tb_Portfólio11[[#This Row],[% EXECUTADO]]/#REF!,0)</f>
        <v>0</v>
      </c>
      <c r="AA47" s="97" t="s">
        <v>499</v>
      </c>
      <c r="AB47" s="415"/>
      <c r="AC47" s="413"/>
      <c r="AD47" s="97" t="s">
        <v>51</v>
      </c>
      <c r="AE47" s="79" t="s">
        <v>137</v>
      </c>
      <c r="AF47" s="348" t="s">
        <v>67</v>
      </c>
      <c r="AG47" s="97" t="s">
        <v>500</v>
      </c>
      <c r="AH47" s="274" t="s">
        <v>501</v>
      </c>
      <c r="AI47" s="273">
        <f t="shared" ca="1" si="1"/>
        <v>46176</v>
      </c>
      <c r="AJ47" s="274" t="s">
        <v>140</v>
      </c>
      <c r="AK47" s="79" t="s">
        <v>67</v>
      </c>
      <c r="AM47" s="79" t="str">
        <f>2024&amp;Tb_Portfólio11[[#This Row],[SEI]]</f>
        <v>202408690/2023</v>
      </c>
      <c r="AN47" t="str">
        <f>IFERROR(IF(MATCH(AM47,Atualizações!$P$1:$P$1265,0)&gt;0, "Sim"), "Não")</f>
        <v>Sim</v>
      </c>
      <c r="AO47" s="79" t="str">
        <f>2025&amp;Tb_Portfólio11[[#This Row],[SEI]]</f>
        <v>202508690/2023</v>
      </c>
      <c r="AP47" t="str">
        <f>IFERROR(IF(MATCH(AO47,Atualizações!$P$1:$P$1265,0)&gt;0, "Sim"), "Não")</f>
        <v>Não</v>
      </c>
      <c r="AQ47" s="79">
        <f>_xlfn.XLOOKUP(Tb_Portfólio11[[#This Row],[SEI]],Tb_Atualizações[PROCESSO SEI],Tb_Atualizações[Explicações],"",0,-1)</f>
        <v>0</v>
      </c>
    </row>
    <row r="48" spans="1:43" ht="270">
      <c r="A48" s="149" t="s">
        <v>502</v>
      </c>
      <c r="B48" s="103" t="s">
        <v>503</v>
      </c>
      <c r="C48" s="7" t="s">
        <v>504</v>
      </c>
      <c r="D48" s="97"/>
      <c r="E48" s="79" t="s">
        <v>43</v>
      </c>
      <c r="F48" s="255" t="s">
        <v>44</v>
      </c>
      <c r="G48" s="255" t="s">
        <v>505</v>
      </c>
      <c r="H48" s="255" t="s">
        <v>92</v>
      </c>
      <c r="I48" s="7" t="s">
        <v>346</v>
      </c>
      <c r="J48" s="627" t="s">
        <v>146</v>
      </c>
      <c r="K48" s="7" t="s">
        <v>147</v>
      </c>
      <c r="L48" s="262">
        <v>44816</v>
      </c>
      <c r="M48" s="97" t="s">
        <v>150</v>
      </c>
      <c r="N48" s="255" t="s">
        <v>44</v>
      </c>
      <c r="O48" s="268" t="s">
        <v>48</v>
      </c>
      <c r="P48" s="149" t="s">
        <v>502</v>
      </c>
      <c r="Q48" s="266">
        <v>45321</v>
      </c>
      <c r="R48" s="234">
        <f>_xlfn.XLOOKUP(Tb_Portfólio11[[#This Row],[SEI]],Tb_Atualizações[PROCESSO SEI],Tb_Atualizações[% EXECUTADO],"",0,-1)</f>
        <v>1</v>
      </c>
      <c r="S48" s="408" t="str">
        <f>IFERROR(Tb_Portfólio11[[#This Row],[% EXECUTADO]]/#REF!,"0%")</f>
        <v>0%</v>
      </c>
      <c r="T48" s="146">
        <f>_xlfn.XLOOKUP(Tb_Portfólio11[[#This Row],[SEI]],Tb_Atualizações[PROCESSO SEI],Tb_Atualizações[DATA DE ATUALIZAÇÃO],"",0,-1)</f>
        <v>45376</v>
      </c>
      <c r="U48" s="336">
        <f>_xlfn.XLOOKUP(Tb_Portfólio11[[#This Row],[SEI]],Tb_Atualizações[PROCESSO SEI],Tb_Atualizações[Mês],,0,-1)</f>
        <v>45352</v>
      </c>
      <c r="V48" s="259"/>
      <c r="W48" s="268" t="s">
        <v>48</v>
      </c>
      <c r="X48"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8" s="414"/>
      <c r="Z48" s="236">
        <f>IFERROR(Tb_Portfólio11[[#This Row],[% EXECUTADO]]/#REF!,0)</f>
        <v>0</v>
      </c>
      <c r="AA48" s="97" t="s">
        <v>506</v>
      </c>
      <c r="AB48" s="413"/>
      <c r="AC48" s="413"/>
      <c r="AD48" s="73" t="s">
        <v>51</v>
      </c>
      <c r="AE48" s="97" t="s">
        <v>150</v>
      </c>
      <c r="AF48" s="255" t="s">
        <v>44</v>
      </c>
      <c r="AG48" s="97" t="s">
        <v>507</v>
      </c>
      <c r="AH48" s="272" t="s">
        <v>508</v>
      </c>
      <c r="AI48" s="273">
        <f t="shared" ca="1" si="1"/>
        <v>46176</v>
      </c>
      <c r="AJ48" s="274"/>
      <c r="AM48" s="79" t="str">
        <f>2024&amp;Tb_Portfólio11[[#This Row],[SEI]]</f>
        <v>202409081/2022</v>
      </c>
      <c r="AN48" t="str">
        <f>IFERROR(IF(MATCH(AM48,Atualizações!$P$1:$P$1265,0)&gt;0, "Sim"), "Não")</f>
        <v>Sim</v>
      </c>
      <c r="AO48" s="79" t="str">
        <f>2025&amp;Tb_Portfólio11[[#This Row],[SEI]]</f>
        <v>202509081/2022</v>
      </c>
      <c r="AP48" t="str">
        <f>IFERROR(IF(MATCH(AO48,Atualizações!$P$1:$P$1265,0)&gt;0, "Sim"), "Não")</f>
        <v>Não</v>
      </c>
      <c r="AQ48" s="79">
        <f>_xlfn.XLOOKUP(Tb_Portfólio11[[#This Row],[SEI]],Tb_Atualizações[PROCESSO SEI],Tb_Atualizações[Explicações],"",0,-1)</f>
        <v>0</v>
      </c>
    </row>
    <row r="49" spans="1:43" ht="165" hidden="1">
      <c r="A49" s="149" t="s">
        <v>509</v>
      </c>
      <c r="B49" s="103" t="s">
        <v>510</v>
      </c>
      <c r="C49" s="97" t="s">
        <v>511</v>
      </c>
      <c r="D49" s="97"/>
      <c r="E49" s="97" t="s">
        <v>66</v>
      </c>
      <c r="F49" s="348" t="s">
        <v>67</v>
      </c>
      <c r="G49" s="79" t="s">
        <v>192</v>
      </c>
      <c r="H49" s="7" t="s">
        <v>46</v>
      </c>
      <c r="I49" s="19" t="s">
        <v>165</v>
      </c>
      <c r="J49" s="97" t="s">
        <v>63</v>
      </c>
      <c r="K49" s="7" t="s">
        <v>512</v>
      </c>
      <c r="L49" s="262">
        <v>45358</v>
      </c>
      <c r="M49" s="79" t="s">
        <v>514</v>
      </c>
      <c r="N49" s="79" t="s">
        <v>44</v>
      </c>
      <c r="O49" s="268" t="s">
        <v>48</v>
      </c>
      <c r="P49" s="149" t="s">
        <v>509</v>
      </c>
      <c r="Q49" s="257">
        <v>45735</v>
      </c>
      <c r="R49" s="234">
        <f>_xlfn.XLOOKUP(Tb_Portfólio11[[#This Row],[SEI]],Tb_Atualizações[PROCESSO SEI],Tb_Atualizações[% EXECUTADO],"",0,-1)</f>
        <v>1</v>
      </c>
      <c r="S49" s="408" t="str">
        <f>IFERROR(Tb_Portfólio11[[#This Row],[% EXECUTADO]]/#REF!,"0%")</f>
        <v>0%</v>
      </c>
      <c r="T49" s="146">
        <f>_xlfn.XLOOKUP(Tb_Portfólio11[[#This Row],[SEI]],Tb_Atualizações[PROCESSO SEI],Tb_Atualizações[DATA DE ATUALIZAÇÃO],"",0,-1)</f>
        <v>45742</v>
      </c>
      <c r="U49" s="336">
        <f>_xlfn.XLOOKUP(Tb_Portfólio11[[#This Row],[SEI]],Tb_Atualizações[PROCESSO SEI],Tb_Atualizações[Mês],,0,-1)</f>
        <v>45717</v>
      </c>
      <c r="V49" s="259"/>
      <c r="W49" s="268" t="s">
        <v>48</v>
      </c>
      <c r="X4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49" s="414"/>
      <c r="Z49" s="236">
        <f>IFERROR(Tb_Portfólio11[[#This Row],[% EXECUTADO]]/#REF!,0)</f>
        <v>0</v>
      </c>
      <c r="AA49" s="97" t="s">
        <v>513</v>
      </c>
      <c r="AB49" s="415">
        <v>624160</v>
      </c>
      <c r="AC49" s="413"/>
      <c r="AD49" s="73" t="s">
        <v>51</v>
      </c>
      <c r="AE49" s="79" t="s">
        <v>514</v>
      </c>
      <c r="AF49" s="79" t="s">
        <v>44</v>
      </c>
      <c r="AG49" s="97" t="s">
        <v>515</v>
      </c>
      <c r="AH49" s="274"/>
      <c r="AI49" s="273">
        <f t="shared" ca="1" si="1"/>
        <v>46176</v>
      </c>
      <c r="AJ49" s="79" t="s">
        <v>383</v>
      </c>
      <c r="AK49" s="79" t="s">
        <v>67</v>
      </c>
      <c r="AM49" s="79" t="str">
        <f>2024&amp;Tb_Portfólio11[[#This Row],[SEI]]</f>
        <v>202409173/2024</v>
      </c>
      <c r="AN49" s="79" t="str">
        <f>IFERROR(IF(MATCH(AM49,Atualizações!$P$1:$P$1265,0)&gt;0, "Sim"), "Não")</f>
        <v>Não</v>
      </c>
      <c r="AO49" s="79" t="str">
        <f>2025&amp;Tb_Portfólio11[[#This Row],[SEI]]</f>
        <v>202509173/2024</v>
      </c>
      <c r="AP49" s="79" t="str">
        <f>IFERROR(IF(MATCH(AO49,Atualizações!$P$1:$P$1265,0)&gt;0, "Sim"), "Não")</f>
        <v>Sim</v>
      </c>
      <c r="AQ49" s="79">
        <f>_xlfn.XLOOKUP(Tb_Portfólio11[[#This Row],[SEI]],Tb_Atualizações[PROCESSO SEI],Tb_Atualizações[Explicações],"",0,-1)</f>
        <v>0</v>
      </c>
    </row>
    <row r="50" spans="1:43" ht="409.5">
      <c r="A50" s="149" t="s">
        <v>517</v>
      </c>
      <c r="B50" s="97" t="s">
        <v>518</v>
      </c>
      <c r="C50" s="97" t="s">
        <v>519</v>
      </c>
      <c r="D50" s="97"/>
      <c r="E50" s="79" t="s">
        <v>43</v>
      </c>
      <c r="F50" s="97" t="s">
        <v>44</v>
      </c>
      <c r="G50" s="97" t="s">
        <v>520</v>
      </c>
      <c r="H50" s="7" t="s">
        <v>46</v>
      </c>
      <c r="I50" s="79" t="s">
        <v>165</v>
      </c>
      <c r="J50" s="79" t="s">
        <v>399</v>
      </c>
      <c r="K50" s="7" t="s">
        <v>400</v>
      </c>
      <c r="L50" s="262">
        <v>45246</v>
      </c>
      <c r="M50" s="97" t="s">
        <v>43</v>
      </c>
      <c r="N50" s="255" t="s">
        <v>44</v>
      </c>
      <c r="O50" s="268" t="s">
        <v>48</v>
      </c>
      <c r="P50" s="149" t="s">
        <v>517</v>
      </c>
      <c r="Q50" s="257">
        <v>46022</v>
      </c>
      <c r="R50" s="234">
        <f>_xlfn.XLOOKUP(Tb_Portfólio11[[#This Row],[SEI]],Tb_Atualizações[PROCESSO SEI],Tb_Atualizações[% EXECUTADO],"",0,-1)</f>
        <v>0.76</v>
      </c>
      <c r="S50" s="408" t="str">
        <f>IFERROR(Tb_Portfólio11[[#This Row],[% EXECUTADO]]/#REF!,"0%")</f>
        <v>0%</v>
      </c>
      <c r="T50" s="146">
        <f>_xlfn.XLOOKUP(Tb_Portfólio11[[#This Row],[SEI]],Tb_Atualizações[PROCESSO SEI],Tb_Atualizações[DATA DE ATUALIZAÇÃO],"",0,-1)</f>
        <v>46167</v>
      </c>
      <c r="U50" s="336">
        <f>_xlfn.XLOOKUP(Tb_Portfólio11[[#This Row],[SEI]],Tb_Atualizações[PROCESSO SEI],Tb_Atualizações[Mês],,0,-1)</f>
        <v>46143</v>
      </c>
      <c r="V50" s="259"/>
      <c r="W50" s="268" t="s">
        <v>48</v>
      </c>
      <c r="X50"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50" s="414"/>
      <c r="Z50" s="236">
        <f>IFERROR(Tb_Portfólio11[[#This Row],[% EXECUTADO]]/#REF!,0)</f>
        <v>0</v>
      </c>
      <c r="AA50" s="261" t="s">
        <v>521</v>
      </c>
      <c r="AB50" s="413">
        <v>1834831.92</v>
      </c>
      <c r="AC50" s="413"/>
      <c r="AD50" s="97" t="s">
        <v>51</v>
      </c>
      <c r="AE50" s="97" t="s">
        <v>43</v>
      </c>
      <c r="AF50" s="255" t="s">
        <v>44</v>
      </c>
      <c r="AG50" s="79" t="s">
        <v>522</v>
      </c>
      <c r="AH50" s="274"/>
      <c r="AI50" s="273">
        <f t="shared" ca="1" si="1"/>
        <v>46176</v>
      </c>
      <c r="AJ50" s="274" t="s">
        <v>171</v>
      </c>
      <c r="AK50" s="79" t="s">
        <v>67</v>
      </c>
      <c r="AM50" s="79" t="str">
        <f>2024&amp;Tb_Portfólio11[[#This Row],[SEI]]</f>
        <v>202409445/2023</v>
      </c>
      <c r="AN50" s="79" t="str">
        <f>IFERROR(IF(MATCH(AM50,Atualizações!$P$1:$P$1265,0)&gt;0, "Sim"), "Não")</f>
        <v>Não</v>
      </c>
      <c r="AO50" s="79" t="str">
        <f>2025&amp;Tb_Portfólio11[[#This Row],[SEI]]</f>
        <v>202509445/2023</v>
      </c>
      <c r="AP50" s="79" t="str">
        <f>IFERROR(IF(MATCH(AO50,Atualizações!$P$1:$P$1265,0)&gt;0, "Sim"), "Não")</f>
        <v>Sim</v>
      </c>
      <c r="AQ50" s="79" t="str">
        <f>_xlfn.XLOOKUP(Tb_Portfólio11[[#This Row],[SEI]],Tb_Atualizações[PROCESSO SEI],Tb_Atualizações[Explicações],"",0,-1)</f>
        <v>Atividades realizadas
HOTFIX Ausência de resposta TJSP (DOMICÏLIO 3976)
HOTFIX Analisar e reprocessar (DOMICÍLIO 3950)
HOTFIX problemas de envio com caracter especial (DOMICÍLIO 3896) 
Atividades em andamento
Criação de webhook para integração de retorno com o notificações)(DOMICILIO-3588) -em homologação com equipe de notificações
Reprocessamento automático de comunicações;(DOMICILIO3634) em fila de testes (testes em conjunto com equipe de notificações)
Isolar JOB de envio de e-mail (DOMICILIO-3662)
Validação CPF e CNPJ (DOMICILIO-3427) homologada SEM previsão de carga aguardando avaliação do SEI pela presidência
Manual de operações (DOMICÍLIO-3293) em testes HOTFIX vínculo de coligada (DOMICÍLIO 3876) em homologação
HOTFIX analisar logs DTI reinício (DOMICÍLIO 3894) ) em testes melhoria 1/3
Varredura de cadastros duplicados (DOMICILIO-3147)
Melhoria da nomenclatura de perfil PF (DOMICÍLIO 3959) homologado
HOTFIX Analisar comunicações (DOMICÍLIO 3949) homologado
HOTFIX Analisar comunicações (DOMICÍLIO 3969; 3968) homologado
Melhoria na query de consulta procuradorias (DOMICÍLIO 3913) Em homologação
HOTFIX exportar data certa (DOMICÍLIO 3964) Em testes
HOTFIX TJPR não intimando via DJE (DOMICÍLIO 3970) Aguardando retorno do usuário
HOTFIX TJMS retorno de comunicações (DOMICÍLIO 3898)
Atividades planejadas
Peticionamento Aguardando melhorias do portal para retomada no DJE
Avaliação da integração de sistemas que estão sendo integrados pelos tribunais;
Para usuários do CNJ, utilizar o corporativo para os perfis (DOMICILIO-3318)
Melhoria -Melhorar o e-mail de notificação quando o tribunal envia CP. (DOMICILIO-2982)
Criar comunicações de apoio (DOMICILIO 3940)
Comunicações na dead.queue (DOMICÍLIO 3951)
HOTFIX TJMS Comunicações antigas sem retorno (DOMICÍLIO 3926, 3924, 3911, 3925, 3898)
HOTFIX Cadastro de preposto vinculado a CNPJ (DOMICÍLIO 3920)
MELHORIA para SEEU (DOMICÍLIO 3910)
HOTFIX Remover cadastro duplicado (DOMICÍLIO 3943)
HOTFIX Problemas no JOB de cadastro compulsório (DOMICÍLIO 3939)
Melhoria cancelamento PF (DOMICÍLIO 2896)
HOTFIX Preposto não visualiza comunicação (DOMICÍLIO 3962)
HOTFIX Cadastro PGE-RJ (DOMICÍLIO 3966)
HOTFIX Erro ao realizar cadastro (DOMICÍLIO 3972)</v>
      </c>
    </row>
    <row r="51" spans="1:43" ht="120" hidden="1">
      <c r="A51" s="149" t="s">
        <v>523</v>
      </c>
      <c r="B51" s="103" t="s">
        <v>524</v>
      </c>
      <c r="C51" s="97" t="s">
        <v>525</v>
      </c>
      <c r="D51" s="97"/>
      <c r="E51" s="79" t="s">
        <v>115</v>
      </c>
      <c r="F51" s="79" t="s">
        <v>116</v>
      </c>
      <c r="G51" s="7" t="s">
        <v>526</v>
      </c>
      <c r="H51" s="2" t="s">
        <v>46</v>
      </c>
      <c r="I51" s="2" t="s">
        <v>527</v>
      </c>
      <c r="J51" s="7" t="s">
        <v>528</v>
      </c>
      <c r="K51" s="7" t="s">
        <v>529</v>
      </c>
      <c r="L51" s="262" t="s">
        <v>530</v>
      </c>
      <c r="M51" s="628" t="s">
        <v>179</v>
      </c>
      <c r="N51" s="376" t="s">
        <v>44</v>
      </c>
      <c r="O51" s="268" t="s">
        <v>48</v>
      </c>
      <c r="P51" s="149" t="s">
        <v>523</v>
      </c>
      <c r="Q51" s="257" t="s">
        <v>531</v>
      </c>
      <c r="R51" s="234">
        <f>_xlfn.XLOOKUP(Tb_Portfólio11[[#This Row],[SEI]],Tb_Atualizações[PROCESSO SEI],Tb_Atualizações[% EXECUTADO],"",0,-1)</f>
        <v>1</v>
      </c>
      <c r="S51" s="408" t="str">
        <f>IFERROR(Tb_Portfólio11[[#This Row],[% EXECUTADO]]/#REF!,"0%")</f>
        <v>0%</v>
      </c>
      <c r="T51" s="146">
        <f>_xlfn.XLOOKUP(Tb_Portfólio11[[#This Row],[SEI]],Tb_Atualizações[PROCESSO SEI],Tb_Atualizações[DATA DE ATUALIZAÇÃO],"",0,-1)</f>
        <v>46007</v>
      </c>
      <c r="U51" s="336">
        <f>_xlfn.XLOOKUP(Tb_Portfólio11[[#This Row],[SEI]],Tb_Atualizações[PROCESSO SEI],Tb_Atualizações[Mês],,0,-1)</f>
        <v>45992</v>
      </c>
      <c r="V51" s="259"/>
      <c r="W51" s="268" t="s">
        <v>48</v>
      </c>
      <c r="X5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51" s="414"/>
      <c r="Z51" s="236">
        <f>IFERROR(Tb_Portfólio11[[#This Row],[% EXECUTADO]]/#REF!,0)</f>
        <v>0</v>
      </c>
      <c r="AA51" s="97"/>
      <c r="AB51" s="413"/>
      <c r="AC51" s="413"/>
      <c r="AD51" s="73" t="s">
        <v>51</v>
      </c>
      <c r="AE51" s="628" t="s">
        <v>179</v>
      </c>
      <c r="AF51" s="376" t="s">
        <v>44</v>
      </c>
      <c r="AG51" s="97"/>
      <c r="AH51" s="274"/>
      <c r="AI51" s="273">
        <f t="shared" ca="1" si="1"/>
        <v>46176</v>
      </c>
      <c r="AJ51" s="526" t="s">
        <v>197</v>
      </c>
      <c r="AK51" s="79" t="s">
        <v>67</v>
      </c>
      <c r="AM51" s="79" t="str">
        <f>2024&amp;Tb_Portfólio11[[#This Row],[SEI]]</f>
        <v>202409536/2024</v>
      </c>
      <c r="AN51" t="str">
        <f>IFERROR(IF(MATCH(AM51,Atualizações!$P$1:$P$1265,0)&gt;0, "Sim"), "Não")</f>
        <v>Sim</v>
      </c>
      <c r="AO51" s="79" t="str">
        <f>2025&amp;Tb_Portfólio11[[#This Row],[SEI]]</f>
        <v>202509536/2024</v>
      </c>
      <c r="AP51" t="str">
        <f>IFERROR(IF(MATCH(AO51,Atualizações!$P$1:$P$1265,0)&gt;0, "Sim"), "Não")</f>
        <v>Sim</v>
      </c>
      <c r="AQ51" s="79" t="str">
        <f>_xlfn.XLOOKUP(Tb_Portfólio11[[#This Row],[SEI]],Tb_Atualizações[PROCESSO SEI],Tb_Atualizações[Explicações],"",0,-1)</f>
        <v>Projeto finalizado por meio do Relatório TEP (2437046)</v>
      </c>
    </row>
    <row r="52" spans="1:43" ht="409.5">
      <c r="A52" s="149" t="s">
        <v>533</v>
      </c>
      <c r="B52" s="139" t="s">
        <v>534</v>
      </c>
      <c r="C52" s="79" t="s">
        <v>535</v>
      </c>
      <c r="D52" s="97"/>
      <c r="E52" s="97" t="s">
        <v>43</v>
      </c>
      <c r="F52" s="73" t="s">
        <v>44</v>
      </c>
      <c r="G52" s="97" t="s">
        <v>536</v>
      </c>
      <c r="H52" s="7" t="s">
        <v>46</v>
      </c>
      <c r="I52" s="7" t="s">
        <v>88</v>
      </c>
      <c r="J52" s="112" t="s">
        <v>166</v>
      </c>
      <c r="K52" s="19" t="s">
        <v>177</v>
      </c>
      <c r="L52" s="262">
        <v>45125</v>
      </c>
      <c r="M52" s="97" t="s">
        <v>137</v>
      </c>
      <c r="N52" s="97" t="s">
        <v>67</v>
      </c>
      <c r="O52" s="268" t="s">
        <v>48</v>
      </c>
      <c r="P52" s="149" t="s">
        <v>533</v>
      </c>
      <c r="Q52" s="257">
        <v>46114</v>
      </c>
      <c r="R52" s="234">
        <f>_xlfn.XLOOKUP(Tb_Portfólio11[[#This Row],[SEI]],Tb_Atualizações[PROCESSO SEI],Tb_Atualizações[% EXECUTADO],"",0,-1)</f>
        <v>0.66</v>
      </c>
      <c r="S52" s="408" t="str">
        <f>IFERROR(Tb_Portfólio11[[#This Row],[% EXECUTADO]]/#REF!,"0%")</f>
        <v>0%</v>
      </c>
      <c r="T52" s="146">
        <f>_xlfn.XLOOKUP(Tb_Portfólio11[[#This Row],[SEI]],Tb_Atualizações[PROCESSO SEI],Tb_Atualizações[DATA DE ATUALIZAÇÃO],"",0,-1)</f>
        <v>46167</v>
      </c>
      <c r="U52" s="336">
        <f>_xlfn.XLOOKUP(Tb_Portfólio11[[#This Row],[SEI]],Tb_Atualizações[PROCESSO SEI],Tb_Atualizações[Mês],,0,-1)</f>
        <v>46143</v>
      </c>
      <c r="V52" s="259"/>
      <c r="W52" s="268" t="s">
        <v>48</v>
      </c>
      <c r="X52"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52" s="414"/>
      <c r="Z52" s="236">
        <f>IFERROR(Tb_Portfólio11[[#This Row],[% EXECUTADO]]/#REF!,0)</f>
        <v>0</v>
      </c>
      <c r="AA52" s="97"/>
      <c r="AB52" s="415"/>
      <c r="AC52" s="413"/>
      <c r="AD52" s="73" t="s">
        <v>51</v>
      </c>
      <c r="AE52" s="97" t="s">
        <v>137</v>
      </c>
      <c r="AF52" s="97" t="s">
        <v>67</v>
      </c>
      <c r="AG52" s="261" t="s">
        <v>537</v>
      </c>
      <c r="AH52" s="274"/>
      <c r="AI52" s="273">
        <f t="shared" ca="1" si="1"/>
        <v>46176</v>
      </c>
      <c r="AJ52" s="274" t="s">
        <v>403</v>
      </c>
      <c r="AK52" s="73" t="s">
        <v>67</v>
      </c>
      <c r="AM52" s="79" t="str">
        <f>2024&amp;Tb_Portfólio11[[#This Row],[SEI]]</f>
        <v>202409613/2024</v>
      </c>
      <c r="AN52" t="str">
        <f>IFERROR(IF(MATCH(AM52,Atualizações!$P$1:$P$1265,0)&gt;0, "Sim"), "Não")</f>
        <v>Sim</v>
      </c>
      <c r="AO52" s="79" t="str">
        <f>2025&amp;Tb_Portfólio11[[#This Row],[SEI]]</f>
        <v>202509613/2024</v>
      </c>
      <c r="AP52" t="str">
        <f>IFERROR(IF(MATCH(AO52,Atualizações!$P$1:$P$1265,0)&gt;0, "Sim"), "Não")</f>
        <v>Sim</v>
      </c>
      <c r="AQ52" s="79" t="str">
        <f>_xlfn.XLOOKUP(Tb_Portfólio11[[#This Row],[SEI]],Tb_Atualizações[PROCESSO SEI],Tb_Atualizações[Explicações],"",0,-1)</f>
        <v>Entregas realizadas até o momento:
* Planejamento 
* PoC 
* Transição PoC para MVP 
* MVP 
* ECOSSITEMA - Qualificação de Dados (QDD) 
* Implantação e monitoramento do orquestrador de pipelines batch em produção / Desenvolver painéis de BI a partir dos dados gerados nas pipelines batch  
Entregas planejadas para o próximo mês: 
* Implantação e monitoramento do orquestrador de pipelines batch em produção / Desenvolver pipelines integradas ao sistema de notificação com os tribunais 
* Implantação e monitoramento do motor de qualificação das pipelines streaming em produção / Desenvolver painéis de BI a partir dos dados de data profiling</v>
      </c>
    </row>
    <row r="53" spans="1:43" ht="315" hidden="1">
      <c r="A53" s="149" t="s">
        <v>539</v>
      </c>
      <c r="B53" s="79" t="s">
        <v>540</v>
      </c>
      <c r="C53" s="79" t="s">
        <v>541</v>
      </c>
      <c r="D53" s="97"/>
      <c r="E53" s="73" t="s">
        <v>137</v>
      </c>
      <c r="F53" s="7" t="s">
        <v>67</v>
      </c>
      <c r="G53" s="73" t="s">
        <v>542</v>
      </c>
      <c r="H53" s="7" t="s">
        <v>46</v>
      </c>
      <c r="I53" s="73" t="s">
        <v>543</v>
      </c>
      <c r="J53" s="73" t="s">
        <v>544</v>
      </c>
      <c r="K53" s="379" t="s">
        <v>545</v>
      </c>
      <c r="L53" s="262">
        <v>45516</v>
      </c>
      <c r="M53" s="73" t="s">
        <v>137</v>
      </c>
      <c r="N53" s="97" t="s">
        <v>67</v>
      </c>
      <c r="O53" s="268" t="s">
        <v>48</v>
      </c>
      <c r="P53" s="149" t="s">
        <v>539</v>
      </c>
      <c r="Q53" s="257">
        <v>45940</v>
      </c>
      <c r="R53" s="234">
        <f>_xlfn.XLOOKUP(Tb_Portfólio11[[#This Row],[SEI]],Tb_Atualizações[PROCESSO SEI],Tb_Atualizações[% EXECUTADO],"",0,-1)</f>
        <v>0.43</v>
      </c>
      <c r="S53" s="408" t="str">
        <f>IFERROR(Tb_Portfólio11[[#This Row],[% EXECUTADO]]/#REF!,"0%")</f>
        <v>0%</v>
      </c>
      <c r="T53" s="146">
        <f>_xlfn.XLOOKUP(Tb_Portfólio11[[#This Row],[SEI]],Tb_Atualizações[PROCESSO SEI],Tb_Atualizações[DATA DE ATUALIZAÇÃO],"",0,-1)</f>
        <v>46167</v>
      </c>
      <c r="U53" s="336">
        <f>_xlfn.XLOOKUP(Tb_Portfólio11[[#This Row],[SEI]],Tb_Atualizações[PROCESSO SEI],Tb_Atualizações[Mês],,0,-1)</f>
        <v>46143</v>
      </c>
      <c r="V53" s="259"/>
      <c r="W53" s="268" t="s">
        <v>48</v>
      </c>
      <c r="X5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53" s="414"/>
      <c r="Z53" s="236">
        <f>IFERROR(Tb_Portfólio11[[#This Row],[% EXECUTADO]]/#REF!,0)</f>
        <v>0</v>
      </c>
      <c r="AA53" s="97" t="s">
        <v>546</v>
      </c>
      <c r="AB53" s="413">
        <v>2873920</v>
      </c>
      <c r="AC53" s="413"/>
      <c r="AD53" s="73" t="s">
        <v>51</v>
      </c>
      <c r="AE53" s="73" t="s">
        <v>137</v>
      </c>
      <c r="AF53" s="97" t="s">
        <v>67</v>
      </c>
      <c r="AG53" s="97" t="s">
        <v>547</v>
      </c>
      <c r="AH53" s="274"/>
      <c r="AI53" s="273">
        <f t="shared" ca="1" si="1"/>
        <v>46176</v>
      </c>
      <c r="AJ53" s="239" t="s">
        <v>69</v>
      </c>
      <c r="AK53" s="79" t="s">
        <v>67</v>
      </c>
      <c r="AM53" s="79" t="str">
        <f>2024&amp;Tb_Portfólio11[[#This Row],[SEI]]</f>
        <v>202409630/2024</v>
      </c>
      <c r="AN53" t="str">
        <f>IFERROR(IF(MATCH(AM53,Atualizações!$P$1:$P$1265,0)&gt;0, "Sim"), "Não")</f>
        <v>Sim</v>
      </c>
      <c r="AO53" s="79" t="str">
        <f>2025&amp;Tb_Portfólio11[[#This Row],[SEI]]</f>
        <v>202509630/2024</v>
      </c>
      <c r="AP53" t="str">
        <f>IFERROR(IF(MATCH(AO53,Atualizações!$P$1:$P$1265,0)&gt;0, "Sim"), "Não")</f>
        <v>Sim</v>
      </c>
      <c r="AQ53" s="79" t="str">
        <f>_xlfn.XLOOKUP(Tb_Portfólio11[[#This Row],[SEI]],Tb_Atualizações[PROCESSO SEI],Tb_Atualizações[Explicações],"",0,-1)</f>
        <v>Outros fatos relevantes a registrar 
• Reuniões de levantamento CNJ (Falta de Ponto Focal); 
• Dificuldade técnica de alguns colaboradores; 
• Documento MVP ainda em andamento (Anderson); 
• Piloto será nas Sessões de Julgamento do CNJ (Agosto); 
• Dificuldade no repasse de arquitetura, com risco de queda de capacidade e continuidade. 
• Analista de Requisitos sobrecarregado; 
• Termo de responsabilização dos tribunais e risco de bloqueio institucional/adesão</v>
      </c>
    </row>
    <row r="54" spans="1:43" ht="409.5">
      <c r="A54" s="149" t="s">
        <v>549</v>
      </c>
      <c r="B54" s="139" t="s">
        <v>1582</v>
      </c>
      <c r="C54" s="97" t="s">
        <v>551</v>
      </c>
      <c r="D54" s="97"/>
      <c r="E54" s="321" t="s">
        <v>552</v>
      </c>
      <c r="F54" s="73" t="s">
        <v>44</v>
      </c>
      <c r="G54" s="97" t="s">
        <v>574</v>
      </c>
      <c r="H54" s="7" t="s">
        <v>46</v>
      </c>
      <c r="I54" s="7" t="s">
        <v>104</v>
      </c>
      <c r="J54" s="109" t="s">
        <v>105</v>
      </c>
      <c r="K54" s="19" t="s">
        <v>553</v>
      </c>
      <c r="L54" s="262">
        <v>45505</v>
      </c>
      <c r="M54" s="73" t="s">
        <v>555</v>
      </c>
      <c r="N54" s="98" t="s">
        <v>44</v>
      </c>
      <c r="O54" s="268" t="s">
        <v>48</v>
      </c>
      <c r="P54" s="149" t="s">
        <v>549</v>
      </c>
      <c r="Q54" s="257">
        <v>46006</v>
      </c>
      <c r="R54" s="234">
        <f>_xlfn.XLOOKUP(Tb_Portfólio11[[#This Row],[SEI]],Tb_Atualizações[PROCESSO SEI],Tb_Atualizações[% EXECUTADO],"",0,-1)</f>
        <v>0.86</v>
      </c>
      <c r="S54" s="408" t="str">
        <f>IFERROR(Tb_Portfólio11[[#This Row],[% EXECUTADO]]/#REF!,"0%")</f>
        <v>0%</v>
      </c>
      <c r="T54" s="146">
        <f>_xlfn.XLOOKUP(Tb_Portfólio11[[#This Row],[SEI]],Tb_Atualizações[PROCESSO SEI],Tb_Atualizações[DATA DE ATUALIZAÇÃO],"",0,-1)</f>
        <v>46167</v>
      </c>
      <c r="U54" s="336">
        <f>_xlfn.XLOOKUP(Tb_Portfólio11[[#This Row],[SEI]],Tb_Atualizações[PROCESSO SEI],Tb_Atualizações[Mês],,0,-1)</f>
        <v>46143</v>
      </c>
      <c r="V54" s="259"/>
      <c r="W54" s="268" t="s">
        <v>48</v>
      </c>
      <c r="X54"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54" s="414"/>
      <c r="Z54" s="236">
        <f>IFERROR(Tb_Portfólio11[[#This Row],[% EXECUTADO]]/#REF!,0)</f>
        <v>0</v>
      </c>
      <c r="AA54" s="97"/>
      <c r="AB54" s="284" t="s">
        <v>554</v>
      </c>
      <c r="AC54" s="413"/>
      <c r="AD54" s="73" t="s">
        <v>51</v>
      </c>
      <c r="AE54" s="73" t="s">
        <v>555</v>
      </c>
      <c r="AF54" s="98" t="s">
        <v>44</v>
      </c>
      <c r="AG54" s="97" t="s">
        <v>556</v>
      </c>
      <c r="AH54" s="274"/>
      <c r="AI54" s="273">
        <f t="shared" ca="1" si="1"/>
        <v>46176</v>
      </c>
      <c r="AJ54" s="384" t="s">
        <v>558</v>
      </c>
      <c r="AK54" s="79" t="s">
        <v>67</v>
      </c>
      <c r="AM54" s="79" t="str">
        <f>2024&amp;Tb_Portfólio11[[#This Row],[SEI]]</f>
        <v>202409796/2024</v>
      </c>
      <c r="AN54" t="str">
        <f>IFERROR(IF(MATCH(AM54,Atualizações!$P$1:$P$1265,0)&gt;0, "Sim"), "Não")</f>
        <v>Sim</v>
      </c>
      <c r="AO54" s="79" t="str">
        <f>2025&amp;Tb_Portfólio11[[#This Row],[SEI]]</f>
        <v>202509796/2024</v>
      </c>
      <c r="AP54" t="str">
        <f>IFERROR(IF(MATCH(AO54,Atualizações!$P$1:$P$1265,0)&gt;0, "Sim"), "Não")</f>
        <v>Sim</v>
      </c>
      <c r="AQ54" s="79" t="str">
        <f>_xlfn.XLOOKUP(Tb_Portfólio11[[#This Row],[SEI]],Tb_Atualizações[PROCESSO SEI],Tb_Atualizações[Explicações],"",0,-1)</f>
        <v>Outros fatos relevantes a registrar 
• Dependência crítica do SNIPER para viabilização da constrição patrimonial, ainda sem definição estável de APIs, modelo de dados e cronograma de entrega 
• Ausência de disponibilização da API de petição inicial pelo Portal de Serviços, impedindo a execução completa do fluxo de entrada das execuções fiscais 
• Baixa previsibilidade nas entregas de SNIPER e Portal, impactando diretamente o planejamento e a execução do piloto. 
• Necessidade de definição sobre uso datalake para recuperação de movimentação do processo. 
Concluído 
• Fase de Validação operacional. 
• API de entrada de dados implementada. 
• Fase de Distribuição funcional em fluxo controlado. 
• Integração inicial com SNIPER para consulta de bens. 
Em desenvolvimento 
• Integração de notificações SNIPER. 
• Tratamento de status de constrição. 
• Funcionalidades de bloqueio, desbloqueio e transferência. 
Dependências externas 
• Disponibilização da API de petição inicial pelo Portal. 
• Consolidação do modelo de notificações do SNIPER. 
• Definição da estratégia de integração Portal × eProc.</v>
      </c>
    </row>
    <row r="55" spans="1:43" ht="120" hidden="1">
      <c r="A55" s="151" t="s">
        <v>559</v>
      </c>
      <c r="B55" s="280" t="s">
        <v>560</v>
      </c>
      <c r="C55" s="97" t="s">
        <v>561</v>
      </c>
      <c r="D55" s="97"/>
      <c r="E55" s="97" t="s">
        <v>562</v>
      </c>
      <c r="F55" s="97" t="s">
        <v>563</v>
      </c>
      <c r="G55" s="73" t="s">
        <v>564</v>
      </c>
      <c r="H55" s="7" t="s">
        <v>565</v>
      </c>
      <c r="I55" s="97" t="s">
        <v>240</v>
      </c>
      <c r="J55" s="265" t="s">
        <v>120</v>
      </c>
      <c r="K55" s="7" t="s">
        <v>566</v>
      </c>
      <c r="L55" s="262">
        <v>45448</v>
      </c>
      <c r="M55" s="79" t="s">
        <v>562</v>
      </c>
      <c r="N55" s="97" t="s">
        <v>563</v>
      </c>
      <c r="O55" s="268"/>
      <c r="P55" s="151" t="s">
        <v>559</v>
      </c>
      <c r="Q55" s="257">
        <v>46022</v>
      </c>
      <c r="R55" s="234">
        <f>_xlfn.XLOOKUP(Tb_Portfólio11[[#This Row],[SEI]],Tb_Atualizações[PROCESSO SEI],Tb_Atualizações[% EXECUTADO],"",0,-1)</f>
        <v>0.65</v>
      </c>
      <c r="S55" s="408" t="str">
        <f>IFERROR(Tb_Portfólio11[[#This Row],[% EXECUTADO]]/#REF!,"0%")</f>
        <v>0%</v>
      </c>
      <c r="T55" s="146">
        <f>_xlfn.XLOOKUP(Tb_Portfólio11[[#This Row],[SEI]],Tb_Atualizações[PROCESSO SEI],Tb_Atualizações[DATA DE ATUALIZAÇÃO],"",0,-1)</f>
        <v>46155</v>
      </c>
      <c r="U55" s="336">
        <f>_xlfn.XLOOKUP(Tb_Portfólio11[[#This Row],[SEI]],Tb_Atualizações[PROCESSO SEI],Tb_Atualizações[Mês],,0,-1)</f>
        <v>46113</v>
      </c>
      <c r="V55" s="259"/>
      <c r="W55" s="268"/>
      <c r="X55"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55" s="414"/>
      <c r="Z55" s="236">
        <f>IFERROR(Tb_Portfólio11[[#This Row],[% EXECUTADO]]/#REF!,0)</f>
        <v>0</v>
      </c>
      <c r="AA55" s="261" t="s">
        <v>568</v>
      </c>
      <c r="AB55" s="284">
        <v>28600</v>
      </c>
      <c r="AC55" s="413"/>
      <c r="AD55" s="73"/>
      <c r="AE55" s="79" t="s">
        <v>562</v>
      </c>
      <c r="AF55" s="97" t="s">
        <v>563</v>
      </c>
      <c r="AG55" s="97" t="s">
        <v>569</v>
      </c>
      <c r="AH55" s="274"/>
      <c r="AI55" s="273">
        <f t="shared" ca="1" si="1"/>
        <v>46176</v>
      </c>
      <c r="AJ55" s="276" t="s">
        <v>413</v>
      </c>
      <c r="AK55" s="19" t="s">
        <v>413</v>
      </c>
      <c r="AM55" s="79" t="str">
        <f>2024&amp;Tb_Portfólio11[[#This Row],[SEI]]</f>
        <v>202410101/2024</v>
      </c>
      <c r="AN55" t="str">
        <f>IFERROR(IF(MATCH(AM55,Atualizações!$P$1:$P$1265,0)&gt;0, "Sim"), "Não")</f>
        <v>Sim</v>
      </c>
      <c r="AO55" s="79" t="str">
        <f>2025&amp;Tb_Portfólio11[[#This Row],[SEI]]</f>
        <v>202510101/2024</v>
      </c>
      <c r="AP55" t="str">
        <f>IFERROR(IF(MATCH(AO55,Atualizações!$P$1:$P$1265,0)&gt;0, "Sim"), "Não")</f>
        <v>Sim</v>
      </c>
      <c r="AQ55" s="79" t="str">
        <f>_xlfn.XLOOKUP(Tb_Portfólio11[[#This Row],[SEI]],Tb_Atualizações[PROCESSO SEI],Tb_Atualizações[Explicações],"",0,-1)</f>
        <v>O percentual previsto e executado sofreu grande redução devido à inclusão no planejamento dos estados que seriam visitados mas ainda não tinham sido incluídos.</v>
      </c>
    </row>
    <row r="56" spans="1:43" ht="210">
      <c r="A56" s="149" t="s">
        <v>570</v>
      </c>
      <c r="B56" s="139" t="s">
        <v>571</v>
      </c>
      <c r="C56" s="7" t="s">
        <v>572</v>
      </c>
      <c r="D56" s="7" t="s">
        <v>573</v>
      </c>
      <c r="E56" s="73" t="s">
        <v>43</v>
      </c>
      <c r="F56" s="255" t="s">
        <v>44</v>
      </c>
      <c r="G56" s="73" t="s">
        <v>574</v>
      </c>
      <c r="H56" s="16" t="s">
        <v>46</v>
      </c>
      <c r="I56" s="97" t="s">
        <v>75</v>
      </c>
      <c r="J56" s="265" t="s">
        <v>575</v>
      </c>
      <c r="K56" s="7" t="s">
        <v>147</v>
      </c>
      <c r="L56" s="262">
        <v>44812</v>
      </c>
      <c r="M56" s="79" t="s">
        <v>43</v>
      </c>
      <c r="N56" s="255" t="s">
        <v>44</v>
      </c>
      <c r="O56" s="268" t="s">
        <v>48</v>
      </c>
      <c r="P56" s="149" t="s">
        <v>570</v>
      </c>
      <c r="Q56" s="266">
        <v>45565</v>
      </c>
      <c r="R56" s="234">
        <f>_xlfn.XLOOKUP(Tb_Portfólio11[[#This Row],[SEI]],Tb_Atualizações[PROCESSO SEI],Tb_Atualizações[% EXECUTADO],"",0,-1)</f>
        <v>1</v>
      </c>
      <c r="S56" s="408" t="str">
        <f>IFERROR(Tb_Portfólio11[[#This Row],[% EXECUTADO]]/#REF!,"0%")</f>
        <v>0%</v>
      </c>
      <c r="T56" s="146">
        <f>_xlfn.XLOOKUP(Tb_Portfólio11[[#This Row],[SEI]],Tb_Atualizações[PROCESSO SEI],Tb_Atualizações[DATA DE ATUALIZAÇÃO],"",0,-1)</f>
        <v>45544</v>
      </c>
      <c r="U56" s="336">
        <f>_xlfn.XLOOKUP(Tb_Portfólio11[[#This Row],[SEI]],Tb_Atualizações[PROCESSO SEI],Tb_Atualizações[Mês],,0,-1)</f>
        <v>45536</v>
      </c>
      <c r="V56" s="259"/>
      <c r="W56" s="268" t="s">
        <v>48</v>
      </c>
      <c r="X5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56" s="414"/>
      <c r="Z56" s="236">
        <f>IFERROR(Tb_Portfólio11[[#This Row],[% EXECUTADO]]/#REF!,0)</f>
        <v>0</v>
      </c>
      <c r="AA56" s="97" t="s">
        <v>576</v>
      </c>
      <c r="AB56" s="413">
        <v>114500</v>
      </c>
      <c r="AC56" s="413"/>
      <c r="AD56" s="73" t="s">
        <v>51</v>
      </c>
      <c r="AE56" s="79" t="s">
        <v>43</v>
      </c>
      <c r="AF56" s="255" t="s">
        <v>44</v>
      </c>
      <c r="AG56" s="97" t="s">
        <v>577</v>
      </c>
      <c r="AH56" s="115" t="s">
        <v>578</v>
      </c>
      <c r="AI56" s="273">
        <f t="shared" ca="1" si="1"/>
        <v>46176</v>
      </c>
      <c r="AJ56" s="274" t="s">
        <v>579</v>
      </c>
      <c r="AK56" s="79" t="s">
        <v>228</v>
      </c>
      <c r="AM56" s="79" t="str">
        <f>2024&amp;Tb_Portfólio11[[#This Row],[SEI]]</f>
        <v>202410157/2022</v>
      </c>
      <c r="AN56" t="str">
        <f>IFERROR(IF(MATCH(AM56,Atualizações!$P$1:$P$1265,0)&gt;0, "Sim"), "Não")</f>
        <v>Sim</v>
      </c>
      <c r="AO56" s="79" t="str">
        <f>2025&amp;Tb_Portfólio11[[#This Row],[SEI]]</f>
        <v>202510157/2022</v>
      </c>
      <c r="AP56" t="str">
        <f>IFERROR(IF(MATCH(AO56,Atualizações!$P$1:$P$1265,0)&gt;0, "Sim"), "Não")</f>
        <v>Não</v>
      </c>
      <c r="AQ56" s="79">
        <f>_xlfn.XLOOKUP(Tb_Portfólio11[[#This Row],[SEI]],Tb_Atualizações[PROCESSO SEI],Tb_Atualizações[Explicações],"",0,-1)</f>
        <v>0</v>
      </c>
    </row>
    <row r="57" spans="1:43" ht="135" hidden="1" customHeight="1">
      <c r="A57" s="149" t="s">
        <v>580</v>
      </c>
      <c r="B57" s="139" t="s">
        <v>581</v>
      </c>
      <c r="C57" s="97" t="s">
        <v>582</v>
      </c>
      <c r="D57" s="97"/>
      <c r="E57" s="246" t="s">
        <v>144</v>
      </c>
      <c r="F57" s="16" t="s">
        <v>92</v>
      </c>
      <c r="G57" s="97" t="s">
        <v>87</v>
      </c>
      <c r="H57" s="2" t="s">
        <v>46</v>
      </c>
      <c r="I57" s="97" t="s">
        <v>583</v>
      </c>
      <c r="J57" s="97" t="s">
        <v>584</v>
      </c>
      <c r="K57" s="19" t="s">
        <v>585</v>
      </c>
      <c r="L57" s="262">
        <v>45413</v>
      </c>
      <c r="M57" s="73" t="s">
        <v>150</v>
      </c>
      <c r="N57" s="255" t="s">
        <v>92</v>
      </c>
      <c r="O57" s="268" t="s">
        <v>48</v>
      </c>
      <c r="P57" s="149" t="s">
        <v>580</v>
      </c>
      <c r="Q57" s="257">
        <v>46387</v>
      </c>
      <c r="R57" s="234">
        <f>_xlfn.XLOOKUP(Tb_Portfólio11[[#This Row],[SEI]],Tb_Atualizações[PROCESSO SEI],Tb_Atualizações[% EXECUTADO],"",0,-1)</f>
        <v>0.67</v>
      </c>
      <c r="S57" s="408" t="str">
        <f>IFERROR(Tb_Portfólio11[[#This Row],[% EXECUTADO]]/#REF!,"0%")</f>
        <v>0%</v>
      </c>
      <c r="T57" s="146">
        <f>_xlfn.XLOOKUP(Tb_Portfólio11[[#This Row],[SEI]],Tb_Atualizações[PROCESSO SEI],Tb_Atualizações[DATA DE ATUALIZAÇÃO],"",0,-1)</f>
        <v>46167</v>
      </c>
      <c r="U57" s="336">
        <f>_xlfn.XLOOKUP(Tb_Portfólio11[[#This Row],[SEI]],Tb_Atualizações[PROCESSO SEI],Tb_Atualizações[Mês],,0,-1)</f>
        <v>46143</v>
      </c>
      <c r="V57" s="259"/>
      <c r="W57" s="268" t="s">
        <v>48</v>
      </c>
      <c r="X57"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57" s="414"/>
      <c r="Z57" s="236">
        <f>IFERROR(Tb_Portfólio11[[#This Row],[% EXECUTADO]]/#REF!,0)</f>
        <v>0</v>
      </c>
      <c r="AA57" s="261" t="s">
        <v>586</v>
      </c>
      <c r="AB57" s="413">
        <v>581499.30000000005</v>
      </c>
      <c r="AC57" s="413"/>
      <c r="AD57" s="73" t="s">
        <v>51</v>
      </c>
      <c r="AE57" s="73" t="s">
        <v>150</v>
      </c>
      <c r="AF57" s="255" t="s">
        <v>92</v>
      </c>
      <c r="AG57" s="97" t="s">
        <v>587</v>
      </c>
      <c r="AH57" s="274"/>
      <c r="AI57" s="273">
        <f t="shared" ca="1" si="1"/>
        <v>46176</v>
      </c>
      <c r="AJ57" s="79" t="s">
        <v>588</v>
      </c>
      <c r="AK57" s="73" t="s">
        <v>92</v>
      </c>
      <c r="AM57" s="79" t="str">
        <f>2024&amp;Tb_Portfólio11[[#This Row],[SEI]]</f>
        <v>202410698/2024</v>
      </c>
      <c r="AN57" s="79" t="str">
        <f>IFERROR(IF(MATCH(AM57,Atualizações!$P$1:$P$1265,0)&gt;0, "Sim"), "Não")</f>
        <v>Não</v>
      </c>
      <c r="AO57" s="79" t="str">
        <f>2025&amp;Tb_Portfólio11[[#This Row],[SEI]]</f>
        <v>202510698/2024</v>
      </c>
      <c r="AP57" s="79" t="str">
        <f>IFERROR(IF(MATCH(AO57,Atualizações!$P$1:$P$1265,0)&gt;0, "Sim"), "Não")</f>
        <v>Sim</v>
      </c>
      <c r="AQ57" s="79">
        <f>_xlfn.XLOOKUP(Tb_Portfólio11[[#This Row],[SEI]],Tb_Atualizações[PROCESSO SEI],Tb_Atualizações[Explicações],"",0,-1)</f>
        <v>0</v>
      </c>
    </row>
    <row r="58" spans="1:43" ht="345" hidden="1">
      <c r="A58" s="149" t="s">
        <v>589</v>
      </c>
      <c r="B58" s="142" t="s">
        <v>590</v>
      </c>
      <c r="C58" s="97" t="s">
        <v>591</v>
      </c>
      <c r="D58" s="97"/>
      <c r="E58" s="285" t="s">
        <v>592</v>
      </c>
      <c r="F58" s="2" t="s">
        <v>244</v>
      </c>
      <c r="G58" s="97" t="s">
        <v>593</v>
      </c>
      <c r="H58" s="2" t="s">
        <v>594</v>
      </c>
      <c r="I58" s="7" t="s">
        <v>240</v>
      </c>
      <c r="J58" s="112" t="s">
        <v>120</v>
      </c>
      <c r="K58" s="7" t="s">
        <v>413</v>
      </c>
      <c r="L58" s="262">
        <v>45383</v>
      </c>
      <c r="M58" s="73" t="s">
        <v>595</v>
      </c>
      <c r="N58" s="2" t="s">
        <v>244</v>
      </c>
      <c r="O58" s="268"/>
      <c r="P58" s="149" t="s">
        <v>589</v>
      </c>
      <c r="Q58" s="257">
        <v>46233</v>
      </c>
      <c r="R58" s="234">
        <f>_xlfn.XLOOKUP(Tb_Portfólio11[[#This Row],[SEI]],Tb_Atualizações[PROCESSO SEI],Tb_Atualizações[% EXECUTADO],"",0,-1)</f>
        <v>1</v>
      </c>
      <c r="S58" s="408" t="str">
        <f>IFERROR(Tb_Portfólio11[[#This Row],[% EXECUTADO]]/#REF!,"0%")</f>
        <v>0%</v>
      </c>
      <c r="T58" s="146">
        <f>_xlfn.XLOOKUP(Tb_Portfólio11[[#This Row],[SEI]],Tb_Atualizações[PROCESSO SEI],Tb_Atualizações[DATA DE ATUALIZAÇÃO],"",0,-1)</f>
        <v>46010</v>
      </c>
      <c r="U58" s="336">
        <f>_xlfn.XLOOKUP(Tb_Portfólio11[[#This Row],[SEI]],Tb_Atualizações[PROCESSO SEI],Tb_Atualizações[Mês],,0,-1)</f>
        <v>45962</v>
      </c>
      <c r="V58" s="259"/>
      <c r="W58" s="268"/>
      <c r="X58"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58" s="414"/>
      <c r="Z58" s="236">
        <f>IFERROR(Tb_Portfólio11[[#This Row],[% EXECUTADO]]/#REF!,0)</f>
        <v>0</v>
      </c>
      <c r="AA58" s="97"/>
      <c r="AB58" s="413"/>
      <c r="AC58" s="413"/>
      <c r="AD58" s="73"/>
      <c r="AE58" s="73" t="s">
        <v>595</v>
      </c>
      <c r="AF58" s="2" t="s">
        <v>244</v>
      </c>
      <c r="AG58" s="97" t="s">
        <v>596</v>
      </c>
      <c r="AH58" s="97"/>
      <c r="AI58" s="273">
        <f t="shared" ca="1" si="1"/>
        <v>46176</v>
      </c>
      <c r="AJ58" s="629" t="s">
        <v>593</v>
      </c>
      <c r="AK58" s="73" t="s">
        <v>598</v>
      </c>
      <c r="AM58" s="79" t="str">
        <f>2024&amp;Tb_Portfólio11[[#This Row],[SEI]]</f>
        <v>202410926/2024</v>
      </c>
      <c r="AN58" t="str">
        <f>IFERROR(IF(MATCH(AM58,Atualizações!$P$1:$P$1265,0)&gt;0, "Sim"), "Não")</f>
        <v>Sim</v>
      </c>
      <c r="AO58" s="79" t="str">
        <f>2025&amp;Tb_Portfólio11[[#This Row],[SEI]]</f>
        <v>202510926/2024</v>
      </c>
      <c r="AP58" t="str">
        <f>IFERROR(IF(MATCH(AO58,Atualizações!$P$1:$P$1265,0)&gt;0, "Sim"), "Não")</f>
        <v>Sim</v>
      </c>
      <c r="AQ58" s="79" t="str">
        <f>_xlfn.XLOOKUP(Tb_Portfólio11[[#This Row],[SEI]],Tb_Atualizações[PROCESSO SEI],Tb_Atualizações[Explicações],"",0,-1)</f>
        <v xml:space="preserve">O projeto foi encerrado formalmente antes do horizonte inicialmente previsto de 2 anos, para viabilizar o lançamento e a migração ordenada à 3ª fase do Pacto, de escopo mais amplo e caráter continuado. A decisão evita sobreposição de frentes, alinha recursos e preserva o que já foi entregue, mantendo a coerência com o caráter de política pública judiciária que o Pacto passou a representar. Conclui-se que o projeto alcançou, de forma substancial, o benefício estruturante definido no TAP, com índice de realização de 81%, evidenciando a efetividade das ações empreendidas. </v>
      </c>
    </row>
    <row r="59" spans="1:43" ht="255" hidden="1">
      <c r="A59" s="232" t="s">
        <v>599</v>
      </c>
      <c r="B59" s="97" t="s">
        <v>600</v>
      </c>
      <c r="C59" s="97" t="s">
        <v>601</v>
      </c>
      <c r="D59" s="97"/>
      <c r="E59" s="79" t="s">
        <v>163</v>
      </c>
      <c r="F59" s="375" t="s">
        <v>67</v>
      </c>
      <c r="G59" s="79" t="s">
        <v>602</v>
      </c>
      <c r="H59" s="7" t="s">
        <v>46</v>
      </c>
      <c r="I59" s="97" t="s">
        <v>603</v>
      </c>
      <c r="J59" s="97" t="s">
        <v>76</v>
      </c>
      <c r="K59" s="7" t="s">
        <v>604</v>
      </c>
      <c r="L59" s="262">
        <v>45184</v>
      </c>
      <c r="M59" s="73" t="s">
        <v>284</v>
      </c>
      <c r="N59" s="7" t="s">
        <v>244</v>
      </c>
      <c r="O59" s="268" t="s">
        <v>48</v>
      </c>
      <c r="P59" s="232" t="s">
        <v>599</v>
      </c>
      <c r="Q59" s="257">
        <v>45517</v>
      </c>
      <c r="R59" s="234">
        <f>_xlfn.XLOOKUP(Tb_Portfólio11[[#This Row],[SEI]],Tb_Atualizações[PROCESSO SEI],Tb_Atualizações[% EXECUTADO],"",0,-1)</f>
        <v>1</v>
      </c>
      <c r="S59" s="408" t="str">
        <f>IFERROR(Tb_Portfólio11[[#This Row],[% EXECUTADO]]/#REF!,"0%")</f>
        <v>0%</v>
      </c>
      <c r="T59" s="146">
        <f>_xlfn.XLOOKUP(Tb_Portfólio11[[#This Row],[SEI]],Tb_Atualizações[PROCESSO SEI],Tb_Atualizações[DATA DE ATUALIZAÇÃO],"",0,-1)</f>
        <v>45534</v>
      </c>
      <c r="U59" s="336">
        <f>_xlfn.XLOOKUP(Tb_Portfólio11[[#This Row],[SEI]],Tb_Atualizações[PROCESSO SEI],Tb_Atualizações[Mês],,0,-1)</f>
        <v>45505</v>
      </c>
      <c r="V59" s="259"/>
      <c r="W59" s="268" t="s">
        <v>48</v>
      </c>
      <c r="X5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59" s="414"/>
      <c r="Z59" s="236">
        <f>IFERROR(Tb_Portfólio11[[#This Row],[% EXECUTADO]]/#REF!,0)</f>
        <v>0</v>
      </c>
      <c r="AA59" s="294" t="s">
        <v>605</v>
      </c>
      <c r="AB59" s="413">
        <f>1909456.95+22800</f>
        <v>1932256.95</v>
      </c>
      <c r="AC59" s="413">
        <f>2389207.63+22800</f>
        <v>2412007.63</v>
      </c>
      <c r="AD59" s="79" t="s">
        <v>51</v>
      </c>
      <c r="AE59" s="73" t="s">
        <v>284</v>
      </c>
      <c r="AF59" s="7" t="s">
        <v>244</v>
      </c>
      <c r="AG59" s="97" t="s">
        <v>606</v>
      </c>
      <c r="AH59" s="423" t="s">
        <v>607</v>
      </c>
      <c r="AI59" s="273">
        <f t="shared" ca="1" si="1"/>
        <v>46176</v>
      </c>
      <c r="AJ59" s="79" t="s">
        <v>608</v>
      </c>
      <c r="AK59" s="289" t="s">
        <v>67</v>
      </c>
      <c r="AM59" s="79" t="str">
        <f>2024&amp;Tb_Portfólio11[[#This Row],[SEI]]</f>
        <v>202410965/2023</v>
      </c>
      <c r="AN59" t="str">
        <f>IFERROR(IF(MATCH(AM59,Atualizações!$P$1:$P$1265,0)&gt;0, "Sim"), "Não")</f>
        <v>Sim</v>
      </c>
      <c r="AO59" s="79" t="str">
        <f>2025&amp;Tb_Portfólio11[[#This Row],[SEI]]</f>
        <v>202510965/2023</v>
      </c>
      <c r="AP59" t="str">
        <f>IFERROR(IF(MATCH(AO59,Atualizações!$P$1:$P$1265,0)&gt;0, "Sim"), "Não")</f>
        <v>Não</v>
      </c>
      <c r="AQ59" s="79" t="str">
        <f>_xlfn.XLOOKUP(Tb_Portfólio11[[#This Row],[SEI]],Tb_Atualizações[PROCESSO SEI],Tb_Atualizações[Explicações],"",0,-1)</f>
        <v>Houve um significativo aumento de escopo e identificação de aumento de complexidade nos fluxos propostos inicialmente. Houve replanejamento e reestruturação das entregas de forma que, acompanhado pela área de negócio responsável (DMF) foi realizada a implantação em produção no dia 13 de agosto de 2024.</v>
      </c>
    </row>
    <row r="60" spans="1:43" ht="330">
      <c r="A60" s="149" t="s">
        <v>609</v>
      </c>
      <c r="B60" s="99" t="s">
        <v>610</v>
      </c>
      <c r="C60" s="7" t="s">
        <v>611</v>
      </c>
      <c r="D60" s="97"/>
      <c r="E60" s="322" t="s">
        <v>144</v>
      </c>
      <c r="F60" s="16" t="s">
        <v>44</v>
      </c>
      <c r="G60" s="623" t="s">
        <v>335</v>
      </c>
      <c r="H60" s="2" t="s">
        <v>46</v>
      </c>
      <c r="I60" s="7" t="s">
        <v>165</v>
      </c>
      <c r="J60" s="7" t="s">
        <v>105</v>
      </c>
      <c r="K60" s="7" t="s">
        <v>147</v>
      </c>
      <c r="L60" s="262">
        <v>44798</v>
      </c>
      <c r="M60" s="73" t="s">
        <v>150</v>
      </c>
      <c r="N60" s="16" t="s">
        <v>44</v>
      </c>
      <c r="O60" s="268" t="s">
        <v>48</v>
      </c>
      <c r="P60" s="149" t="s">
        <v>609</v>
      </c>
      <c r="Q60" s="266">
        <v>45716</v>
      </c>
      <c r="R60" s="234">
        <f>_xlfn.XLOOKUP(Tb_Portfólio11[[#This Row],[SEI]],Tb_Atualizações[PROCESSO SEI],Tb_Atualizações[% EXECUTADO],"",0,-1)</f>
        <v>1</v>
      </c>
      <c r="S60" s="408" t="str">
        <f>IFERROR(Tb_Portfólio11[[#This Row],[% EXECUTADO]]/#REF!,"0%")</f>
        <v>0%</v>
      </c>
      <c r="T60" s="146">
        <f>_xlfn.XLOOKUP(Tb_Portfólio11[[#This Row],[SEI]],Tb_Atualizações[PROCESSO SEI],Tb_Atualizações[DATA DE ATUALIZAÇÃO],"",0,-1)</f>
        <v>45715</v>
      </c>
      <c r="U60" s="336">
        <f>_xlfn.XLOOKUP(Tb_Portfólio11[[#This Row],[SEI]],Tb_Atualizações[PROCESSO SEI],Tb_Atualizações[Mês],,0,-1)</f>
        <v>45689</v>
      </c>
      <c r="V60" s="259"/>
      <c r="W60" s="268" t="s">
        <v>48</v>
      </c>
      <c r="X60"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60" s="414"/>
      <c r="Z60" s="236">
        <f>IFERROR(Tb_Portfólio11[[#This Row],[% EXECUTADO]]/#REF!,0)</f>
        <v>0</v>
      </c>
      <c r="AA60" s="294" t="s">
        <v>612</v>
      </c>
      <c r="AB60" s="413"/>
      <c r="AC60" s="413"/>
      <c r="AD60" s="79" t="s">
        <v>51</v>
      </c>
      <c r="AE60" s="73" t="s">
        <v>150</v>
      </c>
      <c r="AF60" s="16" t="s">
        <v>44</v>
      </c>
      <c r="AG60" s="261" t="s">
        <v>613</v>
      </c>
      <c r="AH60" s="294" t="s">
        <v>614</v>
      </c>
      <c r="AI60" s="273">
        <f t="shared" ca="1" si="1"/>
        <v>46176</v>
      </c>
      <c r="AJ60" s="79" t="s">
        <v>171</v>
      </c>
      <c r="AK60" s="97" t="s">
        <v>67</v>
      </c>
      <c r="AM60" s="79" t="str">
        <f>2024&amp;Tb_Portfólio11[[#This Row],[SEI]]</f>
        <v>202411270/2022</v>
      </c>
      <c r="AN60" t="str">
        <f>IFERROR(IF(MATCH(AM60,Atualizações!$P$1:$P$1265,0)&gt;0, "Sim"), "Não")</f>
        <v>Sim</v>
      </c>
      <c r="AO60" s="79" t="str">
        <f>2025&amp;Tb_Portfólio11[[#This Row],[SEI]]</f>
        <v>202511270/2022</v>
      </c>
      <c r="AP60" t="str">
        <f>IFERROR(IF(MATCH(AO60,Atualizações!$P$1:$P$1265,0)&gt;0, "Sim"), "Não")</f>
        <v>Sim</v>
      </c>
      <c r="AQ60" s="79" t="str">
        <f>_xlfn.XLOOKUP(Tb_Portfólio11[[#This Row],[SEI]],Tb_Atualizações[PROCESSO SEI],Tb_Atualizações[Explicações],"",0,-1)</f>
        <v>Projeto finalizado, estando o PGP em elaboração</v>
      </c>
    </row>
    <row r="61" spans="1:43" ht="120" hidden="1" customHeight="1">
      <c r="A61" s="149" t="s">
        <v>615</v>
      </c>
      <c r="B61" s="103" t="s">
        <v>616</v>
      </c>
      <c r="C61" s="97" t="s">
        <v>617</v>
      </c>
      <c r="D61" s="97"/>
      <c r="E61" s="323" t="s">
        <v>618</v>
      </c>
      <c r="F61" s="338" t="s">
        <v>619</v>
      </c>
      <c r="G61" s="630" t="s">
        <v>620</v>
      </c>
      <c r="H61" s="324" t="s">
        <v>621</v>
      </c>
      <c r="I61" s="7" t="s">
        <v>305</v>
      </c>
      <c r="J61" s="7" t="s">
        <v>120</v>
      </c>
      <c r="K61" s="7" t="s">
        <v>622</v>
      </c>
      <c r="L61" s="262">
        <v>45215</v>
      </c>
      <c r="M61" s="79" t="s">
        <v>624</v>
      </c>
      <c r="N61" s="73" t="s">
        <v>80</v>
      </c>
      <c r="O61" s="268"/>
      <c r="P61" s="149" t="s">
        <v>615</v>
      </c>
      <c r="Q61" s="266">
        <v>45688</v>
      </c>
      <c r="R61" s="234">
        <f>_xlfn.XLOOKUP(Tb_Portfólio11[[#This Row],[SEI]],Tb_Atualizações[PROCESSO SEI],Tb_Atualizações[% EXECUTADO],"",0,-1)</f>
        <v>1</v>
      </c>
      <c r="S61" s="408" t="str">
        <f>IFERROR(Tb_Portfólio11[[#This Row],[% EXECUTADO]]/#REF!,"0%")</f>
        <v>0%</v>
      </c>
      <c r="T61" s="146">
        <f>_xlfn.XLOOKUP(Tb_Portfólio11[[#This Row],[SEI]],Tb_Atualizações[PROCESSO SEI],Tb_Atualizações[DATA DE ATUALIZAÇÃO],"",0,-1)</f>
        <v>45723</v>
      </c>
      <c r="U61" s="336">
        <f>_xlfn.XLOOKUP(Tb_Portfólio11[[#This Row],[SEI]],Tb_Atualizações[PROCESSO SEI],Tb_Atualizações[Mês],,0,-1)</f>
        <v>45689</v>
      </c>
      <c r="V61" s="259"/>
      <c r="W61" s="268"/>
      <c r="X6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61" s="414"/>
      <c r="Z61" s="236">
        <f>IFERROR(Tb_Portfólio11[[#This Row],[% EXECUTADO]]/#REF!,0)</f>
        <v>0</v>
      </c>
      <c r="AA61" s="270" t="s">
        <v>623</v>
      </c>
      <c r="AB61" s="413">
        <v>3033.66</v>
      </c>
      <c r="AC61" s="413"/>
      <c r="AE61" s="79" t="s">
        <v>624</v>
      </c>
      <c r="AF61" s="73" t="s">
        <v>80</v>
      </c>
      <c r="AG61" s="97" t="s">
        <v>625</v>
      </c>
      <c r="AH61" s="380" t="s">
        <v>626</v>
      </c>
      <c r="AI61" s="273">
        <f t="shared" ca="1" si="1"/>
        <v>46176</v>
      </c>
      <c r="AJ61" s="417" t="s">
        <v>627</v>
      </c>
      <c r="AK61" s="97" t="s">
        <v>628</v>
      </c>
      <c r="AM61" s="79" t="str">
        <f>2024&amp;Tb_Portfólio11[[#This Row],[SEI]]</f>
        <v>202411340/2023</v>
      </c>
      <c r="AN61" t="str">
        <f>IFERROR(IF(MATCH(AM61,Atualizações!$P$1:$P$1265,0)&gt;0, "Sim"), "Não")</f>
        <v>Sim</v>
      </c>
      <c r="AO61" s="79" t="str">
        <f>2025&amp;Tb_Portfólio11[[#This Row],[SEI]]</f>
        <v>202511340/2023</v>
      </c>
      <c r="AP61" t="str">
        <f>IFERROR(IF(MATCH(AO61,Atualizações!$P$1:$P$1265,0)&gt;0, "Sim"), "Não")</f>
        <v>Sim</v>
      </c>
      <c r="AQ61" s="79" t="str">
        <f>_xlfn.XLOOKUP(Tb_Portfólio11[[#This Row],[SEI]],Tb_Atualizações[PROCESSO SEI],Tb_Atualizações[Explicações],"",0,-1)</f>
        <v>Projeto finalizado. O gerente está providenciando o Termo de Encerramento.</v>
      </c>
    </row>
    <row r="62" spans="1:43" ht="105" hidden="1">
      <c r="A62" s="149" t="s">
        <v>629</v>
      </c>
      <c r="B62" s="103" t="s">
        <v>630</v>
      </c>
      <c r="C62" s="97" t="s">
        <v>631</v>
      </c>
      <c r="D62" s="97"/>
      <c r="E62" s="79" t="s">
        <v>145</v>
      </c>
      <c r="F62" s="16" t="s">
        <v>92</v>
      </c>
      <c r="G62" s="79" t="s">
        <v>632</v>
      </c>
      <c r="H62" s="16" t="s">
        <v>92</v>
      </c>
      <c r="I62" s="7" t="s">
        <v>75</v>
      </c>
      <c r="J62" s="112" t="s">
        <v>166</v>
      </c>
      <c r="K62" s="7" t="s">
        <v>633</v>
      </c>
      <c r="L62" s="262">
        <v>45541</v>
      </c>
      <c r="M62" s="79" t="s">
        <v>150</v>
      </c>
      <c r="N62" s="16" t="s">
        <v>92</v>
      </c>
      <c r="O62" s="268"/>
      <c r="P62" s="149" t="s">
        <v>629</v>
      </c>
      <c r="Q62" s="257">
        <v>46111</v>
      </c>
      <c r="R62" s="234">
        <f>_xlfn.XLOOKUP(Tb_Portfólio11[[#This Row],[SEI]],Tb_Atualizações[PROCESSO SEI],Tb_Atualizações[% EXECUTADO],"",0,-1)</f>
        <v>0.99</v>
      </c>
      <c r="S62" s="408" t="str">
        <f>IFERROR(Tb_Portfólio11[[#This Row],[% EXECUTADO]]/#REF!,"0%")</f>
        <v>0%</v>
      </c>
      <c r="T62" s="146">
        <f>_xlfn.XLOOKUP(Tb_Portfólio11[[#This Row],[SEI]],Tb_Atualizações[PROCESSO SEI],Tb_Atualizações[DATA DE ATUALIZAÇÃO],"",0,-1)</f>
        <v>46157</v>
      </c>
      <c r="U62" s="336">
        <f>_xlfn.XLOOKUP(Tb_Portfólio11[[#This Row],[SEI]],Tb_Atualizações[PROCESSO SEI],Tb_Atualizações[Mês],,0,-1)</f>
        <v>46113</v>
      </c>
      <c r="V62" s="259"/>
      <c r="W62" s="268"/>
      <c r="X62"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62" s="414"/>
      <c r="Z62" s="236">
        <f>IFERROR(Tb_Portfólio11[[#This Row],[% EXECUTADO]]/#REF!,0)</f>
        <v>0</v>
      </c>
      <c r="AA62" s="270" t="s">
        <v>635</v>
      </c>
      <c r="AB62" s="328">
        <v>440075.66</v>
      </c>
      <c r="AC62" s="413"/>
      <c r="AE62" s="79" t="s">
        <v>150</v>
      </c>
      <c r="AF62" s="16" t="s">
        <v>92</v>
      </c>
      <c r="AG62" s="261" t="s">
        <v>636</v>
      </c>
      <c r="AH62" s="270"/>
      <c r="AI62" s="273">
        <f t="shared" ca="1" si="1"/>
        <v>46176</v>
      </c>
      <c r="AJ62" s="79" t="s">
        <v>197</v>
      </c>
      <c r="AK62" s="97" t="s">
        <v>637</v>
      </c>
      <c r="AM62" s="79" t="str">
        <f>2024&amp;Tb_Portfólio11[[#This Row],[SEI]]</f>
        <v>202411449/2024</v>
      </c>
      <c r="AN62" t="str">
        <f>IFERROR(IF(MATCH(AM62,Atualizações!$P$1:$P$1265,0)&gt;0, "Sim"), "Não")</f>
        <v>Sim</v>
      </c>
      <c r="AO62" s="79" t="str">
        <f>2025&amp;Tb_Portfólio11[[#This Row],[SEI]]</f>
        <v>202511449/2024</v>
      </c>
      <c r="AP62" t="str">
        <f>IFERROR(IF(MATCH(AO62,Atualizações!$P$1:$P$1265,0)&gt;0, "Sim"), "Não")</f>
        <v>Sim</v>
      </c>
      <c r="AQ62" s="79">
        <f>_xlfn.XLOOKUP(Tb_Portfólio11[[#This Row],[SEI]],Tb_Atualizações[PROCESSO SEI],Tb_Atualizações[Explicações],"",0,-1)</f>
        <v>0</v>
      </c>
    </row>
    <row r="63" spans="1:43" ht="90" customHeight="1">
      <c r="A63" s="149" t="s">
        <v>638</v>
      </c>
      <c r="B63" s="280" t="s">
        <v>639</v>
      </c>
      <c r="C63" s="299" t="s">
        <v>640</v>
      </c>
      <c r="D63" s="97"/>
      <c r="E63" s="322" t="s">
        <v>144</v>
      </c>
      <c r="F63" s="16" t="s">
        <v>44</v>
      </c>
      <c r="G63" s="7" t="s">
        <v>362</v>
      </c>
      <c r="H63" s="2" t="s">
        <v>46</v>
      </c>
      <c r="I63" s="97" t="s">
        <v>240</v>
      </c>
      <c r="J63" s="265" t="s">
        <v>120</v>
      </c>
      <c r="K63" s="7" t="s">
        <v>641</v>
      </c>
      <c r="L63" s="262">
        <v>45418</v>
      </c>
      <c r="M63" s="79" t="s">
        <v>150</v>
      </c>
      <c r="N63" s="16" t="s">
        <v>44</v>
      </c>
      <c r="O63" s="268" t="s">
        <v>48</v>
      </c>
      <c r="P63" s="149" t="s">
        <v>638</v>
      </c>
      <c r="Q63" s="257">
        <v>46010</v>
      </c>
      <c r="R63" s="234">
        <f>_xlfn.XLOOKUP(Tb_Portfólio11[[#This Row],[SEI]],Tb_Atualizações[PROCESSO SEI],Tb_Atualizações[% EXECUTADO],"",0,-1)</f>
        <v>0.91</v>
      </c>
      <c r="S63" s="408" t="str">
        <f>IFERROR(Tb_Portfólio11[[#This Row],[% EXECUTADO]]/#REF!,"0%")</f>
        <v>0%</v>
      </c>
      <c r="T63" s="146">
        <f>_xlfn.XLOOKUP(Tb_Portfólio11[[#This Row],[SEI]],Tb_Atualizações[PROCESSO SEI],Tb_Atualizações[DATA DE ATUALIZAÇÃO],"",0,-1)</f>
        <v>46167</v>
      </c>
      <c r="U63" s="336">
        <f>_xlfn.XLOOKUP(Tb_Portfólio11[[#This Row],[SEI]],Tb_Atualizações[PROCESSO SEI],Tb_Atualizações[Mês],,0,-1)</f>
        <v>46143</v>
      </c>
      <c r="V63" s="259"/>
      <c r="W63" s="268" t="s">
        <v>48</v>
      </c>
      <c r="X6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63" s="414"/>
      <c r="Z63" s="236">
        <f>IFERROR(Tb_Portfólio11[[#This Row],[% EXECUTADO]]/#REF!,0)</f>
        <v>0</v>
      </c>
      <c r="AA63" s="270" t="s">
        <v>642</v>
      </c>
      <c r="AB63" s="284">
        <v>303673.59999999998</v>
      </c>
      <c r="AC63" s="413"/>
      <c r="AD63" s="97" t="s">
        <v>51</v>
      </c>
      <c r="AE63" s="79" t="s">
        <v>150</v>
      </c>
      <c r="AF63" s="16" t="s">
        <v>44</v>
      </c>
      <c r="AG63" s="424" t="s">
        <v>643</v>
      </c>
      <c r="AH63" s="270"/>
      <c r="AI63" s="273">
        <f t="shared" ca="1" si="1"/>
        <v>46176</v>
      </c>
      <c r="AJ63" s="629" t="s">
        <v>171</v>
      </c>
      <c r="AK63" s="97" t="s">
        <v>67</v>
      </c>
      <c r="AM63" s="79" t="str">
        <f>2024&amp;Tb_Portfólio11[[#This Row],[SEI]]</f>
        <v>202411644/2022</v>
      </c>
      <c r="AN63" t="str">
        <f>IFERROR(IF(MATCH(AM63,Atualizações!$P$1:$P$1265,0)&gt;0, "Sim"), "Não")</f>
        <v>Sim</v>
      </c>
      <c r="AO63" s="79" t="str">
        <f>2025&amp;Tb_Portfólio11[[#This Row],[SEI]]</f>
        <v>202511644/2022</v>
      </c>
      <c r="AP63" t="str">
        <f>IFERROR(IF(MATCH(AO63,Atualizações!$P$1:$P$1265,0)&gt;0, "Sim"), "Não")</f>
        <v>Sim</v>
      </c>
      <c r="AQ63" s="79" t="str">
        <f>_xlfn.XLOOKUP(Tb_Portfólio11[[#This Row],[SEI]],Tb_Atualizações[PROCESSO SEI],Tb_Atualizações[Explicações],"",0,-1)</f>
        <v>Data de término do projeto atualizada de março de 2026para 26/11/2026</v>
      </c>
    </row>
    <row r="64" spans="1:43" ht="409.5">
      <c r="A64" s="149" t="s">
        <v>644</v>
      </c>
      <c r="B64" s="103" t="s">
        <v>645</v>
      </c>
      <c r="C64" s="97" t="s">
        <v>646</v>
      </c>
      <c r="D64" s="97"/>
      <c r="E64" s="246" t="s">
        <v>514</v>
      </c>
      <c r="F64" s="16" t="s">
        <v>44</v>
      </c>
      <c r="G64" s="7" t="s">
        <v>362</v>
      </c>
      <c r="H64" s="2" t="s">
        <v>46</v>
      </c>
      <c r="I64" s="7" t="s">
        <v>104</v>
      </c>
      <c r="J64" s="265" t="s">
        <v>647</v>
      </c>
      <c r="K64" s="7" t="s">
        <v>314</v>
      </c>
      <c r="L64" s="262">
        <v>45078</v>
      </c>
      <c r="M64" s="79" t="s">
        <v>558</v>
      </c>
      <c r="N64" s="240" t="s">
        <v>67</v>
      </c>
      <c r="O64" s="268" t="s">
        <v>48</v>
      </c>
      <c r="P64" s="149" t="s">
        <v>644</v>
      </c>
      <c r="Q64" s="257">
        <v>46020</v>
      </c>
      <c r="R64" s="234">
        <f>_xlfn.XLOOKUP(Tb_Portfólio11[[#This Row],[SEI]],Tb_Atualizações[PROCESSO SEI],Tb_Atualizações[% EXECUTADO],"",0,-1)</f>
        <v>0.76</v>
      </c>
      <c r="S64" s="408" t="str">
        <f>IFERROR(Tb_Portfólio11[[#This Row],[% EXECUTADO]]/#REF!,"0%")</f>
        <v>0%</v>
      </c>
      <c r="T64" s="146">
        <f>_xlfn.XLOOKUP(Tb_Portfólio11[[#This Row],[SEI]],Tb_Atualizações[PROCESSO SEI],Tb_Atualizações[DATA DE ATUALIZAÇÃO],"",0,-1)</f>
        <v>46137</v>
      </c>
      <c r="U64" s="336">
        <f>_xlfn.XLOOKUP(Tb_Portfólio11[[#This Row],[SEI]],Tb_Atualizações[PROCESSO SEI],Tb_Atualizações[Mês],,0,-1)</f>
        <v>46143</v>
      </c>
      <c r="V64" s="259"/>
      <c r="W64" s="268" t="s">
        <v>48</v>
      </c>
      <c r="X64"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64" s="414"/>
      <c r="Z64" s="236">
        <f>IFERROR(Tb_Portfólio11[[#This Row],[% EXECUTADO]]/#REF!,0)</f>
        <v>0</v>
      </c>
      <c r="AA64" s="270"/>
      <c r="AB64" s="413"/>
      <c r="AC64" s="413"/>
      <c r="AD64" s="97" t="s">
        <v>51</v>
      </c>
      <c r="AE64" s="79" t="s">
        <v>558</v>
      </c>
      <c r="AF64" s="240" t="s">
        <v>67</v>
      </c>
      <c r="AG64" s="97" t="s">
        <v>650</v>
      </c>
      <c r="AH64" s="270"/>
      <c r="AI64" s="273">
        <f t="shared" ca="1" si="1"/>
        <v>46176</v>
      </c>
      <c r="AJ64" s="383" t="s">
        <v>608</v>
      </c>
      <c r="AK64" s="97" t="s">
        <v>67</v>
      </c>
      <c r="AM64" s="79" t="str">
        <f>2024&amp;Tb_Portfólio11[[#This Row],[SEI]]</f>
        <v>202411645/2022</v>
      </c>
      <c r="AN64" t="str">
        <f>IFERROR(IF(MATCH(AM64,Atualizações!$P$1:$P$1265,0)&gt;0, "Sim"), "Não")</f>
        <v>Sim</v>
      </c>
      <c r="AO64" s="79" t="str">
        <f>2025&amp;Tb_Portfólio11[[#This Row],[SEI]]</f>
        <v>202511645/2022</v>
      </c>
      <c r="AP64" t="str">
        <f>IFERROR(IF(MATCH(AO64,Atualizações!$P$1:$P$1265,0)&gt;0, "Sim"), "Não")</f>
        <v>Sim</v>
      </c>
      <c r="AQ64" s="79" t="str">
        <f>_xlfn.XLOOKUP(Tb_Portfólio11[[#This Row],[SEI]],Tb_Atualizações[PROCESSO SEI],Tb_Atualizações[Explicações],"",0,-1)</f>
        <v xml:space="preserve">Outros fatos relevantes a registrar 
 Etapa Atual: Sugestão de precedentes similares/ implementação de camada BFF - Sprint 06 – 18/05/2026 a 05/06/2026. 
 Atividades em andamento: 
• Sugestão de precedente sem IA 
• Melhoria na API ao paginar as decisões. 
• Criação da funcionalidade de exportação do resultado da busca do PANGEA 
 Solicitado ao Gerente do Projeto, em reunião realizada em 04/05/2026, ajustes e correções no cronograma do projeto (PWA), visando corrigir: 
• Atividades sem informação de datas de início e término planejadas; 
• Não-conformidade entre datas de início e término reais e as datas planejadas; 
• Duração de atividades; 
• Identificação/inclusão das entregas do Backlog 2026 (inclusão de escopo autorizado). 
 O “%Concluído: 76%” informado neste relatório, não reflete a evolução do projeto. Os ajustes de cronograma solicitados seguem em elaboração pelo gerente do projeto. 
 Reunião de Ponto de Controle realizada em 04/05/2026, com destaque para: 
• Revisão da Prova de Conceito (POC) de detecção de similaridade entre precedentes jurídicos, avaliação do painel de processos sobrestados e alinhamento estratégico para a integração de base. </v>
      </c>
    </row>
    <row r="65" spans="1:43" ht="101.1" customHeight="1">
      <c r="A65" s="149" t="s">
        <v>661</v>
      </c>
      <c r="B65" s="103" t="s">
        <v>662</v>
      </c>
      <c r="C65" s="97" t="s">
        <v>663</v>
      </c>
      <c r="D65" s="97"/>
      <c r="E65" s="73" t="s">
        <v>43</v>
      </c>
      <c r="F65" s="73" t="s">
        <v>44</v>
      </c>
      <c r="G65" s="97" t="s">
        <v>602</v>
      </c>
      <c r="H65" s="2" t="s">
        <v>46</v>
      </c>
      <c r="I65" s="97" t="s">
        <v>240</v>
      </c>
      <c r="J65" s="97" t="s">
        <v>664</v>
      </c>
      <c r="K65" s="7" t="s">
        <v>665</v>
      </c>
      <c r="L65" s="262">
        <v>45593</v>
      </c>
      <c r="M65" s="79" t="s">
        <v>284</v>
      </c>
      <c r="N65" s="2" t="s">
        <v>244</v>
      </c>
      <c r="O65" s="268" t="s">
        <v>48</v>
      </c>
      <c r="P65" s="149" t="s">
        <v>661</v>
      </c>
      <c r="Q65" s="257">
        <v>46387</v>
      </c>
      <c r="R65" s="234">
        <f>_xlfn.XLOOKUP(Tb_Portfólio11[[#This Row],[SEI]],Tb_Atualizações[PROCESSO SEI],Tb_Atualizações[% EXECUTADO],"",0,-1)</f>
        <v>0.67</v>
      </c>
      <c r="S65" s="408" t="str">
        <f>IFERROR(Tb_Portfólio11[[#This Row],[% EXECUTADO]]/#REF!,"0%")</f>
        <v>0%</v>
      </c>
      <c r="T65" s="146">
        <f>_xlfn.XLOOKUP(Tb_Portfólio11[[#This Row],[SEI]],Tb_Atualizações[PROCESSO SEI],Tb_Atualizações[DATA DE ATUALIZAÇÃO],"",0,-1)</f>
        <v>46167</v>
      </c>
      <c r="U65" s="336">
        <f>_xlfn.XLOOKUP(Tb_Portfólio11[[#This Row],[SEI]],Tb_Atualizações[PROCESSO SEI],Tb_Atualizações[Mês],,0,-1)</f>
        <v>46143</v>
      </c>
      <c r="V65" s="259"/>
      <c r="W65" s="268" t="s">
        <v>48</v>
      </c>
      <c r="X65"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65" s="414"/>
      <c r="Z65" s="236">
        <f>IFERROR(Tb_Portfólio11[[#This Row],[% EXECUTADO]]/#REF!,0)</f>
        <v>0</v>
      </c>
      <c r="AA65" s="270"/>
      <c r="AB65" s="413">
        <v>6240931.7199999997</v>
      </c>
      <c r="AC65" s="413"/>
      <c r="AD65" s="97" t="s">
        <v>51</v>
      </c>
      <c r="AE65" s="79" t="s">
        <v>284</v>
      </c>
      <c r="AF65" s="2" t="s">
        <v>244</v>
      </c>
      <c r="AG65" s="97" t="s">
        <v>666</v>
      </c>
      <c r="AH65" s="270"/>
      <c r="AI65" s="273">
        <f t="shared" ca="1" si="1"/>
        <v>46176</v>
      </c>
      <c r="AJ65" s="274" t="s">
        <v>608</v>
      </c>
      <c r="AK65" s="97" t="s">
        <v>67</v>
      </c>
      <c r="AM65" s="79" t="str">
        <f>2024&amp;Tb_Portfólio11[[#This Row],[SEI]]</f>
        <v>202411776/2024</v>
      </c>
      <c r="AN65" s="79" t="str">
        <f>IFERROR(IF(MATCH(AM65,Atualizações!$P$1:$P$1265,0)&gt;0, "Sim"), "Não")</f>
        <v>Não</v>
      </c>
      <c r="AO65" s="79" t="str">
        <f>2025&amp;Tb_Portfólio11[[#This Row],[SEI]]</f>
        <v>202511776/2024</v>
      </c>
      <c r="AP65" s="79" t="str">
        <f>IFERROR(IF(MATCH(AO65,Atualizações!$P$1:$P$1265,0)&gt;0, "Sim"), "Não")</f>
        <v>Sim</v>
      </c>
      <c r="AQ65" s="79" t="str">
        <f>_xlfn.XLOOKUP(Tb_Portfólio11[[#This Row],[SEI]],Tb_Atualizações[PROCESSO SEI],Tb_Atualizações[Explicações],"",0,-1)</f>
        <v xml:space="preserve">Outros fatos relevantes a registrar 
• Testes do Cadastro de pessoas em Pré-prod.  
• AMBIENTE PRÉ-PROD –Sugestão:  
 Alterar o linkpara um link específico e diferente do atual.  
 Encaminhar mensagem (ou SEI)somente para o grupo de testes informando que não deve ser divulgado esse novo link.  
 Testar Cadastro de Pessoas, posteriormente Unificação de RJI. 
 Desabilitar o ambienteaté nova necessidade.  
• Garantia da estabilização técnica do consumo de tokens integrados estritamente via plataforma PDPJ (atendendo à determinação da DTI). 
• Atendimento de N1 / N2 e N3 –Plantões e atendimentos em horários alternativos.  </v>
      </c>
    </row>
    <row r="66" spans="1:43" ht="47.25" hidden="1">
      <c r="A66" s="149" t="s">
        <v>668</v>
      </c>
      <c r="B66" s="280" t="s">
        <v>669</v>
      </c>
      <c r="C66" s="97" t="s">
        <v>670</v>
      </c>
      <c r="D66" s="97"/>
      <c r="E66" s="79" t="s">
        <v>562</v>
      </c>
      <c r="F66" s="73" t="s">
        <v>563</v>
      </c>
      <c r="G66" s="97" t="s">
        <v>671</v>
      </c>
      <c r="H66" s="8" t="s">
        <v>565</v>
      </c>
      <c r="I66" s="7" t="s">
        <v>672</v>
      </c>
      <c r="J66" s="112" t="s">
        <v>120</v>
      </c>
      <c r="K66" s="112" t="s">
        <v>673</v>
      </c>
      <c r="L66" s="262">
        <v>45446</v>
      </c>
      <c r="M66" s="79" t="s">
        <v>562</v>
      </c>
      <c r="N66" s="73" t="s">
        <v>563</v>
      </c>
      <c r="O66" s="268"/>
      <c r="P66" s="149" t="s">
        <v>668</v>
      </c>
      <c r="Q66" s="257">
        <v>45581</v>
      </c>
      <c r="R66" s="234">
        <f>_xlfn.XLOOKUP(Tb_Portfólio11[[#This Row],[SEI]],Tb_Atualizações[PROCESSO SEI],Tb_Atualizações[% EXECUTADO],"",0,-1)</f>
        <v>1</v>
      </c>
      <c r="S66" s="408" t="str">
        <f>IFERROR(Tb_Portfólio11[[#This Row],[% EXECUTADO]]/#REF!,"0%")</f>
        <v>0%</v>
      </c>
      <c r="T66" s="146">
        <f>_xlfn.XLOOKUP(Tb_Portfólio11[[#This Row],[SEI]],Tb_Atualizações[PROCESSO SEI],Tb_Atualizações[DATA DE ATUALIZAÇÃO],"",0,-1)</f>
        <v>45604</v>
      </c>
      <c r="U66" s="336">
        <f>_xlfn.XLOOKUP(Tb_Portfólio11[[#This Row],[SEI]],Tb_Atualizações[PROCESSO SEI],Tb_Atualizações[Mês],,0,-1)</f>
        <v>45566</v>
      </c>
      <c r="V66" s="259"/>
      <c r="W66" s="268"/>
      <c r="X6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66" s="414"/>
      <c r="Z66" s="236">
        <f>IFERROR(Tb_Portfólio11[[#This Row],[% EXECUTADO]]/#REF!,0)</f>
        <v>0</v>
      </c>
      <c r="AA66" s="270"/>
      <c r="AB66" s="413"/>
      <c r="AC66" s="413"/>
      <c r="AD66" s="97"/>
      <c r="AE66" s="79" t="s">
        <v>562</v>
      </c>
      <c r="AF66" s="73" t="s">
        <v>563</v>
      </c>
      <c r="AG66" s="97" t="s">
        <v>674</v>
      </c>
      <c r="AH66" s="270"/>
      <c r="AI66" s="273">
        <f t="shared" ca="1" si="1"/>
        <v>46176</v>
      </c>
      <c r="AJ66" s="274"/>
      <c r="AK66" s="97"/>
      <c r="AM66" s="79" t="str">
        <f>2024&amp;Tb_Portfólio11[[#This Row],[SEI]]</f>
        <v>202411821/2024</v>
      </c>
      <c r="AN66" t="str">
        <f>IFERROR(IF(MATCH(AM66,Atualizações!$P$1:$P$1265,0)&gt;0, "Sim"), "Não")</f>
        <v>Sim</v>
      </c>
      <c r="AO66" s="79" t="str">
        <f>2025&amp;Tb_Portfólio11[[#This Row],[SEI]]</f>
        <v>202511821/2024</v>
      </c>
      <c r="AP66" t="str">
        <f>IFERROR(IF(MATCH(AO66,Atualizações!$P$1:$P$1265,0)&gt;0, "Sim"), "Não")</f>
        <v>Não</v>
      </c>
      <c r="AQ66" s="79">
        <f>_xlfn.XLOOKUP(Tb_Portfólio11[[#This Row],[SEI]],Tb_Atualizações[PROCESSO SEI],Tb_Atualizações[Explicações],"",0,-1)</f>
        <v>0</v>
      </c>
    </row>
    <row r="67" spans="1:43" ht="240" hidden="1">
      <c r="A67" s="149" t="s">
        <v>675</v>
      </c>
      <c r="B67" s="103" t="s">
        <v>676</v>
      </c>
      <c r="C67" s="97" t="s">
        <v>677</v>
      </c>
      <c r="D67" s="97"/>
      <c r="E67" s="79" t="s">
        <v>66</v>
      </c>
      <c r="F67" s="73" t="s">
        <v>67</v>
      </c>
      <c r="G67" s="97" t="s">
        <v>192</v>
      </c>
      <c r="H67" s="2" t="s">
        <v>46</v>
      </c>
      <c r="I67" s="97" t="s">
        <v>678</v>
      </c>
      <c r="J67" s="97" t="s">
        <v>679</v>
      </c>
      <c r="K67" s="7" t="s">
        <v>680</v>
      </c>
      <c r="L67" s="262">
        <v>45476</v>
      </c>
      <c r="M67" s="79" t="s">
        <v>137</v>
      </c>
      <c r="N67" s="240" t="s">
        <v>67</v>
      </c>
      <c r="O67" s="268" t="s">
        <v>48</v>
      </c>
      <c r="P67" s="149" t="s">
        <v>675</v>
      </c>
      <c r="Q67" s="257">
        <v>45899</v>
      </c>
      <c r="R67" s="234">
        <f>_xlfn.XLOOKUP(Tb_Portfólio11[[#This Row],[SEI]],Tb_Atualizações[PROCESSO SEI],Tb_Atualizações[% EXECUTADO],"",0,-1)</f>
        <v>1</v>
      </c>
      <c r="S67" s="408" t="str">
        <f>IFERROR(Tb_Portfólio11[[#This Row],[% EXECUTADO]]/#REF!,"0%")</f>
        <v>0%</v>
      </c>
      <c r="T67" s="146">
        <f>_xlfn.XLOOKUP(Tb_Portfólio11[[#This Row],[SEI]],Tb_Atualizações[PROCESSO SEI],Tb_Atualizações[DATA DE ATUALIZAÇÃO],"",0,-1)</f>
        <v>45924</v>
      </c>
      <c r="U67" s="336">
        <f>_xlfn.XLOOKUP(Tb_Portfólio11[[#This Row],[SEI]],Tb_Atualizações[PROCESSO SEI],Tb_Atualizações[Mês],,0,-1)</f>
        <v>45901</v>
      </c>
      <c r="V67" s="259"/>
      <c r="W67" s="268" t="s">
        <v>48</v>
      </c>
      <c r="X6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67" s="414"/>
      <c r="Z67" s="236">
        <f>IFERROR(Tb_Portfólio11[[#This Row],[% EXECUTADO]]/#REF!,0)</f>
        <v>0</v>
      </c>
      <c r="AA67" s="294" t="s">
        <v>681</v>
      </c>
      <c r="AB67" s="413">
        <f>1315392.96+1025172.72+10000</f>
        <v>2350565.6799999997</v>
      </c>
      <c r="AC67" s="339"/>
      <c r="AD67" s="97" t="s">
        <v>51</v>
      </c>
      <c r="AE67" s="79" t="s">
        <v>137</v>
      </c>
      <c r="AF67" s="240" t="s">
        <v>67</v>
      </c>
      <c r="AG67" s="97" t="s">
        <v>682</v>
      </c>
      <c r="AH67" s="270"/>
      <c r="AI67" s="273">
        <f t="shared" ref="AI67:AI98" ca="1" si="2">TODAY()</f>
        <v>46176</v>
      </c>
      <c r="AJ67" s="274" t="s">
        <v>197</v>
      </c>
      <c r="AK67" s="97" t="s">
        <v>67</v>
      </c>
      <c r="AM67" s="79" t="str">
        <f>2024&amp;Tb_Portfólio11[[#This Row],[SEI]]</f>
        <v>202411988/2024</v>
      </c>
      <c r="AN67" s="79" t="str">
        <f>IFERROR(IF(MATCH(AM67,Atualizações!$P$1:$P$1265,0)&gt;0, "Sim"), "Não")</f>
        <v>Não</v>
      </c>
      <c r="AO67" s="79" t="str">
        <f>2025&amp;Tb_Portfólio11[[#This Row],[SEI]]</f>
        <v>202511988/2024</v>
      </c>
      <c r="AP67" s="79" t="str">
        <f>IFERROR(IF(MATCH(AO67,Atualizações!$P$1:$P$1265,0)&gt;0, "Sim"), "Não")</f>
        <v>Sim</v>
      </c>
      <c r="AQ67" s="79" t="str">
        <f>_xlfn.XLOOKUP(Tb_Portfólio11[[#This Row],[SEI]],Tb_Atualizações[PROCESSO SEI],Tb_Atualizações[Explicações],"",0,-1)</f>
        <v>Pendente apenas o TEP</v>
      </c>
    </row>
    <row r="68" spans="1:43" ht="90">
      <c r="A68" s="149" t="s">
        <v>684</v>
      </c>
      <c r="B68" s="337" t="s">
        <v>685</v>
      </c>
      <c r="C68" s="97" t="s">
        <v>686</v>
      </c>
      <c r="D68" s="97"/>
      <c r="E68" s="79" t="s">
        <v>86</v>
      </c>
      <c r="F68" s="16" t="s">
        <v>44</v>
      </c>
      <c r="G68" s="97" t="s">
        <v>87</v>
      </c>
      <c r="H68" s="2" t="s">
        <v>46</v>
      </c>
      <c r="I68" s="7" t="s">
        <v>75</v>
      </c>
      <c r="J68" s="112" t="s">
        <v>166</v>
      </c>
      <c r="K68" s="112" t="s">
        <v>687</v>
      </c>
      <c r="L68" s="262">
        <v>44713</v>
      </c>
      <c r="M68" s="79" t="s">
        <v>86</v>
      </c>
      <c r="N68" s="16" t="s">
        <v>92</v>
      </c>
      <c r="O68" s="268" t="s">
        <v>48</v>
      </c>
      <c r="P68" s="149" t="s">
        <v>684</v>
      </c>
      <c r="Q68" s="257">
        <v>46022</v>
      </c>
      <c r="R68" s="234">
        <f>_xlfn.XLOOKUP(Tb_Portfólio11[[#This Row],[SEI]],Tb_Atualizações[PROCESSO SEI],Tb_Atualizações[% EXECUTADO],"",0,-1)</f>
        <v>0.81</v>
      </c>
      <c r="S68" s="408" t="str">
        <f>IFERROR(Tb_Portfólio11[[#This Row],[% EXECUTADO]]/#REF!,"0%")</f>
        <v>0%</v>
      </c>
      <c r="T68" s="146">
        <f>_xlfn.XLOOKUP(Tb_Portfólio11[[#This Row],[SEI]],Tb_Atualizações[PROCESSO SEI],Tb_Atualizações[DATA DE ATUALIZAÇÃO],"",0,-1)</f>
        <v>46167</v>
      </c>
      <c r="U68" s="336">
        <f>_xlfn.XLOOKUP(Tb_Portfólio11[[#This Row],[SEI]],Tb_Atualizações[PROCESSO SEI],Tb_Atualizações[Mês],,0,-1)</f>
        <v>46143</v>
      </c>
      <c r="V68" s="259"/>
      <c r="W68" s="268" t="s">
        <v>48</v>
      </c>
      <c r="X68"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68" s="414"/>
      <c r="Z68" s="236">
        <f>IFERROR(Tb_Portfólio11[[#This Row],[% EXECUTADO]]/#REF!,0)</f>
        <v>0</v>
      </c>
      <c r="AA68" s="270"/>
      <c r="AB68" s="413"/>
      <c r="AC68" s="413"/>
      <c r="AD68" s="97" t="s">
        <v>51</v>
      </c>
      <c r="AE68" s="79" t="s">
        <v>86</v>
      </c>
      <c r="AF68" s="16" t="s">
        <v>92</v>
      </c>
      <c r="AG68" s="97" t="s">
        <v>689</v>
      </c>
      <c r="AH68" s="270"/>
      <c r="AI68" s="273">
        <f t="shared" ca="1" si="2"/>
        <v>46176</v>
      </c>
      <c r="AJ68" s="274"/>
      <c r="AK68" s="97"/>
      <c r="AM68" s="79" t="str">
        <f>2024&amp;Tb_Portfólio11[[#This Row],[SEI]]</f>
        <v>202412135/2022</v>
      </c>
      <c r="AN68" t="str">
        <f>IFERROR(IF(MATCH(AM68,Atualizações!$P$1:$P$1265,0)&gt;0, "Sim"), "Não")</f>
        <v>Sim</v>
      </c>
      <c r="AO68" s="79" t="str">
        <f>2025&amp;Tb_Portfólio11[[#This Row],[SEI]]</f>
        <v>202512135/2022</v>
      </c>
      <c r="AP68" t="str">
        <f>IFERROR(IF(MATCH(AO68,Atualizações!$P$1:$P$1265,0)&gt;0, "Sim"), "Não")</f>
        <v>Sim</v>
      </c>
      <c r="AQ68" s="79">
        <f>_xlfn.XLOOKUP(Tb_Portfólio11[[#This Row],[SEI]],Tb_Atualizações[PROCESSO SEI],Tb_Atualizações[Explicações],"",0,-1)</f>
        <v>0</v>
      </c>
    </row>
    <row r="69" spans="1:43" ht="210">
      <c r="A69" s="149" t="s">
        <v>690</v>
      </c>
      <c r="B69" s="321" t="s">
        <v>691</v>
      </c>
      <c r="C69" s="115" t="s">
        <v>692</v>
      </c>
      <c r="D69" s="97"/>
      <c r="E69" s="79" t="s">
        <v>86</v>
      </c>
      <c r="F69" s="16" t="s">
        <v>44</v>
      </c>
      <c r="G69" s="97" t="s">
        <v>87</v>
      </c>
      <c r="H69" s="2" t="s">
        <v>46</v>
      </c>
      <c r="I69" s="97" t="s">
        <v>693</v>
      </c>
      <c r="J69" s="97" t="s">
        <v>694</v>
      </c>
      <c r="K69" s="325" t="s">
        <v>695</v>
      </c>
      <c r="L69" s="262">
        <v>45231</v>
      </c>
      <c r="M69" s="79" t="s">
        <v>86</v>
      </c>
      <c r="N69" s="16" t="s">
        <v>92</v>
      </c>
      <c r="O69" s="268" t="s">
        <v>48</v>
      </c>
      <c r="P69" s="149" t="s">
        <v>690</v>
      </c>
      <c r="Q69" s="257">
        <v>46387</v>
      </c>
      <c r="R69" s="234">
        <f>_xlfn.XLOOKUP(Tb_Portfólio11[[#This Row],[SEI]],Tb_Atualizações[PROCESSO SEI],Tb_Atualizações[% EXECUTADO],"",0,-1)</f>
        <v>0.7</v>
      </c>
      <c r="S69" s="408" t="str">
        <f>IFERROR(Tb_Portfólio11[[#This Row],[% EXECUTADO]]/#REF!,"0%")</f>
        <v>0%</v>
      </c>
      <c r="T69" s="146">
        <f>_xlfn.XLOOKUP(Tb_Portfólio11[[#This Row],[SEI]],Tb_Atualizações[PROCESSO SEI],Tb_Atualizações[DATA DE ATUALIZAÇÃO],"",0,-1)</f>
        <v>46167</v>
      </c>
      <c r="U69" s="336">
        <f>_xlfn.XLOOKUP(Tb_Portfólio11[[#This Row],[SEI]],Tb_Atualizações[PROCESSO SEI],Tb_Atualizações[Mês],,0,-1)</f>
        <v>46143</v>
      </c>
      <c r="V69" s="259"/>
      <c r="W69" s="268" t="s">
        <v>48</v>
      </c>
      <c r="X69"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69" s="414"/>
      <c r="Z69" s="236">
        <f>IFERROR(Tb_Portfólio11[[#This Row],[% EXECUTADO]]/#REF!,0)</f>
        <v>0</v>
      </c>
      <c r="AA69" s="270" t="s">
        <v>696</v>
      </c>
      <c r="AB69" s="303">
        <v>210882.54</v>
      </c>
      <c r="AC69" s="413"/>
      <c r="AD69" s="97" t="s">
        <v>51</v>
      </c>
      <c r="AE69" s="79" t="s">
        <v>86</v>
      </c>
      <c r="AF69" s="16" t="s">
        <v>92</v>
      </c>
      <c r="AG69" s="97" t="s">
        <v>697</v>
      </c>
      <c r="AH69" s="270"/>
      <c r="AI69" s="273">
        <f t="shared" ca="1" si="2"/>
        <v>46176</v>
      </c>
      <c r="AJ69" s="274" t="s">
        <v>95</v>
      </c>
      <c r="AK69" s="97" t="s">
        <v>92</v>
      </c>
      <c r="AM69" s="79" t="str">
        <f>2024&amp;Tb_Portfólio11[[#This Row],[SEI]]</f>
        <v>202412215/2023</v>
      </c>
      <c r="AN69" t="str">
        <f>IFERROR(IF(MATCH(AM69,Atualizações!$P$1:$P$1265,0)&gt;0, "Sim"), "Não")</f>
        <v>Sim</v>
      </c>
      <c r="AO69" s="79" t="str">
        <f>2025&amp;Tb_Portfólio11[[#This Row],[SEI]]</f>
        <v>202512215/2023</v>
      </c>
      <c r="AP69" t="str">
        <f>IFERROR(IF(MATCH(AO69,Atualizações!$P$1:$P$1265,0)&gt;0, "Sim"), "Não")</f>
        <v>Sim</v>
      </c>
      <c r="AQ69" s="79" t="str">
        <f>_xlfn.XLOOKUP(Tb_Portfólio11[[#This Row],[SEI]],Tb_Atualizações[PROCESSO SEI],Tb_Atualizações[Explicações],"",0,-1)</f>
        <v>O projeto encontra-se na situação de “em atenção", porém, em conversa com o gerente do projeto, foi informado que o projeto está andando conforme o planejado, tendo sido identificada distorção na ferramenta de acompanhamento. Todavia, o problema foi identificado e a equipe do projeto já está trabalhando para sua correção.</v>
      </c>
    </row>
    <row r="70" spans="1:43" ht="120">
      <c r="A70" s="149" t="s">
        <v>698</v>
      </c>
      <c r="B70" s="103" t="s">
        <v>699</v>
      </c>
      <c r="C70" s="97" t="s">
        <v>700</v>
      </c>
      <c r="D70" s="97"/>
      <c r="E70" s="322" t="s">
        <v>514</v>
      </c>
      <c r="F70" s="73" t="s">
        <v>44</v>
      </c>
      <c r="G70" s="97" t="s">
        <v>701</v>
      </c>
      <c r="H70" s="2" t="s">
        <v>702</v>
      </c>
      <c r="I70" s="115" t="s">
        <v>213</v>
      </c>
      <c r="J70" s="265" t="s">
        <v>214</v>
      </c>
      <c r="K70" s="7" t="s">
        <v>703</v>
      </c>
      <c r="L70" s="262">
        <v>45324</v>
      </c>
      <c r="M70" s="79" t="s">
        <v>514</v>
      </c>
      <c r="N70" s="2" t="s">
        <v>702</v>
      </c>
      <c r="O70" s="268"/>
      <c r="P70" s="149" t="s">
        <v>698</v>
      </c>
      <c r="Q70" s="257">
        <v>45930</v>
      </c>
      <c r="R70" s="234">
        <f>_xlfn.XLOOKUP(Tb_Portfólio11[[#This Row],[SEI]],Tb_Atualizações[PROCESSO SEI],Tb_Atualizações[% EXECUTADO],"",0,-1)</f>
        <v>0.32</v>
      </c>
      <c r="S70" s="408" t="str">
        <f>IFERROR(Tb_Portfólio11[[#This Row],[% EXECUTADO]]/#REF!,"0%")</f>
        <v>0%</v>
      </c>
      <c r="T70" s="146">
        <f>_xlfn.XLOOKUP(Tb_Portfólio11[[#This Row],[SEI]],Tb_Atualizações[PROCESSO SEI],Tb_Atualizações[DATA DE ATUALIZAÇÃO],"",0,-1)</f>
        <v>46160</v>
      </c>
      <c r="U70" s="336">
        <f>_xlfn.XLOOKUP(Tb_Portfólio11[[#This Row],[SEI]],Tb_Atualizações[PROCESSO SEI],Tb_Atualizações[Mês],,0,-1)</f>
        <v>45689</v>
      </c>
      <c r="V70" s="259"/>
      <c r="W70" s="268"/>
      <c r="X70"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70" s="414"/>
      <c r="Z70" s="236">
        <f>IFERROR(Tb_Portfólio11[[#This Row],[% EXECUTADO]]/#REF!,0)</f>
        <v>0</v>
      </c>
      <c r="AA70" s="294" t="s">
        <v>704</v>
      </c>
      <c r="AB70" s="413"/>
      <c r="AC70" s="413"/>
      <c r="AD70" s="97"/>
      <c r="AE70" s="79" t="s">
        <v>514</v>
      </c>
      <c r="AF70" s="2" t="s">
        <v>702</v>
      </c>
      <c r="AG70" s="115" t="s">
        <v>705</v>
      </c>
      <c r="AH70" s="270"/>
      <c r="AI70" s="273">
        <f t="shared" ca="1" si="2"/>
        <v>46176</v>
      </c>
      <c r="AJ70" s="274"/>
      <c r="AK70" s="97"/>
      <c r="AM70" s="79" t="str">
        <f>2024&amp;Tb_Portfólio11[[#This Row],[SEI]]</f>
        <v>202413898/2024</v>
      </c>
      <c r="AN70" t="str">
        <f>IFERROR(IF(MATCH(AM70,Atualizações!$P$1:$P$1265,0)&gt;0, "Sim"), "Não")</f>
        <v>Sim</v>
      </c>
      <c r="AO70" s="79" t="str">
        <f>2025&amp;Tb_Portfólio11[[#This Row],[SEI]]</f>
        <v>202513898/2024</v>
      </c>
      <c r="AP70" t="str">
        <f>IFERROR(IF(MATCH(AO70,Atualizações!$P$1:$P$1265,0)&gt;0, "Sim"), "Não")</f>
        <v>Sim</v>
      </c>
      <c r="AQ70" s="79" t="str">
        <f>_xlfn.XLOOKUP(Tb_Portfólio11[[#This Row],[SEI]],Tb_Atualizações[PROCESSO SEI],Tb_Atualizações[Explicações],"",0,-1)</f>
        <v>Em conversa com a Cristina, foi explicado que dr. Daniel pediu para dar o projeto como finalizado.</v>
      </c>
    </row>
    <row r="71" spans="1:43" ht="255" hidden="1">
      <c r="A71" s="149" t="s">
        <v>714</v>
      </c>
      <c r="B71" s="103" t="s">
        <v>715</v>
      </c>
      <c r="C71" s="97" t="s">
        <v>716</v>
      </c>
      <c r="D71" s="97"/>
      <c r="E71" s="79" t="s">
        <v>1583</v>
      </c>
      <c r="F71" s="73" t="s">
        <v>202</v>
      </c>
      <c r="G71" s="97" t="s">
        <v>203</v>
      </c>
      <c r="H71" s="73" t="s">
        <v>202</v>
      </c>
      <c r="I71" s="97" t="s">
        <v>717</v>
      </c>
      <c r="J71" s="97" t="s">
        <v>718</v>
      </c>
      <c r="K71" s="7"/>
      <c r="L71" s="262">
        <v>45538</v>
      </c>
      <c r="M71" s="79" t="s">
        <v>720</v>
      </c>
      <c r="N71" s="73" t="s">
        <v>202</v>
      </c>
      <c r="O71" s="268"/>
      <c r="P71" s="149" t="s">
        <v>714</v>
      </c>
      <c r="Q71" s="257">
        <v>45905</v>
      </c>
      <c r="R71" s="234">
        <f>_xlfn.XLOOKUP(Tb_Portfólio11[[#This Row],[SEI]],Tb_Atualizações[PROCESSO SEI],Tb_Atualizações[% EXECUTADO],"",0,-1)</f>
        <v>0.94</v>
      </c>
      <c r="S71" s="408" t="str">
        <f>IFERROR(Tb_Portfólio11[[#This Row],[% EXECUTADO]]/#REF!,"0%")</f>
        <v>0%</v>
      </c>
      <c r="T71" s="146">
        <f>_xlfn.XLOOKUP(Tb_Portfólio11[[#This Row],[SEI]],Tb_Atualizações[PROCESSO SEI],Tb_Atualizações[DATA DE ATUALIZAÇÃO],"",0,-1)</f>
        <v>46105</v>
      </c>
      <c r="U71" s="336">
        <f>_xlfn.XLOOKUP(Tb_Portfólio11[[#This Row],[SEI]],Tb_Atualizações[PROCESSO SEI],Tb_Atualizações[Mês],,0,-1)</f>
        <v>46082</v>
      </c>
      <c r="V71" s="259"/>
      <c r="W71" s="268"/>
      <c r="X71"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71" s="414"/>
      <c r="Z71" s="236">
        <f>IFERROR(Tb_Portfólio11[[#This Row],[% EXECUTADO]]/#REF!,0)</f>
        <v>0</v>
      </c>
      <c r="AA71" s="270" t="s">
        <v>719</v>
      </c>
      <c r="AB71" s="413"/>
      <c r="AC71" s="413"/>
      <c r="AD71" s="97"/>
      <c r="AE71" s="79" t="s">
        <v>720</v>
      </c>
      <c r="AF71" s="73" t="s">
        <v>202</v>
      </c>
      <c r="AG71" s="97"/>
      <c r="AH71" s="270" t="s">
        <v>721</v>
      </c>
      <c r="AI71" s="273">
        <f t="shared" ca="1" si="2"/>
        <v>46176</v>
      </c>
      <c r="AJ71" s="274"/>
      <c r="AK71" s="97"/>
      <c r="AM71" s="79" t="str">
        <f>2024&amp;Tb_Portfólio11[[#This Row],[SEI]]</f>
        <v>202414204/2024</v>
      </c>
      <c r="AN71" s="79" t="str">
        <f>IFERROR(IF(MATCH(AM71,Atualizações!$P$1:$P$1265,0)&gt;0, "Sim"), "Não")</f>
        <v>Sim</v>
      </c>
      <c r="AO71" s="79" t="str">
        <f>2025&amp;Tb_Portfólio11[[#This Row],[SEI]]</f>
        <v>202514204/2024</v>
      </c>
      <c r="AP71" s="79" t="str">
        <f>IFERROR(IF(MATCH(AO71,Atualizações!$P$1:$P$1265,0)&gt;0, "Sim"), "Não")</f>
        <v>Sim</v>
      </c>
      <c r="AQ71" s="79" t="str">
        <f>_xlfn.XLOOKUP(Tb_Portfólio11[[#This Row],[SEI]],Tb_Atualizações[PROCESSO SEI],Tb_Atualizações[Explicações],"",0,-1)</f>
        <v>5ª medição do projeto.  A equipe do projeto avaliou que o PNC Digital oferece maior capacidade de consolidação, análise e divulgação das informações, motivo pelo qual passou a ser considerado o principal instrumento para a transparência dos resultados. A expectativa é que os dados estejam disponibilizados por ocasião do segundo Encontro Nacional do Programa Novos Caminhos, a ser realizado nos dias 5, 6 e 7 de agosto, em Manaus.</v>
      </c>
    </row>
    <row r="72" spans="1:43" ht="409.5">
      <c r="A72" s="149" t="s">
        <v>722</v>
      </c>
      <c r="B72" s="103" t="s">
        <v>723</v>
      </c>
      <c r="C72" s="97" t="s">
        <v>724</v>
      </c>
      <c r="D72" s="97"/>
      <c r="E72" s="79" t="s">
        <v>43</v>
      </c>
      <c r="F72" s="73" t="s">
        <v>44</v>
      </c>
      <c r="G72" s="97" t="s">
        <v>321</v>
      </c>
      <c r="H72" s="2" t="s">
        <v>46</v>
      </c>
      <c r="I72" s="7" t="s">
        <v>165</v>
      </c>
      <c r="J72" s="7" t="s">
        <v>725</v>
      </c>
      <c r="K72" s="7"/>
      <c r="L72" s="262">
        <v>45261</v>
      </c>
      <c r="M72" s="79" t="s">
        <v>163</v>
      </c>
      <c r="N72" s="73" t="s">
        <v>67</v>
      </c>
      <c r="O72" s="268" t="s">
        <v>48</v>
      </c>
      <c r="P72" s="149" t="s">
        <v>722</v>
      </c>
      <c r="Q72" s="257">
        <v>45947</v>
      </c>
      <c r="R72" s="234">
        <f>_xlfn.XLOOKUP(Tb_Portfólio11[[#This Row],[SEI]],Tb_Atualizações[PROCESSO SEI],Tb_Atualizações[% EXECUTADO],"",0,-1)</f>
        <v>0.56000000000000005</v>
      </c>
      <c r="S72" s="408" t="str">
        <f>IFERROR(Tb_Portfólio11[[#This Row],[% EXECUTADO]]/#REF!,"0%")</f>
        <v>0%</v>
      </c>
      <c r="T72" s="146">
        <f>_xlfn.XLOOKUP(Tb_Portfólio11[[#This Row],[SEI]],Tb_Atualizações[PROCESSO SEI],Tb_Atualizações[DATA DE ATUALIZAÇÃO],"",0,-1)</f>
        <v>46167</v>
      </c>
      <c r="U72" s="336">
        <f>_xlfn.XLOOKUP(Tb_Portfólio11[[#This Row],[SEI]],Tb_Atualizações[PROCESSO SEI],Tb_Atualizações[Mês],,0,-1)</f>
        <v>46143</v>
      </c>
      <c r="V72" s="259"/>
      <c r="W72" s="268" t="s">
        <v>48</v>
      </c>
      <c r="X72"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72" s="414"/>
      <c r="Z72" s="236">
        <f>IFERROR(Tb_Portfólio11[[#This Row],[% EXECUTADO]]/#REF!,0)</f>
        <v>0</v>
      </c>
      <c r="AA72" s="270"/>
      <c r="AB72" s="413">
        <v>2224030.15</v>
      </c>
      <c r="AC72" s="413"/>
      <c r="AD72" s="97" t="s">
        <v>51</v>
      </c>
      <c r="AE72" s="79" t="s">
        <v>163</v>
      </c>
      <c r="AF72" s="73" t="s">
        <v>67</v>
      </c>
      <c r="AG72" s="97" t="s">
        <v>726</v>
      </c>
      <c r="AH72" s="270"/>
      <c r="AI72" s="273">
        <f t="shared" ca="1" si="2"/>
        <v>46176</v>
      </c>
      <c r="AJ72" s="274" t="s">
        <v>197</v>
      </c>
      <c r="AK72" s="97" t="s">
        <v>67</v>
      </c>
      <c r="AM72" s="79" t="str">
        <f>2024&amp;Tb_Portfólio11[[#This Row],[SEI]]</f>
        <v>202414965/2024</v>
      </c>
      <c r="AN72" s="79" t="str">
        <f>IFERROR(IF(MATCH(AM72,Atualizações!$P$1:$P$1265,0)&gt;0, "Sim"), "Não")</f>
        <v>Não</v>
      </c>
      <c r="AO72" s="79" t="str">
        <f>2025&amp;Tb_Portfólio11[[#This Row],[SEI]]</f>
        <v>202514965/2024</v>
      </c>
      <c r="AP72" s="79" t="str">
        <f>IFERROR(IF(MATCH(AO72,Atualizações!$P$1:$P$1265,0)&gt;0, "Sim"), "Não")</f>
        <v>Sim</v>
      </c>
      <c r="AQ72" s="79" t="str">
        <f>_xlfn.XLOOKUP(Tb_Portfólio11[[#This Row],[SEI]],Tb_Atualizações[PROCESSO SEI],Tb_Atualizações[Explicações],"",0,-1)</f>
        <v xml:space="preserve">Outros fatos relevantes a registrar 
 Etapa atual: Melhorias evolutivas e corretivas 
 Status operacional e entregas recentes:  
• Duas releases executadas no período; 
• Atendimento ao chamados N3; 
• Duas atividades TPU finalizadas: adicionar atributo de procedimento; estudo para geração de múltiplas cartas de desenvolvimento. 
 SIRF:  
• Em homologação à mais de 250 dias, aguardando validação do FONAREF.  
• Pendente a solicitação de envio de detalhamento do escopo da homologação está em análise pela equipe técnica PNUD. 
• Gerente do projeto enviou o detalhamento das pendências negociais do SIRF para escalonamento pelos gestores PNUD, destacou que a regulamentação do CNJ é apontada como crítica para adoção pelos tribunais. 
 Avisos e Alertas PDPJ: versão de avisos em teste, corrigindo erros para liberar a entrada em produção da V2. 
 Notificações: aumento do volume de notificações com o advento do iMensagem do Data Lake. 
 Phase out - Transferência de Tecnologia: 
• Etapa atual: Criação do cronograma Phase-out; 
• Documentação: Correção da documentação do Delegação de perfil e Avisos PDPJ; 
• Etapa prevista: Criação da documentação dos demais projetos; 
• Próximos passos: Enviar para o time de phase-out as correções solicitadas após finalizadas. 
• Agendada reunião de alinhamento para definir estratégias de phaseout, a ocorrer em 10/06/2026.  
 Solicitado ajustes e correções no cronograma do projeto (PWA) ao Gerente do Projeto, em abril de 2026, visando corrigir: atividades sem informação de datas de início e término planejadas, não conformidade entre as datas de início e término reais e as datas planejadas, e duração das atividades.  
 O “%Concluído: 56%” informado neste relatório, não reflete a evolução do projeto. Os ajustes de cronograma solicitados seguem em elaboração pelo gerente do projeto. </v>
      </c>
    </row>
    <row r="73" spans="1:43" ht="315">
      <c r="A73" s="149" t="s">
        <v>728</v>
      </c>
      <c r="B73" s="103" t="s">
        <v>729</v>
      </c>
      <c r="C73" s="97" t="s">
        <v>730</v>
      </c>
      <c r="D73" s="97"/>
      <c r="E73" s="281" t="s">
        <v>1584</v>
      </c>
      <c r="F73" s="286" t="s">
        <v>44</v>
      </c>
      <c r="G73" s="349" t="s">
        <v>732</v>
      </c>
      <c r="H73" s="2" t="s">
        <v>733</v>
      </c>
      <c r="I73" s="115" t="s">
        <v>305</v>
      </c>
      <c r="J73" s="287" t="s">
        <v>120</v>
      </c>
      <c r="K73" s="115" t="s">
        <v>734</v>
      </c>
      <c r="L73" s="262">
        <v>45664</v>
      </c>
      <c r="M73" s="79" t="s">
        <v>736</v>
      </c>
      <c r="N73" s="2" t="s">
        <v>733</v>
      </c>
      <c r="O73" s="288" t="s">
        <v>729</v>
      </c>
      <c r="P73" s="149" t="s">
        <v>728</v>
      </c>
      <c r="Q73" s="257">
        <v>46376</v>
      </c>
      <c r="R73" s="234">
        <f>_xlfn.XLOOKUP(Tb_Portfólio11[[#This Row],[SEI]],Tb_Atualizações[PROCESSO SEI],Tb_Atualizações[% EXECUTADO],"",0,-1)</f>
        <v>0.43</v>
      </c>
      <c r="S73" s="408" t="str">
        <f>IFERROR(Tb_Portfólio11[[#This Row],[% EXECUTADO]]/#REF!,"0%")</f>
        <v>0%</v>
      </c>
      <c r="T73" s="146">
        <f>_xlfn.XLOOKUP(Tb_Portfólio11[[#This Row],[SEI]],Tb_Atualizações[PROCESSO SEI],Tb_Atualizações[DATA DE ATUALIZAÇÃO],"",0,-1)</f>
        <v>46128</v>
      </c>
      <c r="U73" s="336">
        <f>_xlfn.XLOOKUP(Tb_Portfólio11[[#This Row],[SEI]],Tb_Atualizações[PROCESSO SEI],Tb_Atualizações[Mês],,0,-1)</f>
        <v>46082</v>
      </c>
      <c r="V73" s="259"/>
      <c r="W73" s="288" t="s">
        <v>729</v>
      </c>
      <c r="X7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73" s="414"/>
      <c r="Z73" s="236">
        <f>IFERROR(Tb_Portfólio11[[#This Row],[% EXECUTADO]]/#REF!,0)</f>
        <v>0</v>
      </c>
      <c r="AA73" s="294" t="s">
        <v>735</v>
      </c>
      <c r="AB73" s="413">
        <f>70056+4500+53833</f>
        <v>128389</v>
      </c>
      <c r="AC73" s="413"/>
      <c r="AD73" s="97"/>
      <c r="AE73" s="79" t="s">
        <v>736</v>
      </c>
      <c r="AF73" s="2" t="s">
        <v>733</v>
      </c>
      <c r="AG73" s="97" t="s">
        <v>737</v>
      </c>
      <c r="AH73" s="270"/>
      <c r="AI73" s="273">
        <f t="shared" ca="1" si="2"/>
        <v>46176</v>
      </c>
      <c r="AJ73" s="274"/>
      <c r="AK73" s="97"/>
      <c r="AM73" s="79" t="str">
        <f>2024&amp;Tb_Portfólio11[[#This Row],[SEI]]</f>
        <v>202415844/2024</v>
      </c>
      <c r="AN73" t="str">
        <f>IFERROR(IF(MATCH(AM73,Atualizações!$P$1:$P$1265,0)&gt;0, "Sim"), "Não")</f>
        <v>Não</v>
      </c>
      <c r="AO73" s="79" t="str">
        <f>2025&amp;Tb_Portfólio11[[#This Row],[SEI]]</f>
        <v>202515844/2024</v>
      </c>
      <c r="AP73" t="str">
        <f>IFERROR(IF(MATCH(AO73,Atualizações!$P$1:$P$1265,0)&gt;0, "Sim"), "Não")</f>
        <v>Sim</v>
      </c>
      <c r="AQ73" s="79">
        <f>_xlfn.XLOOKUP(Tb_Portfólio11[[#This Row],[SEI]],Tb_Atualizações[PROCESSO SEI],Tb_Atualizações[Explicações],"",0,-1)</f>
        <v>0</v>
      </c>
    </row>
    <row r="74" spans="1:43" ht="409.5">
      <c r="A74" s="149" t="s">
        <v>773</v>
      </c>
      <c r="B74" s="103" t="s">
        <v>774</v>
      </c>
      <c r="C74" s="97" t="s">
        <v>775</v>
      </c>
      <c r="D74" s="97"/>
      <c r="E74" s="79" t="s">
        <v>43</v>
      </c>
      <c r="F74" s="73" t="s">
        <v>44</v>
      </c>
      <c r="G74" s="97" t="s">
        <v>536</v>
      </c>
      <c r="H74" s="2" t="s">
        <v>46</v>
      </c>
      <c r="I74" s="97" t="s">
        <v>776</v>
      </c>
      <c r="J74" s="97" t="s">
        <v>777</v>
      </c>
      <c r="K74" s="7"/>
      <c r="L74" s="262">
        <v>45677</v>
      </c>
      <c r="M74" s="79" t="s">
        <v>137</v>
      </c>
      <c r="N74" s="240" t="s">
        <v>67</v>
      </c>
      <c r="O74" s="268" t="s">
        <v>48</v>
      </c>
      <c r="P74" s="149" t="s">
        <v>773</v>
      </c>
      <c r="Q74" s="257">
        <v>46112</v>
      </c>
      <c r="R74" s="234">
        <f>_xlfn.XLOOKUP(Tb_Portfólio11[[#This Row],[SEI]],Tb_Atualizações[PROCESSO SEI],Tb_Atualizações[% EXECUTADO],"",0,-1)</f>
        <v>0.5</v>
      </c>
      <c r="S74" s="408" t="str">
        <f>IFERROR(Tb_Portfólio11[[#This Row],[% EXECUTADO]]/#REF!,"0%")</f>
        <v>0%</v>
      </c>
      <c r="T74" s="146">
        <f>_xlfn.XLOOKUP(Tb_Portfólio11[[#This Row],[SEI]],Tb_Atualizações[PROCESSO SEI],Tb_Atualizações[DATA DE ATUALIZAÇÃO],"",0,-1)</f>
        <v>46137</v>
      </c>
      <c r="U74" s="336">
        <f>_xlfn.XLOOKUP(Tb_Portfólio11[[#This Row],[SEI]],Tb_Atualizações[PROCESSO SEI],Tb_Atualizações[Mês],,0,-1)</f>
        <v>46143</v>
      </c>
      <c r="V74" s="259"/>
      <c r="W74" s="268" t="s">
        <v>48</v>
      </c>
      <c r="X74"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74" s="414"/>
      <c r="Z74" s="236">
        <f>IFERROR(Tb_Portfólio11[[#This Row],[% EXECUTADO]]/#REF!,0)</f>
        <v>0</v>
      </c>
      <c r="AA74" s="270" t="s">
        <v>1585</v>
      </c>
      <c r="AB74" s="413">
        <v>495325.56</v>
      </c>
      <c r="AC74" s="413"/>
      <c r="AD74" s="97" t="s">
        <v>51</v>
      </c>
      <c r="AE74" s="79" t="s">
        <v>137</v>
      </c>
      <c r="AF74" s="240" t="s">
        <v>67</v>
      </c>
      <c r="AG74" s="97" t="s">
        <v>779</v>
      </c>
      <c r="AH74" s="270" t="s">
        <v>1586</v>
      </c>
      <c r="AI74" s="273">
        <f t="shared" ca="1" si="2"/>
        <v>46176</v>
      </c>
      <c r="AJ74" s="274" t="s">
        <v>140</v>
      </c>
      <c r="AK74" s="97" t="s">
        <v>67</v>
      </c>
      <c r="AM74" s="79" t="str">
        <f>2024&amp;Tb_Portfólio11[[#This Row],[SEI]]</f>
        <v xml:space="preserve">202417372/2024 </v>
      </c>
      <c r="AN74" s="79" t="str">
        <f>IFERROR(IF(MATCH(AM74,Atualizações!$P$1:$P$1265,0)&gt;0, "Sim"), "Não")</f>
        <v>Não</v>
      </c>
      <c r="AO74" s="79" t="str">
        <f>2025&amp;Tb_Portfólio11[[#This Row],[SEI]]</f>
        <v xml:space="preserve">202517372/2024 </v>
      </c>
      <c r="AP74" s="79" t="str">
        <f>IFERROR(IF(MATCH(AO74,Atualizações!$P$1:$P$1265,0)&gt;0, "Sim"), "Não")</f>
        <v>Sim</v>
      </c>
      <c r="AQ74" s="79" t="str">
        <f>_xlfn.XLOOKUP(Tb_Portfólio11[[#This Row],[SEI]],Tb_Atualizações[PROCESSO SEI],Tb_Atualizações[Explicações],"",0,-1)</f>
        <v>Outros fatos relevantes a registrar 
 Sprint 25/35 – 06 a 26/05/2026 
 Confirmada a solicitação de 03 (três) endpoints ao Data Lake: 02 (dois) para Qualificação de Dados e 01 (hum) para Consulta Nacional de Pessoas. 
 Pontos de atenção: 
• Necessidade de realizar carga full de pessoas para melhoria de enriquecimento e realização de deduplicação 
• Possível retirada do escopo a integração com TSE por causa das eleições (prazo de 40 dias para definição). 
• Avaliando endpointsSERP com base na experiência de integração do Sniper: mecanismo de autenticação com token usuário SSO 
• Atraso na integração com SAREF: acesso ao endpointde georreferenciamento da apresentação da pessoa 
 Solicitações: 
• Mentor negocial em tratativas para estabelecer contatos técnicos com TSE e SERP; 
• ECP/DTI  verificando o PWA sobre a distorção do SPI do projeto; 
• Solicitado ao Jairo acesso ao endpointSAREF com dados de georreferenciamento da 
apresentação remota por reconhecimento facial</v>
      </c>
    </row>
    <row r="75" spans="1:43" ht="120" hidden="1">
      <c r="A75" s="290" t="s">
        <v>781</v>
      </c>
      <c r="B75" s="103" t="s">
        <v>782</v>
      </c>
      <c r="C75" s="97" t="s">
        <v>783</v>
      </c>
      <c r="D75" s="97"/>
      <c r="E75" s="281" t="s">
        <v>592</v>
      </c>
      <c r="F75" s="2" t="s">
        <v>244</v>
      </c>
      <c r="G75" s="295" t="s">
        <v>784</v>
      </c>
      <c r="H75" s="2" t="s">
        <v>46</v>
      </c>
      <c r="I75" s="97" t="s">
        <v>785</v>
      </c>
      <c r="J75" s="97" t="s">
        <v>786</v>
      </c>
      <c r="K75" s="7"/>
      <c r="L75" s="262">
        <v>45323</v>
      </c>
      <c r="M75" s="281" t="s">
        <v>592</v>
      </c>
      <c r="N75" s="2" t="s">
        <v>244</v>
      </c>
      <c r="O75" s="268" t="s">
        <v>787</v>
      </c>
      <c r="P75" s="290" t="s">
        <v>781</v>
      </c>
      <c r="Q75" s="257">
        <v>45657</v>
      </c>
      <c r="R75" s="234">
        <f>_xlfn.XLOOKUP(Tb_Portfólio11[[#This Row],[SEI]],Tb_Atualizações[PROCESSO SEI],Tb_Atualizações[% EXECUTADO],"",0,-1)</f>
        <v>1</v>
      </c>
      <c r="S75" s="408" t="str">
        <f>IFERROR(Tb_Portfólio11[[#This Row],[% EXECUTADO]]/#REF!,"0%")</f>
        <v>0%</v>
      </c>
      <c r="T75" s="146">
        <f>_xlfn.XLOOKUP(Tb_Portfólio11[[#This Row],[SEI]],Tb_Atualizações[PROCESSO SEI],Tb_Atualizações[DATA DE ATUALIZAÇÃO],"",0,-1)</f>
        <v>45642</v>
      </c>
      <c r="U75" s="336">
        <f>_xlfn.XLOOKUP(Tb_Portfólio11[[#This Row],[SEI]],Tb_Atualizações[PROCESSO SEI],Tb_Atualizações[Mês],,0,-1)</f>
        <v>45627</v>
      </c>
      <c r="V75" s="259"/>
      <c r="W75" s="268" t="s">
        <v>787</v>
      </c>
      <c r="X75"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75" s="414"/>
      <c r="Z75" s="236">
        <f>IFERROR(Tb_Portfólio11[[#This Row],[% EXECUTADO]]/#REF!,0)</f>
        <v>0</v>
      </c>
      <c r="AA75" s="291" t="s">
        <v>788</v>
      </c>
      <c r="AB75" s="418"/>
      <c r="AC75" s="418"/>
      <c r="AD75" s="419" t="s">
        <v>789</v>
      </c>
      <c r="AE75" s="281" t="s">
        <v>592</v>
      </c>
      <c r="AF75" s="2" t="s">
        <v>244</v>
      </c>
      <c r="AG75" s="97"/>
      <c r="AH75" s="292" t="s">
        <v>790</v>
      </c>
      <c r="AI75" s="273">
        <f t="shared" ca="1" si="2"/>
        <v>46176</v>
      </c>
      <c r="AJ75" s="296" t="s">
        <v>791</v>
      </c>
      <c r="AK75" s="7" t="s">
        <v>244</v>
      </c>
      <c r="AM75" s="79" t="str">
        <f>2024&amp;Tb_Portfólio11[[#This Row],[SEI]]</f>
        <v>202417466/2024</v>
      </c>
      <c r="AN75" t="str">
        <f>IFERROR(IF(MATCH(AM75,Atualizações!$P$1:$P$1265,0)&gt;0, "Sim"), "Não")</f>
        <v>Sim</v>
      </c>
      <c r="AO75" s="79" t="str">
        <f>2025&amp;Tb_Portfólio11[[#This Row],[SEI]]</f>
        <v>202517466/2024</v>
      </c>
      <c r="AP75" t="str">
        <f>IFERROR(IF(MATCH(AO75,Atualizações!$P$1:$P$1265,0)&gt;0, "Sim"), "Não")</f>
        <v>Não</v>
      </c>
      <c r="AQ75" s="79">
        <f>_xlfn.XLOOKUP(Tb_Portfólio11[[#This Row],[SEI]],Tb_Atualizações[PROCESSO SEI],Tb_Atualizações[Explicações],"",0,-1)</f>
        <v>0</v>
      </c>
    </row>
    <row r="76" spans="1:43" ht="120" hidden="1">
      <c r="A76" s="290" t="s">
        <v>792</v>
      </c>
      <c r="B76" s="103" t="s">
        <v>793</v>
      </c>
      <c r="C76" s="97" t="s">
        <v>794</v>
      </c>
      <c r="D76" s="97"/>
      <c r="E76" s="281" t="s">
        <v>592</v>
      </c>
      <c r="F76" s="2" t="s">
        <v>244</v>
      </c>
      <c r="G76" s="295" t="s">
        <v>784</v>
      </c>
      <c r="H76" s="2" t="s">
        <v>46</v>
      </c>
      <c r="I76" s="97" t="s">
        <v>785</v>
      </c>
      <c r="J76" s="97" t="s">
        <v>786</v>
      </c>
      <c r="K76" s="7"/>
      <c r="L76" s="262">
        <v>45323</v>
      </c>
      <c r="M76" s="281" t="s">
        <v>592</v>
      </c>
      <c r="N76" s="2" t="s">
        <v>244</v>
      </c>
      <c r="O76" s="268" t="s">
        <v>787</v>
      </c>
      <c r="P76" s="290" t="s">
        <v>792</v>
      </c>
      <c r="Q76" s="257">
        <v>45657</v>
      </c>
      <c r="R76" s="234">
        <f>_xlfn.XLOOKUP(Tb_Portfólio11[[#This Row],[SEI]],Tb_Atualizações[PROCESSO SEI],Tb_Atualizações[% EXECUTADO],"",0,-1)</f>
        <v>1</v>
      </c>
      <c r="S76" s="408" t="str">
        <f>IFERROR(Tb_Portfólio11[[#This Row],[% EXECUTADO]]/#REF!,"0%")</f>
        <v>0%</v>
      </c>
      <c r="T76" s="146">
        <f>_xlfn.XLOOKUP(Tb_Portfólio11[[#This Row],[SEI]],Tb_Atualizações[PROCESSO SEI],Tb_Atualizações[DATA DE ATUALIZAÇÃO],"",0,-1)</f>
        <v>45642</v>
      </c>
      <c r="U76" s="336">
        <f>_xlfn.XLOOKUP(Tb_Portfólio11[[#This Row],[SEI]],Tb_Atualizações[PROCESSO SEI],Tb_Atualizações[Mês],,0,-1)</f>
        <v>45627</v>
      </c>
      <c r="V76" s="259"/>
      <c r="W76" s="268" t="s">
        <v>787</v>
      </c>
      <c r="X7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76" s="414"/>
      <c r="Z76" s="236">
        <f>IFERROR(Tb_Portfólio11[[#This Row],[% EXECUTADO]]/#REF!,0)</f>
        <v>0</v>
      </c>
      <c r="AA76" s="291" t="s">
        <v>795</v>
      </c>
      <c r="AB76" s="418"/>
      <c r="AC76" s="418"/>
      <c r="AD76" s="419" t="s">
        <v>789</v>
      </c>
      <c r="AE76" s="281" t="s">
        <v>592</v>
      </c>
      <c r="AF76" s="2" t="s">
        <v>244</v>
      </c>
      <c r="AG76" s="97"/>
      <c r="AH76" s="291" t="s">
        <v>795</v>
      </c>
      <c r="AI76" s="273">
        <f t="shared" ca="1" si="2"/>
        <v>46176</v>
      </c>
      <c r="AJ76" s="296" t="s">
        <v>791</v>
      </c>
      <c r="AK76" s="7" t="s">
        <v>244</v>
      </c>
      <c r="AM76" s="79" t="str">
        <f>2024&amp;Tb_Portfólio11[[#This Row],[SEI]]</f>
        <v>2024174661/2024</v>
      </c>
      <c r="AN76" t="str">
        <f>IFERROR(IF(MATCH(AM76,Atualizações!$P$1:$P$1265,0)&gt;0, "Sim"), "Não")</f>
        <v>Sim</v>
      </c>
      <c r="AO76" s="79" t="str">
        <f>2025&amp;Tb_Portfólio11[[#This Row],[SEI]]</f>
        <v>2025174661/2024</v>
      </c>
      <c r="AP76" t="str">
        <f>IFERROR(IF(MATCH(AO76,Atualizações!$P$1:$P$1265,0)&gt;0, "Sim"), "Não")</f>
        <v>Não</v>
      </c>
      <c r="AQ76" s="79">
        <f>_xlfn.XLOOKUP(Tb_Portfólio11[[#This Row],[SEI]],Tb_Atualizações[PROCESSO SEI],Tb_Atualizações[Explicações],"",0,-1)</f>
        <v>0</v>
      </c>
    </row>
    <row r="77" spans="1:43" ht="120" hidden="1">
      <c r="A77" s="149" t="s">
        <v>796</v>
      </c>
      <c r="B77" s="103" t="s">
        <v>797</v>
      </c>
      <c r="C77" s="97" t="s">
        <v>798</v>
      </c>
      <c r="D77" s="97"/>
      <c r="E77" s="281" t="s">
        <v>592</v>
      </c>
      <c r="F77" s="2" t="s">
        <v>244</v>
      </c>
      <c r="G77" s="283" t="s">
        <v>784</v>
      </c>
      <c r="H77" s="2" t="s">
        <v>46</v>
      </c>
      <c r="I77" s="97" t="s">
        <v>785</v>
      </c>
      <c r="J77" s="97" t="s">
        <v>786</v>
      </c>
      <c r="K77" s="7"/>
      <c r="L77" s="262">
        <v>45323</v>
      </c>
      <c r="M77" s="281" t="s">
        <v>592</v>
      </c>
      <c r="N77" s="2" t="s">
        <v>244</v>
      </c>
      <c r="O77" s="268" t="s">
        <v>787</v>
      </c>
      <c r="P77" s="149" t="s">
        <v>796</v>
      </c>
      <c r="Q77" s="257">
        <v>45657</v>
      </c>
      <c r="R77" s="234">
        <f>_xlfn.XLOOKUP(Tb_Portfólio11[[#This Row],[SEI]],Tb_Atualizações[PROCESSO SEI],Tb_Atualizações[% EXECUTADO],"",0,-1)</f>
        <v>1</v>
      </c>
      <c r="S77" s="408" t="str">
        <f>IFERROR(Tb_Portfólio11[[#This Row],[% EXECUTADO]]/#REF!,"0%")</f>
        <v>0%</v>
      </c>
      <c r="T77" s="146">
        <f>_xlfn.XLOOKUP(Tb_Portfólio11[[#This Row],[SEI]],Tb_Atualizações[PROCESSO SEI],Tb_Atualizações[DATA DE ATUALIZAÇÃO],"",0,-1)</f>
        <v>45642</v>
      </c>
      <c r="U77" s="336">
        <f>_xlfn.XLOOKUP(Tb_Portfólio11[[#This Row],[SEI]],Tb_Atualizações[PROCESSO SEI],Tb_Atualizações[Mês],,0,-1)</f>
        <v>45627</v>
      </c>
      <c r="V77" s="259"/>
      <c r="W77" s="268" t="s">
        <v>787</v>
      </c>
      <c r="X7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77" s="414"/>
      <c r="Z77" s="236">
        <f>IFERROR(Tb_Portfólio11[[#This Row],[% EXECUTADO]]/#REF!,0)</f>
        <v>0</v>
      </c>
      <c r="AA77" s="293" t="s">
        <v>799</v>
      </c>
      <c r="AB77" s="413"/>
      <c r="AC77" s="413"/>
      <c r="AD77" s="420" t="s">
        <v>789</v>
      </c>
      <c r="AE77" s="281" t="s">
        <v>592</v>
      </c>
      <c r="AF77" s="2" t="s">
        <v>244</v>
      </c>
      <c r="AG77" s="97"/>
      <c r="AH77" s="293"/>
      <c r="AI77" s="273">
        <f t="shared" ca="1" si="2"/>
        <v>46176</v>
      </c>
      <c r="AJ77" s="297" t="s">
        <v>791</v>
      </c>
      <c r="AK77" s="7" t="s">
        <v>244</v>
      </c>
      <c r="AM77" s="79" t="str">
        <f>2024&amp;Tb_Portfólio11[[#This Row],[SEI]]</f>
        <v>20241746610/2024</v>
      </c>
      <c r="AN77" t="str">
        <f>IFERROR(IF(MATCH(AM77,Atualizações!$P$1:$P$1265,0)&gt;0, "Sim"), "Não")</f>
        <v>Sim</v>
      </c>
      <c r="AO77" s="79" t="str">
        <f>2025&amp;Tb_Portfólio11[[#This Row],[SEI]]</f>
        <v>20251746610/2024</v>
      </c>
      <c r="AP77" t="str">
        <f>IFERROR(IF(MATCH(AO77,Atualizações!$P$1:$P$1265,0)&gt;0, "Sim"), "Não")</f>
        <v>Não</v>
      </c>
      <c r="AQ77" s="79">
        <f>_xlfn.XLOOKUP(Tb_Portfólio11[[#This Row],[SEI]],Tb_Atualizações[PROCESSO SEI],Tb_Atualizações[Explicações],"",0,-1)</f>
        <v>0</v>
      </c>
    </row>
    <row r="78" spans="1:43" ht="120" hidden="1">
      <c r="A78" s="149" t="s">
        <v>800</v>
      </c>
      <c r="B78" s="103" t="s">
        <v>801</v>
      </c>
      <c r="C78" s="97" t="s">
        <v>802</v>
      </c>
      <c r="D78" s="97"/>
      <c r="E78" s="281" t="s">
        <v>592</v>
      </c>
      <c r="F78" s="2" t="s">
        <v>244</v>
      </c>
      <c r="G78" s="283" t="s">
        <v>784</v>
      </c>
      <c r="H78" s="2" t="s">
        <v>46</v>
      </c>
      <c r="I78" s="97" t="s">
        <v>785</v>
      </c>
      <c r="J78" s="97" t="s">
        <v>786</v>
      </c>
      <c r="K78" s="7"/>
      <c r="L78" s="262">
        <v>45323</v>
      </c>
      <c r="M78" s="281" t="s">
        <v>592</v>
      </c>
      <c r="N78" s="2" t="s">
        <v>244</v>
      </c>
      <c r="O78" s="268" t="s">
        <v>787</v>
      </c>
      <c r="P78" s="149" t="s">
        <v>800</v>
      </c>
      <c r="Q78" s="257">
        <v>45657</v>
      </c>
      <c r="R78" s="234">
        <f>_xlfn.XLOOKUP(Tb_Portfólio11[[#This Row],[SEI]],Tb_Atualizações[PROCESSO SEI],Tb_Atualizações[% EXECUTADO],"",0,-1)</f>
        <v>1</v>
      </c>
      <c r="S78" s="408" t="str">
        <f>IFERROR(Tb_Portfólio11[[#This Row],[% EXECUTADO]]/#REF!,"0%")</f>
        <v>0%</v>
      </c>
      <c r="T78" s="146">
        <f>_xlfn.XLOOKUP(Tb_Portfólio11[[#This Row],[SEI]],Tb_Atualizações[PROCESSO SEI],Tb_Atualizações[DATA DE ATUALIZAÇÃO],"",0,-1)</f>
        <v>45642</v>
      </c>
      <c r="U78" s="336">
        <f>_xlfn.XLOOKUP(Tb_Portfólio11[[#This Row],[SEI]],Tb_Atualizações[PROCESSO SEI],Tb_Atualizações[Mês],,0,-1)</f>
        <v>45627</v>
      </c>
      <c r="V78" s="259"/>
      <c r="W78" s="268" t="s">
        <v>787</v>
      </c>
      <c r="X78"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78" s="414"/>
      <c r="Z78" s="236">
        <f>IFERROR(Tb_Portfólio11[[#This Row],[% EXECUTADO]]/#REF!,0)</f>
        <v>0</v>
      </c>
      <c r="AA78" s="291" t="s">
        <v>803</v>
      </c>
      <c r="AB78" s="413"/>
      <c r="AC78" s="413"/>
      <c r="AD78" s="420" t="s">
        <v>789</v>
      </c>
      <c r="AE78" s="281" t="s">
        <v>592</v>
      </c>
      <c r="AF78" s="2" t="s">
        <v>244</v>
      </c>
      <c r="AG78" s="97"/>
      <c r="AH78" s="292" t="s">
        <v>804</v>
      </c>
      <c r="AI78" s="273">
        <f t="shared" ca="1" si="2"/>
        <v>46176</v>
      </c>
      <c r="AJ78" s="297" t="s">
        <v>791</v>
      </c>
      <c r="AK78" s="7" t="s">
        <v>244</v>
      </c>
      <c r="AM78" s="79" t="str">
        <f>2024&amp;Tb_Portfólio11[[#This Row],[SEI]]</f>
        <v>20241746611/2024</v>
      </c>
      <c r="AN78" t="str">
        <f>IFERROR(IF(MATCH(AM78,Atualizações!$P$1:$P$1265,0)&gt;0, "Sim"), "Não")</f>
        <v>Sim</v>
      </c>
      <c r="AO78" s="79" t="str">
        <f>2025&amp;Tb_Portfólio11[[#This Row],[SEI]]</f>
        <v>20251746611/2024</v>
      </c>
      <c r="AP78" t="str">
        <f>IFERROR(IF(MATCH(AO78,Atualizações!$P$1:$P$1265,0)&gt;0, "Sim"), "Não")</f>
        <v>Não</v>
      </c>
      <c r="AQ78" s="79">
        <f>_xlfn.XLOOKUP(Tb_Portfólio11[[#This Row],[SEI]],Tb_Atualizações[PROCESSO SEI],Tb_Atualizações[Explicações],"",0,-1)</f>
        <v>0</v>
      </c>
    </row>
    <row r="79" spans="1:43" ht="120" hidden="1">
      <c r="A79" s="149" t="s">
        <v>805</v>
      </c>
      <c r="B79" s="103" t="s">
        <v>806</v>
      </c>
      <c r="C79" s="97" t="s">
        <v>807</v>
      </c>
      <c r="D79" s="97"/>
      <c r="E79" s="281" t="s">
        <v>592</v>
      </c>
      <c r="F79" s="2" t="s">
        <v>244</v>
      </c>
      <c r="G79" s="283" t="s">
        <v>784</v>
      </c>
      <c r="H79" s="2" t="s">
        <v>46</v>
      </c>
      <c r="I79" s="97" t="s">
        <v>785</v>
      </c>
      <c r="J79" s="97" t="s">
        <v>786</v>
      </c>
      <c r="K79" s="7"/>
      <c r="L79" s="262">
        <v>45323</v>
      </c>
      <c r="M79" s="281" t="s">
        <v>592</v>
      </c>
      <c r="N79" s="2" t="s">
        <v>244</v>
      </c>
      <c r="O79" s="268" t="s">
        <v>787</v>
      </c>
      <c r="P79" s="149" t="s">
        <v>805</v>
      </c>
      <c r="Q79" s="257">
        <v>45657</v>
      </c>
      <c r="R79" s="234">
        <f>_xlfn.XLOOKUP(Tb_Portfólio11[[#This Row],[SEI]],Tb_Atualizações[PROCESSO SEI],Tb_Atualizações[% EXECUTADO],"",0,-1)</f>
        <v>1</v>
      </c>
      <c r="S79" s="408" t="str">
        <f>IFERROR(Tb_Portfólio11[[#This Row],[% EXECUTADO]]/#REF!,"0%")</f>
        <v>0%</v>
      </c>
      <c r="T79" s="146">
        <f>_xlfn.XLOOKUP(Tb_Portfólio11[[#This Row],[SEI]],Tb_Atualizações[PROCESSO SEI],Tb_Atualizações[DATA DE ATUALIZAÇÃO],"",0,-1)</f>
        <v>45642</v>
      </c>
      <c r="U79" s="336">
        <f>_xlfn.XLOOKUP(Tb_Portfólio11[[#This Row],[SEI]],Tb_Atualizações[PROCESSO SEI],Tb_Atualizações[Mês],,0,-1)</f>
        <v>45627</v>
      </c>
      <c r="V79" s="259"/>
      <c r="W79" s="268" t="s">
        <v>787</v>
      </c>
      <c r="X7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79" s="414"/>
      <c r="Z79" s="236">
        <f>IFERROR(Tb_Portfólio11[[#This Row],[% EXECUTADO]]/#REF!,0)</f>
        <v>0</v>
      </c>
      <c r="AA79" s="291" t="s">
        <v>808</v>
      </c>
      <c r="AB79" s="413"/>
      <c r="AC79" s="413"/>
      <c r="AD79" s="420" t="s">
        <v>789</v>
      </c>
      <c r="AE79" s="281" t="s">
        <v>592</v>
      </c>
      <c r="AF79" s="2" t="s">
        <v>244</v>
      </c>
      <c r="AG79" s="97"/>
      <c r="AH79" s="292" t="s">
        <v>809</v>
      </c>
      <c r="AI79" s="273">
        <f t="shared" ca="1" si="2"/>
        <v>46176</v>
      </c>
      <c r="AJ79" s="297" t="s">
        <v>791</v>
      </c>
      <c r="AK79" s="7" t="s">
        <v>244</v>
      </c>
      <c r="AM79" s="79" t="str">
        <f>2024&amp;Tb_Portfólio11[[#This Row],[SEI]]</f>
        <v>20241746612/2024</v>
      </c>
      <c r="AN79" t="str">
        <f>IFERROR(IF(MATCH(AM79,Atualizações!$P$1:$P$1265,0)&gt;0, "Sim"), "Não")</f>
        <v>Sim</v>
      </c>
      <c r="AO79" s="79" t="str">
        <f>2025&amp;Tb_Portfólio11[[#This Row],[SEI]]</f>
        <v>20251746612/2024</v>
      </c>
      <c r="AP79" t="str">
        <f>IFERROR(IF(MATCH(AO79,Atualizações!$P$1:$P$1265,0)&gt;0, "Sim"), "Não")</f>
        <v>Não</v>
      </c>
      <c r="AQ79" s="79">
        <f>_xlfn.XLOOKUP(Tb_Portfólio11[[#This Row],[SEI]],Tb_Atualizações[PROCESSO SEI],Tb_Atualizações[Explicações],"",0,-1)</f>
        <v>0</v>
      </c>
    </row>
    <row r="80" spans="1:43" ht="162" hidden="1" customHeight="1">
      <c r="A80" s="149" t="s">
        <v>810</v>
      </c>
      <c r="B80" s="103" t="s">
        <v>811</v>
      </c>
      <c r="C80" s="97" t="s">
        <v>812</v>
      </c>
      <c r="D80" s="97"/>
      <c r="E80" s="281" t="s">
        <v>592</v>
      </c>
      <c r="F80" s="2" t="s">
        <v>244</v>
      </c>
      <c r="G80" s="283" t="s">
        <v>784</v>
      </c>
      <c r="H80" s="2" t="s">
        <v>46</v>
      </c>
      <c r="I80" s="97" t="s">
        <v>785</v>
      </c>
      <c r="J80" s="97" t="s">
        <v>786</v>
      </c>
      <c r="K80" s="7"/>
      <c r="L80" s="262">
        <v>45323</v>
      </c>
      <c r="M80" s="281" t="s">
        <v>592</v>
      </c>
      <c r="N80" s="2" t="s">
        <v>244</v>
      </c>
      <c r="O80" s="268" t="s">
        <v>787</v>
      </c>
      <c r="P80" s="149" t="s">
        <v>810</v>
      </c>
      <c r="Q80" s="257">
        <v>45657</v>
      </c>
      <c r="R80" s="234">
        <f>_xlfn.XLOOKUP(Tb_Portfólio11[[#This Row],[SEI]],Tb_Atualizações[PROCESSO SEI],Tb_Atualizações[% EXECUTADO],"",0,-1)</f>
        <v>1</v>
      </c>
      <c r="S80" s="408" t="str">
        <f>IFERROR(Tb_Portfólio11[[#This Row],[% EXECUTADO]]/#REF!,"0%")</f>
        <v>0%</v>
      </c>
      <c r="T80" s="146">
        <f>_xlfn.XLOOKUP(Tb_Portfólio11[[#This Row],[SEI]],Tb_Atualizações[PROCESSO SEI],Tb_Atualizações[DATA DE ATUALIZAÇÃO],"",0,-1)</f>
        <v>45642</v>
      </c>
      <c r="U80" s="336">
        <f>_xlfn.XLOOKUP(Tb_Portfólio11[[#This Row],[SEI]],Tb_Atualizações[PROCESSO SEI],Tb_Atualizações[Mês],,0,-1)</f>
        <v>45627</v>
      </c>
      <c r="V80" s="259"/>
      <c r="W80" s="268" t="s">
        <v>787</v>
      </c>
      <c r="X80"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0" s="414"/>
      <c r="Z80" s="236">
        <f>IFERROR(Tb_Portfólio11[[#This Row],[% EXECUTADO]]/#REF!,0)</f>
        <v>0</v>
      </c>
      <c r="AA80" s="292" t="s">
        <v>813</v>
      </c>
      <c r="AB80" s="413"/>
      <c r="AC80" s="413"/>
      <c r="AD80" s="420" t="s">
        <v>789</v>
      </c>
      <c r="AE80" s="281" t="s">
        <v>592</v>
      </c>
      <c r="AF80" s="2" t="s">
        <v>244</v>
      </c>
      <c r="AG80" s="97"/>
      <c r="AH80" s="292" t="s">
        <v>813</v>
      </c>
      <c r="AI80" s="273">
        <f t="shared" ca="1" si="2"/>
        <v>46176</v>
      </c>
      <c r="AJ80" s="297" t="s">
        <v>791</v>
      </c>
      <c r="AK80" s="7" t="s">
        <v>244</v>
      </c>
      <c r="AM80" s="79" t="str">
        <f>2024&amp;Tb_Portfólio11[[#This Row],[SEI]]</f>
        <v>20241746613/2024</v>
      </c>
      <c r="AN80" t="str">
        <f>IFERROR(IF(MATCH(AM80,Atualizações!$P$1:$P$1265,0)&gt;0, "Sim"), "Não")</f>
        <v>Sim</v>
      </c>
      <c r="AO80" s="79" t="str">
        <f>2025&amp;Tb_Portfólio11[[#This Row],[SEI]]</f>
        <v>20251746613/2024</v>
      </c>
      <c r="AP80" t="str">
        <f>IFERROR(IF(MATCH(AO80,Atualizações!$P$1:$P$1265,0)&gt;0, "Sim"), "Não")</f>
        <v>Não</v>
      </c>
      <c r="AQ80" s="79">
        <f>_xlfn.XLOOKUP(Tb_Portfólio11[[#This Row],[SEI]],Tb_Atualizações[PROCESSO SEI],Tb_Atualizações[Explicações],"",0,-1)</f>
        <v>0</v>
      </c>
    </row>
    <row r="81" spans="1:43" ht="120" hidden="1">
      <c r="A81" s="149" t="s">
        <v>814</v>
      </c>
      <c r="B81" s="103" t="s">
        <v>815</v>
      </c>
      <c r="C81" s="97" t="s">
        <v>816</v>
      </c>
      <c r="D81" s="97"/>
      <c r="E81" s="281" t="s">
        <v>592</v>
      </c>
      <c r="F81" s="2" t="s">
        <v>244</v>
      </c>
      <c r="G81" s="283" t="s">
        <v>784</v>
      </c>
      <c r="H81" s="2" t="s">
        <v>46</v>
      </c>
      <c r="I81" s="97" t="s">
        <v>785</v>
      </c>
      <c r="J81" s="97" t="s">
        <v>786</v>
      </c>
      <c r="K81" s="7"/>
      <c r="L81" s="262">
        <v>45323</v>
      </c>
      <c r="M81" s="281" t="s">
        <v>592</v>
      </c>
      <c r="N81" s="2" t="s">
        <v>244</v>
      </c>
      <c r="O81" s="268" t="s">
        <v>787</v>
      </c>
      <c r="P81" s="149" t="s">
        <v>814</v>
      </c>
      <c r="Q81" s="257">
        <v>45657</v>
      </c>
      <c r="R81" s="234">
        <f>_xlfn.XLOOKUP(Tb_Portfólio11[[#This Row],[SEI]],Tb_Atualizações[PROCESSO SEI],Tb_Atualizações[% EXECUTADO],"",0,-1)</f>
        <v>1</v>
      </c>
      <c r="S81" s="408" t="str">
        <f>IFERROR(Tb_Portfólio11[[#This Row],[% EXECUTADO]]/#REF!,"0%")</f>
        <v>0%</v>
      </c>
      <c r="T81" s="146">
        <f>_xlfn.XLOOKUP(Tb_Portfólio11[[#This Row],[SEI]],Tb_Atualizações[PROCESSO SEI],Tb_Atualizações[DATA DE ATUALIZAÇÃO],"",0,-1)</f>
        <v>45642</v>
      </c>
      <c r="U81" s="336">
        <f>_xlfn.XLOOKUP(Tb_Portfólio11[[#This Row],[SEI]],Tb_Atualizações[PROCESSO SEI],Tb_Atualizações[Mês],,0,-1)</f>
        <v>45627</v>
      </c>
      <c r="V81" s="259"/>
      <c r="W81" s="268" t="s">
        <v>787</v>
      </c>
      <c r="X8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1" s="414"/>
      <c r="Z81" s="236">
        <f>IFERROR(Tb_Portfólio11[[#This Row],[% EXECUTADO]]/#REF!,0)</f>
        <v>0</v>
      </c>
      <c r="AA81" s="292" t="s">
        <v>817</v>
      </c>
      <c r="AB81" s="413"/>
      <c r="AC81" s="413"/>
      <c r="AD81" s="420" t="s">
        <v>789</v>
      </c>
      <c r="AE81" s="281" t="s">
        <v>592</v>
      </c>
      <c r="AF81" s="2" t="s">
        <v>244</v>
      </c>
      <c r="AG81" s="97"/>
      <c r="AH81" s="292" t="s">
        <v>817</v>
      </c>
      <c r="AI81" s="273">
        <f t="shared" ca="1" si="2"/>
        <v>46176</v>
      </c>
      <c r="AJ81" s="297" t="s">
        <v>791</v>
      </c>
      <c r="AK81" s="7" t="s">
        <v>244</v>
      </c>
      <c r="AM81" s="79" t="str">
        <f>2024&amp;Tb_Portfólio11[[#This Row],[SEI]]</f>
        <v>20241746614/2024</v>
      </c>
      <c r="AN81" t="str">
        <f>IFERROR(IF(MATCH(AM81,Atualizações!$P$1:$P$1265,0)&gt;0, "Sim"), "Não")</f>
        <v>Sim</v>
      </c>
      <c r="AO81" s="79" t="str">
        <f>2025&amp;Tb_Portfólio11[[#This Row],[SEI]]</f>
        <v>20251746614/2024</v>
      </c>
      <c r="AP81" t="str">
        <f>IFERROR(IF(MATCH(AO81,Atualizações!$P$1:$P$1265,0)&gt;0, "Sim"), "Não")</f>
        <v>Não</v>
      </c>
      <c r="AQ81" s="79">
        <f>_xlfn.XLOOKUP(Tb_Portfólio11[[#This Row],[SEI]],Tb_Atualizações[PROCESSO SEI],Tb_Atualizações[Explicações],"",0,-1)</f>
        <v>0</v>
      </c>
    </row>
    <row r="82" spans="1:43" ht="120" hidden="1">
      <c r="A82" s="149" t="s">
        <v>818</v>
      </c>
      <c r="B82" s="103" t="s">
        <v>819</v>
      </c>
      <c r="C82" s="97" t="s">
        <v>820</v>
      </c>
      <c r="D82" s="97"/>
      <c r="E82" s="281" t="s">
        <v>592</v>
      </c>
      <c r="F82" s="2" t="s">
        <v>244</v>
      </c>
      <c r="G82" s="283" t="s">
        <v>784</v>
      </c>
      <c r="H82" s="2" t="s">
        <v>46</v>
      </c>
      <c r="I82" s="97" t="s">
        <v>785</v>
      </c>
      <c r="J82" s="97" t="s">
        <v>786</v>
      </c>
      <c r="K82" s="7"/>
      <c r="L82" s="262">
        <v>45323</v>
      </c>
      <c r="M82" s="281" t="s">
        <v>592</v>
      </c>
      <c r="N82" s="2" t="s">
        <v>244</v>
      </c>
      <c r="O82" s="268" t="s">
        <v>787</v>
      </c>
      <c r="P82" s="149" t="s">
        <v>818</v>
      </c>
      <c r="Q82" s="257">
        <v>45716</v>
      </c>
      <c r="R82" s="234">
        <f>_xlfn.XLOOKUP(Tb_Portfólio11[[#This Row],[SEI]],Tb_Atualizações[PROCESSO SEI],Tb_Atualizações[% EXECUTADO],"",0,-1)</f>
        <v>1</v>
      </c>
      <c r="S82" s="408" t="str">
        <f>IFERROR(Tb_Portfólio11[[#This Row],[% EXECUTADO]]/#REF!,"0%")</f>
        <v>0%</v>
      </c>
      <c r="T82" s="146">
        <f>_xlfn.XLOOKUP(Tb_Portfólio11[[#This Row],[SEI]],Tb_Atualizações[PROCESSO SEI],Tb_Atualizações[DATA DE ATUALIZAÇÃO],"",0,-1)</f>
        <v>45642</v>
      </c>
      <c r="U82" s="336">
        <f>_xlfn.XLOOKUP(Tb_Portfólio11[[#This Row],[SEI]],Tb_Atualizações[PROCESSO SEI],Tb_Atualizações[Mês],,0,-1)</f>
        <v>45627</v>
      </c>
      <c r="V82" s="259"/>
      <c r="W82" s="268" t="s">
        <v>787</v>
      </c>
      <c r="X82"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2" s="414"/>
      <c r="Z82" s="236">
        <f>IFERROR(Tb_Portfólio11[[#This Row],[% EXECUTADO]]/#REF!,0)</f>
        <v>0</v>
      </c>
      <c r="AA82" s="293" t="s">
        <v>821</v>
      </c>
      <c r="AB82" s="413"/>
      <c r="AC82" s="413"/>
      <c r="AD82" s="420" t="s">
        <v>789</v>
      </c>
      <c r="AE82" s="281" t="s">
        <v>592</v>
      </c>
      <c r="AF82" s="2" t="s">
        <v>244</v>
      </c>
      <c r="AG82" s="97"/>
      <c r="AH82" s="293"/>
      <c r="AI82" s="273">
        <f t="shared" ca="1" si="2"/>
        <v>46176</v>
      </c>
      <c r="AJ82" s="297" t="s">
        <v>791</v>
      </c>
      <c r="AK82" s="7" t="s">
        <v>244</v>
      </c>
      <c r="AM82" s="79" t="str">
        <f>2024&amp;Tb_Portfólio11[[#This Row],[SEI]]</f>
        <v>20241746615/2024</v>
      </c>
      <c r="AN82" t="str">
        <f>IFERROR(IF(MATCH(AM82,Atualizações!$P$1:$P$1265,0)&gt;0, "Sim"), "Não")</f>
        <v>Sim</v>
      </c>
      <c r="AO82" s="79" t="str">
        <f>2025&amp;Tb_Portfólio11[[#This Row],[SEI]]</f>
        <v>20251746615/2024</v>
      </c>
      <c r="AP82" t="str">
        <f>IFERROR(IF(MATCH(AO82,Atualizações!$P$1:$P$1265,0)&gt;0, "Sim"), "Não")</f>
        <v>Não</v>
      </c>
      <c r="AQ82" s="79">
        <f>_xlfn.XLOOKUP(Tb_Portfólio11[[#This Row],[SEI]],Tb_Atualizações[PROCESSO SEI],Tb_Atualizações[Explicações],"",0,-1)</f>
        <v>0</v>
      </c>
    </row>
    <row r="83" spans="1:43" ht="120" hidden="1">
      <c r="A83" s="149" t="s">
        <v>822</v>
      </c>
      <c r="B83" s="103" t="s">
        <v>823</v>
      </c>
      <c r="C83" s="97" t="s">
        <v>824</v>
      </c>
      <c r="D83" s="97"/>
      <c r="E83" s="281" t="s">
        <v>592</v>
      </c>
      <c r="F83" s="2" t="s">
        <v>244</v>
      </c>
      <c r="G83" s="283" t="s">
        <v>784</v>
      </c>
      <c r="H83" s="2" t="s">
        <v>46</v>
      </c>
      <c r="I83" s="97" t="s">
        <v>785</v>
      </c>
      <c r="J83" s="97" t="s">
        <v>786</v>
      </c>
      <c r="K83" s="7"/>
      <c r="L83" s="262">
        <v>45323</v>
      </c>
      <c r="M83" s="281" t="s">
        <v>592</v>
      </c>
      <c r="N83" s="2" t="s">
        <v>244</v>
      </c>
      <c r="O83" s="268" t="s">
        <v>787</v>
      </c>
      <c r="P83" s="149" t="s">
        <v>822</v>
      </c>
      <c r="Q83" s="257">
        <v>45657</v>
      </c>
      <c r="R83" s="234">
        <f>_xlfn.XLOOKUP(Tb_Portfólio11[[#This Row],[SEI]],Tb_Atualizações[PROCESSO SEI],Tb_Atualizações[% EXECUTADO],"",0,-1)</f>
        <v>1</v>
      </c>
      <c r="S83" s="408" t="str">
        <f>IFERROR(Tb_Portfólio11[[#This Row],[% EXECUTADO]]/#REF!,"0%")</f>
        <v>0%</v>
      </c>
      <c r="T83" s="146">
        <f>_xlfn.XLOOKUP(Tb_Portfólio11[[#This Row],[SEI]],Tb_Atualizações[PROCESSO SEI],Tb_Atualizações[DATA DE ATUALIZAÇÃO],"",0,-1)</f>
        <v>45642</v>
      </c>
      <c r="U83" s="336">
        <f>_xlfn.XLOOKUP(Tb_Portfólio11[[#This Row],[SEI]],Tb_Atualizações[PROCESSO SEI],Tb_Atualizações[Mês],,0,-1)</f>
        <v>45627</v>
      </c>
      <c r="V83" s="259"/>
      <c r="W83" s="268" t="s">
        <v>787</v>
      </c>
      <c r="X83"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3" s="414"/>
      <c r="Z83" s="236">
        <f>IFERROR(Tb_Portfólio11[[#This Row],[% EXECUTADO]]/#REF!,0)</f>
        <v>0</v>
      </c>
      <c r="AA83" s="292" t="s">
        <v>825</v>
      </c>
      <c r="AB83" s="413"/>
      <c r="AC83" s="413"/>
      <c r="AD83" s="420" t="s">
        <v>789</v>
      </c>
      <c r="AE83" s="281" t="s">
        <v>592</v>
      </c>
      <c r="AF83" s="2" t="s">
        <v>244</v>
      </c>
      <c r="AG83" s="97"/>
      <c r="AH83" s="292" t="s">
        <v>825</v>
      </c>
      <c r="AI83" s="273">
        <f t="shared" ca="1" si="2"/>
        <v>46176</v>
      </c>
      <c r="AJ83" s="297" t="s">
        <v>791</v>
      </c>
      <c r="AK83" s="7" t="s">
        <v>244</v>
      </c>
      <c r="AM83" s="79" t="str">
        <f>2024&amp;Tb_Portfólio11[[#This Row],[SEI]]</f>
        <v>20241746616/2024</v>
      </c>
      <c r="AN83" t="str">
        <f>IFERROR(IF(MATCH(AM83,Atualizações!$P$1:$P$1265,0)&gt;0, "Sim"), "Não")</f>
        <v>Sim</v>
      </c>
      <c r="AO83" s="79" t="str">
        <f>2025&amp;Tb_Portfólio11[[#This Row],[SEI]]</f>
        <v>20251746616/2024</v>
      </c>
      <c r="AP83" t="str">
        <f>IFERROR(IF(MATCH(AO83,Atualizações!$P$1:$P$1265,0)&gt;0, "Sim"), "Não")</f>
        <v>Não</v>
      </c>
      <c r="AQ83" s="79">
        <f>_xlfn.XLOOKUP(Tb_Portfólio11[[#This Row],[SEI]],Tb_Atualizações[PROCESSO SEI],Tb_Atualizações[Explicações],"",0,-1)</f>
        <v>0</v>
      </c>
    </row>
    <row r="84" spans="1:43" ht="120" hidden="1">
      <c r="A84" s="149" t="s">
        <v>826</v>
      </c>
      <c r="B84" s="103" t="s">
        <v>827</v>
      </c>
      <c r="C84" s="97" t="s">
        <v>828</v>
      </c>
      <c r="D84" s="97"/>
      <c r="E84" s="281" t="s">
        <v>592</v>
      </c>
      <c r="F84" s="2" t="s">
        <v>244</v>
      </c>
      <c r="G84" s="283" t="s">
        <v>784</v>
      </c>
      <c r="H84" s="2" t="s">
        <v>46</v>
      </c>
      <c r="I84" s="97" t="s">
        <v>785</v>
      </c>
      <c r="J84" s="97" t="s">
        <v>786</v>
      </c>
      <c r="K84" s="7"/>
      <c r="L84" s="262">
        <v>45323</v>
      </c>
      <c r="M84" s="281" t="s">
        <v>592</v>
      </c>
      <c r="N84" s="2" t="s">
        <v>244</v>
      </c>
      <c r="O84" s="268" t="s">
        <v>787</v>
      </c>
      <c r="P84" s="149" t="s">
        <v>826</v>
      </c>
      <c r="Q84" s="257">
        <v>45657</v>
      </c>
      <c r="R84" s="234">
        <f>_xlfn.XLOOKUP(Tb_Portfólio11[[#This Row],[SEI]],Tb_Atualizações[PROCESSO SEI],Tb_Atualizações[% EXECUTADO],"",0,-1)</f>
        <v>1</v>
      </c>
      <c r="S84" s="408" t="str">
        <f>IFERROR(Tb_Portfólio11[[#This Row],[% EXECUTADO]]/#REF!,"0%")</f>
        <v>0%</v>
      </c>
      <c r="T84" s="146">
        <f>_xlfn.XLOOKUP(Tb_Portfólio11[[#This Row],[SEI]],Tb_Atualizações[PROCESSO SEI],Tb_Atualizações[DATA DE ATUALIZAÇÃO],"",0,-1)</f>
        <v>45642</v>
      </c>
      <c r="U84" s="336">
        <f>_xlfn.XLOOKUP(Tb_Portfólio11[[#This Row],[SEI]],Tb_Atualizações[PROCESSO SEI],Tb_Atualizações[Mês],,0,-1)</f>
        <v>45627</v>
      </c>
      <c r="V84" s="259"/>
      <c r="W84" s="268" t="s">
        <v>787</v>
      </c>
      <c r="X84"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4" s="414"/>
      <c r="Z84" s="236">
        <f>IFERROR(Tb_Portfólio11[[#This Row],[% EXECUTADO]]/#REF!,0)</f>
        <v>0</v>
      </c>
      <c r="AA84" s="292" t="s">
        <v>829</v>
      </c>
      <c r="AB84" s="413"/>
      <c r="AC84" s="413"/>
      <c r="AD84" s="420" t="s">
        <v>789</v>
      </c>
      <c r="AE84" s="281" t="s">
        <v>592</v>
      </c>
      <c r="AF84" s="2" t="s">
        <v>244</v>
      </c>
      <c r="AG84" s="97"/>
      <c r="AH84" s="292" t="s">
        <v>829</v>
      </c>
      <c r="AI84" s="273">
        <f t="shared" ca="1" si="2"/>
        <v>46176</v>
      </c>
      <c r="AJ84" s="297" t="s">
        <v>791</v>
      </c>
      <c r="AK84" s="7" t="s">
        <v>244</v>
      </c>
      <c r="AM84" s="79" t="str">
        <f>2024&amp;Tb_Portfólio11[[#This Row],[SEI]]</f>
        <v>20241746617/2024</v>
      </c>
      <c r="AN84" t="str">
        <f>IFERROR(IF(MATCH(AM84,Atualizações!$P$1:$P$1265,0)&gt;0, "Sim"), "Não")</f>
        <v>Sim</v>
      </c>
      <c r="AO84" s="79" t="str">
        <f>2025&amp;Tb_Portfólio11[[#This Row],[SEI]]</f>
        <v>20251746617/2024</v>
      </c>
      <c r="AP84" t="str">
        <f>IFERROR(IF(MATCH(AO84,Atualizações!$P$1:$P$1265,0)&gt;0, "Sim"), "Não")</f>
        <v>Não</v>
      </c>
      <c r="AQ84" s="79">
        <f>_xlfn.XLOOKUP(Tb_Portfólio11[[#This Row],[SEI]],Tb_Atualizações[PROCESSO SEI],Tb_Atualizações[Explicações],"",0,-1)</f>
        <v>0</v>
      </c>
    </row>
    <row r="85" spans="1:43" ht="120" hidden="1">
      <c r="A85" s="149" t="s">
        <v>830</v>
      </c>
      <c r="B85" s="103" t="s">
        <v>831</v>
      </c>
      <c r="C85" s="97" t="s">
        <v>832</v>
      </c>
      <c r="D85" s="97"/>
      <c r="E85" s="281" t="s">
        <v>592</v>
      </c>
      <c r="F85" s="2" t="s">
        <v>244</v>
      </c>
      <c r="G85" s="283" t="s">
        <v>784</v>
      </c>
      <c r="H85" s="2" t="s">
        <v>46</v>
      </c>
      <c r="I85" s="97" t="s">
        <v>785</v>
      </c>
      <c r="J85" s="97" t="s">
        <v>786</v>
      </c>
      <c r="K85" s="7"/>
      <c r="L85" s="262">
        <v>45323</v>
      </c>
      <c r="M85" s="281" t="s">
        <v>592</v>
      </c>
      <c r="N85" s="2" t="s">
        <v>244</v>
      </c>
      <c r="O85" s="268" t="s">
        <v>787</v>
      </c>
      <c r="P85" s="149" t="s">
        <v>830</v>
      </c>
      <c r="Q85" s="257">
        <v>45657</v>
      </c>
      <c r="R85" s="234">
        <f>_xlfn.XLOOKUP(Tb_Portfólio11[[#This Row],[SEI]],Tb_Atualizações[PROCESSO SEI],Tb_Atualizações[% EXECUTADO],"",0,-1)</f>
        <v>1</v>
      </c>
      <c r="S85" s="408" t="str">
        <f>IFERROR(Tb_Portfólio11[[#This Row],[% EXECUTADO]]/#REF!,"0%")</f>
        <v>0%</v>
      </c>
      <c r="T85" s="146">
        <f>_xlfn.XLOOKUP(Tb_Portfólio11[[#This Row],[SEI]],Tb_Atualizações[PROCESSO SEI],Tb_Atualizações[DATA DE ATUALIZAÇÃO],"",0,-1)</f>
        <v>45642</v>
      </c>
      <c r="U85" s="336">
        <f>_xlfn.XLOOKUP(Tb_Portfólio11[[#This Row],[SEI]],Tb_Atualizações[PROCESSO SEI],Tb_Atualizações[Mês],,0,-1)</f>
        <v>45627</v>
      </c>
      <c r="V85" s="259"/>
      <c r="W85" s="268" t="s">
        <v>787</v>
      </c>
      <c r="X85"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5" s="414"/>
      <c r="Z85" s="236">
        <f>IFERROR(Tb_Portfólio11[[#This Row],[% EXECUTADO]]/#REF!,0)</f>
        <v>0</v>
      </c>
      <c r="AA85" s="292" t="s">
        <v>833</v>
      </c>
      <c r="AB85" s="413"/>
      <c r="AC85" s="413"/>
      <c r="AD85" s="420" t="s">
        <v>789</v>
      </c>
      <c r="AE85" s="281" t="s">
        <v>592</v>
      </c>
      <c r="AF85" s="2" t="s">
        <v>244</v>
      </c>
      <c r="AG85" s="97"/>
      <c r="AH85" s="292" t="s">
        <v>833</v>
      </c>
      <c r="AI85" s="273">
        <f t="shared" ca="1" si="2"/>
        <v>46176</v>
      </c>
      <c r="AJ85" s="297" t="s">
        <v>791</v>
      </c>
      <c r="AK85" s="7" t="s">
        <v>244</v>
      </c>
      <c r="AM85" s="79" t="str">
        <f>2024&amp;Tb_Portfólio11[[#This Row],[SEI]]</f>
        <v>20241746618/2024</v>
      </c>
      <c r="AN85" t="str">
        <f>IFERROR(IF(MATCH(AM85,Atualizações!$P$1:$P$1265,0)&gt;0, "Sim"), "Não")</f>
        <v>Sim</v>
      </c>
      <c r="AO85" s="79" t="str">
        <f>2025&amp;Tb_Portfólio11[[#This Row],[SEI]]</f>
        <v>20251746618/2024</v>
      </c>
      <c r="AP85" t="str">
        <f>IFERROR(IF(MATCH(AO85,Atualizações!$P$1:$P$1265,0)&gt;0, "Sim"), "Não")</f>
        <v>Não</v>
      </c>
      <c r="AQ85" s="79">
        <f>_xlfn.XLOOKUP(Tb_Portfólio11[[#This Row],[SEI]],Tb_Atualizações[PROCESSO SEI],Tb_Atualizações[Explicações],"",0,-1)</f>
        <v>0</v>
      </c>
    </row>
    <row r="86" spans="1:43" ht="120" hidden="1">
      <c r="A86" s="149" t="s">
        <v>834</v>
      </c>
      <c r="B86" s="103" t="s">
        <v>835</v>
      </c>
      <c r="C86" s="97" t="s">
        <v>836</v>
      </c>
      <c r="D86" s="97"/>
      <c r="E86" s="281" t="s">
        <v>592</v>
      </c>
      <c r="F86" s="2" t="s">
        <v>244</v>
      </c>
      <c r="G86" s="283" t="s">
        <v>784</v>
      </c>
      <c r="H86" s="2" t="s">
        <v>46</v>
      </c>
      <c r="I86" s="97" t="s">
        <v>785</v>
      </c>
      <c r="J86" s="97" t="s">
        <v>786</v>
      </c>
      <c r="K86" s="7"/>
      <c r="L86" s="262">
        <v>45323</v>
      </c>
      <c r="M86" s="281" t="s">
        <v>592</v>
      </c>
      <c r="N86" s="2" t="s">
        <v>244</v>
      </c>
      <c r="O86" s="268" t="s">
        <v>787</v>
      </c>
      <c r="P86" s="149" t="s">
        <v>834</v>
      </c>
      <c r="Q86" s="257">
        <v>46011</v>
      </c>
      <c r="R86" s="234">
        <f>_xlfn.XLOOKUP(Tb_Portfólio11[[#This Row],[SEI]],Tb_Atualizações[PROCESSO SEI],Tb_Atualizações[% EXECUTADO],"",0,-1)</f>
        <v>1</v>
      </c>
      <c r="S86" s="408" t="str">
        <f>IFERROR(Tb_Portfólio11[[#This Row],[% EXECUTADO]]/#REF!,"0%")</f>
        <v>0%</v>
      </c>
      <c r="T86" s="146">
        <f>_xlfn.XLOOKUP(Tb_Portfólio11[[#This Row],[SEI]],Tb_Atualizações[PROCESSO SEI],Tb_Atualizações[DATA DE ATUALIZAÇÃO],"",0,-1)</f>
        <v>45950</v>
      </c>
      <c r="U86" s="336">
        <f>_xlfn.XLOOKUP(Tb_Portfólio11[[#This Row],[SEI]],Tb_Atualizações[PROCESSO SEI],Tb_Atualizações[Mês],,0,-1)</f>
        <v>45992</v>
      </c>
      <c r="V86" s="259"/>
      <c r="W86" s="268" t="s">
        <v>787</v>
      </c>
      <c r="X8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6" s="414"/>
      <c r="Z86" s="236">
        <f>IFERROR(Tb_Portfólio11[[#This Row],[% EXECUTADO]]/#REF!,0)</f>
        <v>0</v>
      </c>
      <c r="AA86" s="292" t="s">
        <v>837</v>
      </c>
      <c r="AB86" s="413"/>
      <c r="AC86" s="413"/>
      <c r="AD86" s="420" t="s">
        <v>789</v>
      </c>
      <c r="AE86" s="281" t="s">
        <v>592</v>
      </c>
      <c r="AF86" s="2" t="s">
        <v>244</v>
      </c>
      <c r="AG86" s="97"/>
      <c r="AH86" s="292" t="s">
        <v>838</v>
      </c>
      <c r="AI86" s="273">
        <f t="shared" ca="1" si="2"/>
        <v>46176</v>
      </c>
      <c r="AJ86" s="297" t="s">
        <v>791</v>
      </c>
      <c r="AK86" s="7" t="s">
        <v>244</v>
      </c>
      <c r="AM86" s="79" t="str">
        <f>2024&amp;Tb_Portfólio11[[#This Row],[SEI]]</f>
        <v>20241746619/2024</v>
      </c>
      <c r="AN86" t="str">
        <f>IFERROR(IF(MATCH(AM86,Atualizações!$P$1:$P$1265,0)&gt;0, "Sim"), "Não")</f>
        <v>Sim</v>
      </c>
      <c r="AO86" s="79" t="str">
        <f>2025&amp;Tb_Portfólio11[[#This Row],[SEI]]</f>
        <v>20251746619/2024</v>
      </c>
      <c r="AP86" t="str">
        <f>IFERROR(IF(MATCH(AO86,Atualizações!$P$1:$P$1265,0)&gt;0, "Sim"), "Não")</f>
        <v>Sim</v>
      </c>
      <c r="AQ86" s="79">
        <f>_xlfn.XLOOKUP(Tb_Portfólio11[[#This Row],[SEI]],Tb_Atualizações[PROCESSO SEI],Tb_Atualizações[Explicações],"",0,-1)</f>
        <v>0</v>
      </c>
    </row>
    <row r="87" spans="1:43" ht="120" hidden="1">
      <c r="A87" s="149" t="s">
        <v>839</v>
      </c>
      <c r="B87" s="103" t="s">
        <v>840</v>
      </c>
      <c r="C87" s="97" t="s">
        <v>841</v>
      </c>
      <c r="D87" s="97"/>
      <c r="E87" s="281" t="s">
        <v>592</v>
      </c>
      <c r="F87" s="2" t="s">
        <v>244</v>
      </c>
      <c r="G87" s="295" t="s">
        <v>784</v>
      </c>
      <c r="H87" s="2" t="s">
        <v>46</v>
      </c>
      <c r="I87" s="97" t="s">
        <v>785</v>
      </c>
      <c r="J87" s="97" t="s">
        <v>786</v>
      </c>
      <c r="K87" s="7"/>
      <c r="L87" s="262">
        <v>45323</v>
      </c>
      <c r="M87" s="281" t="s">
        <v>592</v>
      </c>
      <c r="N87" s="2" t="s">
        <v>244</v>
      </c>
      <c r="O87" s="268" t="s">
        <v>787</v>
      </c>
      <c r="P87" s="149" t="s">
        <v>839</v>
      </c>
      <c r="Q87" s="257">
        <v>45657</v>
      </c>
      <c r="R87" s="234">
        <f>_xlfn.XLOOKUP(Tb_Portfólio11[[#This Row],[SEI]],Tb_Atualizações[PROCESSO SEI],Tb_Atualizações[% EXECUTADO],"",0,-1)</f>
        <v>1</v>
      </c>
      <c r="S87" s="408" t="str">
        <f>IFERROR(Tb_Portfólio11[[#This Row],[% EXECUTADO]]/#REF!,"0%")</f>
        <v>0%</v>
      </c>
      <c r="T87" s="146">
        <f>_xlfn.XLOOKUP(Tb_Portfólio11[[#This Row],[SEI]],Tb_Atualizações[PROCESSO SEI],Tb_Atualizações[DATA DE ATUALIZAÇÃO],"",0,-1)</f>
        <v>45642</v>
      </c>
      <c r="U87" s="336">
        <f>_xlfn.XLOOKUP(Tb_Portfólio11[[#This Row],[SEI]],Tb_Atualizações[PROCESSO SEI],Tb_Atualizações[Mês],,0,-1)</f>
        <v>45627</v>
      </c>
      <c r="V87" s="259"/>
      <c r="W87" s="268" t="s">
        <v>787</v>
      </c>
      <c r="X8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7" s="414"/>
      <c r="Z87" s="236">
        <f>IFERROR(Tb_Portfólio11[[#This Row],[% EXECUTADO]]/#REF!,0)</f>
        <v>0</v>
      </c>
      <c r="AA87" s="291" t="s">
        <v>842</v>
      </c>
      <c r="AB87" s="418"/>
      <c r="AC87" s="418"/>
      <c r="AD87" s="419" t="s">
        <v>789</v>
      </c>
      <c r="AE87" s="281" t="s">
        <v>592</v>
      </c>
      <c r="AF87" s="2" t="s">
        <v>244</v>
      </c>
      <c r="AG87" s="97"/>
      <c r="AH87" s="292" t="s">
        <v>843</v>
      </c>
      <c r="AI87" s="273">
        <f t="shared" ca="1" si="2"/>
        <v>46176</v>
      </c>
      <c r="AJ87" s="296" t="s">
        <v>791</v>
      </c>
      <c r="AK87" s="7" t="s">
        <v>244</v>
      </c>
      <c r="AM87" s="79" t="str">
        <f>2024&amp;Tb_Portfólio11[[#This Row],[SEI]]</f>
        <v>2024174662/2024</v>
      </c>
      <c r="AN87" t="str">
        <f>IFERROR(IF(MATCH(AM87,Atualizações!$P$1:$P$1265,0)&gt;0, "Sim"), "Não")</f>
        <v>Sim</v>
      </c>
      <c r="AO87" s="79" t="str">
        <f>2025&amp;Tb_Portfólio11[[#This Row],[SEI]]</f>
        <v>2025174662/2024</v>
      </c>
      <c r="AP87" t="str">
        <f>IFERROR(IF(MATCH(AO87,Atualizações!$P$1:$P$1265,0)&gt;0, "Sim"), "Não")</f>
        <v>Não</v>
      </c>
      <c r="AQ87" s="79">
        <f>_xlfn.XLOOKUP(Tb_Portfólio11[[#This Row],[SEI]],Tb_Atualizações[PROCESSO SEI],Tb_Atualizações[Explicações],"",0,-1)</f>
        <v>0</v>
      </c>
    </row>
    <row r="88" spans="1:43" ht="135" hidden="1">
      <c r="A88" s="149" t="s">
        <v>844</v>
      </c>
      <c r="B88" s="103" t="s">
        <v>845</v>
      </c>
      <c r="C88" s="97" t="s">
        <v>846</v>
      </c>
      <c r="D88" s="97"/>
      <c r="E88" s="285" t="s">
        <v>592</v>
      </c>
      <c r="F88" s="2" t="s">
        <v>244</v>
      </c>
      <c r="G88" s="377" t="s">
        <v>784</v>
      </c>
      <c r="H88" s="2" t="s">
        <v>46</v>
      </c>
      <c r="I88" s="79" t="s">
        <v>785</v>
      </c>
      <c r="J88" s="79" t="s">
        <v>786</v>
      </c>
      <c r="K88" s="19"/>
      <c r="L88" s="262">
        <v>45323</v>
      </c>
      <c r="M88" s="281" t="s">
        <v>592</v>
      </c>
      <c r="N88" s="2" t="s">
        <v>244</v>
      </c>
      <c r="O88" s="7" t="s">
        <v>787</v>
      </c>
      <c r="P88" s="149" t="s">
        <v>844</v>
      </c>
      <c r="Q88" s="257">
        <v>46022</v>
      </c>
      <c r="R88" s="234">
        <f>_xlfn.XLOOKUP(Tb_Portfólio11[[#This Row],[SEI]],Tb_Atualizações[PROCESSO SEI],Tb_Atualizações[% EXECUTADO],"",0,-1)</f>
        <v>0.75</v>
      </c>
      <c r="S88" s="408" t="str">
        <f>IFERROR(Tb_Portfólio11[[#This Row],[% EXECUTADO]]/#REF!,"0%")</f>
        <v>0%</v>
      </c>
      <c r="T88" s="146">
        <f>_xlfn.XLOOKUP(Tb_Portfólio11[[#This Row],[SEI]],Tb_Atualizações[PROCESSO SEI],Tb_Atualizações[DATA DE ATUALIZAÇÃO],"",0,-1)</f>
        <v>46155</v>
      </c>
      <c r="U88" s="336">
        <f>_xlfn.XLOOKUP(Tb_Portfólio11[[#This Row],[SEI]],Tb_Atualizações[PROCESSO SEI],Tb_Atualizações[Mês],,0,-1)</f>
        <v>46113</v>
      </c>
      <c r="V88" s="259"/>
      <c r="W88" s="7" t="s">
        <v>787</v>
      </c>
      <c r="X88"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88" s="414"/>
      <c r="Z88" s="236">
        <f>IFERROR(Tb_Portfólio11[[#This Row],[% EXECUTADO]]/#REF!,0)</f>
        <v>0</v>
      </c>
      <c r="AA88" s="302" t="s">
        <v>847</v>
      </c>
      <c r="AB88" s="413"/>
      <c r="AC88" s="413"/>
      <c r="AD88" s="420" t="s">
        <v>789</v>
      </c>
      <c r="AE88" s="281" t="s">
        <v>592</v>
      </c>
      <c r="AF88" s="2" t="s">
        <v>244</v>
      </c>
      <c r="AG88" s="97"/>
      <c r="AH88" s="330" t="s">
        <v>848</v>
      </c>
      <c r="AI88" s="273">
        <f t="shared" ca="1" si="2"/>
        <v>46176</v>
      </c>
      <c r="AJ88" s="297" t="s">
        <v>791</v>
      </c>
      <c r="AK88" s="7" t="s">
        <v>244</v>
      </c>
      <c r="AM88" s="79" t="str">
        <f>2024&amp;Tb_Portfólio11[[#This Row],[SEI]]</f>
        <v>20241746620/2024</v>
      </c>
      <c r="AN88" t="str">
        <f>IFERROR(IF(MATCH(AM88,Atualizações!$P$1:$P$1265,0)&gt;0, "Sim"), "Não")</f>
        <v>Sim</v>
      </c>
      <c r="AO88" s="79" t="str">
        <f>2025&amp;Tb_Portfólio11[[#This Row],[SEI]]</f>
        <v>20251746620/2024</v>
      </c>
      <c r="AP88" t="str">
        <f>IFERROR(IF(MATCH(AO88,Atualizações!$P$1:$P$1265,0)&gt;0, "Sim"), "Não")</f>
        <v>Sim</v>
      </c>
      <c r="AQ88" s="79">
        <f>_xlfn.XLOOKUP(Tb_Portfólio11[[#This Row],[SEI]],Tb_Atualizações[PROCESSO SEI],Tb_Atualizações[Explicações],"",0,-1)</f>
        <v>0</v>
      </c>
    </row>
    <row r="89" spans="1:43" ht="120" hidden="1">
      <c r="A89" s="149" t="s">
        <v>849</v>
      </c>
      <c r="B89" s="103" t="s">
        <v>850</v>
      </c>
      <c r="C89" s="97" t="s">
        <v>851</v>
      </c>
      <c r="D89" s="97"/>
      <c r="E89" s="285" t="s">
        <v>592</v>
      </c>
      <c r="F89" s="7" t="s">
        <v>244</v>
      </c>
      <c r="G89" s="283" t="s">
        <v>784</v>
      </c>
      <c r="H89" s="2" t="s">
        <v>46</v>
      </c>
      <c r="I89" s="97" t="s">
        <v>785</v>
      </c>
      <c r="J89" s="97" t="s">
        <v>786</v>
      </c>
      <c r="K89" s="7"/>
      <c r="L89" s="262">
        <v>45323</v>
      </c>
      <c r="M89" s="281" t="s">
        <v>592</v>
      </c>
      <c r="N89" s="2" t="s">
        <v>244</v>
      </c>
      <c r="O89" s="268" t="s">
        <v>787</v>
      </c>
      <c r="P89" s="149" t="s">
        <v>849</v>
      </c>
      <c r="Q89" s="257">
        <v>45657</v>
      </c>
      <c r="R89" s="258">
        <f>_xlfn.XLOOKUP(Tb_Portfólio11[[#This Row],[SEI]],Tb_Atualizações[PROCESSO SEI],Tb_Atualizações[% EXECUTADO],"",0,-1)</f>
        <v>1</v>
      </c>
      <c r="S89" s="408" t="str">
        <f>IFERROR(Tb_Portfólio11[[#This Row],[% EXECUTADO]]/#REF!,"0%")</f>
        <v>0%</v>
      </c>
      <c r="T89" s="146">
        <f>_xlfn.XLOOKUP(Tb_Portfólio11[[#This Row],[SEI]],Tb_Atualizações[PROCESSO SEI],Tb_Atualizações[DATA DE ATUALIZAÇÃO],"",0,-1)</f>
        <v>45642</v>
      </c>
      <c r="U89" s="336">
        <f>_xlfn.XLOOKUP(Tb_Portfólio11[[#This Row],[SEI]],Tb_Atualizações[PROCESSO SEI],Tb_Atualizações[Mês],,0,-1)</f>
        <v>45627</v>
      </c>
      <c r="V89" s="259"/>
      <c r="W89" s="268" t="s">
        <v>787</v>
      </c>
      <c r="X8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89" s="414"/>
      <c r="Z89" s="236">
        <f>IFERROR(Tb_Portfólio11[[#This Row],[% EXECUTADO]]/#REF!,0)</f>
        <v>0</v>
      </c>
      <c r="AA89" s="326" t="s">
        <v>852</v>
      </c>
      <c r="AB89" s="413"/>
      <c r="AC89" s="413"/>
      <c r="AD89" s="420" t="s">
        <v>789</v>
      </c>
      <c r="AE89" s="281" t="s">
        <v>592</v>
      </c>
      <c r="AF89" s="2" t="s">
        <v>244</v>
      </c>
      <c r="AG89" s="97"/>
      <c r="AH89" s="330" t="s">
        <v>852</v>
      </c>
      <c r="AI89" s="273">
        <f t="shared" ca="1" si="2"/>
        <v>46176</v>
      </c>
      <c r="AJ89" s="297" t="s">
        <v>791</v>
      </c>
      <c r="AK89" s="19" t="s">
        <v>244</v>
      </c>
      <c r="AM89" s="79" t="str">
        <f>2024&amp;Tb_Portfólio11[[#This Row],[SEI]]</f>
        <v>20241746621/2024</v>
      </c>
      <c r="AN89" t="str">
        <f>IFERROR(IF(MATCH(AM89,Atualizações!$P$1:$P$1265,0)&gt;0, "Sim"), "Não")</f>
        <v>Sim</v>
      </c>
      <c r="AO89" s="79" t="str">
        <f>2025&amp;Tb_Portfólio11[[#This Row],[SEI]]</f>
        <v>20251746621/2024</v>
      </c>
      <c r="AP89" t="str">
        <f>IFERROR(IF(MATCH(AO89,Atualizações!$P$1:$P$1265,0)&gt;0, "Sim"), "Não")</f>
        <v>Não</v>
      </c>
      <c r="AQ89" s="79">
        <f>_xlfn.XLOOKUP(Tb_Portfólio11[[#This Row],[SEI]],Tb_Atualizações[PROCESSO SEI],Tb_Atualizações[Explicações],"",0,-1)</f>
        <v>0</v>
      </c>
    </row>
    <row r="90" spans="1:43" ht="180" hidden="1">
      <c r="A90" s="149" t="s">
        <v>853</v>
      </c>
      <c r="B90" s="103" t="s">
        <v>854</v>
      </c>
      <c r="C90" s="97" t="s">
        <v>855</v>
      </c>
      <c r="D90" s="97"/>
      <c r="E90" s="285" t="s">
        <v>592</v>
      </c>
      <c r="F90" s="2" t="s">
        <v>244</v>
      </c>
      <c r="G90" s="377" t="s">
        <v>784</v>
      </c>
      <c r="H90" s="7" t="s">
        <v>46</v>
      </c>
      <c r="I90" s="97" t="s">
        <v>785</v>
      </c>
      <c r="J90" s="97" t="s">
        <v>786</v>
      </c>
      <c r="K90" s="7"/>
      <c r="L90" s="262">
        <v>45323</v>
      </c>
      <c r="M90" s="285" t="s">
        <v>592</v>
      </c>
      <c r="N90" s="7" t="s">
        <v>244</v>
      </c>
      <c r="O90" s="268" t="s">
        <v>787</v>
      </c>
      <c r="P90" s="149" t="s">
        <v>853</v>
      </c>
      <c r="Q90" s="257">
        <v>45657</v>
      </c>
      <c r="R90" s="258">
        <f>_xlfn.XLOOKUP(Tb_Portfólio11[[#This Row],[SEI]],Tb_Atualizações[PROCESSO SEI],Tb_Atualizações[% EXECUTADO],"",0,-1)</f>
        <v>1</v>
      </c>
      <c r="S90" s="408" t="str">
        <f>IFERROR(Tb_Portfólio11[[#This Row],[% EXECUTADO]]/#REF!,"0%")</f>
        <v>0%</v>
      </c>
      <c r="T90" s="146">
        <f>_xlfn.XLOOKUP(Tb_Portfólio11[[#This Row],[SEI]],Tb_Atualizações[PROCESSO SEI],Tb_Atualizações[DATA DE ATUALIZAÇÃO],"",0,-1)</f>
        <v>45642</v>
      </c>
      <c r="U90" s="336">
        <f>_xlfn.XLOOKUP(Tb_Portfólio11[[#This Row],[SEI]],Tb_Atualizações[PROCESSO SEI],Tb_Atualizações[Mês],,0,-1)</f>
        <v>45627</v>
      </c>
      <c r="V90" s="259"/>
      <c r="W90" s="268" t="s">
        <v>787</v>
      </c>
      <c r="X90"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0" s="416"/>
      <c r="Z90" s="236">
        <f>IFERROR(Tb_Portfólio11[[#This Row],[% EXECUTADO]]/#REF!,0)</f>
        <v>0</v>
      </c>
      <c r="AA90" s="326" t="s">
        <v>856</v>
      </c>
      <c r="AB90" s="413"/>
      <c r="AC90" s="413"/>
      <c r="AD90" s="421" t="s">
        <v>789</v>
      </c>
      <c r="AE90" s="285" t="s">
        <v>592</v>
      </c>
      <c r="AF90" s="7" t="s">
        <v>244</v>
      </c>
      <c r="AG90" s="97"/>
      <c r="AH90" s="330" t="s">
        <v>856</v>
      </c>
      <c r="AI90" s="273">
        <f t="shared" ca="1" si="2"/>
        <v>46176</v>
      </c>
      <c r="AJ90" s="297" t="s">
        <v>791</v>
      </c>
      <c r="AK90" s="19" t="s">
        <v>244</v>
      </c>
      <c r="AM90" s="79" t="str">
        <f>2024&amp;Tb_Portfólio11[[#This Row],[SEI]]</f>
        <v>20241746622/2024</v>
      </c>
      <c r="AN90" t="str">
        <f>IFERROR(IF(MATCH(AM90,Atualizações!$P$1:$P$1265,0)&gt;0, "Sim"), "Não")</f>
        <v>Sim</v>
      </c>
      <c r="AO90" s="79" t="str">
        <f>2025&amp;Tb_Portfólio11[[#This Row],[SEI]]</f>
        <v>20251746622/2024</v>
      </c>
      <c r="AP90" t="str">
        <f>IFERROR(IF(MATCH(AO90,Atualizações!$P$1:$P$1265,0)&gt;0, "Sim"), "Não")</f>
        <v>Não</v>
      </c>
      <c r="AQ90" s="79">
        <f>_xlfn.XLOOKUP(Tb_Portfólio11[[#This Row],[SEI]],Tb_Atualizações[PROCESSO SEI],Tb_Atualizações[Explicações],"",0,-1)</f>
        <v>0</v>
      </c>
    </row>
    <row r="91" spans="1:43" ht="120" hidden="1">
      <c r="A91" s="149" t="s">
        <v>857</v>
      </c>
      <c r="B91" s="103" t="s">
        <v>858</v>
      </c>
      <c r="C91" s="97" t="s">
        <v>859</v>
      </c>
      <c r="D91" s="97"/>
      <c r="E91" s="285" t="s">
        <v>592</v>
      </c>
      <c r="F91" s="7" t="s">
        <v>244</v>
      </c>
      <c r="G91" s="283" t="s">
        <v>784</v>
      </c>
      <c r="H91" s="7" t="s">
        <v>46</v>
      </c>
      <c r="I91" s="97" t="s">
        <v>785</v>
      </c>
      <c r="J91" s="97" t="s">
        <v>786</v>
      </c>
      <c r="K91" s="7"/>
      <c r="L91" s="262">
        <v>45323</v>
      </c>
      <c r="M91" s="285" t="s">
        <v>592</v>
      </c>
      <c r="N91" s="7" t="s">
        <v>244</v>
      </c>
      <c r="O91" s="268" t="s">
        <v>787</v>
      </c>
      <c r="P91" s="149" t="s">
        <v>857</v>
      </c>
      <c r="Q91" s="257">
        <v>45657</v>
      </c>
      <c r="R91" s="258">
        <f>_xlfn.XLOOKUP(Tb_Portfólio11[[#This Row],[SEI]],Tb_Atualizações[PROCESSO SEI],Tb_Atualizações[% EXECUTADO],"",0,-1)</f>
        <v>1</v>
      </c>
      <c r="S91" s="408" t="str">
        <f>IFERROR(Tb_Portfólio11[[#This Row],[% EXECUTADO]]/#REF!,"0%")</f>
        <v>0%</v>
      </c>
      <c r="T91" s="146">
        <f>_xlfn.XLOOKUP(Tb_Portfólio11[[#This Row],[SEI]],Tb_Atualizações[PROCESSO SEI],Tb_Atualizações[DATA DE ATUALIZAÇÃO],"",0,-1)</f>
        <v>45642</v>
      </c>
      <c r="U91" s="336">
        <f>_xlfn.XLOOKUP(Tb_Portfólio11[[#This Row],[SEI]],Tb_Atualizações[PROCESSO SEI],Tb_Atualizações[Mês],,0,-1)</f>
        <v>45627</v>
      </c>
      <c r="V91" s="259"/>
      <c r="W91" s="268" t="s">
        <v>787</v>
      </c>
      <c r="X9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1" s="414"/>
      <c r="Z91" s="236">
        <f>IFERROR(Tb_Portfólio11[[#This Row],[% EXECUTADO]]/#REF!,0)</f>
        <v>0</v>
      </c>
      <c r="AA91" s="326" t="s">
        <v>860</v>
      </c>
      <c r="AB91" s="413"/>
      <c r="AC91" s="413"/>
      <c r="AD91" s="411" t="s">
        <v>789</v>
      </c>
      <c r="AE91" s="285" t="s">
        <v>592</v>
      </c>
      <c r="AF91" s="7" t="s">
        <v>244</v>
      </c>
      <c r="AG91" s="97"/>
      <c r="AH91" s="330" t="s">
        <v>860</v>
      </c>
      <c r="AI91" s="273">
        <f t="shared" ca="1" si="2"/>
        <v>46176</v>
      </c>
      <c r="AJ91" s="297" t="s">
        <v>791</v>
      </c>
      <c r="AK91" s="19" t="s">
        <v>244</v>
      </c>
      <c r="AM91" s="79" t="str">
        <f>2024&amp;Tb_Portfólio11[[#This Row],[SEI]]</f>
        <v>20241746623/2024</v>
      </c>
      <c r="AN91" t="str">
        <f>IFERROR(IF(MATCH(AM91,Atualizações!$P$1:$P$1265,0)&gt;0, "Sim"), "Não")</f>
        <v>Sim</v>
      </c>
      <c r="AO91" s="79" t="str">
        <f>2025&amp;Tb_Portfólio11[[#This Row],[SEI]]</f>
        <v>20251746623/2024</v>
      </c>
      <c r="AP91" t="str">
        <f>IFERROR(IF(MATCH(AO91,Atualizações!$P$1:$P$1265,0)&gt;0, "Sim"), "Não")</f>
        <v>Não</v>
      </c>
      <c r="AQ91" s="79">
        <f>_xlfn.XLOOKUP(Tb_Portfólio11[[#This Row],[SEI]],Tb_Atualizações[PROCESSO SEI],Tb_Atualizações[Explicações],"",0,-1)</f>
        <v>0</v>
      </c>
    </row>
    <row r="92" spans="1:43" ht="150" hidden="1" customHeight="1">
      <c r="A92" s="149" t="s">
        <v>861</v>
      </c>
      <c r="B92" s="103" t="s">
        <v>862</v>
      </c>
      <c r="C92" s="97" t="s">
        <v>863</v>
      </c>
      <c r="D92" s="97"/>
      <c r="E92" s="285" t="s">
        <v>592</v>
      </c>
      <c r="F92" s="7" t="s">
        <v>244</v>
      </c>
      <c r="G92" s="283" t="s">
        <v>784</v>
      </c>
      <c r="H92" s="7" t="s">
        <v>46</v>
      </c>
      <c r="I92" s="97" t="s">
        <v>785</v>
      </c>
      <c r="J92" s="97" t="s">
        <v>786</v>
      </c>
      <c r="K92" s="7"/>
      <c r="L92" s="262">
        <v>45323</v>
      </c>
      <c r="M92" s="372" t="s">
        <v>592</v>
      </c>
      <c r="N92" s="2" t="s">
        <v>244</v>
      </c>
      <c r="O92" s="268" t="s">
        <v>787</v>
      </c>
      <c r="P92" s="149" t="s">
        <v>861</v>
      </c>
      <c r="Q92" s="257">
        <v>45657</v>
      </c>
      <c r="R92" s="258">
        <f>_xlfn.XLOOKUP(Tb_Portfólio11[[#This Row],[SEI]],Tb_Atualizações[PROCESSO SEI],Tb_Atualizações[% EXECUTADO],"",0,-1)</f>
        <v>1</v>
      </c>
      <c r="S92" s="408" t="str">
        <f>IFERROR(Tb_Portfólio11[[#This Row],[% EXECUTADO]]/#REF!,"0%")</f>
        <v>0%</v>
      </c>
      <c r="T92" s="146">
        <f>_xlfn.XLOOKUP(Tb_Portfólio11[[#This Row],[SEI]],Tb_Atualizações[PROCESSO SEI],Tb_Atualizações[DATA DE ATUALIZAÇÃO],"",0,-1)</f>
        <v>45642</v>
      </c>
      <c r="U92" s="336">
        <f>_xlfn.XLOOKUP(Tb_Portfólio11[[#This Row],[SEI]],Tb_Atualizações[PROCESSO SEI],Tb_Atualizações[Mês],,0,-1)</f>
        <v>45627</v>
      </c>
      <c r="V92" s="259"/>
      <c r="W92" s="268" t="s">
        <v>787</v>
      </c>
      <c r="X92"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2" s="414"/>
      <c r="Z92" s="236">
        <f>IFERROR(Tb_Portfólio11[[#This Row],[% EXECUTADO]]/#REF!,0)</f>
        <v>0</v>
      </c>
      <c r="AA92" s="326" t="s">
        <v>864</v>
      </c>
      <c r="AB92" s="413"/>
      <c r="AC92" s="413"/>
      <c r="AD92" s="411" t="s">
        <v>789</v>
      </c>
      <c r="AE92" s="372" t="s">
        <v>592</v>
      </c>
      <c r="AF92" s="2" t="s">
        <v>244</v>
      </c>
      <c r="AG92" s="97"/>
      <c r="AH92" s="330" t="s">
        <v>864</v>
      </c>
      <c r="AI92" s="273">
        <f t="shared" ca="1" si="2"/>
        <v>46176</v>
      </c>
      <c r="AJ92" s="297" t="s">
        <v>791</v>
      </c>
      <c r="AK92" s="19" t="s">
        <v>244</v>
      </c>
      <c r="AM92" s="79" t="str">
        <f>2024&amp;Tb_Portfólio11[[#This Row],[SEI]]</f>
        <v>20241746624/2024</v>
      </c>
      <c r="AN92" t="str">
        <f>IFERROR(IF(MATCH(AM92,Atualizações!$P$1:$P$1265,0)&gt;0, "Sim"), "Não")</f>
        <v>Sim</v>
      </c>
      <c r="AO92" s="79" t="str">
        <f>2025&amp;Tb_Portfólio11[[#This Row],[SEI]]</f>
        <v>20251746624/2024</v>
      </c>
      <c r="AP92" t="str">
        <f>IFERROR(IF(MATCH(AO92,Atualizações!$P$1:$P$1265,0)&gt;0, "Sim"), "Não")</f>
        <v>Não</v>
      </c>
      <c r="AQ92" s="79">
        <f>_xlfn.XLOOKUP(Tb_Portfólio11[[#This Row],[SEI]],Tb_Atualizações[PROCESSO SEI],Tb_Atualizações[Explicações],"",0,-1)</f>
        <v>0</v>
      </c>
    </row>
    <row r="93" spans="1:43" ht="135" hidden="1">
      <c r="A93" s="149" t="s">
        <v>865</v>
      </c>
      <c r="B93" s="103" t="s">
        <v>866</v>
      </c>
      <c r="C93" s="97" t="s">
        <v>867</v>
      </c>
      <c r="D93" s="97"/>
      <c r="E93" s="285" t="s">
        <v>592</v>
      </c>
      <c r="F93" s="2" t="s">
        <v>244</v>
      </c>
      <c r="G93" s="283" t="s">
        <v>784</v>
      </c>
      <c r="H93" s="2" t="s">
        <v>46</v>
      </c>
      <c r="I93" s="97" t="s">
        <v>785</v>
      </c>
      <c r="J93" s="97" t="s">
        <v>786</v>
      </c>
      <c r="K93" s="7"/>
      <c r="L93" s="262">
        <v>45323</v>
      </c>
      <c r="M93" s="285" t="s">
        <v>592</v>
      </c>
      <c r="N93" s="7" t="s">
        <v>244</v>
      </c>
      <c r="O93" s="268" t="s">
        <v>787</v>
      </c>
      <c r="P93" s="149" t="s">
        <v>865</v>
      </c>
      <c r="Q93" s="257">
        <v>46011</v>
      </c>
      <c r="R93" s="258">
        <f>_xlfn.XLOOKUP(Tb_Portfólio11[[#This Row],[SEI]],Tb_Atualizações[PROCESSO SEI],Tb_Atualizações[% EXECUTADO],"",0,-1)</f>
        <v>0.75</v>
      </c>
      <c r="S93" s="408" t="str">
        <f>IFERROR(Tb_Portfólio11[[#This Row],[% EXECUTADO]]/#REF!,"0%")</f>
        <v>0%</v>
      </c>
      <c r="T93" s="146">
        <f>_xlfn.XLOOKUP(Tb_Portfólio11[[#This Row],[SEI]],Tb_Atualizações[PROCESSO SEI],Tb_Atualizações[DATA DE ATUALIZAÇÃO],"",0,-1)</f>
        <v>46155</v>
      </c>
      <c r="U93" s="336">
        <f>_xlfn.XLOOKUP(Tb_Portfólio11[[#This Row],[SEI]],Tb_Atualizações[PROCESSO SEI],Tb_Atualizações[Mês],,0,-1)</f>
        <v>46113</v>
      </c>
      <c r="V93" s="259"/>
      <c r="W93" s="268" t="s">
        <v>787</v>
      </c>
      <c r="X93"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93" s="414"/>
      <c r="Z93" s="236">
        <f>IFERROR(Tb_Portfólio11[[#This Row],[% EXECUTADO]]/#REF!,0)</f>
        <v>0</v>
      </c>
      <c r="AA93" s="326" t="s">
        <v>868</v>
      </c>
      <c r="AB93" s="413"/>
      <c r="AC93" s="413"/>
      <c r="AD93" s="411" t="s">
        <v>789</v>
      </c>
      <c r="AE93" s="285" t="s">
        <v>592</v>
      </c>
      <c r="AF93" s="7" t="s">
        <v>244</v>
      </c>
      <c r="AG93" s="97"/>
      <c r="AH93" s="330" t="s">
        <v>869</v>
      </c>
      <c r="AI93" s="273">
        <f t="shared" ca="1" si="2"/>
        <v>46176</v>
      </c>
      <c r="AJ93" s="297" t="s">
        <v>791</v>
      </c>
      <c r="AK93" s="19" t="s">
        <v>244</v>
      </c>
      <c r="AM93" s="79" t="str">
        <f>2024&amp;Tb_Portfólio11[[#This Row],[SEI]]</f>
        <v>20241746625/2024</v>
      </c>
      <c r="AN93" t="str">
        <f>IFERROR(IF(MATCH(AM93,Atualizações!$P$1:$P$1265,0)&gt;0, "Sim"), "Não")</f>
        <v>Sim</v>
      </c>
      <c r="AO93" s="79" t="str">
        <f>2025&amp;Tb_Portfólio11[[#This Row],[SEI]]</f>
        <v>20251746625/2024</v>
      </c>
      <c r="AP93" t="str">
        <f>IFERROR(IF(MATCH(AO93,Atualizações!$P$1:$P$1265,0)&gt;0, "Sim"), "Não")</f>
        <v>Sim</v>
      </c>
      <c r="AQ93" s="79">
        <f>_xlfn.XLOOKUP(Tb_Portfólio11[[#This Row],[SEI]],Tb_Atualizações[PROCESSO SEI],Tb_Atualizações[Explicações],"",0,-1)</f>
        <v>0</v>
      </c>
    </row>
    <row r="94" spans="1:43" ht="120" hidden="1">
      <c r="A94" s="149" t="s">
        <v>870</v>
      </c>
      <c r="B94" s="103" t="s">
        <v>871</v>
      </c>
      <c r="C94" s="97" t="s">
        <v>872</v>
      </c>
      <c r="D94" s="97"/>
      <c r="E94" s="285" t="s">
        <v>592</v>
      </c>
      <c r="F94" s="7" t="s">
        <v>244</v>
      </c>
      <c r="G94" s="283" t="s">
        <v>784</v>
      </c>
      <c r="H94" s="2" t="s">
        <v>46</v>
      </c>
      <c r="I94" s="97" t="s">
        <v>785</v>
      </c>
      <c r="J94" s="97" t="s">
        <v>786</v>
      </c>
      <c r="K94" s="7"/>
      <c r="L94" s="262">
        <v>45323</v>
      </c>
      <c r="M94" s="281" t="s">
        <v>592</v>
      </c>
      <c r="N94" s="7" t="s">
        <v>244</v>
      </c>
      <c r="O94" s="268" t="s">
        <v>787</v>
      </c>
      <c r="P94" s="149" t="s">
        <v>870</v>
      </c>
      <c r="Q94" s="257">
        <v>45657</v>
      </c>
      <c r="R94" s="258">
        <f>_xlfn.XLOOKUP(Tb_Portfólio11[[#This Row],[SEI]],Tb_Atualizações[PROCESSO SEI],Tb_Atualizações[% EXECUTADO],"",0,-1)</f>
        <v>1</v>
      </c>
      <c r="S94" s="408" t="str">
        <f>IFERROR(Tb_Portfólio11[[#This Row],[% EXECUTADO]]/#REF!,"0%")</f>
        <v>0%</v>
      </c>
      <c r="T94" s="146">
        <f>_xlfn.XLOOKUP(Tb_Portfólio11[[#This Row],[SEI]],Tb_Atualizações[PROCESSO SEI],Tb_Atualizações[DATA DE ATUALIZAÇÃO],"",0,-1)</f>
        <v>45642</v>
      </c>
      <c r="U94" s="336">
        <f>_xlfn.XLOOKUP(Tb_Portfólio11[[#This Row],[SEI]],Tb_Atualizações[PROCESSO SEI],Tb_Atualizações[Mês],,0,-1)</f>
        <v>45627</v>
      </c>
      <c r="V94" s="259"/>
      <c r="W94" s="268" t="s">
        <v>787</v>
      </c>
      <c r="X94"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4" s="414"/>
      <c r="Z94" s="236">
        <f>IFERROR(Tb_Portfólio11[[#This Row],[% EXECUTADO]]/#REF!,0)</f>
        <v>0</v>
      </c>
      <c r="AA94" s="350" t="s">
        <v>873</v>
      </c>
      <c r="AB94" s="413"/>
      <c r="AC94" s="413"/>
      <c r="AD94" s="420" t="s">
        <v>789</v>
      </c>
      <c r="AE94" s="281" t="s">
        <v>592</v>
      </c>
      <c r="AF94" s="7" t="s">
        <v>244</v>
      </c>
      <c r="AG94" s="97"/>
      <c r="AH94" s="353" t="s">
        <v>873</v>
      </c>
      <c r="AI94" s="273">
        <f t="shared" ca="1" si="2"/>
        <v>46176</v>
      </c>
      <c r="AJ94" s="297" t="s">
        <v>791</v>
      </c>
      <c r="AK94" s="19" t="s">
        <v>244</v>
      </c>
      <c r="AM94" s="79" t="str">
        <f>2024&amp;Tb_Portfólio11[[#This Row],[SEI]]</f>
        <v>20241746626/2024</v>
      </c>
      <c r="AN94" t="str">
        <f>IFERROR(IF(MATCH(AM94,Atualizações!$P$1:$P$1265,0)&gt;0, "Sim"), "Não")</f>
        <v>Sim</v>
      </c>
      <c r="AO94" s="79" t="str">
        <f>2025&amp;Tb_Portfólio11[[#This Row],[SEI]]</f>
        <v>20251746626/2024</v>
      </c>
      <c r="AP94" t="str">
        <f>IFERROR(IF(MATCH(AO94,Atualizações!$P$1:$P$1265,0)&gt;0, "Sim"), "Não")</f>
        <v>Não</v>
      </c>
      <c r="AQ94" s="79">
        <f>_xlfn.XLOOKUP(Tb_Portfólio11[[#This Row],[SEI]],Tb_Atualizações[PROCESSO SEI],Tb_Atualizações[Explicações],"",0,-1)</f>
        <v>0</v>
      </c>
    </row>
    <row r="95" spans="1:43" ht="120" hidden="1">
      <c r="A95" s="149" t="s">
        <v>874</v>
      </c>
      <c r="B95" s="103" t="s">
        <v>875</v>
      </c>
      <c r="C95" s="97" t="s">
        <v>876</v>
      </c>
      <c r="D95" s="97"/>
      <c r="E95" s="285" t="s">
        <v>592</v>
      </c>
      <c r="F95" s="7" t="s">
        <v>244</v>
      </c>
      <c r="G95" s="283" t="s">
        <v>784</v>
      </c>
      <c r="H95" s="7" t="s">
        <v>46</v>
      </c>
      <c r="I95" s="97" t="s">
        <v>785</v>
      </c>
      <c r="J95" s="97" t="s">
        <v>786</v>
      </c>
      <c r="K95" s="7"/>
      <c r="L95" s="262">
        <v>45323</v>
      </c>
      <c r="M95" s="285" t="s">
        <v>592</v>
      </c>
      <c r="N95" s="7" t="s">
        <v>244</v>
      </c>
      <c r="O95" s="268" t="s">
        <v>787</v>
      </c>
      <c r="P95" s="149" t="s">
        <v>874</v>
      </c>
      <c r="Q95" s="257">
        <v>45657</v>
      </c>
      <c r="R95" s="258">
        <f>_xlfn.XLOOKUP(Tb_Portfólio11[[#This Row],[SEI]],Tb_Atualizações[PROCESSO SEI],Tb_Atualizações[% EXECUTADO],"",0,-1)</f>
        <v>1</v>
      </c>
      <c r="S95" s="408" t="str">
        <f>IFERROR(Tb_Portfólio11[[#This Row],[% EXECUTADO]]/#REF!,"0%")</f>
        <v>0%</v>
      </c>
      <c r="T95" s="146">
        <f>_xlfn.XLOOKUP(Tb_Portfólio11[[#This Row],[SEI]],Tb_Atualizações[PROCESSO SEI],Tb_Atualizações[DATA DE ATUALIZAÇÃO],"",0,-1)</f>
        <v>45642</v>
      </c>
      <c r="U95" s="336">
        <f>_xlfn.XLOOKUP(Tb_Portfólio11[[#This Row],[SEI]],Tb_Atualizações[PROCESSO SEI],Tb_Atualizações[Mês],,0,-1)</f>
        <v>45627</v>
      </c>
      <c r="V95" s="259"/>
      <c r="W95" s="268" t="s">
        <v>787</v>
      </c>
      <c r="X95"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5" s="414"/>
      <c r="Z95" s="236">
        <f>IFERROR(Tb_Portfólio11[[#This Row],[% EXECUTADO]]/#REF!,0)</f>
        <v>0</v>
      </c>
      <c r="AA95" s="326" t="s">
        <v>877</v>
      </c>
      <c r="AB95" s="413"/>
      <c r="AC95" s="415"/>
      <c r="AD95" s="420" t="s">
        <v>789</v>
      </c>
      <c r="AE95" s="285" t="s">
        <v>592</v>
      </c>
      <c r="AF95" s="7" t="s">
        <v>244</v>
      </c>
      <c r="AG95" s="97"/>
      <c r="AH95" s="330" t="s">
        <v>877</v>
      </c>
      <c r="AI95" s="273">
        <f t="shared" ca="1" si="2"/>
        <v>46176</v>
      </c>
      <c r="AJ95" s="297" t="s">
        <v>791</v>
      </c>
      <c r="AK95" s="19" t="s">
        <v>244</v>
      </c>
      <c r="AM95" s="79" t="str">
        <f>2024&amp;Tb_Portfólio11[[#This Row],[SEI]]</f>
        <v>20241746627/2024</v>
      </c>
      <c r="AN95" t="str">
        <f>IFERROR(IF(MATCH(AM95,Atualizações!$P$1:$P$1265,0)&gt;0, "Sim"), "Não")</f>
        <v>Sim</v>
      </c>
      <c r="AO95" s="79" t="str">
        <f>2025&amp;Tb_Portfólio11[[#This Row],[SEI]]</f>
        <v>20251746627/2024</v>
      </c>
      <c r="AP95" t="str">
        <f>IFERROR(IF(MATCH(AO95,Atualizações!$P$1:$P$1265,0)&gt;0, "Sim"), "Não")</f>
        <v>Não</v>
      </c>
      <c r="AQ95" s="79">
        <f>_xlfn.XLOOKUP(Tb_Portfólio11[[#This Row],[SEI]],Tb_Atualizações[PROCESSO SEI],Tb_Atualizações[Explicações],"",0,-1)</f>
        <v>0</v>
      </c>
    </row>
    <row r="96" spans="1:43" ht="120" hidden="1">
      <c r="A96" s="149" t="s">
        <v>878</v>
      </c>
      <c r="B96" s="103" t="s">
        <v>879</v>
      </c>
      <c r="C96" s="97" t="s">
        <v>880</v>
      </c>
      <c r="D96" s="97"/>
      <c r="E96" s="281" t="s">
        <v>592</v>
      </c>
      <c r="F96" s="2" t="s">
        <v>244</v>
      </c>
      <c r="G96" s="283" t="s">
        <v>784</v>
      </c>
      <c r="H96" s="7" t="s">
        <v>46</v>
      </c>
      <c r="I96" s="97" t="s">
        <v>785</v>
      </c>
      <c r="J96" s="97" t="s">
        <v>786</v>
      </c>
      <c r="K96" s="7"/>
      <c r="L96" s="262">
        <v>45323</v>
      </c>
      <c r="M96" s="285" t="s">
        <v>592</v>
      </c>
      <c r="N96" s="7" t="s">
        <v>244</v>
      </c>
      <c r="O96" s="268" t="s">
        <v>787</v>
      </c>
      <c r="P96" s="149" t="s">
        <v>878</v>
      </c>
      <c r="Q96" s="257">
        <v>46022</v>
      </c>
      <c r="R96" s="258">
        <f>_xlfn.XLOOKUP(Tb_Portfólio11[[#This Row],[SEI]],Tb_Atualizações[PROCESSO SEI],Tb_Atualizações[% EXECUTADO],"",0,-1)</f>
        <v>1</v>
      </c>
      <c r="S96" s="408" t="str">
        <f>IFERROR(Tb_Portfólio11[[#This Row],[% EXECUTADO]]/#REF!,"0%")</f>
        <v>0%</v>
      </c>
      <c r="T96" s="146">
        <f>_xlfn.XLOOKUP(Tb_Portfólio11[[#This Row],[SEI]],Tb_Atualizações[PROCESSO SEI],Tb_Atualizações[DATA DE ATUALIZAÇÃO],"",0,-1)</f>
        <v>46011</v>
      </c>
      <c r="U96" s="336">
        <f>_xlfn.XLOOKUP(Tb_Portfólio11[[#This Row],[SEI]],Tb_Atualizações[PROCESSO SEI],Tb_Atualizações[Mês],,0,-1)</f>
        <v>45992</v>
      </c>
      <c r="V96" s="259"/>
      <c r="W96" s="268" t="s">
        <v>787</v>
      </c>
      <c r="X96"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6" s="414"/>
      <c r="Z96" s="236">
        <f>IFERROR(Tb_Portfólio11[[#This Row],[% EXECUTADO]]/#REF!,0)</f>
        <v>0</v>
      </c>
      <c r="AA96" s="327" t="s">
        <v>881</v>
      </c>
      <c r="AB96" s="413"/>
      <c r="AC96" s="413"/>
      <c r="AD96" s="420" t="s">
        <v>789</v>
      </c>
      <c r="AE96" s="285" t="s">
        <v>592</v>
      </c>
      <c r="AF96" s="7" t="s">
        <v>244</v>
      </c>
      <c r="AG96" s="97"/>
      <c r="AH96" s="331"/>
      <c r="AI96" s="273">
        <f t="shared" ca="1" si="2"/>
        <v>46176</v>
      </c>
      <c r="AJ96" s="377" t="s">
        <v>791</v>
      </c>
      <c r="AK96" s="19" t="s">
        <v>244</v>
      </c>
      <c r="AM96" s="79" t="str">
        <f>2024&amp;Tb_Portfólio11[[#This Row],[SEI]]</f>
        <v>20241746628/2024</v>
      </c>
      <c r="AN96" t="str">
        <f>IFERROR(IF(MATCH(AM96,Atualizações!$P$1:$P$1265,0)&gt;0, "Sim"), "Não")</f>
        <v>Sim</v>
      </c>
      <c r="AO96" s="79" t="str">
        <f>2025&amp;Tb_Portfólio11[[#This Row],[SEI]]</f>
        <v>20251746628/2024</v>
      </c>
      <c r="AP96" t="str">
        <f>IFERROR(IF(MATCH(AO96,Atualizações!$P$1:$P$1265,0)&gt;0, "Sim"), "Não")</f>
        <v>Sim</v>
      </c>
      <c r="AQ96" s="79">
        <f>_xlfn.XLOOKUP(Tb_Portfólio11[[#This Row],[SEI]],Tb_Atualizações[PROCESSO SEI],Tb_Atualizações[Explicações],"",0,-1)</f>
        <v>0</v>
      </c>
    </row>
    <row r="97" spans="1:43" ht="120" hidden="1">
      <c r="A97" s="149" t="s">
        <v>888</v>
      </c>
      <c r="B97" s="103" t="s">
        <v>889</v>
      </c>
      <c r="C97" s="97" t="s">
        <v>890</v>
      </c>
      <c r="D97" s="97"/>
      <c r="E97" s="285" t="s">
        <v>592</v>
      </c>
      <c r="F97" s="7" t="s">
        <v>244</v>
      </c>
      <c r="G97" s="295" t="s">
        <v>784</v>
      </c>
      <c r="H97" s="7" t="s">
        <v>46</v>
      </c>
      <c r="I97" s="97" t="s">
        <v>785</v>
      </c>
      <c r="J97" s="97" t="s">
        <v>786</v>
      </c>
      <c r="K97" s="7"/>
      <c r="L97" s="262">
        <v>45323</v>
      </c>
      <c r="M97" s="285" t="s">
        <v>592</v>
      </c>
      <c r="N97" s="7" t="s">
        <v>244</v>
      </c>
      <c r="O97" s="268" t="s">
        <v>787</v>
      </c>
      <c r="P97" s="149" t="s">
        <v>888</v>
      </c>
      <c r="Q97" s="257">
        <v>45962</v>
      </c>
      <c r="R97" s="258">
        <f>_xlfn.XLOOKUP(Tb_Portfólio11[[#This Row],[SEI]],Tb_Atualizações[PROCESSO SEI],Tb_Atualizações[% EXECUTADO],"",0,-1)</f>
        <v>1</v>
      </c>
      <c r="S97" s="408" t="str">
        <f>IFERROR(Tb_Portfólio11[[#This Row],[% EXECUTADO]]/#REF!,"0%")</f>
        <v>0%</v>
      </c>
      <c r="T97" s="146">
        <f>_xlfn.XLOOKUP(Tb_Portfólio11[[#This Row],[SEI]],Tb_Atualizações[PROCESSO SEI],Tb_Atualizações[DATA DE ATUALIZAÇÃO],"",0,-1)</f>
        <v>45874</v>
      </c>
      <c r="U97" s="336">
        <f>_xlfn.XLOOKUP(Tb_Portfólio11[[#This Row],[SEI]],Tb_Atualizações[PROCESSO SEI],Tb_Atualizações[Mês],,0,-1)</f>
        <v>45839</v>
      </c>
      <c r="V97" s="259"/>
      <c r="W97" s="268" t="s">
        <v>787</v>
      </c>
      <c r="X97"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7" s="414"/>
      <c r="Z97" s="236">
        <f>IFERROR(Tb_Portfólio11[[#This Row],[% EXECUTADO]]/#REF!,0)</f>
        <v>0</v>
      </c>
      <c r="AA97" s="302" t="s">
        <v>891</v>
      </c>
      <c r="AB97" s="418"/>
      <c r="AC97" s="418"/>
      <c r="AD97" s="419" t="s">
        <v>789</v>
      </c>
      <c r="AE97" s="285" t="s">
        <v>592</v>
      </c>
      <c r="AF97" s="7" t="s">
        <v>244</v>
      </c>
      <c r="AG97" s="97"/>
      <c r="AH97" s="306" t="s">
        <v>892</v>
      </c>
      <c r="AI97" s="273">
        <f t="shared" ca="1" si="2"/>
        <v>46176</v>
      </c>
      <c r="AJ97" s="296" t="s">
        <v>791</v>
      </c>
      <c r="AK97" s="19" t="s">
        <v>244</v>
      </c>
      <c r="AM97" s="79" t="str">
        <f>2024&amp;Tb_Portfólio11[[#This Row],[SEI]]</f>
        <v>2024174663/2024</v>
      </c>
      <c r="AN97" t="str">
        <f>IFERROR(IF(MATCH(AM97,Atualizações!$P$1:$P$1265,0)&gt;0, "Sim"), "Não")</f>
        <v>Sim</v>
      </c>
      <c r="AO97" s="79" t="str">
        <f>2025&amp;Tb_Portfólio11[[#This Row],[SEI]]</f>
        <v>2025174663/2024</v>
      </c>
      <c r="AP97" t="str">
        <f>IFERROR(IF(MATCH(AO97,Atualizações!$P$1:$P$1265,0)&gt;0, "Sim"), "Não")</f>
        <v>Sim</v>
      </c>
      <c r="AQ97" s="79">
        <f>_xlfn.XLOOKUP(Tb_Portfólio11[[#This Row],[SEI]],Tb_Atualizações[PROCESSO SEI],Tb_Atualizações[Explicações],"",0,-1)</f>
        <v>0</v>
      </c>
    </row>
    <row r="98" spans="1:43" ht="139.35" hidden="1" customHeight="1">
      <c r="A98" s="149" t="s">
        <v>893</v>
      </c>
      <c r="B98" s="103" t="s">
        <v>894</v>
      </c>
      <c r="C98" s="97" t="s">
        <v>895</v>
      </c>
      <c r="D98" s="97"/>
      <c r="E98" s="285" t="s">
        <v>592</v>
      </c>
      <c r="F98" s="7" t="s">
        <v>244</v>
      </c>
      <c r="G98" s="283" t="s">
        <v>784</v>
      </c>
      <c r="H98" s="7" t="s">
        <v>46</v>
      </c>
      <c r="I98" s="97" t="s">
        <v>785</v>
      </c>
      <c r="J98" s="97" t="s">
        <v>786</v>
      </c>
      <c r="K98" s="7"/>
      <c r="L98" s="262">
        <v>45323</v>
      </c>
      <c r="M98" s="281" t="s">
        <v>592</v>
      </c>
      <c r="N98" s="2" t="s">
        <v>244</v>
      </c>
      <c r="O98" s="268" t="s">
        <v>787</v>
      </c>
      <c r="P98" s="149" t="s">
        <v>893</v>
      </c>
      <c r="Q98" s="257">
        <v>45900</v>
      </c>
      <c r="R98" s="258">
        <f>_xlfn.XLOOKUP(Tb_Portfólio11[[#This Row],[SEI]],Tb_Atualizações[PROCESSO SEI],Tb_Atualizações[% EXECUTADO],"",0,-1)</f>
        <v>1</v>
      </c>
      <c r="S98" s="408" t="str">
        <f>IFERROR(Tb_Portfólio11[[#This Row],[% EXECUTADO]]/#REF!,"0%")</f>
        <v>0%</v>
      </c>
      <c r="T98" s="146">
        <f>_xlfn.XLOOKUP(Tb_Portfólio11[[#This Row],[SEI]],Tb_Atualizações[PROCESSO SEI],Tb_Atualizações[DATA DE ATUALIZAÇÃO],"",0,-1)</f>
        <v>46011</v>
      </c>
      <c r="U98" s="336">
        <f>_xlfn.XLOOKUP(Tb_Portfólio11[[#This Row],[SEI]],Tb_Atualizações[PROCESSO SEI],Tb_Atualizações[Mês],,0,-1)</f>
        <v>45992</v>
      </c>
      <c r="V98" s="259"/>
      <c r="W98" s="268" t="s">
        <v>787</v>
      </c>
      <c r="X98"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8" s="414"/>
      <c r="Z98" s="236">
        <f>IFERROR(Tb_Portfólio11[[#This Row],[% EXECUTADO]]/#REF!,0)</f>
        <v>0</v>
      </c>
      <c r="AA98" s="301" t="s">
        <v>896</v>
      </c>
      <c r="AB98" s="413"/>
      <c r="AC98" s="413"/>
      <c r="AD98" s="420" t="s">
        <v>789</v>
      </c>
      <c r="AE98" s="281" t="s">
        <v>592</v>
      </c>
      <c r="AF98" s="2" t="s">
        <v>244</v>
      </c>
      <c r="AG98" s="97"/>
      <c r="AH98" s="305"/>
      <c r="AI98" s="273">
        <f t="shared" ca="1" si="2"/>
        <v>46176</v>
      </c>
      <c r="AJ98" s="297" t="s">
        <v>791</v>
      </c>
      <c r="AK98" s="19" t="s">
        <v>244</v>
      </c>
      <c r="AM98" s="79" t="str">
        <f>2024&amp;Tb_Portfólio11[[#This Row],[SEI]]</f>
        <v>2024174664/2024</v>
      </c>
      <c r="AN98" t="str">
        <f>IFERROR(IF(MATCH(AM98,Atualizações!$P$1:$P$1265,0)&gt;0, "Sim"), "Não")</f>
        <v>Sim</v>
      </c>
      <c r="AO98" s="79" t="str">
        <f>2025&amp;Tb_Portfólio11[[#This Row],[SEI]]</f>
        <v>2025174664/2024</v>
      </c>
      <c r="AP98" t="str">
        <f>IFERROR(IF(MATCH(AO98,Atualizações!$P$1:$P$1265,0)&gt;0, "Sim"), "Não")</f>
        <v>Sim</v>
      </c>
      <c r="AQ98" s="79">
        <f>_xlfn.XLOOKUP(Tb_Portfólio11[[#This Row],[SEI]],Tb_Atualizações[PROCESSO SEI],Tb_Atualizações[Explicações],"",0,-1)</f>
        <v>0</v>
      </c>
    </row>
    <row r="99" spans="1:43" ht="120" hidden="1">
      <c r="A99" s="149" t="s">
        <v>897</v>
      </c>
      <c r="B99" s="103" t="s">
        <v>898</v>
      </c>
      <c r="C99" s="97" t="s">
        <v>899</v>
      </c>
      <c r="D99" s="97"/>
      <c r="E99" s="285" t="s">
        <v>592</v>
      </c>
      <c r="F99" s="2" t="s">
        <v>244</v>
      </c>
      <c r="G99" s="283" t="s">
        <v>784</v>
      </c>
      <c r="H99" s="7" t="s">
        <v>46</v>
      </c>
      <c r="I99" s="97" t="s">
        <v>785</v>
      </c>
      <c r="J99" s="97" t="s">
        <v>786</v>
      </c>
      <c r="K99" s="7"/>
      <c r="L99" s="262">
        <v>45323</v>
      </c>
      <c r="M99" s="285" t="s">
        <v>592</v>
      </c>
      <c r="N99" s="2" t="s">
        <v>244</v>
      </c>
      <c r="O99" s="268" t="s">
        <v>787</v>
      </c>
      <c r="P99" s="149" t="s">
        <v>897</v>
      </c>
      <c r="Q99" s="257">
        <v>45657</v>
      </c>
      <c r="R99" s="258">
        <f>_xlfn.XLOOKUP(Tb_Portfólio11[[#This Row],[SEI]],Tb_Atualizações[PROCESSO SEI],Tb_Atualizações[% EXECUTADO],"",0,-1)</f>
        <v>1</v>
      </c>
      <c r="S99" s="408" t="str">
        <f>IFERROR(Tb_Portfólio11[[#This Row],[% EXECUTADO]]/#REF!,"0%")</f>
        <v>0%</v>
      </c>
      <c r="T99" s="146">
        <f>_xlfn.XLOOKUP(Tb_Portfólio11[[#This Row],[SEI]],Tb_Atualizações[PROCESSO SEI],Tb_Atualizações[DATA DE ATUALIZAÇÃO],"",0,-1)</f>
        <v>45642</v>
      </c>
      <c r="U99" s="336">
        <f>_xlfn.XLOOKUP(Tb_Portfólio11[[#This Row],[SEI]],Tb_Atualizações[PROCESSO SEI],Tb_Atualizações[Mês],,0,-1)</f>
        <v>45627</v>
      </c>
      <c r="V99" s="259"/>
      <c r="W99" s="268" t="s">
        <v>787</v>
      </c>
      <c r="X99"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99" s="414"/>
      <c r="Z99" s="236">
        <f>IFERROR(Tb_Portfólio11[[#This Row],[% EXECUTADO]]/#REF!,0)</f>
        <v>0</v>
      </c>
      <c r="AA99" s="301" t="s">
        <v>900</v>
      </c>
      <c r="AB99" s="413"/>
      <c r="AC99" s="413"/>
      <c r="AD99" s="420" t="s">
        <v>789</v>
      </c>
      <c r="AE99" s="285" t="s">
        <v>592</v>
      </c>
      <c r="AF99" s="2" t="s">
        <v>244</v>
      </c>
      <c r="AG99" s="97"/>
      <c r="AH99" s="305"/>
      <c r="AI99" s="273">
        <f t="shared" ref="AI99:AI109" ca="1" si="3">TODAY()</f>
        <v>46176</v>
      </c>
      <c r="AJ99" s="297" t="s">
        <v>791</v>
      </c>
      <c r="AK99" s="19" t="s">
        <v>244</v>
      </c>
      <c r="AM99" s="79" t="str">
        <f>2024&amp;Tb_Portfólio11[[#This Row],[SEI]]</f>
        <v>2024174665/2024</v>
      </c>
      <c r="AN99" t="str">
        <f>IFERROR(IF(MATCH(AM99,Atualizações!$P$1:$P$1265,0)&gt;0, "Sim"), "Não")</f>
        <v>Sim</v>
      </c>
      <c r="AO99" s="79" t="str">
        <f>2025&amp;Tb_Portfólio11[[#This Row],[SEI]]</f>
        <v>2025174665/2024</v>
      </c>
      <c r="AP99" t="str">
        <f>IFERROR(IF(MATCH(AO99,Atualizações!$P$1:$P$1265,0)&gt;0, "Sim"), "Não")</f>
        <v>Não</v>
      </c>
      <c r="AQ99" s="79">
        <f>_xlfn.XLOOKUP(Tb_Portfólio11[[#This Row],[SEI]],Tb_Atualizações[PROCESSO SEI],Tb_Atualizações[Explicações],"",0,-1)</f>
        <v>0</v>
      </c>
    </row>
    <row r="100" spans="1:43" ht="120" hidden="1">
      <c r="A100" s="149" t="s">
        <v>901</v>
      </c>
      <c r="B100" s="103" t="s">
        <v>902</v>
      </c>
      <c r="C100" s="97" t="s">
        <v>903</v>
      </c>
      <c r="D100" s="97"/>
      <c r="E100" s="281" t="s">
        <v>592</v>
      </c>
      <c r="F100" s="2" t="s">
        <v>244</v>
      </c>
      <c r="G100" s="283" t="s">
        <v>784</v>
      </c>
      <c r="H100" s="7" t="s">
        <v>46</v>
      </c>
      <c r="I100" s="97" t="s">
        <v>785</v>
      </c>
      <c r="J100" s="97" t="s">
        <v>786</v>
      </c>
      <c r="K100" s="7"/>
      <c r="L100" s="262">
        <v>45323</v>
      </c>
      <c r="M100" s="281" t="s">
        <v>592</v>
      </c>
      <c r="N100" s="7" t="s">
        <v>244</v>
      </c>
      <c r="O100" s="268" t="s">
        <v>787</v>
      </c>
      <c r="P100" s="149" t="s">
        <v>901</v>
      </c>
      <c r="Q100" s="257">
        <v>45930</v>
      </c>
      <c r="R100" s="258">
        <f>_xlfn.XLOOKUP(Tb_Portfólio11[[#This Row],[SEI]],Tb_Atualizações[PROCESSO SEI],Tb_Atualizações[% EXECUTADO],"",0,-1)</f>
        <v>0.9</v>
      </c>
      <c r="S100" s="408" t="str">
        <f>IFERROR(Tb_Portfólio11[[#This Row],[% EXECUTADO]]/#REF!,"0%")</f>
        <v>0%</v>
      </c>
      <c r="T100" s="146">
        <f>_xlfn.XLOOKUP(Tb_Portfólio11[[#This Row],[SEI]],Tb_Atualizações[PROCESSO SEI],Tb_Atualizações[DATA DE ATUALIZAÇÃO],"",0,-1)</f>
        <v>46155</v>
      </c>
      <c r="U100" s="336">
        <f>_xlfn.XLOOKUP(Tb_Portfólio11[[#This Row],[SEI]],Tb_Atualizações[PROCESSO SEI],Tb_Atualizações[Mês],,0,-1)</f>
        <v>46113</v>
      </c>
      <c r="V100" s="259"/>
      <c r="W100" s="268" t="s">
        <v>787</v>
      </c>
      <c r="X100" s="235"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00" s="414"/>
      <c r="Z100" s="236">
        <f>IFERROR(Tb_Portfólio11[[#This Row],[% EXECUTADO]]/#REF!,0)</f>
        <v>0</v>
      </c>
      <c r="AA100" s="301" t="s">
        <v>904</v>
      </c>
      <c r="AB100" s="413"/>
      <c r="AC100" s="413"/>
      <c r="AD100" s="411" t="s">
        <v>789</v>
      </c>
      <c r="AE100" s="281" t="s">
        <v>592</v>
      </c>
      <c r="AF100" s="7" t="s">
        <v>244</v>
      </c>
      <c r="AG100" s="97"/>
      <c r="AH100" s="305"/>
      <c r="AI100" s="273">
        <f t="shared" ca="1" si="3"/>
        <v>46176</v>
      </c>
      <c r="AJ100" s="297" t="s">
        <v>791</v>
      </c>
      <c r="AK100" s="19" t="s">
        <v>244</v>
      </c>
      <c r="AM100" s="79" t="str">
        <f>2024&amp;Tb_Portfólio11[[#This Row],[SEI]]</f>
        <v>2024174666/2024</v>
      </c>
      <c r="AN100" t="str">
        <f>IFERROR(IF(MATCH(AM100,Atualizações!$P$1:$P$1265,0)&gt;0, "Sim"), "Não")</f>
        <v>Sim</v>
      </c>
      <c r="AO100" s="79" t="str">
        <f>2025&amp;Tb_Portfólio11[[#This Row],[SEI]]</f>
        <v>2025174666/2024</v>
      </c>
      <c r="AP100" t="str">
        <f>IFERROR(IF(MATCH(AO100,Atualizações!$P$1:$P$1265,0)&gt;0, "Sim"), "Não")</f>
        <v>Sim</v>
      </c>
      <c r="AQ100" s="79">
        <f>_xlfn.XLOOKUP(Tb_Portfólio11[[#This Row],[SEI]],Tb_Atualizações[PROCESSO SEI],Tb_Atualizações[Explicações],"",0,-1)</f>
        <v>0</v>
      </c>
    </row>
    <row r="101" spans="1:43" ht="120" hidden="1">
      <c r="A101" s="149" t="s">
        <v>905</v>
      </c>
      <c r="B101" s="103" t="s">
        <v>906</v>
      </c>
      <c r="C101" s="97" t="s">
        <v>907</v>
      </c>
      <c r="D101" s="97"/>
      <c r="E101" s="372" t="s">
        <v>592</v>
      </c>
      <c r="F101" s="2" t="s">
        <v>244</v>
      </c>
      <c r="G101" s="283" t="s">
        <v>784</v>
      </c>
      <c r="H101" s="2" t="s">
        <v>46</v>
      </c>
      <c r="I101" s="97" t="s">
        <v>785</v>
      </c>
      <c r="J101" s="97" t="s">
        <v>786</v>
      </c>
      <c r="K101" s="7"/>
      <c r="L101" s="262">
        <v>45323</v>
      </c>
      <c r="M101" s="281" t="s">
        <v>592</v>
      </c>
      <c r="N101" s="2" t="s">
        <v>244</v>
      </c>
      <c r="O101" s="268" t="s">
        <v>787</v>
      </c>
      <c r="P101" s="149" t="s">
        <v>905</v>
      </c>
      <c r="Q101" s="257">
        <v>45657</v>
      </c>
      <c r="R101" s="258">
        <f>_xlfn.XLOOKUP(Tb_Portfólio11[[#This Row],[SEI]],Tb_Atualizações[PROCESSO SEI],Tb_Atualizações[% EXECUTADO],"",0,-1)</f>
        <v>1</v>
      </c>
      <c r="S101" s="408" t="str">
        <f>IFERROR(Tb_Portfólio11[[#This Row],[% EXECUTADO]]/#REF!,"0%")</f>
        <v>0%</v>
      </c>
      <c r="T101" s="146">
        <f>_xlfn.XLOOKUP(Tb_Portfólio11[[#This Row],[SEI]],Tb_Atualizações[PROCESSO SEI],Tb_Atualizações[DATA DE ATUALIZAÇÃO],"",0,-1)</f>
        <v>45642</v>
      </c>
      <c r="U101" s="336">
        <f>_xlfn.XLOOKUP(Tb_Portfólio11[[#This Row],[SEI]],Tb_Atualizações[PROCESSO SEI],Tb_Atualizações[Mês],,0,-1)</f>
        <v>45627</v>
      </c>
      <c r="V101" s="259"/>
      <c r="W101" s="268" t="s">
        <v>787</v>
      </c>
      <c r="X101"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01" s="414"/>
      <c r="Z101" s="236">
        <f>IFERROR(Tb_Portfólio11[[#This Row],[% EXECUTADO]]/#REF!,0)</f>
        <v>0</v>
      </c>
      <c r="AA101" s="326" t="s">
        <v>908</v>
      </c>
      <c r="AB101" s="413"/>
      <c r="AC101" s="413"/>
      <c r="AD101" s="420" t="s">
        <v>789</v>
      </c>
      <c r="AE101" s="281" t="s">
        <v>592</v>
      </c>
      <c r="AF101" s="2" t="s">
        <v>244</v>
      </c>
      <c r="AG101" s="97"/>
      <c r="AH101" s="330" t="s">
        <v>908</v>
      </c>
      <c r="AI101" s="273">
        <f t="shared" ca="1" si="3"/>
        <v>46176</v>
      </c>
      <c r="AJ101" s="297" t="s">
        <v>791</v>
      </c>
      <c r="AK101" s="7" t="s">
        <v>244</v>
      </c>
      <c r="AM101" s="79" t="str">
        <f>2024&amp;Tb_Portfólio11[[#This Row],[SEI]]</f>
        <v>2024174667/2024</v>
      </c>
      <c r="AN101" t="str">
        <f>IFERROR(IF(MATCH(AM101,Atualizações!$P$1:$P$1265,0)&gt;0, "Sim"), "Não")</f>
        <v>Sim</v>
      </c>
      <c r="AO101" s="79" t="str">
        <f>2025&amp;Tb_Portfólio11[[#This Row],[SEI]]</f>
        <v>2025174667/2024</v>
      </c>
      <c r="AP101" t="str">
        <f>IFERROR(IF(MATCH(AO101,Atualizações!$P$1:$P$1265,0)&gt;0, "Sim"), "Não")</f>
        <v>Não</v>
      </c>
      <c r="AQ101" s="79">
        <f>_xlfn.XLOOKUP(Tb_Portfólio11[[#This Row],[SEI]],Tb_Atualizações[PROCESSO SEI],Tb_Atualizações[Explicações],"",0,-1)</f>
        <v>0</v>
      </c>
    </row>
    <row r="102" spans="1:43" ht="120" hidden="1">
      <c r="A102" s="149" t="s">
        <v>909</v>
      </c>
      <c r="B102" s="103" t="s">
        <v>910</v>
      </c>
      <c r="C102" s="97" t="s">
        <v>911</v>
      </c>
      <c r="D102" s="97"/>
      <c r="E102" s="281" t="s">
        <v>592</v>
      </c>
      <c r="F102" s="2" t="s">
        <v>244</v>
      </c>
      <c r="G102" s="283" t="s">
        <v>784</v>
      </c>
      <c r="H102" s="2" t="s">
        <v>46</v>
      </c>
      <c r="I102" s="97" t="s">
        <v>785</v>
      </c>
      <c r="J102" s="97" t="s">
        <v>786</v>
      </c>
      <c r="K102" s="7"/>
      <c r="L102" s="262">
        <v>45323</v>
      </c>
      <c r="M102" s="285" t="s">
        <v>592</v>
      </c>
      <c r="N102" s="7" t="s">
        <v>244</v>
      </c>
      <c r="O102" s="268" t="s">
        <v>787</v>
      </c>
      <c r="P102" s="149" t="s">
        <v>909</v>
      </c>
      <c r="Q102" s="257">
        <v>45657</v>
      </c>
      <c r="R102" s="258">
        <f>_xlfn.XLOOKUP(Tb_Portfólio11[[#This Row],[SEI]],Tb_Atualizações[PROCESSO SEI],Tb_Atualizações[% EXECUTADO],"",0,-1)</f>
        <v>1</v>
      </c>
      <c r="S102" s="408" t="str">
        <f>IFERROR(Tb_Portfólio11[[#This Row],[% EXECUTADO]]/#REF!,"0%")</f>
        <v>0%</v>
      </c>
      <c r="T102" s="146">
        <f>_xlfn.XLOOKUP(Tb_Portfólio11[[#This Row],[SEI]],Tb_Atualizações[PROCESSO SEI],Tb_Atualizações[DATA DE ATUALIZAÇÃO],"",0,-1)</f>
        <v>45642</v>
      </c>
      <c r="U102" s="336">
        <f>_xlfn.XLOOKUP(Tb_Portfólio11[[#This Row],[SEI]],Tb_Atualizações[PROCESSO SEI],Tb_Atualizações[Mês],,0,-1)</f>
        <v>45627</v>
      </c>
      <c r="V102" s="259"/>
      <c r="W102" s="268" t="s">
        <v>787</v>
      </c>
      <c r="X102"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02" s="414"/>
      <c r="Z102" s="236">
        <f>IFERROR(Tb_Portfólio11[[#This Row],[% EXECUTADO]]/#REF!,0)</f>
        <v>0</v>
      </c>
      <c r="AA102" s="326" t="s">
        <v>912</v>
      </c>
      <c r="AB102" s="413"/>
      <c r="AC102" s="413"/>
      <c r="AD102" s="420" t="s">
        <v>789</v>
      </c>
      <c r="AE102" s="285" t="s">
        <v>592</v>
      </c>
      <c r="AF102" s="7" t="s">
        <v>244</v>
      </c>
      <c r="AG102" s="97"/>
      <c r="AH102" s="330" t="s">
        <v>912</v>
      </c>
      <c r="AI102" s="273">
        <f t="shared" ca="1" si="3"/>
        <v>46176</v>
      </c>
      <c r="AJ102" s="297" t="s">
        <v>791</v>
      </c>
      <c r="AK102" s="7" t="s">
        <v>244</v>
      </c>
      <c r="AM102" s="79" t="str">
        <f>2024&amp;Tb_Portfólio11[[#This Row],[SEI]]</f>
        <v>2024174668/2024</v>
      </c>
      <c r="AN102" t="str">
        <f>IFERROR(IF(MATCH(AM102,Atualizações!$P$1:$P$1265,0)&gt;0, "Sim"), "Não")</f>
        <v>Sim</v>
      </c>
      <c r="AO102" s="79" t="str">
        <f>2025&amp;Tb_Portfólio11[[#This Row],[SEI]]</f>
        <v>2025174668/2024</v>
      </c>
      <c r="AP102" t="str">
        <f>IFERROR(IF(MATCH(AO102,Atualizações!$P$1:$P$1265,0)&gt;0, "Sim"), "Não")</f>
        <v>Não</v>
      </c>
      <c r="AQ102" s="79">
        <f>_xlfn.XLOOKUP(Tb_Portfólio11[[#This Row],[SEI]],Tb_Atualizações[PROCESSO SEI],Tb_Atualizações[Explicações],"",0,-1)</f>
        <v>0</v>
      </c>
    </row>
    <row r="103" spans="1:43" ht="120" hidden="1">
      <c r="A103" s="149" t="s">
        <v>913</v>
      </c>
      <c r="B103" s="103" t="s">
        <v>914</v>
      </c>
      <c r="C103" s="97" t="s">
        <v>915</v>
      </c>
      <c r="D103" s="97"/>
      <c r="E103" s="281" t="s">
        <v>592</v>
      </c>
      <c r="F103" s="2" t="s">
        <v>244</v>
      </c>
      <c r="G103" s="283" t="s">
        <v>784</v>
      </c>
      <c r="H103" s="2" t="s">
        <v>46</v>
      </c>
      <c r="I103" s="97" t="s">
        <v>785</v>
      </c>
      <c r="J103" s="97" t="s">
        <v>786</v>
      </c>
      <c r="K103" s="7"/>
      <c r="L103" s="262">
        <v>45323</v>
      </c>
      <c r="M103" s="372" t="s">
        <v>592</v>
      </c>
      <c r="N103" s="2" t="s">
        <v>244</v>
      </c>
      <c r="O103" s="268" t="s">
        <v>787</v>
      </c>
      <c r="P103" s="149" t="s">
        <v>913</v>
      </c>
      <c r="Q103" s="257">
        <v>45657</v>
      </c>
      <c r="R103" s="258">
        <f>_xlfn.XLOOKUP(Tb_Portfólio11[[#This Row],[SEI]],Tb_Atualizações[PROCESSO SEI],Tb_Atualizações[% EXECUTADO],"",0,-1)</f>
        <v>1</v>
      </c>
      <c r="S103" s="408" t="str">
        <f>IFERROR(Tb_Portfólio11[[#This Row],[% EXECUTADO]]/#REF!,"0%")</f>
        <v>0%</v>
      </c>
      <c r="T103" s="146">
        <f>_xlfn.XLOOKUP(Tb_Portfólio11[[#This Row],[SEI]],Tb_Atualizações[PROCESSO SEI],Tb_Atualizações[DATA DE ATUALIZAÇÃO],"",0,-1)</f>
        <v>45642</v>
      </c>
      <c r="U103" s="336">
        <f>_xlfn.XLOOKUP(Tb_Portfólio11[[#This Row],[SEI]],Tb_Atualizações[PROCESSO SEI],Tb_Atualizações[Mês],,0,-1)</f>
        <v>45627</v>
      </c>
      <c r="V103" s="259"/>
      <c r="W103" s="268" t="s">
        <v>787</v>
      </c>
      <c r="X103" s="235"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03" s="414"/>
      <c r="Z103" s="236">
        <f>IFERROR(Tb_Portfólio11[[#This Row],[% EXECUTADO]]/#REF!,0)</f>
        <v>0</v>
      </c>
      <c r="AA103" s="326" t="s">
        <v>916</v>
      </c>
      <c r="AB103" s="413"/>
      <c r="AC103" s="413"/>
      <c r="AD103" s="420" t="s">
        <v>789</v>
      </c>
      <c r="AE103" s="372" t="s">
        <v>592</v>
      </c>
      <c r="AF103" s="2" t="s">
        <v>244</v>
      </c>
      <c r="AG103" s="97"/>
      <c r="AH103" s="330" t="s">
        <v>916</v>
      </c>
      <c r="AI103" s="273">
        <f t="shared" ca="1" si="3"/>
        <v>46176</v>
      </c>
      <c r="AJ103" s="297" t="s">
        <v>791</v>
      </c>
      <c r="AK103" s="19" t="s">
        <v>244</v>
      </c>
      <c r="AM103" s="79" t="str">
        <f>2024&amp;Tb_Portfólio11[[#This Row],[SEI]]</f>
        <v>2024174669/2024</v>
      </c>
      <c r="AN103" t="str">
        <f>IFERROR(IF(MATCH(AM103,Atualizações!$P$1:$P$1265,0)&gt;0, "Sim"), "Não")</f>
        <v>Sim</v>
      </c>
      <c r="AO103" s="79" t="str">
        <f>2025&amp;Tb_Portfólio11[[#This Row],[SEI]]</f>
        <v>2025174669/2024</v>
      </c>
      <c r="AP103" t="str">
        <f>IFERROR(IF(MATCH(AO103,Atualizações!$P$1:$P$1265,0)&gt;0, "Sim"), "Não")</f>
        <v>Não</v>
      </c>
      <c r="AQ103" s="79">
        <f>_xlfn.XLOOKUP(Tb_Portfólio11[[#This Row],[SEI]],Tb_Atualizações[PROCESSO SEI],Tb_Atualizações[Explicações],"",0,-1)</f>
        <v>0</v>
      </c>
    </row>
    <row r="104" spans="1:43" ht="120" hidden="1">
      <c r="A104" s="149" t="s">
        <v>652</v>
      </c>
      <c r="B104" s="5" t="s">
        <v>653</v>
      </c>
      <c r="C104" s="5" t="s">
        <v>654</v>
      </c>
      <c r="D104" s="97"/>
      <c r="E104" s="97" t="s">
        <v>655</v>
      </c>
      <c r="F104" s="97" t="s">
        <v>656</v>
      </c>
      <c r="G104" s="97" t="s">
        <v>657</v>
      </c>
      <c r="H104" s="7" t="s">
        <v>658</v>
      </c>
      <c r="I104" s="97" t="s">
        <v>346</v>
      </c>
      <c r="J104" s="97" t="s">
        <v>659</v>
      </c>
      <c r="K104" s="7"/>
      <c r="L104" s="262">
        <v>45809</v>
      </c>
      <c r="M104" s="97" t="s">
        <v>655</v>
      </c>
      <c r="N104" s="97" t="s">
        <v>656</v>
      </c>
      <c r="O104" s="268"/>
      <c r="P104" s="149" t="s">
        <v>652</v>
      </c>
      <c r="Q104" s="257">
        <v>46265</v>
      </c>
      <c r="R104" s="258">
        <f>_xlfn.XLOOKUP(Tb_Portfólio11[[#This Row],[SEI]],Tb_Atualizações[PROCESSO SEI],Tb_Atualizações[% EXECUTADO],"",0,-1)</f>
        <v>0.81</v>
      </c>
      <c r="S104" s="258" t="str">
        <f>IFERROR(Tb_Portfólio11[[#This Row],[% EXECUTADO]]/#REF!,"0%")</f>
        <v>0%</v>
      </c>
      <c r="T104" s="146">
        <f>_xlfn.XLOOKUP(Tb_Portfólio11[[#This Row],[SEI]],Tb_Atualizações[PROCESSO SEI],Tb_Atualizações[DATA DE ATUALIZAÇÃO],"",0,-1)</f>
        <v>46155</v>
      </c>
      <c r="U104" s="336">
        <f>_xlfn.XLOOKUP(Tb_Portfólio11[[#This Row],[SEI]],Tb_Atualizações[PROCESSO SEI],Tb_Atualizações[Mês],,0,-1)</f>
        <v>46113</v>
      </c>
      <c r="V104" s="259"/>
      <c r="W104" s="268"/>
      <c r="X104" s="259"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104" s="414"/>
      <c r="Z104" s="402">
        <f>IFERROR(Tb_Portfólio11[[#This Row],[% EXECUTADO]]/#REF!,0)</f>
        <v>0</v>
      </c>
      <c r="AA104" s="97" t="s">
        <v>660</v>
      </c>
      <c r="AB104" s="413">
        <v>21270.400000000001</v>
      </c>
      <c r="AC104" s="413"/>
      <c r="AD104" s="97"/>
      <c r="AE104" s="97" t="s">
        <v>655</v>
      </c>
      <c r="AF104" s="97" t="s">
        <v>656</v>
      </c>
      <c r="AG104" s="97"/>
      <c r="AH104" s="274"/>
      <c r="AI104" s="273">
        <f t="shared" ca="1" si="3"/>
        <v>46176</v>
      </c>
      <c r="AJ104" s="274"/>
      <c r="AM104" s="79" t="str">
        <f>2024&amp;Tb_Portfólio11[[#This Row],[SEI]]</f>
        <v>202411729/2025</v>
      </c>
      <c r="AN104" s="79" t="str">
        <f>IFERROR(IF(MATCH(AM104,Atualizações!$P$1:$P$1265,0)&gt;0, "Sim"), "Não")</f>
        <v>Não</v>
      </c>
      <c r="AO104" s="79" t="str">
        <f>2025&amp;Tb_Portfólio11[[#This Row],[SEI]]</f>
        <v>202511729/2025</v>
      </c>
      <c r="AP104" s="79" t="str">
        <f>IFERROR(IF(MATCH(AO104,Atualizações!$P$1:$P$1265,0)&gt;0, "Sim"), "Não")</f>
        <v>Sim</v>
      </c>
      <c r="AQ104" s="79">
        <f>_xlfn.XLOOKUP(Tb_Portfólio11[[#This Row],[SEI]],Tb_Atualizações[PROCESSO SEI],Tb_Atualizações[Explicações],"",0,-1)</f>
        <v>0</v>
      </c>
    </row>
    <row r="105" spans="1:43" ht="120">
      <c r="A105" s="149" t="s">
        <v>189</v>
      </c>
      <c r="B105" s="103" t="s">
        <v>190</v>
      </c>
      <c r="C105" s="97" t="s">
        <v>191</v>
      </c>
      <c r="D105" s="97"/>
      <c r="E105" s="79" t="s">
        <v>43</v>
      </c>
      <c r="F105" s="73" t="s">
        <v>44</v>
      </c>
      <c r="G105" s="97" t="s">
        <v>192</v>
      </c>
      <c r="H105" s="2" t="s">
        <v>46</v>
      </c>
      <c r="I105" s="97" t="s">
        <v>165</v>
      </c>
      <c r="J105" s="97" t="s">
        <v>193</v>
      </c>
      <c r="K105" s="7"/>
      <c r="L105" s="262">
        <v>45743</v>
      </c>
      <c r="M105" s="79" t="s">
        <v>43</v>
      </c>
      <c r="N105" s="73" t="s">
        <v>44</v>
      </c>
      <c r="O105" s="268" t="s">
        <v>48</v>
      </c>
      <c r="P105" s="149" t="s">
        <v>189</v>
      </c>
      <c r="Q105" s="257">
        <v>46006</v>
      </c>
      <c r="R105" s="258">
        <f>_xlfn.XLOOKUP(Tb_Portfólio11[[#This Row],[SEI]],Tb_Atualizações[PROCESSO SEI],Tb_Atualizações[% EXECUTADO],"",0,-1)</f>
        <v>1</v>
      </c>
      <c r="S105" s="258" t="str">
        <f>IFERROR(Tb_Portfólio11[[#This Row],[% EXECUTADO]]/#REF!,"0%")</f>
        <v>0%</v>
      </c>
      <c r="T105" s="146">
        <f>_xlfn.XLOOKUP(Tb_Portfólio11[[#This Row],[SEI]],Tb_Atualizações[PROCESSO SEI],Tb_Atualizações[DATA DE ATUALIZAÇÃO],"",0,-1)</f>
        <v>46057</v>
      </c>
      <c r="U105" s="336">
        <f>_xlfn.XLOOKUP(Tb_Portfólio11[[#This Row],[SEI]],Tb_Atualizações[PROCESSO SEI],Tb_Atualizações[Mês],,0,-1)</f>
        <v>46023</v>
      </c>
      <c r="V105" s="259"/>
      <c r="W105" s="268" t="s">
        <v>48</v>
      </c>
      <c r="X105" s="259" t="str">
        <f>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Finalizado</v>
      </c>
      <c r="Y105" s="414"/>
      <c r="Z105" s="402">
        <f>IFERROR(Tb_Portfólio11[[#This Row],[% EXECUTADO]]/#REF!,0)</f>
        <v>0</v>
      </c>
      <c r="AA105" s="97" t="s">
        <v>194</v>
      </c>
      <c r="AB105" s="413">
        <v>1059115.5900000001</v>
      </c>
      <c r="AC105" s="413"/>
      <c r="AD105" s="97" t="s">
        <v>51</v>
      </c>
      <c r="AE105" s="79" t="s">
        <v>43</v>
      </c>
      <c r="AF105" s="73" t="s">
        <v>44</v>
      </c>
      <c r="AG105" s="97" t="s">
        <v>195</v>
      </c>
      <c r="AH105" s="274"/>
      <c r="AI105" s="273">
        <f t="shared" ca="1" si="3"/>
        <v>46176</v>
      </c>
      <c r="AJ105" s="274" t="s">
        <v>197</v>
      </c>
      <c r="AK105" s="97" t="s">
        <v>67</v>
      </c>
      <c r="AM105" s="79" t="str">
        <f>2024&amp;Tb_Portfólio11[[#This Row],[SEI]]</f>
        <v>202401809/2025</v>
      </c>
      <c r="AN105" s="79" t="str">
        <f>IFERROR(IF(MATCH(AM105,Atualizações!$P$1:$P$1265,0)&gt;0, "Sim"), "Não")</f>
        <v>Não</v>
      </c>
      <c r="AO105" s="79" t="str">
        <f>2025&amp;Tb_Portfólio11[[#This Row],[SEI]]</f>
        <v>202501809/2025</v>
      </c>
      <c r="AP105" s="79" t="str">
        <f>IFERROR(IF(MATCH(AO105,Atualizações!$P$1:$P$1265,0)&gt;0, "Sim"), "Não")</f>
        <v>Sim</v>
      </c>
      <c r="AQ105" s="79">
        <f>_xlfn.XLOOKUP(Tb_Portfólio11[[#This Row],[SEI]],Tb_Atualizações[PROCESSO SEI],Tb_Atualizações[Explicações],"",0,-1)</f>
        <v>0</v>
      </c>
    </row>
    <row r="106" spans="1:43" ht="120" hidden="1">
      <c r="A106" s="149" t="s">
        <v>198</v>
      </c>
      <c r="B106" s="103" t="s">
        <v>199</v>
      </c>
      <c r="C106" s="97" t="s">
        <v>200</v>
      </c>
      <c r="D106" s="97"/>
      <c r="E106" s="97" t="s">
        <v>201</v>
      </c>
      <c r="F106" s="97" t="s">
        <v>202</v>
      </c>
      <c r="G106" s="97" t="s">
        <v>203</v>
      </c>
      <c r="H106" s="7" t="s">
        <v>202</v>
      </c>
      <c r="I106" s="97" t="s">
        <v>204</v>
      </c>
      <c r="J106" s="97" t="s">
        <v>205</v>
      </c>
      <c r="K106" s="7"/>
      <c r="L106" s="262">
        <v>45700</v>
      </c>
      <c r="M106" s="97" t="s">
        <v>207</v>
      </c>
      <c r="N106" s="97" t="s">
        <v>202</v>
      </c>
      <c r="O106" s="268"/>
      <c r="P106" s="149" t="s">
        <v>198</v>
      </c>
      <c r="Q106" s="257">
        <v>45807</v>
      </c>
      <c r="R106" s="258">
        <f>_xlfn.XLOOKUP(Tb_Portfólio11[[#This Row],[SEI]],Tb_Atualizações[PROCESSO SEI],Tb_Atualizações[% EXECUTADO],"",0,-1)</f>
        <v>0.75</v>
      </c>
      <c r="S106" s="258" t="str">
        <f>IFERROR(Tb_Portfólio11[[#This Row],[% EXECUTADO]]/#REF!,"0%")</f>
        <v>0%</v>
      </c>
      <c r="T106" s="146">
        <f>_xlfn.XLOOKUP(Tb_Portfólio11[[#This Row],[SEI]],Tb_Atualizações[PROCESSO SEI],Tb_Atualizações[DATA DE ATUALIZAÇÃO],"",0,-1)</f>
        <v>46038</v>
      </c>
      <c r="U106" s="336">
        <f>_xlfn.XLOOKUP(Tb_Portfólio11[[#This Row],[SEI]],Tb_Atualizações[PROCESSO SEI],Tb_Atualizações[Mês],,0,-1)</f>
        <v>45931</v>
      </c>
      <c r="V106" s="259"/>
      <c r="W106" s="268"/>
      <c r="X106" s="259"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06" s="414"/>
      <c r="Z106" s="402">
        <f>IFERROR(Tb_Portfólio11[[#This Row],[% EXECUTADO]]/#REF!,0)</f>
        <v>0</v>
      </c>
      <c r="AA106" s="97" t="s">
        <v>206</v>
      </c>
      <c r="AB106" s="413"/>
      <c r="AC106" s="413"/>
      <c r="AD106" s="97"/>
      <c r="AE106" s="97" t="s">
        <v>207</v>
      </c>
      <c r="AF106" s="97" t="s">
        <v>202</v>
      </c>
      <c r="AG106" s="97" t="s">
        <v>208</v>
      </c>
      <c r="AH106" s="97" t="s">
        <v>206</v>
      </c>
      <c r="AI106" s="273">
        <f t="shared" ca="1" si="3"/>
        <v>46176</v>
      </c>
      <c r="AJ106" s="274"/>
      <c r="AM106" s="79" t="str">
        <f>2024&amp;Tb_Portfólio11[[#This Row],[SEI]]</f>
        <v>202401913/2025</v>
      </c>
      <c r="AN106" s="79" t="str">
        <f>IFERROR(IF(MATCH(AM106,Atualizações!$P$1:$P$1265,0)&gt;0, "Sim"), "Não")</f>
        <v>Não</v>
      </c>
      <c r="AO106" s="79" t="str">
        <f>2025&amp;Tb_Portfólio11[[#This Row],[SEI]]</f>
        <v>202501913/2025</v>
      </c>
      <c r="AP106" s="79" t="str">
        <f>IFERROR(IF(MATCH(AO106,Atualizações!$P$1:$P$1265,0)&gt;0, "Sim"), "Não")</f>
        <v>Sim</v>
      </c>
      <c r="AQ106" s="79" t="str">
        <f>_xlfn.XLOOKUP(Tb_Portfólio11[[#This Row],[SEI]],Tb_Atualizações[PROCESSO SEI],Tb_Atualizações[Explicações],"",0,-1)</f>
        <v>Medição duplicada para inclusão no portfólio de 2026</v>
      </c>
    </row>
    <row r="107" spans="1:43" ht="126.6" customHeight="1">
      <c r="A107" s="149" t="s">
        <v>738</v>
      </c>
      <c r="B107" s="103" t="s">
        <v>739</v>
      </c>
      <c r="C107" s="97" t="s">
        <v>740</v>
      </c>
      <c r="D107" s="97"/>
      <c r="E107" s="79" t="s">
        <v>43</v>
      </c>
      <c r="F107" s="73" t="s">
        <v>44</v>
      </c>
      <c r="G107" s="19" t="s">
        <v>232</v>
      </c>
      <c r="H107" s="2" t="s">
        <v>46</v>
      </c>
      <c r="I107" s="97" t="s">
        <v>741</v>
      </c>
      <c r="J107" s="97" t="s">
        <v>742</v>
      </c>
      <c r="K107" s="7"/>
      <c r="L107" s="262">
        <v>45714</v>
      </c>
      <c r="M107" s="97" t="s">
        <v>393</v>
      </c>
      <c r="N107" s="73" t="s">
        <v>80</v>
      </c>
      <c r="O107" s="268" t="s">
        <v>48</v>
      </c>
      <c r="P107" s="149" t="s">
        <v>738</v>
      </c>
      <c r="Q107" s="257">
        <v>46043</v>
      </c>
      <c r="R107" s="258">
        <f>_xlfn.XLOOKUP(Tb_Portfólio11[[#This Row],[SEI]],Tb_Atualizações[PROCESSO SEI],Tb_Atualizações[% EXECUTADO],"",0,-1)</f>
        <v>0.67</v>
      </c>
      <c r="S107" s="258" t="str">
        <f>IFERROR(Tb_Portfólio11[[#This Row],[% EXECUTADO]]/#REF!,"0%")</f>
        <v>0%</v>
      </c>
      <c r="T107" s="146">
        <f>_xlfn.XLOOKUP(Tb_Portfólio11[[#This Row],[SEI]],Tb_Atualizações[PROCESSO SEI],Tb_Atualizações[DATA DE ATUALIZAÇÃO],"",0,-1)</f>
        <v>46167</v>
      </c>
      <c r="U107" s="336">
        <f>_xlfn.XLOOKUP(Tb_Portfólio11[[#This Row],[SEI]],Tb_Atualizações[PROCESSO SEI],Tb_Atualizações[Mês],,0,-1)</f>
        <v>46143</v>
      </c>
      <c r="V107" s="259"/>
      <c r="W107" s="268" t="s">
        <v>48</v>
      </c>
      <c r="X107" s="259"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Atrasado ou Crítico</v>
      </c>
      <c r="Y107" s="414"/>
      <c r="Z107" s="402">
        <f>IFERROR(Tb_Portfólio11[[#This Row],[% EXECUTADO]]/#REF!,0)</f>
        <v>0</v>
      </c>
      <c r="AA107" s="97" t="s">
        <v>1587</v>
      </c>
      <c r="AB107" s="413">
        <v>894453.84</v>
      </c>
      <c r="AC107" s="413"/>
      <c r="AD107" s="97" t="s">
        <v>51</v>
      </c>
      <c r="AE107" s="97" t="s">
        <v>393</v>
      </c>
      <c r="AF107" s="73" t="s">
        <v>80</v>
      </c>
      <c r="AG107" s="97" t="s">
        <v>744</v>
      </c>
      <c r="AH107" s="274"/>
      <c r="AI107" s="273">
        <f t="shared" ca="1" si="3"/>
        <v>46176</v>
      </c>
      <c r="AJ107" s="274" t="s">
        <v>746</v>
      </c>
      <c r="AK107" s="97" t="s">
        <v>67</v>
      </c>
      <c r="AM107" s="79" t="str">
        <f>2024&amp;Tb_Portfólio11[[#This Row],[SEI]]</f>
        <v>202416319/2024</v>
      </c>
      <c r="AN107" s="79" t="str">
        <f>IFERROR(IF(MATCH(AM107,Atualizações!$P$1:$P$1265,0)&gt;0, "Sim"), "Não")</f>
        <v>Não</v>
      </c>
      <c r="AO107" s="79" t="str">
        <f>2025&amp;Tb_Portfólio11[[#This Row],[SEI]]</f>
        <v>202516319/2024</v>
      </c>
      <c r="AP107" s="79" t="str">
        <f>IFERROR(IF(MATCH(AO107,Atualizações!$P$1:$P$1265,0)&gt;0, "Sim"), "Não")</f>
        <v>Sim</v>
      </c>
      <c r="AQ107" s="79" t="str">
        <f>_xlfn.XLOOKUP(Tb_Portfólio11[[#This Row],[SEI]],Tb_Atualizações[PROCESSO SEI],Tb_Atualizações[Explicações],"",0,-1)</f>
        <v>registrou-se que as etapas 1 e 2 do projeto encontram-se integralmente concluídas, com a entrega da versão desktop dos formulários, a disponibilização da versão mobile da plataforma e a realização de integrações com serviços de dados. A etapa 3 encontra-se em execução, com avanço de 61%, contemplando o desenvolvimento da versão offline dos formulários e dos dashboards de consulta, com previsão de conclusão em 23 de abril de 2026. A etapa 4 ainda não foi iniciada, estando prevista para início ao final de abril de 2026, com conclusão estimada para 25 de junho de 2026, envolvendo integrações finais com sistemas externos. A equipe do projeto informou que, até a data da medição, não houve registro de problemas relevantes, encontrando-se o andamento dentro do esperado.</v>
      </c>
    </row>
    <row r="108" spans="1:43" ht="195" hidden="1">
      <c r="A108" s="149" t="s">
        <v>281</v>
      </c>
      <c r="B108" s="103" t="s">
        <v>282</v>
      </c>
      <c r="C108" s="97" t="s">
        <v>283</v>
      </c>
      <c r="D108" s="97"/>
      <c r="E108" s="97" t="s">
        <v>284</v>
      </c>
      <c r="F108" s="97" t="s">
        <v>67</v>
      </c>
      <c r="G108" s="97" t="s">
        <v>285</v>
      </c>
      <c r="H108" s="2" t="s">
        <v>46</v>
      </c>
      <c r="I108" s="97" t="s">
        <v>286</v>
      </c>
      <c r="J108" s="97" t="s">
        <v>287</v>
      </c>
      <c r="K108" s="7" t="s">
        <v>288</v>
      </c>
      <c r="L108" s="262">
        <v>45922</v>
      </c>
      <c r="M108" s="79" t="s">
        <v>43</v>
      </c>
      <c r="N108" s="97" t="s">
        <v>44</v>
      </c>
      <c r="O108" s="268"/>
      <c r="P108" s="149" t="s">
        <v>281</v>
      </c>
      <c r="Q108" s="257">
        <v>47118</v>
      </c>
      <c r="R108" s="258">
        <f>_xlfn.XLOOKUP(Tb_Portfólio11[[#This Row],[SEI]],Tb_Atualizações[PROCESSO SEI],Tb_Atualizações[% EXECUTADO],"",0,-1)</f>
        <v>0</v>
      </c>
      <c r="S108" s="258" t="str">
        <f>IFERROR(Tb_Portfólio11[[#This Row],[% EXECUTADO]]/#REF!,"0%")</f>
        <v>0%</v>
      </c>
      <c r="T108" s="146">
        <f>_xlfn.XLOOKUP(Tb_Portfólio11[[#This Row],[SEI]],Tb_Atualizações[PROCESSO SEI],Tb_Atualizações[DATA DE ATUALIZAÇÃO],"",0,-1)</f>
        <v>46036</v>
      </c>
      <c r="U108" s="266">
        <f>_xlfn.XLOOKUP(Tb_Portfólio11[[#This Row],[SEI]],Tb_Atualizações[PROCESSO SEI],Tb_Atualizações[Mês],,0,-1)</f>
        <v>45901</v>
      </c>
      <c r="V108" s="259"/>
      <c r="W108" s="268"/>
      <c r="X108" s="259"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Autorizado</v>
      </c>
      <c r="Y108" s="414"/>
      <c r="Z108" s="402">
        <f>IFERROR(Tb_Portfólio11[[#This Row],[% EXECUTADO]]/#REF!,0)</f>
        <v>0</v>
      </c>
      <c r="AA108" s="97"/>
      <c r="AB108" s="413">
        <v>255149966.78</v>
      </c>
      <c r="AC108" s="413"/>
      <c r="AD108" s="97"/>
      <c r="AE108" s="79" t="s">
        <v>43</v>
      </c>
      <c r="AF108" s="97" t="s">
        <v>44</v>
      </c>
      <c r="AG108" s="97" t="s">
        <v>289</v>
      </c>
      <c r="AH108" s="274"/>
      <c r="AI108" s="273">
        <f t="shared" ca="1" si="3"/>
        <v>46176</v>
      </c>
      <c r="AJ108" s="274"/>
      <c r="AM108" s="79" t="str">
        <f>2024&amp;Tb_Portfólio11[[#This Row],[SEI]]</f>
        <v>202402626/2025</v>
      </c>
      <c r="AN108" s="79" t="str">
        <f>IFERROR(IF(MATCH(AM108,Atualizações!$P$1:$P$1265,0)&gt;0, "Sim"), "Não")</f>
        <v>Não</v>
      </c>
      <c r="AO108" s="79" t="str">
        <f>2025&amp;Tb_Portfólio11[[#This Row],[SEI]]</f>
        <v>202502626/2025</v>
      </c>
      <c r="AP108" s="79" t="str">
        <f>IFERROR(IF(MATCH(AO108,Atualizações!$P$1:$P$1265,0)&gt;0, "Sim"), "Não")</f>
        <v>Sim</v>
      </c>
      <c r="AQ108" s="79" t="str">
        <f>_xlfn.XLOOKUP(Tb_Portfólio11[[#This Row],[SEI]],Tb_Atualizações[PROCESSO SEI],Tb_Atualizações[Explicações],"",0,-1)</f>
        <v>Medição duplicada para inserir os dados no portfólio de 2026</v>
      </c>
    </row>
    <row r="109" spans="1:43" ht="120">
      <c r="A109" s="149" t="s">
        <v>917</v>
      </c>
      <c r="B109" s="631" t="s">
        <v>918</v>
      </c>
      <c r="C109" s="97" t="s">
        <v>919</v>
      </c>
      <c r="D109" s="97"/>
      <c r="E109" s="97" t="s">
        <v>43</v>
      </c>
      <c r="F109" s="97" t="s">
        <v>44</v>
      </c>
      <c r="G109" s="97" t="s">
        <v>239</v>
      </c>
      <c r="H109" s="2" t="s">
        <v>46</v>
      </c>
      <c r="I109" s="97" t="s">
        <v>920</v>
      </c>
      <c r="J109" s="97" t="s">
        <v>921</v>
      </c>
      <c r="K109" s="7" t="s">
        <v>922</v>
      </c>
      <c r="L109" s="262">
        <v>45706</v>
      </c>
      <c r="M109" s="79" t="s">
        <v>150</v>
      </c>
      <c r="N109" s="255" t="s">
        <v>44</v>
      </c>
      <c r="O109" s="268" t="s">
        <v>48</v>
      </c>
      <c r="P109" s="149" t="s">
        <v>917</v>
      </c>
      <c r="Q109" s="257">
        <v>46178</v>
      </c>
      <c r="R109" s="258">
        <f>_xlfn.XLOOKUP(Tb_Portfólio11[[#This Row],[SEI]],Tb_Atualizações[PROCESSO SEI],Tb_Atualizações[% EXECUTADO],"",0,-1)</f>
        <v>0.66</v>
      </c>
      <c r="S109" s="258" t="str">
        <f>IFERROR(Tb_Portfólio11[[#This Row],[% EXECUTADO]]/#REF!,"0%")</f>
        <v>0%</v>
      </c>
      <c r="T109" s="146">
        <f>_xlfn.XLOOKUP(Tb_Portfólio11[[#This Row],[SEI]],Tb_Atualizações[PROCESSO SEI],Tb_Atualizações[DATA DE ATUALIZAÇÃO],"",0,-1)</f>
        <v>46137</v>
      </c>
      <c r="U109" s="266">
        <f>_xlfn.XLOOKUP(Tb_Portfólio11[[#This Row],[SEI]],Tb_Atualizações[PROCESSO SEI],Tb_Atualizações[Mês],,0,-1)</f>
        <v>46143</v>
      </c>
      <c r="V109" s="259"/>
      <c r="W109" s="268" t="s">
        <v>48</v>
      </c>
      <c r="X109" s="259" t="str">
        <f ca="1">IF(Tb_Portfólio11[[#This Row],[% EXECUTADO]]=100%,"Finalizado",IF(Tb_Portfólio11[[#This Row],[PREVISÃO DE TERMINO]]&lt;Tb_Portfólio11[[#This Row],[Hoje]],"Atrasado ou Crítico",IF(Tb_Portfólio11[[#This Row],[% EXECUTADO]]=0,"Autorizado",IF(Tb_Portfólio11[[#This Row],[MEDIÇÃO DE STATUS]]&gt;=95%,"No prazo",IF(Tb_Portfólio11[[#This Row],[MEDIÇÃO DE STATUS]]&lt;85%,"Atrasado ou Crítico",IF(Tb_Portfólio11[[#This Row],[MEDIÇÃO DE STATUS]]&lt;=95%,"Em atenção"))))))</f>
        <v>No prazo</v>
      </c>
      <c r="Y109" s="414"/>
      <c r="Z109" s="402">
        <f>IFERROR(Tb_Portfólio11[[#This Row],[% EXECUTADO]]/#REF!,0)</f>
        <v>0</v>
      </c>
      <c r="AA109" s="97"/>
      <c r="AB109" s="413">
        <v>222976.88</v>
      </c>
      <c r="AC109" s="413"/>
      <c r="AD109" s="97" t="s">
        <v>51</v>
      </c>
      <c r="AE109" s="79" t="s">
        <v>150</v>
      </c>
      <c r="AF109" s="255" t="s">
        <v>44</v>
      </c>
      <c r="AG109" s="97" t="s">
        <v>923</v>
      </c>
      <c r="AH109" s="274"/>
      <c r="AI109" s="273">
        <f t="shared" ca="1" si="3"/>
        <v>46176</v>
      </c>
      <c r="AJ109" s="274" t="s">
        <v>924</v>
      </c>
      <c r="AK109" s="97" t="s">
        <v>67</v>
      </c>
      <c r="AM109" s="79" t="str">
        <f>2024&amp;Tb_Portfólio11[[#This Row],[SEI]]</f>
        <v>202417529/2024</v>
      </c>
      <c r="AN109" s="79" t="str">
        <f>IFERROR(IF(MATCH(AM109,Atualizações!$P$1:$P$1265,0)&gt;0, "Sim"), "Não")</f>
        <v>Não</v>
      </c>
      <c r="AO109" s="79" t="str">
        <f>2025&amp;Tb_Portfólio11[[#This Row],[SEI]]</f>
        <v>202517529/2024</v>
      </c>
      <c r="AP109" s="79" t="str">
        <f>IFERROR(IF(MATCH(AO109,Atualizações!$P$1:$P$1265,0)&gt;0, "Sim"), "Não")</f>
        <v>Sim</v>
      </c>
      <c r="AQ109" s="79">
        <f>_xlfn.XLOOKUP(Tb_Portfólio11[[#This Row],[SEI]],Tb_Atualizações[PROCESSO SEI],Tb_Atualizações[Explicações],"",0,-1)</f>
        <v>0</v>
      </c>
    </row>
  </sheetData>
  <conditionalFormatting sqref="A56:A1048576 A1:A54">
    <cfRule type="duplicateValues" dxfId="288" priority="17"/>
  </conditionalFormatting>
  <conditionalFormatting sqref="P56:P1048576 P1:P54">
    <cfRule type="duplicateValues" dxfId="287" priority="1"/>
  </conditionalFormatting>
  <conditionalFormatting sqref="Q3:Q109">
    <cfRule type="cellIs" dxfId="286" priority="23" operator="greaterThan">
      <formula>$AR$1</formula>
    </cfRule>
    <cfRule type="cellIs" dxfId="285" priority="28" operator="lessThan">
      <formula>$AR$1</formula>
    </cfRule>
  </conditionalFormatting>
  <conditionalFormatting sqref="Q55">
    <cfRule type="cellIs" dxfId="284" priority="11" operator="greaterThan">
      <formula>$AR$1</formula>
    </cfRule>
    <cfRule type="cellIs" dxfId="283" priority="16" operator="lessThan">
      <formula>$AR$1</formula>
    </cfRule>
  </conditionalFormatting>
  <conditionalFormatting sqref="S3:S109">
    <cfRule type="cellIs" dxfId="282" priority="2" operator="equal">
      <formula>"0%"</formula>
    </cfRule>
    <cfRule type="cellIs" dxfId="281" priority="4" operator="lessThan">
      <formula>0.85</formula>
    </cfRule>
    <cfRule type="cellIs" dxfId="280" priority="24" operator="between">
      <formula>0.85</formula>
      <formula>0.95</formula>
    </cfRule>
  </conditionalFormatting>
  <conditionalFormatting sqref="S3:S246">
    <cfRule type="cellIs" dxfId="279" priority="25" operator="greaterThan">
      <formula>0.9499</formula>
    </cfRule>
  </conditionalFormatting>
  <conditionalFormatting sqref="S55">
    <cfRule type="cellIs" dxfId="278" priority="12" operator="between">
      <formula>0.85</formula>
      <formula>0.95</formula>
    </cfRule>
    <cfRule type="cellIs" dxfId="277" priority="13" operator="greaterThan">
      <formula>0.9499</formula>
    </cfRule>
  </conditionalFormatting>
  <conditionalFormatting sqref="S59:S87">
    <cfRule type="cellIs" dxfId="276" priority="3" operator="between">
      <formula>0.85</formula>
      <formula>0.95</formula>
    </cfRule>
    <cfRule type="cellIs" dxfId="275" priority="5" operator="greaterThan">
      <formula>0.9499</formula>
    </cfRule>
  </conditionalFormatting>
  <conditionalFormatting sqref="X1:X1048576">
    <cfRule type="cellIs" dxfId="274" priority="26" operator="equal">
      <formula>"Autorizado"</formula>
    </cfRule>
    <cfRule type="cellIs" dxfId="273" priority="27" operator="equal">
      <formula>"Finalizado"</formula>
    </cfRule>
  </conditionalFormatting>
  <conditionalFormatting sqref="X3:X109">
    <cfRule type="cellIs" dxfId="272" priority="8" operator="equal">
      <formula>"Em Atenção"</formula>
    </cfRule>
    <cfRule type="cellIs" dxfId="271" priority="9" operator="equal">
      <formula>"No prazo"</formula>
    </cfRule>
    <cfRule type="cellIs" dxfId="270" priority="10" operator="equal">
      <formula>"Atrasado ou crítico"</formula>
    </cfRule>
  </conditionalFormatting>
  <conditionalFormatting sqref="X55">
    <cfRule type="cellIs" dxfId="269" priority="14" operator="equal">
      <formula>"Autorizado"</formula>
    </cfRule>
    <cfRule type="cellIs" dxfId="268" priority="15" operator="equal">
      <formula>"Finalizado"</formula>
    </cfRule>
  </conditionalFormatting>
  <conditionalFormatting sqref="X59:X87">
    <cfRule type="cellIs" dxfId="267" priority="6" operator="equal">
      <formula>"Autorizado"</formula>
    </cfRule>
    <cfRule type="cellIs" dxfId="266" priority="7" operator="equal">
      <formula>"Finalizado"</formula>
    </cfRule>
  </conditionalFormatting>
  <conditionalFormatting sqref="Y3">
    <cfRule type="cellIs" dxfId="265" priority="18" operator="equal">
      <formula>"Autorizado"</formula>
    </cfRule>
    <cfRule type="cellIs" dxfId="264" priority="19" operator="equal">
      <formula>"Concluído"</formula>
    </cfRule>
    <cfRule type="cellIs" dxfId="263" priority="20" operator="equal">
      <formula>"Em Atenção"</formula>
    </cfRule>
    <cfRule type="cellIs" dxfId="262" priority="21" operator="equal">
      <formula>"No prazo"</formula>
    </cfRule>
    <cfRule type="cellIs" dxfId="261" priority="22" operator="equal">
      <formula>"Atrasado ou crítico"</formula>
    </cfRule>
  </conditionalFormatting>
  <hyperlinks>
    <hyperlink ref="Y26" r:id="rId1" xr:uid="{FE60C735-C516-4064-8219-56670D6EE8AB}"/>
    <hyperlink ref="Y11" r:id="rId2" xr:uid="{415137A3-6AD0-4F63-A547-25AF1222B2B3}"/>
    <hyperlink ref="K68" r:id="rId3" display="https://atos.cnj.jus.br/atos/detalhar/156" xr:uid="{AC628BB3-CFBC-4AB8-857E-D9AEC680B04D}"/>
    <hyperlink ref="K66" r:id="rId4" display="https://atos.cnj.jus.br/atos/detalhar/98" xr:uid="{C0B1D8D6-1AB0-436C-9BAC-48631084A850}"/>
    <hyperlink ref="Y12" r:id="rId5" xr:uid="{C6DA103C-3502-4781-B57F-9B22B16AD433}"/>
    <hyperlink ref="K5" r:id="rId6" display=" Programa Justiça 4.0, eixo 2: Gestão de dados e informações - aprimoramento de bases de dados e formulação, implantação e monitoramento de políticas judiciárias com base em evidências para fortalecer a promoção de direitos humanos e a transparência de dados. Ademais, o referido Projeto correlaciona-se com a Resolução CNJ Nº 235 de 29/06/2020" xr:uid="{203D2D3A-FD09-4D06-AF0F-5479DD90DB04}"/>
    <hyperlink ref="Y7" r:id="rId7" xr:uid="{4919F300-90D9-496C-A6D4-C1D6022D02F5}"/>
    <hyperlink ref="AD7" r:id="rId8" xr:uid="{CA4E31F8-E5D7-45B2-AC34-C292AB3495B3}"/>
  </hyperlinks>
  <pageMargins left="0.511811024" right="0.511811024" top="0.78740157499999996" bottom="0.78740157499999996" header="0.31496062000000002" footer="0.31496062000000002"/>
  <pageSetup paperSize="9" orientation="portrait" horizontalDpi="1200" verticalDpi="1200" r:id="rId9"/>
  <legacyDrawing r:id="rId10"/>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675FA-B40F-471A-AEC3-3A7587B068E5}">
  <sheetPr>
    <tabColor theme="9"/>
  </sheetPr>
  <dimension ref="A1:I70"/>
  <sheetViews>
    <sheetView topLeftCell="A63" workbookViewId="0">
      <selection activeCell="G86" sqref="G86"/>
    </sheetView>
  </sheetViews>
  <sheetFormatPr defaultRowHeight="15"/>
  <cols>
    <col min="1" max="1" width="12.85546875" bestFit="1" customWidth="1"/>
    <col min="2" max="2" width="49.42578125" customWidth="1"/>
    <col min="3" max="3" width="31" customWidth="1"/>
    <col min="4" max="4" width="14.42578125" bestFit="1" customWidth="1"/>
    <col min="5" max="5" width="14" customWidth="1"/>
    <col min="9" max="9" width="16.140625" bestFit="1" customWidth="1"/>
    <col min="10" max="10" width="9.42578125" bestFit="1" customWidth="1"/>
  </cols>
  <sheetData>
    <row r="1" spans="1:9">
      <c r="A1" t="s">
        <v>1</v>
      </c>
      <c r="B1" t="s">
        <v>1588</v>
      </c>
      <c r="C1" t="s">
        <v>1589</v>
      </c>
      <c r="D1" t="s">
        <v>1590</v>
      </c>
      <c r="E1" t="s">
        <v>1591</v>
      </c>
    </row>
    <row r="2" spans="1:9" ht="16.5">
      <c r="A2" s="493" t="s">
        <v>229</v>
      </c>
      <c r="B2" s="5" t="str">
        <f>_xlfn.XLOOKUP(Tb_Politicas[[#This Row],[SEI]],Tb_Portfólio[SEI],Tb_Portfólio[PROJETO],"Não cadastrado")</f>
        <v>Gabinete do Juízo</v>
      </c>
      <c r="C2" s="5" t="s">
        <v>1592</v>
      </c>
      <c r="D2" s="476" t="str">
        <f>IF(Tb_Politicas[[#This Row],[Política Programática]]="","Não","Sim")</f>
        <v>Sim</v>
      </c>
      <c r="E2">
        <f>IF(Tb_Politicas[[#This Row],[Programática?]]="Sim", 1, 0)</f>
        <v>1</v>
      </c>
      <c r="H2" t="s">
        <v>1593</v>
      </c>
      <c r="I2" s="476">
        <f>COUNTA(_xlfn.UNIQUE(Tb_Politicas[Projeto]))</f>
        <v>58</v>
      </c>
    </row>
    <row r="3" spans="1:9" ht="16.5">
      <c r="A3" s="494" t="s">
        <v>443</v>
      </c>
      <c r="B3" s="5" t="str">
        <f>_xlfn.XLOOKUP(Tb_Politicas[[#This Row],[SEI]],Tb_Portfólio[SEI],Tb_Portfólio[PROJETO],"Não cadastrado")</f>
        <v>Implantação do SERP</v>
      </c>
      <c r="C3" s="5"/>
      <c r="D3" s="476" t="str">
        <f>IF(Tb_Politicas[[#This Row],[Política Programática]]="","Não","Sim")</f>
        <v>Não</v>
      </c>
      <c r="E3">
        <f>IF(Tb_Politicas[[#This Row],[Programática?]]="Sim", 1, 0)</f>
        <v>0</v>
      </c>
    </row>
    <row r="4" spans="1:9" ht="16.5">
      <c r="A4" s="493" t="s">
        <v>182</v>
      </c>
      <c r="B4" s="5" t="str">
        <f>_xlfn.XLOOKUP(Tb_Politicas[[#This Row],[SEI]],Tb_Portfólio[SEI],Tb_Portfólio[PROJETO],"Não cadastrado")</f>
        <v xml:space="preserve">Mineração de Processos do Pje </v>
      </c>
      <c r="C4" s="5"/>
      <c r="D4" s="476" t="str">
        <f>IF(Tb_Politicas[[#This Row],[Política Programática]]="","Não","Sim")</f>
        <v>Não</v>
      </c>
      <c r="E4">
        <f>IF(Tb_Politicas[[#This Row],[Programática?]]="Sim", 1, 0)</f>
        <v>0</v>
      </c>
    </row>
    <row r="5" spans="1:9" ht="16.5">
      <c r="A5" s="494" t="s">
        <v>350</v>
      </c>
      <c r="B5" s="5" t="str">
        <f>_xlfn.XLOOKUP(Tb_Politicas[[#This Row],[SEI]],Tb_Portfólio[SEI],Tb_Portfólio[PROJETO],"Não cadastrado")</f>
        <v>Painel de Estatística   - Justiça 4.0</v>
      </c>
      <c r="C5" s="5" t="s">
        <v>1592</v>
      </c>
      <c r="D5" s="476" t="str">
        <f>IF(Tb_Politicas[[#This Row],[Política Programática]]="","Não","Sim")</f>
        <v>Sim</v>
      </c>
      <c r="E5">
        <f>IF(Tb_Politicas[[#This Row],[Programática?]]="Sim", 1, 0)</f>
        <v>1</v>
      </c>
    </row>
    <row r="6" spans="1:9" ht="30">
      <c r="A6" s="493" t="s">
        <v>358</v>
      </c>
      <c r="B6" s="5" t="str">
        <f>_xlfn.XLOOKUP(Tb_Politicas[[#This Row],[SEI]],Tb_Portfólio[SEI],Tb_Portfólio[PROJETO],"Não cadastrado")</f>
        <v>Prevjud - Automação de Processos Previdenciários - Justiça 4.0</v>
      </c>
      <c r="C6" s="5" t="s">
        <v>1592</v>
      </c>
      <c r="D6" s="476" t="str">
        <f>IF(Tb_Politicas[[#This Row],[Política Programática]]="","Não","Sim")</f>
        <v>Sim</v>
      </c>
      <c r="E6">
        <f>IF(Tb_Politicas[[#This Row],[Programática?]]="Sim", 1, 0)</f>
        <v>1</v>
      </c>
    </row>
    <row r="7" spans="1:9" ht="16.5">
      <c r="A7" s="492" t="s">
        <v>70</v>
      </c>
      <c r="B7" s="5" t="str">
        <f>_xlfn.XLOOKUP(Tb_Politicas[[#This Row],[SEI]],Tb_Portfólio[SEI],Tb_Portfólio[PROJETO],"Não cadastrado")</f>
        <v>Mapa Nacional do Tribunal do Júri</v>
      </c>
      <c r="C7" s="5"/>
      <c r="D7" s="476" t="str">
        <f>IF(Tb_Politicas[[#This Row],[Política Programática]]="","Não","Sim")</f>
        <v>Não</v>
      </c>
      <c r="E7">
        <f>IF(Tb_Politicas[[#This Row],[Programática?]]="Sim", 1, 0)</f>
        <v>0</v>
      </c>
    </row>
    <row r="8" spans="1:9" ht="16.5">
      <c r="A8" s="491" t="s">
        <v>404</v>
      </c>
      <c r="B8" s="5" t="str">
        <f>_xlfn.XLOOKUP(Tb_Politicas[[#This Row],[SEI]],Tb_Portfólio[SEI],Tb_Portfólio[PROJETO],"Não cadastrado")</f>
        <v>Consulta Nacional de Pessoas (FAC Nacional)</v>
      </c>
      <c r="C8" s="5" t="s">
        <v>1592</v>
      </c>
      <c r="D8" s="476" t="str">
        <f>IF(Tb_Politicas[[#This Row],[Política Programática]]="","Não","Sim")</f>
        <v>Sim</v>
      </c>
      <c r="E8">
        <f>IF(Tb_Politicas[[#This Row],[Programática?]]="Sim", 1, 0)</f>
        <v>1</v>
      </c>
    </row>
    <row r="9" spans="1:9" ht="30">
      <c r="A9" s="489" t="s">
        <v>384</v>
      </c>
      <c r="B9" s="5" t="str">
        <f>_xlfn.XLOOKUP(Tb_Politicas[[#This Row],[SEI]],Tb_Portfólio[SEI],Tb_Portfólio[PROJETO],"Não cadastrado")</f>
        <v>Integra - Serviço de Monitoramento de Atos do CNJ</v>
      </c>
      <c r="C9" s="5" t="s">
        <v>1594</v>
      </c>
      <c r="D9" s="476" t="str">
        <f>IF(Tb_Politicas[[#This Row],[Política Programática]]="","Não","Sim")</f>
        <v>Sim</v>
      </c>
      <c r="E9">
        <f>IF(Tb_Politicas[[#This Row],[Programática?]]="Sim", 1, 0)</f>
        <v>1</v>
      </c>
    </row>
    <row r="10" spans="1:9" ht="60">
      <c r="A10" s="489" t="s">
        <v>384</v>
      </c>
      <c r="B10" s="5" t="str">
        <f>_xlfn.XLOOKUP(Tb_Politicas[[#This Row],[SEI]],Tb_Portfólio[SEI],Tb_Portfólio[PROJETO],"Não cadastrado")</f>
        <v>Integra - Serviço de Monitoramento de Atos do CNJ</v>
      </c>
      <c r="C10" s="5" t="s">
        <v>1595</v>
      </c>
      <c r="D10" s="476" t="str">
        <f>IF(Tb_Politicas[[#This Row],[Política Programática]]="","Não","Sim")</f>
        <v>Sim</v>
      </c>
      <c r="E10">
        <f>IF(Tb_Politicas[[#This Row],[Programática?]]="Sim", 1, 0)</f>
        <v>1</v>
      </c>
    </row>
    <row r="11" spans="1:9" ht="30">
      <c r="A11" s="491" t="s">
        <v>410</v>
      </c>
      <c r="B11" s="5" t="str">
        <f>_xlfn.XLOOKUP(Tb_Politicas[[#This Row],[SEI]],Tb_Portfólio[SEI],Tb_Portfólio[PROJETO],"Não cadastrado")</f>
        <v>7ª Edição da Série Justiça Pesquisa - Exercício 2024/2025</v>
      </c>
      <c r="C11" s="5"/>
      <c r="D11" s="476" t="str">
        <f>IF(Tb_Politicas[[#This Row],[Política Programática]]="","Não","Sim")</f>
        <v>Não</v>
      </c>
      <c r="E11">
        <f>IF(Tb_Politicas[[#This Row],[Programática?]]="Sim", 1, 0)</f>
        <v>0</v>
      </c>
    </row>
    <row r="12" spans="1:9" ht="16.5">
      <c r="A12" s="489" t="s">
        <v>416</v>
      </c>
      <c r="B12" s="5" t="str">
        <f>_xlfn.XLOOKUP(Tb_Politicas[[#This Row],[SEI]],Tb_Portfólio[SEI],Tb_Portfólio[PROJETO],"Não cadastrado")</f>
        <v>Conecta</v>
      </c>
      <c r="C12" s="5" t="s">
        <v>1592</v>
      </c>
      <c r="D12" s="476" t="str">
        <f>IF(Tb_Politicas[[#This Row],[Política Programática]]="","Não","Sim")</f>
        <v>Sim</v>
      </c>
      <c r="E12">
        <f>IF(Tb_Politicas[[#This Row],[Programática?]]="Sim", 1, 0)</f>
        <v>1</v>
      </c>
    </row>
    <row r="13" spans="1:9" ht="30">
      <c r="A13" s="491" t="s">
        <v>257</v>
      </c>
      <c r="B13" s="5" t="str">
        <f>_xlfn.XLOOKUP(Tb_Politicas[[#This Row],[SEI]],Tb_Portfólio[SEI],Tb_Portfólio[PROJETO],"Não cadastrado")</f>
        <v>SisPreq – Sistema de Precatórios e Requisições de Pequeno Valor</v>
      </c>
      <c r="C13" s="5" t="s">
        <v>1596</v>
      </c>
      <c r="D13" s="476" t="str">
        <f>IF(Tb_Politicas[[#This Row],[Política Programática]]="","Não","Sim")</f>
        <v>Sim</v>
      </c>
      <c r="E13">
        <f>IF(Tb_Politicas[[#This Row],[Programática?]]="Sim", 1, 0)</f>
        <v>1</v>
      </c>
    </row>
    <row r="14" spans="1:9" ht="60">
      <c r="A14" s="490" t="s">
        <v>638</v>
      </c>
      <c r="B14" s="5" t="str">
        <f>_xlfn.XLOOKUP(Tb_Politicas[[#This Row],[SEI]],Tb_Portfólio[SEI],Tb_Portfólio[PROJETO],"Não cadastrado")</f>
        <v>Sisperjud</v>
      </c>
      <c r="C14" s="5" t="s">
        <v>1597</v>
      </c>
      <c r="D14" s="476" t="str">
        <f>IF(Tb_Politicas[[#This Row],[Política Programática]]="","Não","Sim")</f>
        <v>Sim</v>
      </c>
      <c r="E14">
        <f>IF(Tb_Politicas[[#This Row],[Programática?]]="Sim", 1, 0)</f>
        <v>1</v>
      </c>
    </row>
    <row r="15" spans="1:9" ht="16.5">
      <c r="A15" s="490" t="s">
        <v>638</v>
      </c>
      <c r="B15" s="5" t="str">
        <f>_xlfn.XLOOKUP(Tb_Politicas[[#This Row],[SEI]],Tb_Portfólio[SEI],Tb_Portfólio[PROJETO],"Não cadastrado")</f>
        <v>Sisperjud</v>
      </c>
      <c r="C15" s="5" t="s">
        <v>1592</v>
      </c>
      <c r="D15" s="476" t="str">
        <f>IF(Tb_Politicas[[#This Row],[Política Programática]]="","Não","Sim")</f>
        <v>Sim</v>
      </c>
      <c r="E15">
        <f>IF(Tb_Politicas[[#This Row],[Programática?]]="Sim", 1, 0)</f>
        <v>1</v>
      </c>
    </row>
    <row r="16" spans="1:9" ht="60">
      <c r="A16" s="490" t="s">
        <v>559</v>
      </c>
      <c r="B16" s="5" t="str">
        <f>_xlfn.XLOOKUP(Tb_Politicas[[#This Row],[SEI]],Tb_Portfólio[SEI],Tb_Portfólio[PROJETO],"Não cadastrado")</f>
        <v>Fonajus itinerante</v>
      </c>
      <c r="C16" s="5" t="s">
        <v>1597</v>
      </c>
      <c r="D16" s="476" t="str">
        <f>IF(Tb_Politicas[[#This Row],[Política Programática]]="","Não","Sim")</f>
        <v>Sim</v>
      </c>
      <c r="E16">
        <f>IF(Tb_Politicas[[#This Row],[Programática?]]="Sim", 1, 0)</f>
        <v>1</v>
      </c>
    </row>
    <row r="17" spans="1:5" ht="60">
      <c r="A17" s="485" t="s">
        <v>684</v>
      </c>
      <c r="B17" s="5" t="str">
        <f>_xlfn.XLOOKUP(Tb_Politicas[[#This Row],[SEI]],Tb_Portfólio[SEI],Tb_Portfólio[PROJETO],"Não cadastrado")</f>
        <v>Painel dos Grandes Litigantes</v>
      </c>
      <c r="C17" s="5" t="s">
        <v>1598</v>
      </c>
      <c r="D17" s="476" t="str">
        <f>IF(Tb_Politicas[[#This Row],[Política Programática]]="","Não","Sim")</f>
        <v>Sim</v>
      </c>
      <c r="E17">
        <f>IF(Tb_Politicas[[#This Row],[Programática?]]="Sim", 1, 0)</f>
        <v>1</v>
      </c>
    </row>
    <row r="18" spans="1:5" ht="16.5">
      <c r="A18" s="484" t="s">
        <v>431</v>
      </c>
      <c r="B18" s="5" t="str">
        <f>_xlfn.XLOOKUP(Tb_Politicas[[#This Row],[SEI]],Tb_Portfólio[SEI],Tb_Portfólio[PROJETO],"Não cadastrado")</f>
        <v>Sniper BC</v>
      </c>
      <c r="C18" s="5" t="s">
        <v>1592</v>
      </c>
      <c r="D18" s="476" t="str">
        <f>IF(Tb_Politicas[[#This Row],[Política Programática]]="","Não","Sim")</f>
        <v>Sim</v>
      </c>
      <c r="E18">
        <f>IF(Tb_Politicas[[#This Row],[Programática?]]="Sim", 1, 0)</f>
        <v>1</v>
      </c>
    </row>
    <row r="19" spans="1:5" ht="45">
      <c r="A19" s="485" t="s">
        <v>549</v>
      </c>
      <c r="B19" s="5" t="str">
        <f>_xlfn.XLOOKUP(Tb_Politicas[[#This Row],[SEI]],Tb_Portfólio[SEI],Tb_Portfólio[PROJETO],"Não cadastrado")</f>
        <v>Fluxo Nacional Automatizado das Execuções Fiscais (EFIN)</v>
      </c>
      <c r="C19" s="5" t="s">
        <v>1599</v>
      </c>
      <c r="D19" s="476" t="str">
        <f>IF(Tb_Politicas[[#This Row],[Política Programática]]="","Não","Sim")</f>
        <v>Sim</v>
      </c>
      <c r="E19">
        <f>IF(Tb_Politicas[[#This Row],[Programática?]]="Sim", 1, 0)</f>
        <v>1</v>
      </c>
    </row>
    <row r="20" spans="1:5" ht="16.5">
      <c r="A20" s="486" t="s">
        <v>644</v>
      </c>
      <c r="B20" s="5" t="str">
        <f>_xlfn.XLOOKUP(Tb_Politicas[[#This Row],[SEI]],Tb_Portfólio[SEI],Tb_Portfólio[PROJETO],"Não cadastrado")</f>
        <v>BNP/Pangea</v>
      </c>
      <c r="C20" s="5" t="s">
        <v>1592</v>
      </c>
      <c r="D20" s="476" t="str">
        <f>IF(Tb_Politicas[[#This Row],[Política Programática]]="","Não","Sim")</f>
        <v>Sim</v>
      </c>
      <c r="E20">
        <f>IF(Tb_Politicas[[#This Row],[Programática?]]="Sim", 1, 0)</f>
        <v>1</v>
      </c>
    </row>
    <row r="21" spans="1:5" ht="45">
      <c r="A21" s="489" t="s">
        <v>629</v>
      </c>
      <c r="B21" s="5" t="str">
        <f>_xlfn.XLOOKUP(Tb_Politicas[[#This Row],[SEI]],Tb_Portfólio[SEI],Tb_Portfólio[PROJETO],"Não cadastrado")</f>
        <v>2º Edital da 7ª Edição da Série Justiça Pesquisa - Exercício 2024/2025</v>
      </c>
      <c r="C21" s="5" t="s">
        <v>1600</v>
      </c>
      <c r="D21" s="476" t="str">
        <f>IF(Tb_Politicas[[#This Row],[Política Programática]]="","Não","Sim")</f>
        <v>Sim</v>
      </c>
      <c r="E21">
        <f>IF(Tb_Politicas[[#This Row],[Programática?]]="Sim", 1, 0)</f>
        <v>1</v>
      </c>
    </row>
    <row r="22" spans="1:5" ht="16.5">
      <c r="A22" s="488" t="s">
        <v>533</v>
      </c>
      <c r="B22" s="5" t="str">
        <f>_xlfn.XLOOKUP(Tb_Politicas[[#This Row],[SEI]],Tb_Portfólio[SEI],Tb_Portfólio[PROJETO],"Não cadastrado")</f>
        <v>Qualificação de Dados</v>
      </c>
      <c r="C22" s="5" t="s">
        <v>1592</v>
      </c>
      <c r="D22" s="476" t="str">
        <f>IF(Tb_Politicas[[#This Row],[Política Programática]]="","Não","Sim")</f>
        <v>Sim</v>
      </c>
      <c r="E22">
        <f>IF(Tb_Politicas[[#This Row],[Programática?]]="Sim", 1, 0)</f>
        <v>1</v>
      </c>
    </row>
    <row r="23" spans="1:5" ht="45">
      <c r="A23" s="487" t="s">
        <v>698</v>
      </c>
      <c r="B23" s="5" t="str">
        <f>_xlfn.XLOOKUP(Tb_Politicas[[#This Row],[SEI]],Tb_Portfólio[SEI],Tb_Portfólio[PROJETO],"Não cadastrado")</f>
        <v>Escola Virtual do Poder Judiciário</v>
      </c>
      <c r="C23" s="5" t="s">
        <v>703</v>
      </c>
      <c r="D23" s="476" t="str">
        <f>IF(Tb_Politicas[[#This Row],[Política Programática]]="","Não","Sim")</f>
        <v>Sim</v>
      </c>
      <c r="E23">
        <f>IF(Tb_Politicas[[#This Row],[Programática?]]="Sim", 1, 0)</f>
        <v>1</v>
      </c>
    </row>
    <row r="24" spans="1:5" ht="16.5">
      <c r="A24" s="486" t="s">
        <v>310</v>
      </c>
      <c r="B24" s="5" t="str">
        <f>_xlfn.XLOOKUP(Tb_Politicas[[#This Row],[SEI]],Tb_Portfólio[SEI],Tb_Portfólio[PROJETO],"Não cadastrado")</f>
        <v>Apoio a implantação de soluções da PDPJ-Br</v>
      </c>
      <c r="C24" s="5" t="s">
        <v>1592</v>
      </c>
      <c r="D24" s="476" t="str">
        <f>IF(Tb_Politicas[[#This Row],[Política Programática]]="","Não","Sim")</f>
        <v>Sim</v>
      </c>
      <c r="E24">
        <f>IF(Tb_Politicas[[#This Row],[Programática?]]="Sim", 1, 0)</f>
        <v>1</v>
      </c>
    </row>
    <row r="25" spans="1:5" ht="16.5">
      <c r="A25" s="485" t="s">
        <v>690</v>
      </c>
      <c r="B25" s="5" t="str">
        <f>_xlfn.XLOOKUP(Tb_Politicas[[#This Row],[SEI]],Tb_Portfólio[SEI],Tb_Portfólio[PROJETO],"Não cadastrado")</f>
        <v>Painel “Justiça Criminal e Sistema Prisional”</v>
      </c>
      <c r="C25" s="5" t="s">
        <v>1592</v>
      </c>
      <c r="D25" s="476" t="str">
        <f>IF(Tb_Politicas[[#This Row],[Política Programática]]="","Não","Sim")</f>
        <v>Sim</v>
      </c>
      <c r="E25">
        <f>IF(Tb_Politicas[[#This Row],[Programática?]]="Sim", 1, 0)</f>
        <v>1</v>
      </c>
    </row>
    <row r="26" spans="1:5" ht="16.5">
      <c r="A26" s="484" t="s">
        <v>458</v>
      </c>
      <c r="B26" s="5" t="str">
        <f>_xlfn.XLOOKUP(Tb_Politicas[[#This Row],[SEI]],Tb_Portfólio[SEI],Tb_Portfólio[PROJETO],"Não cadastrado")</f>
        <v>SNGB - Melhorias evolutivas</v>
      </c>
      <c r="C26" s="5" t="s">
        <v>1592</v>
      </c>
      <c r="D26" s="476" t="str">
        <f>IF(Tb_Politicas[[#This Row],[Política Programática]]="","Não","Sim")</f>
        <v>Sim</v>
      </c>
      <c r="E26">
        <f>IF(Tb_Politicas[[#This Row],[Programática?]]="Sim", 1, 0)</f>
        <v>1</v>
      </c>
    </row>
    <row r="27" spans="1:5" ht="16.5">
      <c r="A27" s="482" t="s">
        <v>83</v>
      </c>
      <c r="B27" s="5" t="str">
        <f>_xlfn.XLOOKUP(Tb_Politicas[[#This Row],[SEI]],Tb_Portfólio[SEI],Tb_Portfólio[PROJETO],"Não cadastrado")</f>
        <v>Painel do Programa Desjudicializa</v>
      </c>
      <c r="C27" s="5" t="s">
        <v>1592</v>
      </c>
      <c r="D27" s="476" t="str">
        <f>IF(Tb_Politicas[[#This Row],[Política Programática]]="","Não","Sim")</f>
        <v>Sim</v>
      </c>
      <c r="E27">
        <f>IF(Tb_Politicas[[#This Row],[Programática?]]="Sim", 1, 0)</f>
        <v>1</v>
      </c>
    </row>
    <row r="28" spans="1:5" ht="16.5">
      <c r="A28" s="483" t="s">
        <v>523</v>
      </c>
      <c r="B28" s="5" t="str">
        <f>_xlfn.XLOOKUP(Tb_Politicas[[#This Row],[SEI]],Tb_Portfólio[SEI],Tb_Portfólio[PROJETO],"Não cadastrado")</f>
        <v>Portal Jus BR</v>
      </c>
      <c r="C28" s="5" t="s">
        <v>1592</v>
      </c>
      <c r="D28" s="476" t="str">
        <f>IF(Tb_Politicas[[#This Row],[Política Programática]]="","Não","Sim")</f>
        <v>Sim</v>
      </c>
      <c r="E28">
        <f>IF(Tb_Politicas[[#This Row],[Programática?]]="Sim", 1, 0)</f>
        <v>1</v>
      </c>
    </row>
    <row r="29" spans="1:5" ht="16.5">
      <c r="A29" s="482" t="s">
        <v>247</v>
      </c>
      <c r="B29" s="5" t="str">
        <f>_xlfn.XLOOKUP(Tb_Politicas[[#This Row],[SEI]],Tb_Portfólio[SEI],Tb_Portfólio[PROJETO],"Não cadastrado")</f>
        <v>Portal de Serviços</v>
      </c>
      <c r="C29" s="5" t="s">
        <v>1592</v>
      </c>
      <c r="D29" s="476" t="str">
        <f>IF(Tb_Politicas[[#This Row],[Política Programática]]="","Não","Sim")</f>
        <v>Sim</v>
      </c>
      <c r="E29">
        <f>IF(Tb_Politicas[[#This Row],[Programática?]]="Sim", 1, 0)</f>
        <v>1</v>
      </c>
    </row>
    <row r="30" spans="1:5" ht="30">
      <c r="A30" s="481" t="s">
        <v>539</v>
      </c>
      <c r="B30" s="5" t="str">
        <f>_xlfn.XLOOKUP(Tb_Politicas[[#This Row],[SEI]],Tb_Portfólio[SEI],Tb_Portfólio[PROJETO],"Não cadastrado")</f>
        <v>Desenvolvimento do módulo de Sessão de Julgamento (PDPJ-Br)</v>
      </c>
      <c r="C30" s="5" t="s">
        <v>1592</v>
      </c>
      <c r="D30" s="476" t="str">
        <f>IF(Tb_Politicas[[#This Row],[Política Programática]]="","Não","Sim")</f>
        <v>Sim</v>
      </c>
      <c r="E30">
        <f>IF(Tb_Politicas[[#This Row],[Programática?]]="Sim", 1, 0)</f>
        <v>1</v>
      </c>
    </row>
    <row r="31" spans="1:5" ht="45">
      <c r="A31" s="480" t="s">
        <v>893</v>
      </c>
      <c r="B31" s="5" t="str">
        <f>_xlfn.XLOOKUP(Tb_Politicas[[#This Row],[SEI]],Tb_Portfólio[SEI],Tb_Portfólio[PROJETO],"Não cadastrado")</f>
        <v>Ação Nacional de Trabalho e Renda (sistema penal)</v>
      </c>
      <c r="C31" s="5" t="s">
        <v>1601</v>
      </c>
      <c r="D31" s="476" t="str">
        <f>IF(Tb_Politicas[[#This Row],[Política Programática]]="","Não","Sim")</f>
        <v>Sim</v>
      </c>
      <c r="E31">
        <f>IF(Tb_Politicas[[#This Row],[Programática?]]="Sim", 1, 0)</f>
        <v>1</v>
      </c>
    </row>
    <row r="32" spans="1:5" ht="45">
      <c r="A32" s="74" t="s">
        <v>901</v>
      </c>
      <c r="B32" s="5" t="str">
        <f>_xlfn.XLOOKUP(Tb_Politicas[[#This Row],[SEI]],Tb_Portfólio[SEI],Tb_Portfólio[PROJETO],"Não cadastrado")</f>
        <v>Plano Nacional de Fomento ao Esporte e Lazer (sistema penal)</v>
      </c>
      <c r="C32" s="5" t="s">
        <v>1601</v>
      </c>
      <c r="D32" s="476" t="str">
        <f>IF(Tb_Politicas[[#This Row],[Política Programática]]="","Não","Sim")</f>
        <v>Sim</v>
      </c>
      <c r="E32">
        <f>IF(Tb_Politicas[[#This Row],[Programática?]]="Sim", 1, 0)</f>
        <v>1</v>
      </c>
    </row>
    <row r="33" spans="1:5" ht="45">
      <c r="A33" s="480" t="s">
        <v>834</v>
      </c>
      <c r="B33" s="5" t="str">
        <f>_xlfn.XLOOKUP(Tb_Politicas[[#This Row],[SEI]],Tb_Portfólio[SEI],Tb_Portfólio[PROJETO],"Não cadastrado")</f>
        <v>Inspeção Judicial</v>
      </c>
      <c r="C33" s="5" t="s">
        <v>1601</v>
      </c>
      <c r="D33" s="476" t="str">
        <f>IF(Tb_Politicas[[#This Row],[Política Programática]]="","Não","Sim")</f>
        <v>Sim</v>
      </c>
      <c r="E33">
        <f>IF(Tb_Politicas[[#This Row],[Programática?]]="Sim", 1, 0)</f>
        <v>1</v>
      </c>
    </row>
    <row r="34" spans="1:5" ht="45">
      <c r="A34" s="74" t="s">
        <v>844</v>
      </c>
      <c r="B34" s="5" t="str">
        <f>_xlfn.XLOOKUP(Tb_Politicas[[#This Row],[SEI]],Tb_Portfólio[SEI],Tb_Portfólio[PROJETO],"Não cadastrado")</f>
        <v>Enfrentamento da Tortura</v>
      </c>
      <c r="C34" s="5" t="s">
        <v>1601</v>
      </c>
      <c r="D34" s="476" t="str">
        <f>IF(Tb_Politicas[[#This Row],[Política Programática]]="","Não","Sim")</f>
        <v>Sim</v>
      </c>
      <c r="E34">
        <f>IF(Tb_Politicas[[#This Row],[Programática?]]="Sim", 1, 0)</f>
        <v>1</v>
      </c>
    </row>
    <row r="35" spans="1:5" ht="45">
      <c r="A35" s="480" t="s">
        <v>865</v>
      </c>
      <c r="B35" s="5" t="str">
        <f>_xlfn.XLOOKUP(Tb_Politicas[[#This Row],[SEI]],Tb_Portfólio[SEI],Tb_Portfólio[PROJETO],"Não cadastrado")</f>
        <v>Articulação Internacional e Proteção dos Direitos Humanos</v>
      </c>
      <c r="C35" s="5" t="s">
        <v>1601</v>
      </c>
      <c r="D35" s="476" t="str">
        <f>IF(Tb_Politicas[[#This Row],[Política Programática]]="","Não","Sim")</f>
        <v>Sim</v>
      </c>
      <c r="E35">
        <f>IF(Tb_Politicas[[#This Row],[Programática?]]="Sim", 1, 0)</f>
        <v>1</v>
      </c>
    </row>
    <row r="36" spans="1:5" ht="45">
      <c r="A36" s="74" t="s">
        <v>878</v>
      </c>
      <c r="B36" s="5" t="str">
        <f>_xlfn.XLOOKUP(Tb_Politicas[[#This Row],[SEI]],Tb_Portfólio[SEI],Tb_Portfólio[PROJETO],"Não cadastrado")</f>
        <v>Adequação à Lei Geral de Proteção de Dados Pessoais</v>
      </c>
      <c r="C36" s="5" t="s">
        <v>1601</v>
      </c>
      <c r="D36" s="476" t="str">
        <f>IF(Tb_Politicas[[#This Row],[Política Programática]]="","Não","Sim")</f>
        <v>Sim</v>
      </c>
      <c r="E36">
        <f>IF(Tb_Politicas[[#This Row],[Programática?]]="Sim", 1, 0)</f>
        <v>1</v>
      </c>
    </row>
    <row r="37" spans="1:5" ht="60">
      <c r="A37" s="480" t="s">
        <v>728</v>
      </c>
      <c r="B37" s="5" t="str">
        <f>_xlfn.XLOOKUP(Tb_Politicas[[#This Row],[SEI]],Tb_Portfólio[SEI],Tb_Portfólio[PROJETO],"Não cadastrado")</f>
        <v>Programa de Acessibilidade e Inclusão do Conselho Nacional de Justiça (CNJ)</v>
      </c>
      <c r="C37" s="5" t="s">
        <v>1602</v>
      </c>
      <c r="D37" s="476" t="str">
        <f>IF(Tb_Politicas[[#This Row],[Política Programática]]="","Não","Sim")</f>
        <v>Sim</v>
      </c>
      <c r="E37">
        <f>IF(Tb_Politicas[[#This Row],[Programática?]]="Sim", 1, 0)</f>
        <v>1</v>
      </c>
    </row>
    <row r="38" spans="1:5" ht="16.5">
      <c r="A38" s="479" t="s">
        <v>714</v>
      </c>
      <c r="B38" s="5" t="str">
        <f>_xlfn.XLOOKUP(Tb_Politicas[[#This Row],[SEI]],Tb_Portfólio[SEI],Tb_Portfólio[PROJETO],"Não cadastrado")</f>
        <v>Programa Novos Caminhos</v>
      </c>
      <c r="C38" s="5" t="s">
        <v>1603</v>
      </c>
      <c r="D38" s="476" t="str">
        <f>IF(Tb_Politicas[[#This Row],[Política Programática]]="","Não","Sim")</f>
        <v>Sim</v>
      </c>
      <c r="E38">
        <f>IF(Tb_Politicas[[#This Row],[Programática?]]="Sim", 1, 0)</f>
        <v>1</v>
      </c>
    </row>
    <row r="39" spans="1:5" ht="30">
      <c r="A39" s="477" t="s">
        <v>112</v>
      </c>
      <c r="B39" s="5" t="str">
        <f>_xlfn.XLOOKUP(Tb_Politicas[[#This Row],[SEI]],Tb_Portfólio[SEI],Tb_Portfólio[PROJETO],"Não cadastrado")</f>
        <v>Programa Nacional de Promoção da Equidade Racial no Poder Judiciário - 2024</v>
      </c>
      <c r="C39" s="5"/>
      <c r="D39" s="476" t="str">
        <f>IF(Tb_Politicas[[#This Row],[Política Programática]]="","Não","Sim")</f>
        <v>Não</v>
      </c>
      <c r="E39">
        <f>IF(Tb_Politicas[[#This Row],[Programática?]]="Sim", 1, 0)</f>
        <v>0</v>
      </c>
    </row>
    <row r="40" spans="1:5" ht="30">
      <c r="A40" s="478" t="s">
        <v>722</v>
      </c>
      <c r="B40" s="5" t="str">
        <f>_xlfn.XLOOKUP(Tb_Politicas[[#This Row],[SEI]],Tb_Portfólio[SEI],Tb_Portfólio[PROJETO],"Não cadastrado")</f>
        <v>Serviços Estruturantes - Melhorias Evolutivas e Corretivas</v>
      </c>
      <c r="C40" s="5" t="s">
        <v>1592</v>
      </c>
      <c r="D40" s="476" t="str">
        <f>IF(Tb_Politicas[[#This Row],[Política Programática]]="","Não","Sim")</f>
        <v>Sim</v>
      </c>
      <c r="E40">
        <f>IF(Tb_Politicas[[#This Row],[Programática?]]="Sim", 1, 0)</f>
        <v>1</v>
      </c>
    </row>
    <row r="41" spans="1:5" ht="60">
      <c r="A41" s="479" t="s">
        <v>58</v>
      </c>
      <c r="B41" s="5" t="str">
        <f>_xlfn.XLOOKUP(Tb_Politicas[[#This Row],[SEI]],Tb_Portfólio[SEI],Tb_Portfólio[PROJETO],"Não cadastrado")</f>
        <v>Phase-out: Transição Projetos X Operação</v>
      </c>
      <c r="C41" s="5" t="s">
        <v>1595</v>
      </c>
      <c r="D41" s="476" t="str">
        <f>IF(Tb_Politicas[[#This Row],[Política Programática]]="","Não","Sim")</f>
        <v>Sim</v>
      </c>
      <c r="E41">
        <f>IF(Tb_Politicas[[#This Row],[Programática?]]="Sim", 1, 0)</f>
        <v>1</v>
      </c>
    </row>
    <row r="42" spans="1:5" ht="16.5">
      <c r="A42" s="479" t="s">
        <v>58</v>
      </c>
      <c r="B42" s="5" t="str">
        <f>_xlfn.XLOOKUP(Tb_Politicas[[#This Row],[SEI]],Tb_Portfólio[SEI],Tb_Portfólio[PROJETO],"Não cadastrado")</f>
        <v>Phase-out: Transição Projetos X Operação</v>
      </c>
      <c r="C42" s="5" t="s">
        <v>1592</v>
      </c>
      <c r="D42" s="476" t="str">
        <f>IF(Tb_Politicas[[#This Row],[Política Programática]]="","Não","Sim")</f>
        <v>Sim</v>
      </c>
      <c r="E42">
        <f>IF(Tb_Politicas[[#This Row],[Programática?]]="Sim", 1, 0)</f>
        <v>1</v>
      </c>
    </row>
    <row r="43" spans="1:5" ht="16.5">
      <c r="A43" s="478" t="s">
        <v>517</v>
      </c>
      <c r="B43" s="5" t="str">
        <f>_xlfn.XLOOKUP(Tb_Politicas[[#This Row],[SEI]],Tb_Portfólio[SEI],Tb_Portfólio[PROJETO],"Não cadastrado")</f>
        <v>Domicílio Judicial Eletrônico - Melhorias Evolutivas</v>
      </c>
      <c r="C43" s="5" t="s">
        <v>1592</v>
      </c>
      <c r="D43" s="476" t="str">
        <f>IF(Tb_Politicas[[#This Row],[Política Programática]]="","Não","Sim")</f>
        <v>Sim</v>
      </c>
      <c r="E43">
        <f>IF(Tb_Politicas[[#This Row],[Programática?]]="Sim", 1, 0)</f>
        <v>1</v>
      </c>
    </row>
    <row r="44" spans="1:5" ht="16.5">
      <c r="A44" s="477" t="s">
        <v>396</v>
      </c>
      <c r="B44" s="5" t="str">
        <f>_xlfn.XLOOKUP(Tb_Politicas[[#This Row],[SEI]],Tb_Portfólio[SEI],Tb_Portfólio[PROJETO],"Não cadastrado")</f>
        <v>CODEX - Melhorias Evolutivas e Corretivas</v>
      </c>
      <c r="C44" s="5" t="s">
        <v>1592</v>
      </c>
      <c r="D44" s="476" t="str">
        <f>IF(Tb_Politicas[[#This Row],[Política Programática]]="","Não","Sim")</f>
        <v>Sim</v>
      </c>
      <c r="E44">
        <f>IF(Tb_Politicas[[#This Row],[Programática?]]="Sim", 1, 0)</f>
        <v>1</v>
      </c>
    </row>
    <row r="45" spans="1:5" ht="16.5">
      <c r="A45" s="478" t="s">
        <v>580</v>
      </c>
      <c r="B45" s="5" t="str">
        <f>_xlfn.XLOOKUP(Tb_Politicas[[#This Row],[SEI]],Tb_Portfólio[SEI],Tb_Portfólio[PROJETO],"Não cadastrado")</f>
        <v>SireneJud 2.0 - Evoluções</v>
      </c>
      <c r="C45" s="5" t="s">
        <v>1592</v>
      </c>
      <c r="D45" s="476" t="str">
        <f>IF(Tb_Politicas[[#This Row],[Política Programática]]="","Não","Sim")</f>
        <v>Sim</v>
      </c>
      <c r="E45">
        <f>IF(Tb_Politicas[[#This Row],[Programática?]]="Sim", 1, 0)</f>
        <v>1</v>
      </c>
    </row>
    <row r="46" spans="1:5" ht="16.5">
      <c r="A46" s="477" t="s">
        <v>773</v>
      </c>
      <c r="B46" s="5" t="str">
        <f>_xlfn.XLOOKUP(Tb_Politicas[[#This Row],[SEI]],Tb_Portfólio[SEI],Tb_Portfólio[PROJETO],"Não cadastrado")</f>
        <v>API de Pessoas</v>
      </c>
      <c r="C46" s="5" t="s">
        <v>1592</v>
      </c>
      <c r="D46" s="476" t="str">
        <f>IF(Tb_Politicas[[#This Row],[Política Programática]]="","Não","Sim")</f>
        <v>Sim</v>
      </c>
      <c r="E46">
        <f>IF(Tb_Politicas[[#This Row],[Programática?]]="Sim", 1, 0)</f>
        <v>1</v>
      </c>
    </row>
    <row r="47" spans="1:5" ht="60">
      <c r="A47" s="479" t="s">
        <v>219</v>
      </c>
      <c r="B47" s="5" t="str">
        <f>_xlfn.XLOOKUP(Tb_Politicas[[#This Row],[SEI]],Tb_Portfólio[SEI],Tb_Portfólio[PROJETO],"Não cadastrado")</f>
        <v xml:space="preserve">Aperfeiçoamento funcional em temáticas prioritárias para o CNJ e para Justiça Federal 
(cursos, capacitações, metodologias e ferramentas avançados) – Ciclo Avançado </v>
      </c>
      <c r="C47" s="79" t="s">
        <v>1592</v>
      </c>
      <c r="D47" s="476" t="str">
        <f>IF(Tb_Politicas[[#This Row],[Política Programática]]="","Não","Sim")</f>
        <v>Sim</v>
      </c>
      <c r="E47">
        <f>IF(Tb_Politicas[[#This Row],[Programática?]]="Sim", 1, 0)</f>
        <v>1</v>
      </c>
    </row>
    <row r="48" spans="1:5" ht="60">
      <c r="A48" s="479" t="s">
        <v>219</v>
      </c>
      <c r="B48" s="5" t="str">
        <f>_xlfn.XLOOKUP(Tb_Politicas[[#This Row],[SEI]],Tb_Portfólio[SEI],Tb_Portfólio[PROJETO],"Não cadastrado")</f>
        <v xml:space="preserve">Aperfeiçoamento funcional em temáticas prioritárias para o CNJ e para Justiça Federal 
(cursos, capacitações, metodologias e ferramentas avançados) – Ciclo Avançado </v>
      </c>
      <c r="C48" s="79" t="s">
        <v>1595</v>
      </c>
      <c r="D48" s="476" t="str">
        <f>IF(Tb_Politicas[[#This Row],[Política Programática]]="","Não","Sim")</f>
        <v>Sim</v>
      </c>
      <c r="E48">
        <f>IF(Tb_Politicas[[#This Row],[Programática?]]="Sim", 1, 0)</f>
        <v>1</v>
      </c>
    </row>
    <row r="49" spans="1:5" ht="60">
      <c r="A49" s="479" t="s">
        <v>219</v>
      </c>
      <c r="B49" s="5" t="str">
        <f>_xlfn.XLOOKUP(Tb_Politicas[[#This Row],[SEI]],Tb_Portfólio[SEI],Tb_Portfólio[PROJETO],"Não cadastrado")</f>
        <v xml:space="preserve">Aperfeiçoamento funcional em temáticas prioritárias para o CNJ e para Justiça Federal 
(cursos, capacitações, metodologias e ferramentas avançados) – Ciclo Avançado </v>
      </c>
      <c r="C49" s="79" t="s">
        <v>703</v>
      </c>
      <c r="D49" s="476" t="str">
        <f>IF(Tb_Politicas[[#This Row],[Política Programática]]="","Não","Sim")</f>
        <v>Sim</v>
      </c>
      <c r="E49">
        <f>IF(Tb_Politicas[[#This Row],[Programática?]]="Sim", 1, 0)</f>
        <v>1</v>
      </c>
    </row>
    <row r="50" spans="1:5" ht="30">
      <c r="A50" s="477" t="s">
        <v>661</v>
      </c>
      <c r="B50" s="5" t="str">
        <f>_xlfn.XLOOKUP(Tb_Politicas[[#This Row],[SEI]],Tb_Portfólio[SEI],Tb_Portfólio[PROJETO],"Não cadastrado")</f>
        <v>BNMP – Banco Nacional de Medidas Penais e Prisões – Melhorias Evolutivas</v>
      </c>
      <c r="C50" s="5" t="s">
        <v>1592</v>
      </c>
      <c r="D50" s="476" t="str">
        <f>IF(Tb_Politicas[[#This Row],[Política Programática]]="","Não","Sim")</f>
        <v>Sim</v>
      </c>
      <c r="E50">
        <f>IF(Tb_Politicas[[#This Row],[Programática?]]="Sim", 1, 0)</f>
        <v>1</v>
      </c>
    </row>
    <row r="51" spans="1:5" ht="60">
      <c r="A51" s="478" t="s">
        <v>152</v>
      </c>
      <c r="B51" s="5" t="str">
        <f>_xlfn.XLOOKUP(Tb_Politicas[[#This Row],[SEI]],Tb_Portfólio[SEI],Tb_Portfólio[PROJETO],"Não cadastrado")</f>
        <v>Painel da Fazenda Nacional.</v>
      </c>
      <c r="C51" s="79" t="s">
        <v>1595</v>
      </c>
      <c r="D51" s="476" t="str">
        <f>IF(Tb_Politicas[[#This Row],[Política Programática]]="","Não","Sim")</f>
        <v>Sim</v>
      </c>
      <c r="E51">
        <f>IF(Tb_Politicas[[#This Row],[Programática?]]="Sim", 1, 0)</f>
        <v>1</v>
      </c>
    </row>
    <row r="52" spans="1:5" ht="16.5">
      <c r="A52" s="478" t="s">
        <v>152</v>
      </c>
      <c r="B52" s="5" t="str">
        <f>_xlfn.XLOOKUP(Tb_Politicas[[#This Row],[SEI]],Tb_Portfólio[SEI],Tb_Portfólio[PROJETO],"Não cadastrado")</f>
        <v>Painel da Fazenda Nacional.</v>
      </c>
      <c r="C52" s="79" t="s">
        <v>1592</v>
      </c>
      <c r="D52" s="476" t="str">
        <f>IF(Tb_Politicas[[#This Row],[Política Programática]]="","Não","Sim")</f>
        <v>Sim</v>
      </c>
      <c r="E52">
        <f>IF(Tb_Politicas[[#This Row],[Programática?]]="Sim", 1, 0)</f>
        <v>1</v>
      </c>
    </row>
    <row r="53" spans="1:5" ht="60">
      <c r="A53" s="477" t="s">
        <v>129</v>
      </c>
      <c r="B53" s="5" t="str">
        <f>_xlfn.XLOOKUP(Tb_Politicas[[#This Row],[SEI]],Tb_Portfólio[SEI],Tb_Portfólio[PROJETO],"Não cadastrado")</f>
        <v>Data Lake - Melhorias Evolutivas e Corretivas</v>
      </c>
      <c r="C53" s="79" t="s">
        <v>1595</v>
      </c>
      <c r="D53" s="476" t="str">
        <f>IF(Tb_Politicas[[#This Row],[Política Programática]]="","Não","Sim")</f>
        <v>Sim</v>
      </c>
      <c r="E53">
        <f>IF(Tb_Politicas[[#This Row],[Programática?]]="Sim", 1, 0)</f>
        <v>1</v>
      </c>
    </row>
    <row r="54" spans="1:5" ht="16.5">
      <c r="A54" s="477" t="s">
        <v>129</v>
      </c>
      <c r="B54" s="5" t="str">
        <f>_xlfn.XLOOKUP(Tb_Politicas[[#This Row],[SEI]],Tb_Portfólio[SEI],Tb_Portfólio[PROJETO],"Não cadastrado")</f>
        <v>Data Lake - Melhorias Evolutivas e Corretivas</v>
      </c>
      <c r="C54" s="79" t="s">
        <v>1592</v>
      </c>
      <c r="D54" s="476" t="str">
        <f>IF(Tb_Politicas[[#This Row],[Política Programática]]="","Não","Sim")</f>
        <v>Sim</v>
      </c>
      <c r="E54">
        <f>IF(Tb_Politicas[[#This Row],[Programática?]]="Sim", 1, 0)</f>
        <v>1</v>
      </c>
    </row>
    <row r="55" spans="1:5" ht="30">
      <c r="A55" s="478" t="s">
        <v>652</v>
      </c>
      <c r="B55" s="5" t="str">
        <f>_xlfn.XLOOKUP(Tb_Politicas[[#This Row],[SEI]],Tb_Portfólio[SEI],Tb_Portfólio[PROJETO],"Não cadastrado")</f>
        <v>Projeto Piloto – Rede de Apoio para Avaliação Externa, com base no IA-CM</v>
      </c>
      <c r="C55" s="5" t="s">
        <v>1604</v>
      </c>
      <c r="D55" s="476" t="str">
        <f>IF(Tb_Politicas[[#This Row],[Política Programática]]="","Não","Sim")</f>
        <v>Sim</v>
      </c>
      <c r="E55">
        <f>IF(Tb_Politicas[[#This Row],[Programática?]]="Sim", 1, 0)</f>
        <v>1</v>
      </c>
    </row>
    <row r="56" spans="1:5" ht="16.5">
      <c r="A56" s="477" t="s">
        <v>189</v>
      </c>
      <c r="B56" s="5" t="str">
        <f>_xlfn.XLOOKUP(Tb_Politicas[[#This Row],[SEI]],Tb_Portfólio[SEI],Tb_Portfólio[PROJETO],"Não cadastrado")</f>
        <v>Gestão de Clientes</v>
      </c>
      <c r="C56" s="79" t="s">
        <v>1592</v>
      </c>
      <c r="D56" s="476" t="str">
        <f>IF(Tb_Politicas[[#This Row],[Política Programática]]="","Não","Sim")</f>
        <v>Sim</v>
      </c>
      <c r="E56">
        <f>IF(Tb_Politicas[[#This Row],[Programática?]]="Sim", 1, 0)</f>
        <v>1</v>
      </c>
    </row>
    <row r="57" spans="1:5" ht="45">
      <c r="A57" s="478" t="s">
        <v>198</v>
      </c>
      <c r="B57" s="5" t="str">
        <f>_xlfn.XLOOKUP(Tb_Politicas[[#This Row],[SEI]],Tb_Portfólio[SEI],Tb_Portfólio[PROJETO],"Não cadastrado")</f>
        <v>Desenvolvimento de um Conjunto de Solução em Gestão de Dados para a Corregedoria Nacional de Justiça</v>
      </c>
      <c r="C57" s="79" t="s">
        <v>1592</v>
      </c>
      <c r="D57" s="476" t="str">
        <f>IF(Tb_Politicas[[#This Row],[Política Programática]]="","Não","Sim")</f>
        <v>Sim</v>
      </c>
      <c r="E57">
        <f>IF(Tb_Politicas[[#This Row],[Programática?]]="Sim", 1, 0)</f>
        <v>1</v>
      </c>
    </row>
    <row r="58" spans="1:5" ht="60">
      <c r="A58" s="479" t="s">
        <v>738</v>
      </c>
      <c r="B58" s="5" t="str">
        <f>_xlfn.XLOOKUP(Tb_Politicas[[#This Row],[SEI]],Tb_Portfólio[SEI],Tb_Portfólio[PROJETO],"Não cadastrado")</f>
        <v>FONAR - Formulário Nacional de Avaliação de Risco e Formulário Rogéria</v>
      </c>
      <c r="C58" s="5" t="s">
        <v>1605</v>
      </c>
      <c r="D58" s="476" t="str">
        <f>IF(Tb_Politicas[[#This Row],[Política Programática]]="","Não","Sim")</f>
        <v>Sim</v>
      </c>
      <c r="E58">
        <f>IF(Tb_Politicas[[#This Row],[Programática?]]="Sim", 1, 0)</f>
        <v>1</v>
      </c>
    </row>
    <row r="59" spans="1:5" ht="60">
      <c r="A59" s="478" t="s">
        <v>281</v>
      </c>
      <c r="B59" s="5" t="str">
        <f>_xlfn.XLOOKUP(Tb_Politicas[[#This Row],[SEI]],Tb_Portfólio[SEI],Tb_Portfólio[PROJETO],"Não cadastrado")</f>
        <v>Fortalecimento da Segurança Cibernética e da Transparência para Governança e Efetividade da Atuação do Poder Judiciário (Projeto BRA/24/021)</v>
      </c>
      <c r="C59" s="79" t="s">
        <v>1595</v>
      </c>
      <c r="D59" s="476" t="str">
        <f>IF(Tb_Politicas[[#This Row],[Política Programática]]="","Não","Sim")</f>
        <v>Sim</v>
      </c>
      <c r="E59">
        <f>IF(Tb_Politicas[[#This Row],[Programática?]]="Sim", 1, 0)</f>
        <v>1</v>
      </c>
    </row>
    <row r="60" spans="1:5" ht="45">
      <c r="A60" s="478" t="s">
        <v>281</v>
      </c>
      <c r="B60" s="5" t="str">
        <f>_xlfn.XLOOKUP(Tb_Politicas[[#This Row],[SEI]],Tb_Portfólio[SEI],Tb_Portfólio[PROJETO],"Não cadastrado")</f>
        <v>Fortalecimento da Segurança Cibernética e da Transparência para Governança e Efetividade da Atuação do Poder Judiciário (Projeto BRA/24/021)</v>
      </c>
      <c r="C60" s="5" t="s">
        <v>1606</v>
      </c>
      <c r="D60" s="476" t="str">
        <f>IF(Tb_Politicas[[#This Row],[Política Programática]]="","Não","Sim")</f>
        <v>Sim</v>
      </c>
      <c r="E60">
        <f>IF(Tb_Politicas[[#This Row],[Programática?]]="Sim", 1, 0)</f>
        <v>1</v>
      </c>
    </row>
    <row r="61" spans="1:5" ht="60">
      <c r="A61" s="477" t="s">
        <v>917</v>
      </c>
      <c r="B61" s="5" t="str">
        <f>_xlfn.XLOOKUP(Tb_Politicas[[#This Row],[SEI]],Tb_Portfólio[SEI],Tb_Portfólio[PROJETO],"Não cadastrado")</f>
        <v>e-NatJus 4.0</v>
      </c>
      <c r="C61" s="5" t="s">
        <v>1597</v>
      </c>
      <c r="D61" s="476" t="str">
        <f>IF(Tb_Politicas[[#This Row],[Política Programática]]="","Não","Sim")</f>
        <v>Sim</v>
      </c>
      <c r="E61">
        <f>IF(Tb_Politicas[[#This Row],[Programática?]]="Sim", 1, 0)</f>
        <v>1</v>
      </c>
    </row>
    <row r="62" spans="1:5" ht="16.5">
      <c r="A62" s="477" t="s">
        <v>747</v>
      </c>
      <c r="B62" s="5" t="str">
        <f>_xlfn.XLOOKUP(Tb_Politicas[[#This Row],[SEI]],Tb_Portfólio[SEI],Tb_Portfólio[PROJETO],"Não cadastrado")</f>
        <v>Mapa Nacional do Crime Organizado</v>
      </c>
      <c r="C62" s="5"/>
      <c r="D62" s="476" t="str">
        <f>IF(Tb_Politicas[[#This Row],[Política Programática]]="","Não","Sim")</f>
        <v>Não</v>
      </c>
      <c r="E62">
        <f>IF(Tb_Politicas[[#This Row],[Programática?]]="Sim", 1, 0)</f>
        <v>0</v>
      </c>
    </row>
    <row r="63" spans="1:5" ht="60">
      <c r="A63" s="478" t="s">
        <v>925</v>
      </c>
      <c r="B63" s="5" t="str">
        <f>_xlfn.XLOOKUP(Tb_Politicas[[#This Row],[SEI]],Tb_Portfólio[SEI],Tb_Portfólio[PROJETO],"Não cadastrado")</f>
        <v>21 dias de ativismo pelo fim da violência contra mulher - edição 2025</v>
      </c>
      <c r="C63" s="5" t="s">
        <v>1605</v>
      </c>
      <c r="D63" s="476" t="str">
        <f>IF(Tb_Politicas[[#This Row],[Política Programática]]="","Não","Sim")</f>
        <v>Sim</v>
      </c>
      <c r="E63">
        <f>IF(Tb_Politicas[[#This Row],[Programática?]]="Sim", 1, 0)</f>
        <v>1</v>
      </c>
    </row>
    <row r="64" spans="1:5" ht="16.5">
      <c r="A64" s="477" t="s">
        <v>766</v>
      </c>
      <c r="B64" s="5" t="str">
        <f>_xlfn.XLOOKUP(Tb_Politicas[[#This Row],[SEI]],Tb_Portfólio[SEI],Tb_Portfólio[PROJETO],"Não cadastrado")</f>
        <v>Painel Crime Organizado</v>
      </c>
      <c r="C64" s="79" t="s">
        <v>1592</v>
      </c>
      <c r="D64" s="476" t="str">
        <f>IF(Tb_Politicas[[#This Row],[Política Programática]]="","Não","Sim")</f>
        <v>Sim</v>
      </c>
      <c r="E64">
        <f>IF(Tb_Politicas[[#This Row],[Programática?]]="Sim", 1, 0)</f>
        <v>1</v>
      </c>
    </row>
    <row r="65" spans="1:5" ht="30">
      <c r="A65" s="495" t="s">
        <v>756</v>
      </c>
      <c r="B65" s="5" t="str">
        <f>_xlfn.XLOOKUP(Tb_Politicas[[#This Row],[SEI]],Tb_Portfólio[SEI],Tb_Portfólio[PROJETO],"Não cadastrado")</f>
        <v>Módulo de Pessoal e Estrutura Judiciária Mensal (MPM) V.2</v>
      </c>
      <c r="C65" s="79" t="s">
        <v>1592</v>
      </c>
      <c r="D65" s="476" t="str">
        <f>IF(Tb_Politicas[[#This Row],[Política Programática]]="","Não","Sim")</f>
        <v>Sim</v>
      </c>
      <c r="E65">
        <f>IF(Tb_Politicas[[#This Row],[Programática?]]="Sim", 1, 0)</f>
        <v>1</v>
      </c>
    </row>
    <row r="66" spans="1:5" ht="45">
      <c r="A66" s="495" t="s">
        <v>756</v>
      </c>
      <c r="B66" s="5" t="str">
        <f>_xlfn.XLOOKUP(Tb_Politicas[[#This Row],[SEI]],Tb_Portfólio[SEI],Tb_Portfólio[PROJETO],"Não cadastrado")</f>
        <v>Módulo de Pessoal e Estrutura Judiciária Mensal (MPM) V.2</v>
      </c>
      <c r="C66" s="5" t="s">
        <v>1607</v>
      </c>
      <c r="D66" t="str">
        <f>IF(Tb_Politicas[[#This Row],[Política Programática]]="","Não","Sim")</f>
        <v>Sim</v>
      </c>
      <c r="E66">
        <f>IF(Tb_Politicas[[#This Row],[Programática?]]="Sim", 1, 0)</f>
        <v>1</v>
      </c>
    </row>
    <row r="67" spans="1:5" ht="60">
      <c r="A67" s="495" t="s">
        <v>756</v>
      </c>
      <c r="B67" s="5" t="str">
        <f>_xlfn.XLOOKUP(Tb_Politicas[[#This Row],[SEI]],Tb_Portfólio[SEI],Tb_Portfólio[PROJETO],"Não cadastrado")</f>
        <v>Módulo de Pessoal e Estrutura Judiciária Mensal (MPM) V.2</v>
      </c>
      <c r="C67" s="5" t="s">
        <v>1602</v>
      </c>
      <c r="D67" t="str">
        <f>IF(Tb_Politicas[[#This Row],[Política Programática]]="","Não","Sim")</f>
        <v>Sim</v>
      </c>
      <c r="E67">
        <f>IF(Tb_Politicas[[#This Row],[Programática?]]="Sim", 1, 0)</f>
        <v>1</v>
      </c>
    </row>
    <row r="68" spans="1:5" ht="45">
      <c r="A68" s="495" t="s">
        <v>756</v>
      </c>
      <c r="B68" s="5" t="str">
        <f>_xlfn.XLOOKUP(Tb_Politicas[[#This Row],[SEI]],Tb_Portfólio[SEI],Tb_Portfólio[PROJETO],"Não cadastrado")</f>
        <v>Módulo de Pessoal e Estrutura Judiciária Mensal (MPM) V.2</v>
      </c>
      <c r="C68" s="5" t="s">
        <v>1608</v>
      </c>
      <c r="D68" t="str">
        <f>IF(Tb_Politicas[[#This Row],[Política Programática]]="","Não","Sim")</f>
        <v>Sim</v>
      </c>
      <c r="E68">
        <f>IF(Tb_Politicas[[#This Row],[Programática?]]="Sim", 1, 0)</f>
        <v>1</v>
      </c>
    </row>
    <row r="69" spans="1:5" ht="45">
      <c r="A69" s="495" t="s">
        <v>882</v>
      </c>
      <c r="B69" s="5" t="str">
        <f>_xlfn.XLOOKUP(Tb_Politicas[[#This Row],[SEI]],Tb_Portfólio[SEI],Tb_Portfólio[PROJETO],"Não cadastrado")</f>
        <v>Programa Fazendo Justiça - Projeto BRA/23/017</v>
      </c>
      <c r="C69" s="5" t="s">
        <v>1601</v>
      </c>
      <c r="D69" t="str">
        <f>IF(Tb_Politicas[[#This Row],[Política Programática]]="","Não","Sim")</f>
        <v>Sim</v>
      </c>
      <c r="E69">
        <f>IF(Tb_Politicas[[#This Row],[Programática?]]="Sim", 1, 0)</f>
        <v>1</v>
      </c>
    </row>
    <row r="70" spans="1:5">
      <c r="A70" s="495" t="s">
        <v>236</v>
      </c>
      <c r="B70" s="5" t="str">
        <f>_xlfn.XLOOKUP(Tb_Politicas[[#This Row],[SEI]],Tb_Portfólio[SEI],Tb_Portfólio[PROJETO],"Não cadastrado")</f>
        <v>SEEU - Reescrita</v>
      </c>
      <c r="C70" s="79" t="s">
        <v>1592</v>
      </c>
      <c r="D70" t="str">
        <f>IF(Tb_Politicas[[#This Row],[Política Programática]]="","Não","Sim")</f>
        <v>Sim</v>
      </c>
      <c r="E70">
        <f>IF(Tb_Politicas[[#This Row],[Programática?]]="Sim", 1, 0)</f>
        <v>1</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8581-BE01-47D6-B180-1A5687788944}">
  <sheetPr>
    <tabColor theme="4"/>
  </sheetPr>
  <dimension ref="C3:J40"/>
  <sheetViews>
    <sheetView topLeftCell="A4" workbookViewId="0"/>
  </sheetViews>
  <sheetFormatPr defaultRowHeight="15"/>
  <cols>
    <col min="3" max="3" width="58.5703125" customWidth="1"/>
    <col min="4" max="4" width="15.5703125" customWidth="1"/>
    <col min="5" max="5" width="16.140625" customWidth="1"/>
    <col min="9" max="9" width="14.42578125" bestFit="1" customWidth="1"/>
  </cols>
  <sheetData>
    <row r="3" spans="3:10">
      <c r="D3" s="718" t="s">
        <v>1609</v>
      </c>
      <c r="E3" s="718"/>
      <c r="F3" s="718"/>
      <c r="G3" s="718"/>
      <c r="H3" s="718"/>
      <c r="I3" t="s">
        <v>1610</v>
      </c>
    </row>
    <row r="4" spans="3:10">
      <c r="C4" s="502" t="s">
        <v>1611</v>
      </c>
      <c r="D4" s="503" t="s">
        <v>1612</v>
      </c>
      <c r="E4" s="503" t="s">
        <v>1613</v>
      </c>
      <c r="F4" s="503" t="s">
        <v>1614</v>
      </c>
      <c r="G4" s="503" t="s">
        <v>1615</v>
      </c>
      <c r="H4" s="503" t="s">
        <v>1616</v>
      </c>
      <c r="I4" s="503" t="s">
        <v>1617</v>
      </c>
      <c r="J4" s="504" t="s">
        <v>1618</v>
      </c>
    </row>
    <row r="5" spans="3:10" ht="51.75">
      <c r="C5" s="508" t="s">
        <v>75</v>
      </c>
      <c r="D5" s="71"/>
      <c r="E5" s="71">
        <v>1</v>
      </c>
      <c r="F5" s="71">
        <v>1</v>
      </c>
      <c r="G5" s="71">
        <v>28</v>
      </c>
      <c r="H5" s="71">
        <v>9</v>
      </c>
      <c r="I5" s="71">
        <v>15</v>
      </c>
      <c r="J5" s="252">
        <f>SUM(D5:I5)</f>
        <v>54</v>
      </c>
    </row>
    <row r="6" spans="3:10" ht="30">
      <c r="C6" s="500" t="s">
        <v>390</v>
      </c>
      <c r="D6" s="71"/>
      <c r="E6" s="71"/>
      <c r="F6" s="71"/>
      <c r="G6" s="71">
        <v>1</v>
      </c>
      <c r="H6" s="71"/>
      <c r="I6" s="71">
        <v>6</v>
      </c>
      <c r="J6" s="252">
        <f t="shared" ref="J6:J22" si="0">SUM(D6:I6)</f>
        <v>7</v>
      </c>
    </row>
    <row r="7" spans="3:10" ht="30">
      <c r="C7" s="499" t="s">
        <v>88</v>
      </c>
      <c r="D7" s="71"/>
      <c r="E7" s="71"/>
      <c r="F7" s="71"/>
      <c r="G7" s="71">
        <v>3</v>
      </c>
      <c r="H7" s="71">
        <v>1</v>
      </c>
      <c r="I7" s="71">
        <v>12</v>
      </c>
      <c r="J7" s="252">
        <f t="shared" si="0"/>
        <v>16</v>
      </c>
    </row>
    <row r="8" spans="3:10" ht="30">
      <c r="C8" s="501" t="s">
        <v>672</v>
      </c>
      <c r="D8" s="71">
        <v>1</v>
      </c>
      <c r="E8" s="71"/>
      <c r="F8" s="71">
        <v>2</v>
      </c>
      <c r="G8" s="71">
        <v>2</v>
      </c>
      <c r="H8" s="71">
        <v>2</v>
      </c>
      <c r="I8" s="71">
        <v>3</v>
      </c>
      <c r="J8" s="252">
        <f t="shared" si="0"/>
        <v>10</v>
      </c>
    </row>
    <row r="9" spans="3:10">
      <c r="C9" s="499" t="s">
        <v>204</v>
      </c>
      <c r="D9" s="71"/>
      <c r="E9" s="71"/>
      <c r="F9" s="71">
        <v>1</v>
      </c>
      <c r="G9" s="71"/>
      <c r="H9" s="71">
        <v>1</v>
      </c>
      <c r="I9" s="71">
        <v>1</v>
      </c>
      <c r="J9" s="252">
        <f t="shared" si="0"/>
        <v>3</v>
      </c>
    </row>
    <row r="10" spans="3:10">
      <c r="C10" s="501" t="s">
        <v>448</v>
      </c>
      <c r="D10" s="71"/>
      <c r="E10" s="71"/>
      <c r="F10" s="71">
        <v>1</v>
      </c>
      <c r="G10" s="71"/>
      <c r="H10" s="71"/>
      <c r="I10" s="71"/>
      <c r="J10" s="252">
        <f t="shared" si="0"/>
        <v>1</v>
      </c>
    </row>
    <row r="11" spans="3:10" ht="30">
      <c r="C11" s="499" t="s">
        <v>240</v>
      </c>
      <c r="D11" s="71">
        <v>1</v>
      </c>
      <c r="E11" s="71">
        <v>5</v>
      </c>
      <c r="F11" s="71">
        <v>5</v>
      </c>
      <c r="G11" s="71">
        <v>24</v>
      </c>
      <c r="H11" s="71">
        <v>12</v>
      </c>
      <c r="I11" s="71">
        <v>18</v>
      </c>
      <c r="J11" s="252">
        <f t="shared" si="0"/>
        <v>65</v>
      </c>
    </row>
    <row r="12" spans="3:10" ht="30">
      <c r="C12" s="501" t="s">
        <v>455</v>
      </c>
      <c r="D12" s="71">
        <v>2</v>
      </c>
      <c r="E12" s="71">
        <v>2</v>
      </c>
      <c r="F12" s="71">
        <v>1</v>
      </c>
      <c r="G12" s="71"/>
      <c r="H12" s="71"/>
      <c r="I12" s="71">
        <v>1</v>
      </c>
      <c r="J12" s="252">
        <f t="shared" si="0"/>
        <v>6</v>
      </c>
    </row>
    <row r="13" spans="3:10" ht="30">
      <c r="C13" s="499" t="s">
        <v>165</v>
      </c>
      <c r="D13" s="71"/>
      <c r="E13" s="71"/>
      <c r="F13" s="71">
        <v>5</v>
      </c>
      <c r="G13" s="71">
        <v>8</v>
      </c>
      <c r="H13" s="71">
        <v>3</v>
      </c>
      <c r="I13" s="71">
        <v>18</v>
      </c>
      <c r="J13" s="252">
        <f t="shared" si="0"/>
        <v>34</v>
      </c>
    </row>
    <row r="14" spans="3:10" ht="30">
      <c r="C14" s="501" t="s">
        <v>62</v>
      </c>
      <c r="D14" s="71"/>
      <c r="E14" s="71">
        <v>1</v>
      </c>
      <c r="F14" s="71"/>
      <c r="G14" s="71">
        <v>2</v>
      </c>
      <c r="H14" s="71">
        <v>1</v>
      </c>
      <c r="I14" s="71">
        <v>4</v>
      </c>
      <c r="J14" s="252">
        <f t="shared" si="0"/>
        <v>8</v>
      </c>
    </row>
    <row r="15" spans="3:10">
      <c r="C15" s="499" t="s">
        <v>1619</v>
      </c>
      <c r="D15" s="71"/>
      <c r="E15" s="71"/>
      <c r="F15" s="71"/>
      <c r="G15" s="71"/>
      <c r="H15" s="71"/>
      <c r="I15" s="71"/>
      <c r="J15" s="252">
        <f t="shared" si="0"/>
        <v>0</v>
      </c>
    </row>
    <row r="16" spans="3:10" ht="30">
      <c r="C16" s="501" t="s">
        <v>346</v>
      </c>
      <c r="D16" s="71"/>
      <c r="E16" s="71"/>
      <c r="F16" s="71"/>
      <c r="G16" s="71">
        <v>2</v>
      </c>
      <c r="H16" s="71"/>
      <c r="I16" s="71">
        <v>3</v>
      </c>
      <c r="J16" s="252">
        <f t="shared" si="0"/>
        <v>5</v>
      </c>
    </row>
    <row r="17" spans="3:10">
      <c r="C17" s="499" t="s">
        <v>104</v>
      </c>
      <c r="D17" s="71"/>
      <c r="E17" s="71"/>
      <c r="F17" s="71"/>
      <c r="G17" s="71">
        <v>2</v>
      </c>
      <c r="H17" s="71"/>
      <c r="I17" s="71">
        <v>11</v>
      </c>
      <c r="J17" s="252">
        <f t="shared" si="0"/>
        <v>13</v>
      </c>
    </row>
    <row r="18" spans="3:10" ht="30">
      <c r="C18" s="501" t="s">
        <v>305</v>
      </c>
      <c r="D18" s="71">
        <v>1</v>
      </c>
      <c r="E18" s="71"/>
      <c r="F18" s="71"/>
      <c r="G18" s="71">
        <v>3</v>
      </c>
      <c r="H18" s="71">
        <v>1</v>
      </c>
      <c r="I18" s="71">
        <v>2</v>
      </c>
      <c r="J18" s="252">
        <f t="shared" si="0"/>
        <v>7</v>
      </c>
    </row>
    <row r="19" spans="3:10" ht="30">
      <c r="C19" s="499" t="s">
        <v>1620</v>
      </c>
      <c r="D19" s="71"/>
      <c r="E19" s="71">
        <v>1</v>
      </c>
      <c r="F19" s="71"/>
      <c r="G19" s="71">
        <v>1</v>
      </c>
      <c r="H19" s="71">
        <v>2</v>
      </c>
      <c r="I19" s="71">
        <v>1</v>
      </c>
      <c r="J19" s="252">
        <f t="shared" si="0"/>
        <v>5</v>
      </c>
    </row>
    <row r="20" spans="3:10">
      <c r="C20" s="501" t="s">
        <v>213</v>
      </c>
      <c r="D20" s="71"/>
      <c r="E20" s="71">
        <v>1</v>
      </c>
      <c r="F20" s="71"/>
      <c r="G20" s="71">
        <v>3</v>
      </c>
      <c r="H20" s="71">
        <v>2</v>
      </c>
      <c r="I20" s="71">
        <v>2</v>
      </c>
      <c r="J20" s="252">
        <f t="shared" si="0"/>
        <v>8</v>
      </c>
    </row>
    <row r="21" spans="3:10" ht="30">
      <c r="C21" s="499" t="s">
        <v>1621</v>
      </c>
      <c r="D21" s="71"/>
      <c r="E21" s="71"/>
      <c r="F21" s="71"/>
      <c r="G21" s="71"/>
      <c r="H21" s="71"/>
      <c r="I21" s="71"/>
      <c r="J21" s="252">
        <f>SUM(D21:I21)</f>
        <v>0</v>
      </c>
    </row>
    <row r="22" spans="3:10" ht="30">
      <c r="C22" s="509" t="s">
        <v>1622</v>
      </c>
      <c r="D22" s="349"/>
      <c r="E22" s="349"/>
      <c r="F22" s="349"/>
      <c r="G22" s="349"/>
      <c r="H22" s="349"/>
      <c r="I22" s="349"/>
      <c r="J22" s="464">
        <f t="shared" si="0"/>
        <v>0</v>
      </c>
    </row>
    <row r="23" spans="3:10">
      <c r="H23">
        <f>COUNTA(Tabela14[2025])</f>
        <v>10</v>
      </c>
    </row>
    <row r="27" spans="3:10">
      <c r="D27" s="718" t="s">
        <v>1609</v>
      </c>
      <c r="E27" s="718"/>
      <c r="F27" s="718"/>
      <c r="G27" s="718"/>
      <c r="H27" s="718"/>
      <c r="I27" t="s">
        <v>1610</v>
      </c>
    </row>
    <row r="28" spans="3:10">
      <c r="C28" s="502" t="s">
        <v>1623</v>
      </c>
      <c r="D28" s="503" t="s">
        <v>1612</v>
      </c>
      <c r="E28" s="503" t="s">
        <v>1613</v>
      </c>
      <c r="F28" s="503" t="s">
        <v>1614</v>
      </c>
      <c r="G28" s="503" t="s">
        <v>1615</v>
      </c>
      <c r="H28" s="503" t="s">
        <v>1616</v>
      </c>
      <c r="I28" s="503" t="s">
        <v>1617</v>
      </c>
      <c r="J28" s="504" t="s">
        <v>1618</v>
      </c>
    </row>
    <row r="29" spans="3:10">
      <c r="C29" s="505" t="s">
        <v>120</v>
      </c>
      <c r="D29">
        <v>1</v>
      </c>
      <c r="E29">
        <v>5</v>
      </c>
      <c r="F29">
        <v>4</v>
      </c>
      <c r="G29">
        <v>25</v>
      </c>
      <c r="H29">
        <v>10</v>
      </c>
      <c r="I29">
        <v>12</v>
      </c>
      <c r="J29" s="71">
        <f t="shared" ref="J29:J40" si="1">SUM(D29:I29)</f>
        <v>57</v>
      </c>
    </row>
    <row r="30" spans="3:10" ht="33">
      <c r="C30" s="506" t="s">
        <v>166</v>
      </c>
      <c r="D30">
        <v>1</v>
      </c>
      <c r="F30">
        <v>2</v>
      </c>
      <c r="G30">
        <v>3</v>
      </c>
      <c r="H30">
        <v>7</v>
      </c>
      <c r="I30">
        <v>8</v>
      </c>
      <c r="J30" s="71">
        <f t="shared" si="1"/>
        <v>21</v>
      </c>
    </row>
    <row r="31" spans="3:10" ht="16.5">
      <c r="C31" s="507" t="s">
        <v>105</v>
      </c>
      <c r="E31">
        <v>3</v>
      </c>
      <c r="F31">
        <v>3</v>
      </c>
      <c r="G31">
        <v>2</v>
      </c>
      <c r="H31">
        <v>4</v>
      </c>
      <c r="I31">
        <v>15</v>
      </c>
      <c r="J31" s="71">
        <f t="shared" si="1"/>
        <v>27</v>
      </c>
    </row>
    <row r="32" spans="3:10" ht="33">
      <c r="C32" s="506" t="s">
        <v>575</v>
      </c>
      <c r="G32">
        <v>2</v>
      </c>
      <c r="H32">
        <v>1</v>
      </c>
      <c r="I32">
        <v>3</v>
      </c>
      <c r="J32" s="71">
        <f t="shared" si="1"/>
        <v>6</v>
      </c>
    </row>
    <row r="33" spans="3:10" ht="33">
      <c r="C33" s="507" t="s">
        <v>89</v>
      </c>
      <c r="D33">
        <v>2</v>
      </c>
      <c r="E33">
        <v>2</v>
      </c>
      <c r="F33">
        <v>1</v>
      </c>
      <c r="I33">
        <v>1</v>
      </c>
      <c r="J33" s="71">
        <f t="shared" si="1"/>
        <v>6</v>
      </c>
    </row>
    <row r="34" spans="3:10" ht="16.5">
      <c r="C34" s="506" t="s">
        <v>647</v>
      </c>
      <c r="I34">
        <v>1</v>
      </c>
      <c r="J34" s="71">
        <f t="shared" si="1"/>
        <v>1</v>
      </c>
    </row>
    <row r="35" spans="3:10" ht="16.5">
      <c r="C35" s="507" t="s">
        <v>1624</v>
      </c>
      <c r="D35">
        <v>1</v>
      </c>
      <c r="G35">
        <v>2</v>
      </c>
      <c r="I35">
        <v>1</v>
      </c>
      <c r="J35" s="71">
        <f t="shared" si="1"/>
        <v>4</v>
      </c>
    </row>
    <row r="36" spans="3:10" ht="16.5">
      <c r="C36" s="506" t="s">
        <v>76</v>
      </c>
      <c r="F36">
        <v>1</v>
      </c>
      <c r="G36">
        <v>23</v>
      </c>
      <c r="H36">
        <v>5</v>
      </c>
      <c r="I36">
        <v>10</v>
      </c>
      <c r="J36" s="71">
        <f t="shared" si="1"/>
        <v>39</v>
      </c>
    </row>
    <row r="37" spans="3:10" ht="33">
      <c r="C37" s="507" t="s">
        <v>146</v>
      </c>
      <c r="E37">
        <v>1</v>
      </c>
      <c r="F37">
        <v>1</v>
      </c>
      <c r="G37">
        <v>7</v>
      </c>
      <c r="H37">
        <v>5</v>
      </c>
      <c r="I37">
        <v>22</v>
      </c>
      <c r="J37" s="71">
        <f t="shared" si="1"/>
        <v>36</v>
      </c>
    </row>
    <row r="38" spans="3:10" ht="16.5">
      <c r="C38" s="506" t="s">
        <v>214</v>
      </c>
      <c r="E38">
        <v>10</v>
      </c>
      <c r="G38">
        <v>4</v>
      </c>
      <c r="H38">
        <v>2</v>
      </c>
      <c r="I38">
        <v>3</v>
      </c>
      <c r="J38" s="71">
        <f t="shared" si="1"/>
        <v>19</v>
      </c>
    </row>
    <row r="39" spans="3:10" ht="16.5">
      <c r="C39" s="507" t="s">
        <v>1625</v>
      </c>
      <c r="J39" s="71">
        <f t="shared" si="1"/>
        <v>0</v>
      </c>
    </row>
    <row r="40" spans="3:10" ht="33">
      <c r="C40" s="506" t="s">
        <v>176</v>
      </c>
      <c r="E40">
        <v>1</v>
      </c>
      <c r="F40">
        <v>4</v>
      </c>
      <c r="G40">
        <v>9</v>
      </c>
      <c r="H40">
        <v>5</v>
      </c>
      <c r="I40">
        <v>23</v>
      </c>
      <c r="J40" s="71">
        <f t="shared" si="1"/>
        <v>42</v>
      </c>
    </row>
  </sheetData>
  <mergeCells count="2">
    <mergeCell ref="D3:H3"/>
    <mergeCell ref="D27:H27"/>
  </mergeCells>
  <pageMargins left="0.511811024" right="0.511811024" top="0.78740157499999996" bottom="0.78740157499999996" header="0.31496062000000002" footer="0.31496062000000002"/>
  <pageSetup paperSize="9" orientation="portrait" verticalDpi="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519D-51D9-4AF8-B91D-356E3721315C}">
  <sheetPr>
    <tabColor rgb="FFFFC000"/>
  </sheetPr>
  <dimension ref="B1:V26"/>
  <sheetViews>
    <sheetView workbookViewId="0"/>
  </sheetViews>
  <sheetFormatPr defaultRowHeight="15"/>
  <cols>
    <col min="2" max="2" width="31.85546875" customWidth="1"/>
    <col min="3" max="14" width="9.140625" style="79"/>
  </cols>
  <sheetData>
    <row r="1" spans="2:22" ht="33.75" customHeight="1">
      <c r="B1" s="725" t="s">
        <v>1626</v>
      </c>
      <c r="C1" s="725"/>
      <c r="D1" s="725"/>
      <c r="E1" s="725"/>
      <c r="F1" s="725"/>
      <c r="G1" s="725"/>
      <c r="H1" s="725"/>
      <c r="I1" s="725"/>
      <c r="J1" s="725"/>
      <c r="K1" s="725"/>
      <c r="L1" s="725"/>
      <c r="M1" s="725"/>
      <c r="N1" s="725"/>
    </row>
    <row r="2" spans="2:22" ht="50.25" customHeight="1">
      <c r="B2" s="138" t="s">
        <v>1627</v>
      </c>
      <c r="C2" s="719" t="s">
        <v>918</v>
      </c>
      <c r="D2" s="719"/>
      <c r="E2" s="719"/>
      <c r="F2" s="719"/>
      <c r="G2" s="719"/>
      <c r="H2" s="719"/>
      <c r="I2" s="719"/>
      <c r="J2" s="719"/>
      <c r="K2" s="719"/>
      <c r="L2" s="719"/>
      <c r="M2" s="719"/>
      <c r="N2" s="719"/>
      <c r="P2" s="718"/>
      <c r="Q2" s="718"/>
      <c r="R2" s="718"/>
      <c r="S2" s="718"/>
      <c r="T2" s="718"/>
      <c r="U2" s="718"/>
      <c r="V2" s="718"/>
    </row>
    <row r="3" spans="2:22" ht="26.25" customHeight="1">
      <c r="B3" s="134" t="s">
        <v>1628</v>
      </c>
      <c r="C3" s="720" t="str">
        <f>INDEX(Projetos!A2:A173,MATCH(C2,Projetos!B2:B173,0))</f>
        <v>17529/2024</v>
      </c>
      <c r="D3" s="720"/>
      <c r="E3" s="720"/>
      <c r="F3" s="720"/>
      <c r="G3" s="720"/>
      <c r="H3" s="720"/>
      <c r="I3" s="720"/>
      <c r="J3" s="720"/>
      <c r="K3" s="720"/>
      <c r="L3" s="720"/>
      <c r="M3" s="720"/>
      <c r="N3" s="720"/>
    </row>
    <row r="4" spans="2:22" ht="97.5" customHeight="1">
      <c r="B4" s="135" t="s">
        <v>3</v>
      </c>
      <c r="C4" s="721" t="str">
        <f>INDEX(Tb_Portfólio[OBJETO],MATCH(RESUMO!$C$3,Tb_Portfólio[SEI],0))</f>
        <v>Aperfeiçoamento da plataforma eNatJus para viabilizar sua integração com sistemas processuais eletrônicos, NAT-Jus, além de outras bases de dados, inclusive às inerentes ao sistema da saúde suplementar.</v>
      </c>
      <c r="D4" s="721"/>
      <c r="E4" s="721"/>
      <c r="F4" s="721"/>
      <c r="G4" s="721"/>
      <c r="H4" s="721"/>
      <c r="I4" s="721"/>
      <c r="J4" s="721"/>
      <c r="K4" s="721"/>
      <c r="L4" s="721"/>
      <c r="M4" s="721"/>
      <c r="N4" s="721"/>
    </row>
    <row r="5" spans="2:22" ht="32.25" customHeight="1">
      <c r="B5" s="135" t="s">
        <v>1629</v>
      </c>
      <c r="C5" s="724" t="str">
        <f>INDEX(Tb_Portfólio[Patrocinador],MATCH(RESUMO!$C$3,Tb_Portfólio[SEI],0))</f>
        <v xml:space="preserve">Dr. Dorotheo Barbosa Neto
</v>
      </c>
      <c r="D5" s="724"/>
      <c r="E5" s="724"/>
      <c r="F5" s="724"/>
      <c r="G5" s="724"/>
      <c r="H5" s="724"/>
      <c r="I5" s="724"/>
      <c r="J5" s="724"/>
      <c r="K5" s="724"/>
      <c r="L5" s="724"/>
      <c r="M5" s="724"/>
      <c r="N5" s="724"/>
    </row>
    <row r="6" spans="2:22" ht="32.25" customHeight="1">
      <c r="B6" s="136" t="s">
        <v>1630</v>
      </c>
      <c r="C6" s="724" t="str">
        <f>INDEX(Tb_Portfólio[UNIDADE PATROCINADORA],MATCH(RESUMO!$C$3,Tb_Portfólio[SEI],0))</f>
        <v>SEP - Secretaria de Estratégia e Projetos</v>
      </c>
      <c r="D6" s="724"/>
      <c r="E6" s="724"/>
      <c r="F6" s="724"/>
      <c r="G6" s="724"/>
      <c r="H6" s="724"/>
      <c r="I6" s="724"/>
      <c r="J6" s="724"/>
      <c r="K6" s="724"/>
      <c r="L6" s="724"/>
      <c r="M6" s="724"/>
      <c r="N6" s="724"/>
    </row>
    <row r="7" spans="2:22" ht="32.25" customHeight="1">
      <c r="B7" s="135" t="s">
        <v>1631</v>
      </c>
      <c r="C7" s="724" t="str">
        <f>INDEX(Tb_Portfólio[GERENTE DO PROJETO],MATCH(RESUMO!$C$3,Tb_Portfólio[SEI],0))</f>
        <v>Tiago Ribeiro Gonçalves</v>
      </c>
      <c r="D7" s="724"/>
      <c r="E7" s="724"/>
      <c r="F7" s="724"/>
      <c r="G7" s="724"/>
      <c r="H7" s="724"/>
      <c r="I7" s="724"/>
      <c r="J7" s="724"/>
      <c r="K7" s="724"/>
      <c r="L7" s="724"/>
      <c r="M7" s="724"/>
      <c r="N7" s="724"/>
    </row>
    <row r="8" spans="2:22" ht="32.25" customHeight="1">
      <c r="B8" s="135" t="s">
        <v>1632</v>
      </c>
      <c r="C8" s="724" t="str">
        <f>INDEX(Tb_Portfólio[UNIDADE GERENTE DO PROJETO],MATCH(RESUMO!$C$3,Tb_Portfólio[SEI],0))</f>
        <v>PNUD</v>
      </c>
      <c r="D8" s="724"/>
      <c r="E8" s="724"/>
      <c r="F8" s="724"/>
      <c r="G8" s="724"/>
      <c r="H8" s="724"/>
      <c r="I8" s="724"/>
      <c r="J8" s="724"/>
      <c r="K8" s="724"/>
      <c r="L8" s="724"/>
      <c r="M8" s="724"/>
      <c r="N8" s="724"/>
    </row>
    <row r="9" spans="2:22" ht="45" customHeight="1">
      <c r="B9" s="135" t="s">
        <v>9</v>
      </c>
      <c r="C9" s="724" t="str">
        <f>INDEX(Tb_Portfólio[ALINHAMENTO ESTRATÉGICO],MATCH(RESUMO!$C$3,Tb_Portfólio[SEI],0))</f>
        <v>09. Fomentar e incrementar a produção de soluções tecnológicas, com foco em inovação e transformação digital;
07. Fomentar e fortalecer a atuação interinstitucional do CNJ para garantir os direitos dos cidadãos.</v>
      </c>
      <c r="D9" s="724"/>
      <c r="E9" s="724"/>
      <c r="F9" s="724"/>
      <c r="G9" s="724"/>
      <c r="H9" s="724"/>
      <c r="I9" s="724"/>
      <c r="J9" s="724"/>
      <c r="K9" s="724"/>
      <c r="L9" s="724"/>
      <c r="M9" s="724"/>
      <c r="N9" s="724"/>
    </row>
    <row r="10" spans="2:22" ht="63.75" customHeight="1">
      <c r="B10" s="135" t="s">
        <v>10</v>
      </c>
      <c r="C10" s="724" t="str">
        <f>INDEX(Tb_Portfólio[MACRODESAFIO],MATCH(RESUMO!$C$3,Tb_Portfólio[SEI],0))</f>
        <v>01. Garantia dos direitos fundamentais;
09. Aperfeiçoamento da gestão administrativa e da governança judiciária;
12. Fortalecimento da estratégia nacional de TIC e de proteção de dados</v>
      </c>
      <c r="D10" s="724"/>
      <c r="E10" s="724"/>
      <c r="F10" s="724"/>
      <c r="G10" s="724"/>
      <c r="H10" s="724"/>
      <c r="I10" s="724"/>
      <c r="J10" s="724"/>
      <c r="K10" s="724"/>
      <c r="L10" s="724"/>
      <c r="M10" s="724"/>
      <c r="N10" s="724"/>
    </row>
    <row r="11" spans="2:22" ht="63" customHeight="1">
      <c r="B11" s="135" t="s">
        <v>11</v>
      </c>
      <c r="C11" s="724" t="str">
        <f>INDEX(Tb_Portfólio[POLÍTICA JUDICIÁRIA],MATCH(RESUMO!$C$3,Tb_Portfólio[SEI],0))</f>
        <v>Resolução Nº 530 de 10/11/2023, que institui a Política Judiciária de Resolução Adequada das Demandas de Assistência à Saúde e estabelece diretrizes para o planejamento de ações no âmbito do Fórum Nacional do Judiciário para a Saúde (Fonajus) e o seu respectivo Plano Nacional (2024 – 2029)</v>
      </c>
      <c r="D11" s="724"/>
      <c r="E11" s="724"/>
      <c r="F11" s="724"/>
      <c r="G11" s="724"/>
      <c r="H11" s="724"/>
      <c r="I11" s="724"/>
      <c r="J11" s="724"/>
      <c r="K11" s="724"/>
      <c r="L11" s="724"/>
      <c r="M11" s="724"/>
      <c r="N11" s="724"/>
    </row>
    <row r="12" spans="2:22" ht="32.25" customHeight="1">
      <c r="B12" s="135" t="s">
        <v>12</v>
      </c>
      <c r="C12" s="723">
        <f>INDEX(Tb_Portfólio[ÍNICIO DO PROJETO],MATCH(RESUMO!$C$3,Tb_Portfólio[SEI],0))</f>
        <v>45706</v>
      </c>
      <c r="D12" s="723"/>
      <c r="E12" s="723"/>
      <c r="F12" s="723"/>
      <c r="G12" s="723"/>
      <c r="H12" s="723"/>
      <c r="I12" s="723"/>
      <c r="J12" s="723"/>
      <c r="K12" s="723"/>
      <c r="L12" s="723"/>
      <c r="M12" s="723"/>
      <c r="N12" s="723"/>
    </row>
    <row r="13" spans="2:22" ht="32.25" customHeight="1">
      <c r="B13" s="137" t="s">
        <v>13</v>
      </c>
      <c r="C13" s="723">
        <f>INDEX(Tb_Portfólio[PREVISÃO DE TERMINO],MATCH(RESUMO!$C$3,Tb_Portfólio[SEI],0))</f>
        <v>46386</v>
      </c>
      <c r="D13" s="723"/>
      <c r="E13" s="723"/>
      <c r="F13" s="723"/>
      <c r="G13" s="723"/>
      <c r="H13" s="723"/>
      <c r="I13" s="723"/>
      <c r="J13" s="723"/>
      <c r="K13" s="723"/>
      <c r="L13" s="723"/>
      <c r="M13" s="723"/>
      <c r="N13" s="723"/>
    </row>
    <row r="14" spans="2:22" ht="32.25" customHeight="1">
      <c r="B14" s="135" t="s">
        <v>14</v>
      </c>
      <c r="C14" s="722">
        <f>INDEX(Tb_Portfólio[% PREVISTO],MATCH(RESUMO!$C$3,Tb_Portfólio[SEI],0))</f>
        <v>0.69</v>
      </c>
      <c r="D14" s="722"/>
      <c r="E14" s="722"/>
      <c r="F14" s="722"/>
      <c r="G14" s="722"/>
      <c r="H14" s="722"/>
      <c r="I14" s="722"/>
      <c r="J14" s="722"/>
      <c r="K14" s="722"/>
      <c r="L14" s="722"/>
      <c r="M14" s="722"/>
      <c r="N14" s="722"/>
    </row>
    <row r="15" spans="2:22" ht="32.25" customHeight="1">
      <c r="B15" s="135" t="s">
        <v>15</v>
      </c>
      <c r="C15" s="722">
        <f>INDEX(Tb_Portfólio[% EXECUTADO],MATCH(RESUMO!$C$3,Tb_Portfólio[SEI],0))</f>
        <v>0.66</v>
      </c>
      <c r="D15" s="722"/>
      <c r="E15" s="722"/>
      <c r="F15" s="722"/>
      <c r="G15" s="722"/>
      <c r="H15" s="722"/>
      <c r="I15" s="722"/>
      <c r="J15" s="722"/>
      <c r="K15" s="722"/>
      <c r="L15" s="722"/>
      <c r="M15" s="722"/>
      <c r="N15" s="722"/>
    </row>
    <row r="16" spans="2:22" ht="32.25" customHeight="1">
      <c r="B16" s="135" t="s">
        <v>16</v>
      </c>
      <c r="C16" s="722">
        <f>INDEX(Tb_Portfólio[MEDIÇÃO DE STATUS],MATCH(RESUMO!$C$3,Tb_Portfólio[SEI],0))</f>
        <v>0.95652173913043492</v>
      </c>
      <c r="D16" s="722"/>
      <c r="E16" s="722"/>
      <c r="F16" s="722"/>
      <c r="G16" s="722"/>
      <c r="H16" s="722"/>
      <c r="I16" s="722"/>
      <c r="J16" s="722"/>
      <c r="K16" s="722"/>
      <c r="L16" s="722"/>
      <c r="M16" s="722"/>
      <c r="N16" s="722"/>
    </row>
    <row r="17" spans="2:14" ht="32.25" customHeight="1">
      <c r="B17" s="135" t="s">
        <v>17</v>
      </c>
      <c r="C17" s="723">
        <f>INDEX(Tb_Portfólio[DATA DE ATUALIZAÇÃO],MATCH(RESUMO!$C$3,Tb_Portfólio[SEI],0))</f>
        <v>46137</v>
      </c>
      <c r="D17" s="723"/>
      <c r="E17" s="723"/>
      <c r="F17" s="723"/>
      <c r="G17" s="723"/>
      <c r="H17" s="723"/>
      <c r="I17" s="723"/>
      <c r="J17" s="723"/>
      <c r="K17" s="723"/>
      <c r="L17" s="723"/>
      <c r="M17" s="723"/>
      <c r="N17" s="723"/>
    </row>
    <row r="18" spans="2:14" ht="32.25" customHeight="1">
      <c r="B18" s="135" t="s">
        <v>20</v>
      </c>
      <c r="C18" s="724" t="str">
        <f>INDEX(Tb_Portfólio[Programa],MATCH(RESUMO!$C$3,Tb_Portfólio[SEI],0))</f>
        <v>Justiça 4.0</v>
      </c>
      <c r="D18" s="724"/>
      <c r="E18" s="724"/>
      <c r="F18" s="724"/>
      <c r="G18" s="724"/>
      <c r="H18" s="724"/>
      <c r="I18" s="724"/>
      <c r="J18" s="724"/>
      <c r="K18" s="724"/>
      <c r="L18" s="724"/>
      <c r="M18" s="724"/>
      <c r="N18" s="724"/>
    </row>
    <row r="19" spans="2:14" ht="32.25" customHeight="1">
      <c r="B19" s="135" t="s">
        <v>21</v>
      </c>
      <c r="C19" s="724" t="str">
        <f ca="1">INDEX(Tb_Portfólio[Situação],MATCH(RESUMO!$C$3,Tb_Portfólio[SEI],0))</f>
        <v>No prazo</v>
      </c>
      <c r="D19" s="724"/>
      <c r="E19" s="724"/>
      <c r="F19" s="724"/>
      <c r="G19" s="724"/>
      <c r="H19" s="724"/>
      <c r="I19" s="724"/>
      <c r="J19" s="724"/>
      <c r="K19" s="724"/>
      <c r="L19" s="724"/>
      <c r="M19" s="724"/>
      <c r="N19" s="724"/>
    </row>
    <row r="20" spans="2:14" ht="32.25" customHeight="1">
      <c r="B20" s="135" t="s">
        <v>23</v>
      </c>
      <c r="C20" s="722">
        <f>INDEX(Tb_Portfólio[Status],MATCH(RESUMO!$C$3,Tb_Portfólio[SEI],0))</f>
        <v>0.95652173913043492</v>
      </c>
      <c r="D20" s="722"/>
      <c r="E20" s="722"/>
      <c r="F20" s="722"/>
      <c r="G20" s="722"/>
      <c r="H20" s="722"/>
      <c r="I20" s="722"/>
      <c r="J20" s="722"/>
      <c r="K20" s="722"/>
      <c r="L20" s="722"/>
      <c r="M20" s="722"/>
      <c r="N20" s="722"/>
    </row>
    <row r="21" spans="2:14" ht="189" customHeight="1">
      <c r="B21" s="135" t="s">
        <v>24</v>
      </c>
      <c r="C21" s="721">
        <f>INDEX(Tb_Portfólio[Entregas Previstas],MATCH(RESUMO!$C$3,Tb_Portfólio[SEI],0))</f>
        <v>0</v>
      </c>
      <c r="D21" s="721"/>
      <c r="E21" s="721"/>
      <c r="F21" s="721"/>
      <c r="G21" s="721"/>
      <c r="H21" s="721"/>
      <c r="I21" s="721"/>
      <c r="J21" s="721"/>
      <c r="K21" s="721"/>
      <c r="L21" s="721"/>
      <c r="M21" s="721"/>
      <c r="N21" s="721"/>
    </row>
    <row r="22" spans="2:14" ht="222" customHeight="1">
      <c r="B22" s="135" t="s">
        <v>25</v>
      </c>
      <c r="C22" s="726">
        <f>INDEX(Tb_Portfólio[Orçamento Previsto],MATCH(RESUMO!$C$3,Tb_Portfólio[SEI],0))</f>
        <v>222976.88</v>
      </c>
      <c r="D22" s="726"/>
      <c r="E22" s="726"/>
      <c r="F22" s="726"/>
      <c r="G22" s="726"/>
      <c r="H22" s="726"/>
      <c r="I22" s="726"/>
      <c r="J22" s="726"/>
      <c r="K22" s="726"/>
      <c r="L22" s="726"/>
      <c r="M22" s="726"/>
      <c r="N22" s="726"/>
    </row>
    <row r="23" spans="2:14" ht="32.25" customHeight="1">
      <c r="B23" s="135" t="s">
        <v>26</v>
      </c>
      <c r="C23" s="726">
        <f>INDEX(Tb_Portfólio[Orçamento Executado],MATCH(RESUMO!$C$3,Tb_Portfólio[SEI],0))</f>
        <v>0</v>
      </c>
      <c r="D23" s="726"/>
      <c r="E23" s="726"/>
      <c r="F23" s="726"/>
      <c r="G23" s="726"/>
      <c r="H23" s="726"/>
      <c r="I23" s="726"/>
      <c r="J23" s="726"/>
      <c r="K23" s="726"/>
      <c r="L23" s="726"/>
      <c r="M23" s="726"/>
      <c r="N23" s="726"/>
    </row>
    <row r="24" spans="2:14" ht="32.25" customHeight="1">
      <c r="B24" s="135" t="s">
        <v>28</v>
      </c>
      <c r="C24" s="724" t="str">
        <f>INDEX(Tb_Portfólio[Supervisor],MATCH(RESUMO!$C$3,Tb_Portfólio[SEI],0))</f>
        <v xml:space="preserve">Dra. Lívia Cristina Marques Peres
</v>
      </c>
      <c r="D24" s="724"/>
      <c r="E24" s="724"/>
      <c r="F24" s="724"/>
      <c r="G24" s="724"/>
      <c r="H24" s="724"/>
      <c r="I24" s="724"/>
      <c r="J24" s="724"/>
      <c r="K24" s="724"/>
      <c r="L24" s="724"/>
      <c r="M24" s="724"/>
      <c r="N24" s="724"/>
    </row>
    <row r="25" spans="2:14" ht="174.75" customHeight="1">
      <c r="B25" s="135" t="s">
        <v>30</v>
      </c>
      <c r="C25" s="721" t="str">
        <f>INDEX(Tb_Portfólio[Capacidade / Benefício Estruturante],MATCH(RESUMO!$C$3,Tb_Portfólio[SEI],0))</f>
        <v>Benefício 1: Aperfeiçoamento da arquitetura e infraestrutura do sistema, baseada nas diretrizes PDPJ
Benefício 2: Implementação de integrações com sistemas áreas da saúde, baseadas nas diretrizes PDPJ
Benefício 3:Aumento do quantitativo de usuários que hoje utilizam outras soluções, que não o e-NatJus</v>
      </c>
      <c r="D25" s="721"/>
      <c r="E25" s="721"/>
      <c r="F25" s="721"/>
      <c r="G25" s="721"/>
      <c r="H25" s="721"/>
      <c r="I25" s="721"/>
      <c r="J25" s="721"/>
      <c r="K25" s="721"/>
      <c r="L25" s="721"/>
      <c r="M25" s="721"/>
      <c r="N25" s="721"/>
    </row>
    <row r="26" spans="2:14" ht="226.5" customHeight="1">
      <c r="B26" s="135" t="s">
        <v>31</v>
      </c>
      <c r="C26" s="721">
        <f>INDEX(Tb_Portfólio[ENTREGAS REALIZADAS],MATCH(RESUMO!$C$3,Tb_Portfólio[SEI],0))</f>
        <v>0</v>
      </c>
      <c r="D26" s="721"/>
      <c r="E26" s="721"/>
      <c r="F26" s="721"/>
      <c r="G26" s="721"/>
      <c r="H26" s="721"/>
      <c r="I26" s="721"/>
      <c r="J26" s="721"/>
      <c r="K26" s="721"/>
      <c r="L26" s="721"/>
      <c r="M26" s="721"/>
      <c r="N26" s="721"/>
    </row>
  </sheetData>
  <sheetProtection autoFilter="0" pivotTables="0"/>
  <protectedRanges>
    <protectedRange sqref="C2" name="Range1"/>
  </protectedRanges>
  <mergeCells count="27">
    <mergeCell ref="P2:V2"/>
    <mergeCell ref="C24:N24"/>
    <mergeCell ref="C25:N25"/>
    <mergeCell ref="C26:N26"/>
    <mergeCell ref="B1:N1"/>
    <mergeCell ref="C18:N18"/>
    <mergeCell ref="C19:N19"/>
    <mergeCell ref="C20:N20"/>
    <mergeCell ref="C21:N21"/>
    <mergeCell ref="C5:N5"/>
    <mergeCell ref="C6:N6"/>
    <mergeCell ref="C7:N7"/>
    <mergeCell ref="C8:N8"/>
    <mergeCell ref="C9:N9"/>
    <mergeCell ref="C22:N22"/>
    <mergeCell ref="C23:N23"/>
    <mergeCell ref="C16:N16"/>
    <mergeCell ref="C17:N17"/>
    <mergeCell ref="C10:N10"/>
    <mergeCell ref="C11:N11"/>
    <mergeCell ref="C12:N12"/>
    <mergeCell ref="C13:N13"/>
    <mergeCell ref="C2:N2"/>
    <mergeCell ref="C3:N3"/>
    <mergeCell ref="C4:N4"/>
    <mergeCell ref="C14:N14"/>
    <mergeCell ref="C15:N15"/>
  </mergeCells>
  <conditionalFormatting sqref="B19">
    <cfRule type="cellIs" dxfId="169" priority="1" operator="equal">
      <formula>"Autorizado"</formula>
    </cfRule>
    <cfRule type="cellIs" dxfId="168" priority="2" operator="equal">
      <formula>"Concluído"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A766582-061B-4D4E-9E14-27D2744DD40B}">
          <x14:formula1>
            <xm:f>'Projetos 2026 - Eixo'!#REF!</xm:f>
          </x14:formula1>
          <xm:sqref>C2:N2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7133-F120-4EAA-91FB-A4DADDC54E44}">
  <sheetPr>
    <tabColor theme="9"/>
  </sheetPr>
  <dimension ref="A1:J480"/>
  <sheetViews>
    <sheetView topLeftCell="A402" workbookViewId="0">
      <selection activeCell="A479" sqref="A479"/>
    </sheetView>
  </sheetViews>
  <sheetFormatPr defaultRowHeight="15"/>
  <cols>
    <col min="1" max="1" width="19.42578125" customWidth="1"/>
    <col min="2" max="2" width="62.5703125" style="5" customWidth="1"/>
    <col min="3" max="3" width="53.42578125" style="18" customWidth="1"/>
    <col min="4" max="4" width="40.85546875" hidden="1" customWidth="1"/>
    <col min="5" max="5" width="16.42578125" hidden="1" customWidth="1"/>
    <col min="6" max="6" width="16.85546875" hidden="1" customWidth="1"/>
    <col min="7" max="9" width="16.42578125" hidden="1" customWidth="1"/>
    <col min="10" max="10" width="18.5703125" bestFit="1" customWidth="1"/>
  </cols>
  <sheetData>
    <row r="1" spans="1:10" ht="16.5">
      <c r="A1" s="68" t="s">
        <v>1</v>
      </c>
      <c r="B1" s="69" t="s">
        <v>2</v>
      </c>
      <c r="C1" s="69" t="s">
        <v>9</v>
      </c>
      <c r="D1" s="69" t="s">
        <v>1633</v>
      </c>
      <c r="E1" s="69" t="s">
        <v>1615</v>
      </c>
      <c r="F1" s="69" t="s">
        <v>1634</v>
      </c>
      <c r="G1" s="69" t="s">
        <v>1616</v>
      </c>
      <c r="H1" s="69" t="s">
        <v>1635</v>
      </c>
      <c r="I1" s="69" t="s">
        <v>1617</v>
      </c>
      <c r="J1" s="69" t="s">
        <v>1636</v>
      </c>
    </row>
    <row r="2" spans="1:10" ht="75" hidden="1">
      <c r="A2" s="9" t="s">
        <v>141</v>
      </c>
      <c r="B2" s="73" t="s">
        <v>142</v>
      </c>
      <c r="C2" s="79" t="s">
        <v>75</v>
      </c>
      <c r="D2" t="str">
        <f>$E$1&amp;Tb_Alinhamento[[#This Row],[SEI]]</f>
        <v>202401179/2023</v>
      </c>
      <c r="E2" s="24">
        <f>IFERROR(INDEX(Atualizações!$Q$1:$Q$1265,MATCH(D2,Atualizações!$P$1:$P$1265,0)),"0")</f>
        <v>1</v>
      </c>
      <c r="F2" t="str">
        <f>$G$1&amp;Tb_Alinhamento[[#This Row],[SEI]]</f>
        <v>202501179/2023</v>
      </c>
      <c r="G2" s="24">
        <f>IFERROR(INDEX(Atualizações!$Q$1:$Q$1265,MATCH(F2,Atualizações!$P$1:$P$1265,0)),"0")</f>
        <v>1</v>
      </c>
      <c r="H2" t="str">
        <f>$I$1&amp;Tb_Alinhamento[[#This Row],[SEI]]</f>
        <v>202601179/2023</v>
      </c>
      <c r="I2" s="24" t="str">
        <f>IFERROR(INDEX(Atualizações!$Q$1:$Q$1265,MATCH(H2,Atualizações!$P$1:$P$1265,0)),"0")</f>
        <v>0</v>
      </c>
      <c r="J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 spans="1:10" ht="30" hidden="1">
      <c r="A3" s="9" t="s">
        <v>141</v>
      </c>
      <c r="B3" s="73" t="s">
        <v>142</v>
      </c>
      <c r="C3" s="79" t="s">
        <v>240</v>
      </c>
      <c r="D3" t="str">
        <f>$E$1&amp;Tb_Alinhamento[[#This Row],[SEI]]</f>
        <v>202401179/2023</v>
      </c>
      <c r="E3" s="24">
        <f>IFERROR(INDEX(Atualizações!$Q$1:$Q$1265,MATCH(D3,Atualizações!$P$1:$P$1265,0)),"0")</f>
        <v>1</v>
      </c>
      <c r="F3" t="str">
        <f>$G$1&amp;Tb_Alinhamento[[#This Row],[SEI]]</f>
        <v>202501179/2023</v>
      </c>
      <c r="G3" s="24">
        <f>IFERROR(INDEX(Atualizações!$Q$1:$Q$1265,MATCH(F3,Atualizações!$P$1:$P$1265,0)),"0")</f>
        <v>1</v>
      </c>
      <c r="H3" t="str">
        <f>$I$1&amp;Tb_Alinhamento[[#This Row],[SEI]]</f>
        <v>202601179/2023</v>
      </c>
      <c r="I3" s="24" t="str">
        <f>IFERROR(INDEX(Atualizações!$Q$1:$Q$1265,MATCH(H3,Atualizações!$P$1:$P$1265,0)),"0")</f>
        <v>0</v>
      </c>
      <c r="J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 spans="1:10" ht="45" hidden="1">
      <c r="A4" s="9" t="s">
        <v>369</v>
      </c>
      <c r="B4" s="73" t="s">
        <v>370</v>
      </c>
      <c r="C4" s="2" t="s">
        <v>213</v>
      </c>
      <c r="D4" t="str">
        <f>$E$1&amp;Tb_Alinhamento[[#This Row],[SEI]]</f>
        <v>202403559/2021</v>
      </c>
      <c r="E4" s="24">
        <f>IFERROR(INDEX(Atualizações!$Q$1:$Q$1265,MATCH(D4,Atualizações!$P$1:$P$1265,0)),"0")</f>
        <v>1</v>
      </c>
      <c r="F4" t="str">
        <f>$G$1&amp;Tb_Alinhamento[[#This Row],[SEI]]</f>
        <v>202503559/2021</v>
      </c>
      <c r="G4" s="24" t="str">
        <f>IFERROR(INDEX(Atualizações!$Q$1:$Q$1265,MATCH(F4,Atualizações!$P$1:$P$1265,0)),"0")</f>
        <v>0</v>
      </c>
      <c r="H4" t="str">
        <f>$I$1&amp;Tb_Alinhamento[[#This Row],[SEI]]</f>
        <v>202603559/2021</v>
      </c>
      <c r="I4" s="24" t="str">
        <f>IFERROR(INDEX(Atualizações!$Q$1:$Q$1265,MATCH(H4,Atualizações!$P$1:$P$1265,0)),"0")</f>
        <v>0</v>
      </c>
      <c r="J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 spans="1:10" ht="75" hidden="1">
      <c r="A5" s="9" t="s">
        <v>369</v>
      </c>
      <c r="B5" s="73" t="s">
        <v>370</v>
      </c>
      <c r="C5" s="79" t="s">
        <v>75</v>
      </c>
      <c r="D5" t="str">
        <f>$E$1&amp;Tb_Alinhamento[[#This Row],[SEI]]</f>
        <v>202403559/2021</v>
      </c>
      <c r="E5" s="24">
        <f>IFERROR(INDEX(Atualizações!$Q$1:$Q$1265,MATCH(D5,Atualizações!$P$1:$P$1265,0)),"0")</f>
        <v>1</v>
      </c>
      <c r="F5" t="str">
        <f>$G$1&amp;Tb_Alinhamento[[#This Row],[SEI]]</f>
        <v>202503559/2021</v>
      </c>
      <c r="G5" s="24" t="str">
        <f>IFERROR(INDEX(Atualizações!$Q$1:$Q$1265,MATCH(F5,Atualizações!$P$1:$P$1265,0)),"0")</f>
        <v>0</v>
      </c>
      <c r="H5" t="str">
        <f>$I$1&amp;Tb_Alinhamento[[#This Row],[SEI]]</f>
        <v>202603559/2021</v>
      </c>
      <c r="I5" s="24" t="str">
        <f>IFERROR(INDEX(Atualizações!$Q$1:$Q$1265,MATCH(H5,Atualizações!$P$1:$P$1265,0)),"0")</f>
        <v>0</v>
      </c>
      <c r="J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6" spans="1:10" ht="45" hidden="1">
      <c r="A6" s="9" t="s">
        <v>369</v>
      </c>
      <c r="B6" s="73" t="s">
        <v>370</v>
      </c>
      <c r="C6" s="79" t="s">
        <v>88</v>
      </c>
      <c r="D6" t="str">
        <f>$E$1&amp;Tb_Alinhamento[[#This Row],[SEI]]</f>
        <v>202403559/2021</v>
      </c>
      <c r="E6" s="24">
        <f>IFERROR(INDEX(Atualizações!$Q$1:$Q$1265,MATCH(D6,Atualizações!$P$1:$P$1265,0)),"0")</f>
        <v>1</v>
      </c>
      <c r="F6" t="str">
        <f>$G$1&amp;Tb_Alinhamento[[#This Row],[SEI]]</f>
        <v>202503559/2021</v>
      </c>
      <c r="G6" s="24" t="str">
        <f>IFERROR(INDEX(Atualizações!$Q$1:$Q$1265,MATCH(F6,Atualizações!$P$1:$P$1265,0)),"0")</f>
        <v>0</v>
      </c>
      <c r="H6" t="str">
        <f>$I$1&amp;Tb_Alinhamento[[#This Row],[SEI]]</f>
        <v>202603559/2021</v>
      </c>
      <c r="I6" s="24" t="str">
        <f>IFERROR(INDEX(Atualizações!$Q$1:$Q$1265,MATCH(H6,Atualizações!$P$1:$P$1265,0)),"0")</f>
        <v>0</v>
      </c>
      <c r="J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7" spans="1:10" ht="45" hidden="1">
      <c r="A7" s="9" t="s">
        <v>369</v>
      </c>
      <c r="B7" s="73" t="s">
        <v>370</v>
      </c>
      <c r="C7" s="79" t="s">
        <v>672</v>
      </c>
      <c r="D7" t="str">
        <f>$E$1&amp;Tb_Alinhamento[[#This Row],[SEI]]</f>
        <v>202403559/2021</v>
      </c>
      <c r="E7" s="24">
        <f>IFERROR(INDEX(Atualizações!$Q$1:$Q$1265,MATCH(D7,Atualizações!$P$1:$P$1265,0)),"0")</f>
        <v>1</v>
      </c>
      <c r="F7" t="str">
        <f>$G$1&amp;Tb_Alinhamento[[#This Row],[SEI]]</f>
        <v>202503559/2021</v>
      </c>
      <c r="G7" s="24" t="str">
        <f>IFERROR(INDEX(Atualizações!$Q$1:$Q$1265,MATCH(F7,Atualizações!$P$1:$P$1265,0)),"0")</f>
        <v>0</v>
      </c>
      <c r="H7" t="str">
        <f>$I$1&amp;Tb_Alinhamento[[#This Row],[SEI]]</f>
        <v>202603559/2021</v>
      </c>
      <c r="I7" s="24" t="str">
        <f>IFERROR(INDEX(Atualizações!$Q$1:$Q$1265,MATCH(H7,Atualizações!$P$1:$P$1265,0)),"0")</f>
        <v>0</v>
      </c>
      <c r="J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8" spans="1:10" ht="30" hidden="1">
      <c r="A8" s="9" t="s">
        <v>209</v>
      </c>
      <c r="B8" s="73" t="s">
        <v>210</v>
      </c>
      <c r="C8" s="2" t="s">
        <v>213</v>
      </c>
      <c r="D8" t="str">
        <f>$E$1&amp;Tb_Alinhamento[[#This Row],[SEI]]</f>
        <v>202401945/2022</v>
      </c>
      <c r="E8" s="24">
        <f>IFERROR(INDEX(Atualizações!$Q$1:$Q$1265,MATCH(D8,Atualizações!$P$1:$P$1265,0)),"0")</f>
        <v>1</v>
      </c>
      <c r="F8" t="str">
        <f>$G$1&amp;Tb_Alinhamento[[#This Row],[SEI]]</f>
        <v>202501945/2022</v>
      </c>
      <c r="G8" s="24">
        <f>IFERROR(INDEX(Atualizações!$Q$1:$Q$1265,MATCH(F8,Atualizações!$P$1:$P$1265,0)),"0")</f>
        <v>1</v>
      </c>
      <c r="H8" t="str">
        <f>$I$1&amp;Tb_Alinhamento[[#This Row],[SEI]]</f>
        <v>202601945/2022</v>
      </c>
      <c r="I8" s="24" t="str">
        <f>IFERROR(INDEX(Atualizações!$Q$1:$Q$1265,MATCH(H8,Atualizações!$P$1:$P$1265,0)),"0")</f>
        <v>0</v>
      </c>
      <c r="J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9" spans="1:10" ht="30" hidden="1">
      <c r="A9" s="9" t="s">
        <v>209</v>
      </c>
      <c r="B9" s="73" t="s">
        <v>210</v>
      </c>
      <c r="C9" s="79" t="s">
        <v>62</v>
      </c>
      <c r="D9" t="str">
        <f>$E$1&amp;Tb_Alinhamento[[#This Row],[SEI]]</f>
        <v>202401945/2022</v>
      </c>
      <c r="E9" s="24">
        <f>IFERROR(INDEX(Atualizações!$Q$1:$Q$1265,MATCH(D9,Atualizações!$P$1:$P$1265,0)),"0")</f>
        <v>1</v>
      </c>
      <c r="F9" t="str">
        <f>$G$1&amp;Tb_Alinhamento[[#This Row],[SEI]]</f>
        <v>202501945/2022</v>
      </c>
      <c r="G9" s="24">
        <f>IFERROR(INDEX(Atualizações!$Q$1:$Q$1265,MATCH(F9,Atualizações!$P$1:$P$1265,0)),"0")</f>
        <v>1</v>
      </c>
      <c r="H9" t="str">
        <f>$I$1&amp;Tb_Alinhamento[[#This Row],[SEI]]</f>
        <v>202601945/2022</v>
      </c>
      <c r="I9" s="24" t="str">
        <f>IFERROR(INDEX(Atualizações!$Q$1:$Q$1265,MATCH(H9,Atualizações!$P$1:$P$1265,0)),"0")</f>
        <v>0</v>
      </c>
      <c r="J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0" spans="1:10" ht="30" hidden="1">
      <c r="A10" s="10" t="s">
        <v>451</v>
      </c>
      <c r="B10" s="98" t="s">
        <v>452</v>
      </c>
      <c r="C10" s="6" t="s">
        <v>455</v>
      </c>
      <c r="D10" t="str">
        <f>$E$1&amp;Tb_Alinhamento[[#This Row],[SEI]]</f>
        <v>202408287/2022</v>
      </c>
      <c r="E10" s="24">
        <f>IFERROR(INDEX(Atualizações!$Q$1:$Q$1265,MATCH(D10,Atualizações!$P$1:$P$1265,0)),"0")</f>
        <v>1</v>
      </c>
      <c r="F10" t="str">
        <f>$G$1&amp;Tb_Alinhamento[[#This Row],[SEI]]</f>
        <v>202508287/2022</v>
      </c>
      <c r="G10" s="24" t="str">
        <f>IFERROR(INDEX(Atualizações!$Q$1:$Q$1265,MATCH(F10,Atualizações!$P$1:$P$1265,0)),"0")</f>
        <v>0</v>
      </c>
      <c r="H10" t="str">
        <f>$I$1&amp;Tb_Alinhamento[[#This Row],[SEI]]</f>
        <v>202608287/2022</v>
      </c>
      <c r="I10" s="24" t="str">
        <f>IFERROR(INDEX(Atualizações!$Q$1:$Q$1265,MATCH(H10,Atualizações!$P$1:$P$1265,0)),"0")</f>
        <v>0</v>
      </c>
      <c r="J1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1" spans="1:10" ht="75" hidden="1">
      <c r="A11" s="9" t="s">
        <v>570</v>
      </c>
      <c r="B11" s="73" t="s">
        <v>1267</v>
      </c>
      <c r="C11" s="79" t="s">
        <v>75</v>
      </c>
      <c r="D11" t="str">
        <f>$E$1&amp;Tb_Alinhamento[[#This Row],[SEI]]</f>
        <v>202410157/2022</v>
      </c>
      <c r="E11" s="24">
        <f>IFERROR(INDEX(Atualizações!$Q$1:$Q$1265,MATCH(D11,Atualizações!$P$1:$P$1265,0)),"0")</f>
        <v>1</v>
      </c>
      <c r="F11" t="str">
        <f>$G$1&amp;Tb_Alinhamento[[#This Row],[SEI]]</f>
        <v>202510157/2022</v>
      </c>
      <c r="G11" s="24" t="str">
        <f>IFERROR(INDEX(Atualizações!$Q$1:$Q$1265,MATCH(F11,Atualizações!$P$1:$P$1265,0)),"0")</f>
        <v>0</v>
      </c>
      <c r="H11" t="str">
        <f>$I$1&amp;Tb_Alinhamento[[#This Row],[SEI]]</f>
        <v>202610157/2022</v>
      </c>
      <c r="I11" s="24" t="str">
        <f>IFERROR(INDEX(Atualizações!$Q$1:$Q$1265,MATCH(H11,Atualizações!$P$1:$P$1265,0)),"0")</f>
        <v>0</v>
      </c>
      <c r="J1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 spans="1:10" ht="45" hidden="1">
      <c r="A12" s="9" t="s">
        <v>570</v>
      </c>
      <c r="B12" s="73" t="s">
        <v>1267</v>
      </c>
      <c r="C12" s="79" t="s">
        <v>165</v>
      </c>
      <c r="D12" t="str">
        <f>$E$1&amp;Tb_Alinhamento[[#This Row],[SEI]]</f>
        <v>202410157/2022</v>
      </c>
      <c r="E12" s="24">
        <f>IFERROR(INDEX(Atualizações!$Q$1:$Q$1265,MATCH(D12,Atualizações!$P$1:$P$1265,0)),"0")</f>
        <v>1</v>
      </c>
      <c r="F12" t="str">
        <f>$G$1&amp;Tb_Alinhamento[[#This Row],[SEI]]</f>
        <v>202510157/2022</v>
      </c>
      <c r="G12" s="24" t="str">
        <f>IFERROR(INDEX(Atualizações!$Q$1:$Q$1265,MATCH(F12,Atualizações!$P$1:$P$1265,0)),"0")</f>
        <v>0</v>
      </c>
      <c r="H12" t="str">
        <f>$I$1&amp;Tb_Alinhamento[[#This Row],[SEI]]</f>
        <v>202610157/2022</v>
      </c>
      <c r="I12" s="24" t="str">
        <f>IFERROR(INDEX(Atualizações!$Q$1:$Q$1265,MATCH(H12,Atualizações!$P$1:$P$1265,0)),"0")</f>
        <v>0</v>
      </c>
      <c r="J1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 spans="1:10" ht="30" hidden="1">
      <c r="A13" s="9" t="s">
        <v>487</v>
      </c>
      <c r="B13" s="73" t="s">
        <v>488</v>
      </c>
      <c r="C13" s="16" t="s">
        <v>240</v>
      </c>
      <c r="D13" t="str">
        <f>$E$1&amp;Tb_Alinhamento[[#This Row],[SEI]]</f>
        <v>202408610/2022</v>
      </c>
      <c r="E13" s="24">
        <f>IFERROR(INDEX(Atualizações!$Q$1:$Q$1265,MATCH(D13,Atualizações!$P$1:$P$1265,0)),"0")</f>
        <v>1</v>
      </c>
      <c r="F13" t="str">
        <f>$G$1&amp;Tb_Alinhamento[[#This Row],[SEI]]</f>
        <v>202508610/2022</v>
      </c>
      <c r="G13" s="24">
        <f>IFERROR(INDEX(Atualizações!$Q$1:$Q$1265,MATCH(F13,Atualizações!$P$1:$P$1265,0)),"0")</f>
        <v>1</v>
      </c>
      <c r="H13" t="str">
        <f>$I$1&amp;Tb_Alinhamento[[#This Row],[SEI]]</f>
        <v>202608610/2022</v>
      </c>
      <c r="I13" s="24" t="str">
        <f>IFERROR(INDEX(Atualizações!$Q$1:$Q$1265,MATCH(H13,Atualizações!$P$1:$P$1265,0)),"0")</f>
        <v>0</v>
      </c>
      <c r="J1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 spans="1:10" ht="75" hidden="1">
      <c r="A14" s="11" t="s">
        <v>425</v>
      </c>
      <c r="B14" s="98" t="s">
        <v>426</v>
      </c>
      <c r="C14" s="79" t="s">
        <v>75</v>
      </c>
      <c r="D14" t="str">
        <f>$E$1&amp;Tb_Alinhamento[[#This Row],[SEI]]</f>
        <v>202406767/2022</v>
      </c>
      <c r="E14" s="24">
        <f>IFERROR(INDEX(Atualizações!$Q$1:$Q$1265,MATCH(D14,Atualizações!$P$1:$P$1265,0)),"0")</f>
        <v>1</v>
      </c>
      <c r="F14" t="str">
        <f>$G$1&amp;Tb_Alinhamento[[#This Row],[SEI]]</f>
        <v>202506767/2022</v>
      </c>
      <c r="G14" s="24" t="str">
        <f>IFERROR(INDEX(Atualizações!$Q$1:$Q$1265,MATCH(F14,Atualizações!$P$1:$P$1265,0)),"0")</f>
        <v>0</v>
      </c>
      <c r="H14" t="str">
        <f>$I$1&amp;Tb_Alinhamento[[#This Row],[SEI]]</f>
        <v>202606767/2022</v>
      </c>
      <c r="I14" s="24" t="str">
        <f>IFERROR(INDEX(Atualizações!$Q$1:$Q$1265,MATCH(H14,Atualizações!$P$1:$P$1265,0)),"0")</f>
        <v>0</v>
      </c>
      <c r="J1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 spans="1:10" ht="45" hidden="1">
      <c r="A15" s="11" t="s">
        <v>425</v>
      </c>
      <c r="B15" s="98" t="s">
        <v>426</v>
      </c>
      <c r="C15" s="7" t="s">
        <v>165</v>
      </c>
      <c r="D15" t="str">
        <f>$E$1&amp;Tb_Alinhamento[[#This Row],[SEI]]</f>
        <v>202406767/2022</v>
      </c>
      <c r="E15" s="24">
        <f>IFERROR(INDEX(Atualizações!$Q$1:$Q$1265,MATCH(D15,Atualizações!$P$1:$P$1265,0)),"0")</f>
        <v>1</v>
      </c>
      <c r="F15" t="str">
        <f>$G$1&amp;Tb_Alinhamento[[#This Row],[SEI]]</f>
        <v>202506767/2022</v>
      </c>
      <c r="G15" s="24" t="str">
        <f>IFERROR(INDEX(Atualizações!$Q$1:$Q$1265,MATCH(F15,Atualizações!$P$1:$P$1265,0)),"0")</f>
        <v>0</v>
      </c>
      <c r="H15" t="str">
        <f>$I$1&amp;Tb_Alinhamento[[#This Row],[SEI]]</f>
        <v>202606767/2022</v>
      </c>
      <c r="I15" s="24" t="str">
        <f>IFERROR(INDEX(Atualizações!$Q$1:$Q$1265,MATCH(H15,Atualizações!$P$1:$P$1265,0)),"0")</f>
        <v>0</v>
      </c>
      <c r="J1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 spans="1:10" ht="45" hidden="1">
      <c r="A16" s="11" t="s">
        <v>160</v>
      </c>
      <c r="B16" s="98" t="s">
        <v>161</v>
      </c>
      <c r="C16" s="7" t="s">
        <v>165</v>
      </c>
      <c r="D16" t="str">
        <f>$E$1&amp;Tb_Alinhamento[[#This Row],[SEI]]</f>
        <v>202401487/2022</v>
      </c>
      <c r="E16" s="24">
        <f>IFERROR(INDEX(Atualizações!$Q$1:$Q$1265,MATCH(D16,Atualizações!$P$1:$P$1265,0)),"0")</f>
        <v>1</v>
      </c>
      <c r="F16" t="str">
        <f>$G$1&amp;Tb_Alinhamento[[#This Row],[SEI]]</f>
        <v>202501487/2022</v>
      </c>
      <c r="G16" s="24" t="str">
        <f>IFERROR(INDEX(Atualizações!$Q$1:$Q$1265,MATCH(F16,Atualizações!$P$1:$P$1265,0)),"0")</f>
        <v>0</v>
      </c>
      <c r="H16" t="str">
        <f>$I$1&amp;Tb_Alinhamento[[#This Row],[SEI]]</f>
        <v>202601487/2022</v>
      </c>
      <c r="I16" s="24" t="str">
        <f>IFERROR(INDEX(Atualizações!$Q$1:$Q$1265,MATCH(H16,Atualizações!$P$1:$P$1265,0)),"0")</f>
        <v>0</v>
      </c>
      <c r="J1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 spans="1:10" ht="45" hidden="1">
      <c r="A17" s="11" t="s">
        <v>609</v>
      </c>
      <c r="B17" s="114" t="s">
        <v>1637</v>
      </c>
      <c r="C17" s="7" t="s">
        <v>165</v>
      </c>
      <c r="D17" t="str">
        <f>$E$1&amp;Tb_Alinhamento[[#This Row],[SEI]]</f>
        <v>202411270/2022</v>
      </c>
      <c r="E17" s="24">
        <f>IFERROR(INDEX(Atualizações!$Q$1:$Q$1265,MATCH(D17,Atualizações!$P$1:$P$1265,0)),"0")</f>
        <v>1</v>
      </c>
      <c r="F17" t="str">
        <f>$G$1&amp;Tb_Alinhamento[[#This Row],[SEI]]</f>
        <v>202511270/2022</v>
      </c>
      <c r="G17" s="24">
        <f>IFERROR(INDEX(Atualizações!$Q$1:$Q$1265,MATCH(F17,Atualizações!$P$1:$P$1265,0)),"0")</f>
        <v>1</v>
      </c>
      <c r="H17" t="str">
        <f>$I$1&amp;Tb_Alinhamento[[#This Row],[SEI]]</f>
        <v>202611270/2022</v>
      </c>
      <c r="I17" s="24" t="str">
        <f>IFERROR(INDEX(Atualizações!$Q$1:$Q$1265,MATCH(H17,Atualizações!$P$1:$P$1265,0)),"0")</f>
        <v>0</v>
      </c>
      <c r="J1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8" spans="1:10" hidden="1">
      <c r="A18" s="20" t="s">
        <v>97</v>
      </c>
      <c r="B18" s="97" t="s">
        <v>98</v>
      </c>
      <c r="C18" s="7" t="s">
        <v>104</v>
      </c>
      <c r="D18" t="str">
        <f>$E$1&amp;Tb_Alinhamento[[#This Row],[SEI]]</f>
        <v>202400535/2019</v>
      </c>
      <c r="E18" s="24">
        <f>IFERROR(INDEX(Atualizações!$Q$1:$Q$1265,MATCH(D18,Atualizações!$P$1:$P$1265,0)),"0")</f>
        <v>1</v>
      </c>
      <c r="F18" t="str">
        <f>$G$1&amp;Tb_Alinhamento[[#This Row],[SEI]]</f>
        <v>202500535/2019</v>
      </c>
      <c r="G18" s="24" t="str">
        <f>IFERROR(INDEX(Atualizações!$Q$1:$Q$1265,MATCH(F18,Atualizações!$P$1:$P$1265,0)),"0")</f>
        <v>0</v>
      </c>
      <c r="H18" t="str">
        <f>$I$1&amp;Tb_Alinhamento[[#This Row],[SEI]]</f>
        <v>202600535/2019</v>
      </c>
      <c r="I18" s="24" t="str">
        <f>IFERROR(INDEX(Atualizações!$Q$1:$Q$1265,MATCH(H18,Atualizações!$P$1:$P$1265,0)),"0")</f>
        <v>0</v>
      </c>
      <c r="J1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9" spans="1:10" ht="30">
      <c r="A19" s="531" t="s">
        <v>229</v>
      </c>
      <c r="B19" s="115" t="s">
        <v>230</v>
      </c>
      <c r="C19" s="7" t="s">
        <v>146</v>
      </c>
      <c r="D19" t="str">
        <f>$E$1&amp;Tb_Alinhamento[[#This Row],[SEI]]</f>
        <v>202402080/2023</v>
      </c>
      <c r="E19" s="24">
        <f>IFERROR(INDEX(Atualizações!$Q$1:$Q$1265,MATCH(D19,Atualizações!$P$1:$P$1265,0)),"0")</f>
        <v>1</v>
      </c>
      <c r="F19" t="str">
        <f>$G$1&amp;Tb_Alinhamento[[#This Row],[SEI]]</f>
        <v>202502080/2023</v>
      </c>
      <c r="G19" s="24">
        <f>IFERROR(INDEX(Atualizações!$Q$1:$Q$1265,MATCH(F19,Atualizações!$P$1:$P$1265,0)),"0")</f>
        <v>1</v>
      </c>
      <c r="H19" t="str">
        <f>$I$1&amp;Tb_Alinhamento[[#This Row],[SEI]]</f>
        <v>202602080/2023</v>
      </c>
      <c r="I19" s="24">
        <f>IFERROR(INDEX(Atualizações!$Q$1:$Q$1265,MATCH(H19,Atualizações!$P$1:$P$1265,0)),"0")</f>
        <v>1</v>
      </c>
      <c r="J1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 spans="1:10" ht="30">
      <c r="A20" s="531" t="s">
        <v>229</v>
      </c>
      <c r="B20" s="115" t="s">
        <v>230</v>
      </c>
      <c r="C20" s="19" t="s">
        <v>176</v>
      </c>
      <c r="D20" t="str">
        <f>$E$1&amp;Tb_Alinhamento[[#This Row],[SEI]]</f>
        <v>202402080/2023</v>
      </c>
      <c r="E20" s="24">
        <f>IFERROR(INDEX(Atualizações!$Q$1:$Q$1265,MATCH(D20,Atualizações!$P$1:$P$1265,0)),"0")</f>
        <v>1</v>
      </c>
      <c r="F20" t="str">
        <f>$G$1&amp;Tb_Alinhamento[[#This Row],[SEI]]</f>
        <v>202502080/2023</v>
      </c>
      <c r="G20" s="24">
        <f>IFERROR(INDEX(Atualizações!$Q$1:$Q$1265,MATCH(F20,Atualizações!$P$1:$P$1265,0)),"0")</f>
        <v>1</v>
      </c>
      <c r="H20" t="str">
        <f>$I$1&amp;Tb_Alinhamento[[#This Row],[SEI]]</f>
        <v>202602080/2023</v>
      </c>
      <c r="I20" s="24">
        <f>IFERROR(INDEX(Atualizações!$Q$1:$Q$1265,MATCH(H20,Atualizações!$P$1:$P$1265,0)),"0")</f>
        <v>1</v>
      </c>
      <c r="J2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 spans="1:10" hidden="1">
      <c r="A21" s="11" t="s">
        <v>443</v>
      </c>
      <c r="B21" s="115" t="s">
        <v>444</v>
      </c>
      <c r="C21" s="2" t="s">
        <v>448</v>
      </c>
      <c r="D21" t="str">
        <f>$E$1&amp;Tb_Alinhamento[[#This Row],[SEI]]</f>
        <v>202408286/2022</v>
      </c>
      <c r="E21" s="24">
        <f>IFERROR(INDEX(Atualizações!$Q$1:$Q$1265,MATCH(D21,Atualizações!$P$1:$P$1265,0)),"0")</f>
        <v>1</v>
      </c>
      <c r="F21" t="str">
        <f>$G$1&amp;Tb_Alinhamento[[#This Row],[SEI]]</f>
        <v>202508286/2022</v>
      </c>
      <c r="G21" s="24">
        <f>IFERROR(INDEX(Atualizações!$Q$1:$Q$1265,MATCH(F21,Atualizações!$P$1:$P$1265,0)),"0")</f>
        <v>1</v>
      </c>
      <c r="H21" t="str">
        <f>$I$1&amp;Tb_Alinhamento[[#This Row],[SEI]]</f>
        <v>202608286/2022</v>
      </c>
      <c r="I21" s="24" t="str">
        <f>IFERROR(INDEX(Atualizações!$Q$1:$Q$1265,MATCH(H21,Atualizações!$P$1:$P$1265,0)),"0")</f>
        <v>0</v>
      </c>
      <c r="J2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22" spans="1:10" ht="30">
      <c r="A22" s="534" t="s">
        <v>182</v>
      </c>
      <c r="B22" s="535" t="s">
        <v>183</v>
      </c>
      <c r="C22" s="7" t="s">
        <v>176</v>
      </c>
      <c r="D22" t="str">
        <f>$E$1&amp;Tb_Alinhamento[[#This Row],[SEI]]</f>
        <v>202401764/2020</v>
      </c>
      <c r="E22" s="24">
        <f>IFERROR(INDEX(Atualizações!$Q$1:$Q$1265,MATCH(D22,Atualizações!$P$1:$P$1265,0)),"0")</f>
        <v>1</v>
      </c>
      <c r="F22" t="str">
        <f>$G$1&amp;Tb_Alinhamento[[#This Row],[SEI]]</f>
        <v>202501764/2020</v>
      </c>
      <c r="G22" s="24">
        <f>IFERROR(INDEX(Atualizações!$Q$1:$Q$1265,MATCH(F22,Atualizações!$P$1:$P$1265,0)),"0")</f>
        <v>1</v>
      </c>
      <c r="H22" t="str">
        <f>$I$1&amp;Tb_Alinhamento[[#This Row],[SEI]]</f>
        <v>202601764/2020</v>
      </c>
      <c r="I22" s="24">
        <f>IFERROR(INDEX(Atualizações!$Q$1:$Q$1265,MATCH(H22,Atualizações!$P$1:$P$1265,0)),"0")</f>
        <v>1</v>
      </c>
      <c r="J2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 spans="1:10" ht="30">
      <c r="A23" s="531" t="s">
        <v>350</v>
      </c>
      <c r="B23" s="115" t="s">
        <v>351</v>
      </c>
      <c r="C23" s="2" t="s">
        <v>146</v>
      </c>
      <c r="D23" t="str">
        <f>$E$1&amp;Tb_Alinhamento[[#This Row],[SEI]]</f>
        <v>202403545/2021</v>
      </c>
      <c r="E23" s="24">
        <f>IFERROR(INDEX(Atualizações!$Q$1:$Q$1265,MATCH(D23,Atualizações!$P$1:$P$1265,0)),"0")</f>
        <v>1</v>
      </c>
      <c r="F23" t="str">
        <f>$G$1&amp;Tb_Alinhamento[[#This Row],[SEI]]</f>
        <v>202503545/2021</v>
      </c>
      <c r="G23" s="24">
        <f>IFERROR(INDEX(Atualizações!$Q$1:$Q$1265,MATCH(F23,Atualizações!$P$1:$P$1265,0)),"0")</f>
        <v>1</v>
      </c>
      <c r="H23" t="str">
        <f>$I$1&amp;Tb_Alinhamento[[#This Row],[SEI]]</f>
        <v>202603545/2021</v>
      </c>
      <c r="I23" s="24">
        <f>IFERROR(INDEX(Atualizações!$Q$1:$Q$1265,MATCH(H23,Atualizações!$P$1:$P$1265,0)),"0")</f>
        <v>1</v>
      </c>
      <c r="J2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 spans="1:10" ht="30">
      <c r="A24" s="531" t="s">
        <v>350</v>
      </c>
      <c r="B24" s="115" t="s">
        <v>351</v>
      </c>
      <c r="C24" s="19" t="s">
        <v>176</v>
      </c>
      <c r="D24" t="str">
        <f>$E$1&amp;Tb_Alinhamento[[#This Row],[SEI]]</f>
        <v>202403545/2021</v>
      </c>
      <c r="E24" s="24">
        <f>IFERROR(INDEX(Atualizações!$Q$1:$Q$1265,MATCH(D24,Atualizações!$P$1:$P$1265,0)),"0")</f>
        <v>1</v>
      </c>
      <c r="F24" t="str">
        <f>$G$1&amp;Tb_Alinhamento[[#This Row],[SEI]]</f>
        <v>202503545/2021</v>
      </c>
      <c r="G24" s="24">
        <f>IFERROR(INDEX(Atualizações!$Q$1:$Q$1265,MATCH(F24,Atualizações!$P$1:$P$1265,0)),"0")</f>
        <v>1</v>
      </c>
      <c r="H24" t="str">
        <f>$I$1&amp;Tb_Alinhamento[[#This Row],[SEI]]</f>
        <v>202603545/2021</v>
      </c>
      <c r="I24" s="24">
        <f>IFERROR(INDEX(Atualizações!$Q$1:$Q$1265,MATCH(H24,Atualizações!$P$1:$P$1265,0)),"0")</f>
        <v>1</v>
      </c>
      <c r="J2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 spans="1:10">
      <c r="A25" s="531" t="s">
        <v>358</v>
      </c>
      <c r="B25" s="115" t="s">
        <v>359</v>
      </c>
      <c r="C25" s="19" t="s">
        <v>105</v>
      </c>
      <c r="D25" t="str">
        <f>$E$1&amp;Tb_Alinhamento[[#This Row],[SEI]]</f>
        <v>202403558/2021</v>
      </c>
      <c r="E25" s="24">
        <f>IFERROR(INDEX(Atualizações!$Q$1:$Q$1265,MATCH(D25,Atualizações!$P$1:$P$1265,0)),"0")</f>
        <v>1</v>
      </c>
      <c r="F25" t="str">
        <f>$G$1&amp;Tb_Alinhamento[[#This Row],[SEI]]</f>
        <v>202503558/2021</v>
      </c>
      <c r="G25" s="24">
        <f>IFERROR(INDEX(Atualizações!$Q$1:$Q$1265,MATCH(F25,Atualizações!$P$1:$P$1265,0)),"0")</f>
        <v>1</v>
      </c>
      <c r="H25" t="str">
        <f>$I$1&amp;Tb_Alinhamento[[#This Row],[SEI]]</f>
        <v>202603558/2021</v>
      </c>
      <c r="I25" s="24">
        <f>IFERROR(INDEX(Atualizações!$Q$1:$Q$1265,MATCH(H25,Atualizações!$P$1:$P$1265,0)),"0")</f>
        <v>1</v>
      </c>
      <c r="J2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 spans="1:10">
      <c r="A26" s="531" t="s">
        <v>358</v>
      </c>
      <c r="B26" s="115" t="s">
        <v>1638</v>
      </c>
      <c r="C26" s="19" t="s">
        <v>120</v>
      </c>
      <c r="D26" t="str">
        <f>$E$1&amp;Tb_Alinhamento[[#This Row],[SEI]]</f>
        <v>202403558/2021</v>
      </c>
      <c r="E26" s="24">
        <f>IFERROR(INDEX(Atualizações!$Q$1:$Q$1265,MATCH(D26,Atualizações!$P$1:$P$1265,0)),"0")</f>
        <v>1</v>
      </c>
      <c r="F26" t="str">
        <f>$G$1&amp;Tb_Alinhamento[[#This Row],[SEI]]</f>
        <v>202503558/2021</v>
      </c>
      <c r="G26" s="24">
        <f>IFERROR(INDEX(Atualizações!$Q$1:$Q$1265,MATCH(F26,Atualizações!$P$1:$P$1265,0)),"0")</f>
        <v>1</v>
      </c>
      <c r="H26" t="str">
        <f>$I$1&amp;Tb_Alinhamento[[#This Row],[SEI]]</f>
        <v>202603558/2021</v>
      </c>
      <c r="I26" s="24">
        <f>IFERROR(INDEX(Atualizações!$Q$1:$Q$1265,MATCH(H26,Atualizações!$P$1:$P$1265,0)),"0")</f>
        <v>1</v>
      </c>
      <c r="J2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 spans="1:10" ht="30">
      <c r="A27" s="531" t="s">
        <v>358</v>
      </c>
      <c r="B27" s="115" t="s">
        <v>1638</v>
      </c>
      <c r="C27" s="19" t="s">
        <v>176</v>
      </c>
      <c r="D27" t="str">
        <f>$E$1&amp;Tb_Alinhamento[[#This Row],[SEI]]</f>
        <v>202403558/2021</v>
      </c>
      <c r="E27" s="24">
        <f>IFERROR(INDEX(Atualizações!$Q$1:$Q$1265,MATCH(D27,Atualizações!$P$1:$P$1265,0)),"0")</f>
        <v>1</v>
      </c>
      <c r="F27" t="str">
        <f>$G$1&amp;Tb_Alinhamento[[#This Row],[SEI]]</f>
        <v>202503558/2021</v>
      </c>
      <c r="G27" s="24">
        <f>IFERROR(INDEX(Atualizações!$Q$1:$Q$1265,MATCH(F27,Atualizações!$P$1:$P$1265,0)),"0")</f>
        <v>1</v>
      </c>
      <c r="H27" t="str">
        <f>$I$1&amp;Tb_Alinhamento[[#This Row],[SEI]]</f>
        <v>202603558/2021</v>
      </c>
      <c r="I27" s="24">
        <f>IFERROR(INDEX(Atualizações!$Q$1:$Q$1265,MATCH(H27,Atualizações!$P$1:$P$1265,0)),"0")</f>
        <v>1</v>
      </c>
      <c r="J2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 spans="1:10">
      <c r="A28" s="531" t="s">
        <v>70</v>
      </c>
      <c r="B28" s="115" t="s">
        <v>71</v>
      </c>
      <c r="C28" s="19" t="s">
        <v>76</v>
      </c>
      <c r="D28" t="str">
        <f>$E$1&amp;Tb_Alinhamento[[#This Row],[SEI]]</f>
        <v>202400139/2024</v>
      </c>
      <c r="E28" s="24">
        <f>IFERROR(INDEX(Atualizações!$Q$1:$Q$1265,MATCH(D28,Atualizações!$P$1:$P$1265,0)),"0")</f>
        <v>1</v>
      </c>
      <c r="F28" t="str">
        <f>$G$1&amp;Tb_Alinhamento[[#This Row],[SEI]]</f>
        <v>202500139/2024</v>
      </c>
      <c r="G28" s="24">
        <f>IFERROR(INDEX(Atualizações!$Q$1:$Q$1265,MATCH(F28,Atualizações!$P$1:$P$1265,0)),"0")</f>
        <v>1</v>
      </c>
      <c r="H28" t="str">
        <f>$I$1&amp;Tb_Alinhamento[[#This Row],[SEI]]</f>
        <v>202600139/2024</v>
      </c>
      <c r="I28" s="24">
        <f>IFERROR(INDEX(Atualizações!$Q$1:$Q$1265,MATCH(H28,Atualizações!$P$1:$P$1265,0)),"0")</f>
        <v>1</v>
      </c>
      <c r="J2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 spans="1:10" ht="30" hidden="1">
      <c r="A29" s="13" t="s">
        <v>502</v>
      </c>
      <c r="B29" s="117" t="s">
        <v>503</v>
      </c>
      <c r="C29" s="92" t="s">
        <v>346</v>
      </c>
      <c r="D29" t="str">
        <f>$E$1&amp;Tb_Alinhamento[[#This Row],[SEI]]</f>
        <v>202409081/2022</v>
      </c>
      <c r="E29" s="24">
        <f>IFERROR(INDEX(Atualizações!$Q$1:$Q$1265,MATCH(D29,Atualizações!$P$1:$P$1265,0)),"0")</f>
        <v>1</v>
      </c>
      <c r="F29" t="str">
        <f>$G$1&amp;Tb_Alinhamento[[#This Row],[SEI]]</f>
        <v>202509081/2022</v>
      </c>
      <c r="G29" s="24" t="str">
        <f>IFERROR(INDEX(Atualizações!$Q$1:$Q$1265,MATCH(F29,Atualizações!$P$1:$P$1265,0)),"0")</f>
        <v>0</v>
      </c>
      <c r="H29" t="str">
        <f>$I$1&amp;Tb_Alinhamento[[#This Row],[SEI]]</f>
        <v>202609081/2022</v>
      </c>
      <c r="I29" s="24" t="str">
        <f>IFERROR(INDEX(Atualizações!$Q$1:$Q$1265,MATCH(H29,Atualizações!$P$1:$P$1265,0)),"0")</f>
        <v>0</v>
      </c>
      <c r="J2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0" spans="1:10" ht="30" hidden="1">
      <c r="A30" s="11" t="s">
        <v>341</v>
      </c>
      <c r="B30" s="73" t="s">
        <v>1639</v>
      </c>
      <c r="C30" s="19" t="s">
        <v>346</v>
      </c>
      <c r="D30" t="str">
        <f>$E$1&amp;Tb_Alinhamento[[#This Row],[SEI]]</f>
        <v>202403096/2021</v>
      </c>
      <c r="E30" s="24">
        <f>IFERROR(INDEX(Atualizações!$Q$1:$Q$1265,MATCH(D30,Atualizações!$P$1:$P$1265,0)),"0")</f>
        <v>1</v>
      </c>
      <c r="F30" t="str">
        <f>$G$1&amp;Tb_Alinhamento[[#This Row],[SEI]]</f>
        <v>202503096/2021</v>
      </c>
      <c r="G30" s="24" t="str">
        <f>IFERROR(INDEX(Atualizações!$Q$1:$Q$1265,MATCH(F30,Atualizações!$P$1:$P$1265,0)),"0")</f>
        <v>0</v>
      </c>
      <c r="H30" t="str">
        <f>$I$1&amp;Tb_Alinhamento[[#This Row],[SEI]]</f>
        <v>202603096/2021</v>
      </c>
      <c r="I30" s="24" t="str">
        <f>IFERROR(INDEX(Atualizações!$Q$1:$Q$1265,MATCH(H30,Atualizações!$P$1:$P$1265,0)),"0")</f>
        <v>0</v>
      </c>
      <c r="J3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1" spans="1:10" ht="75" hidden="1">
      <c r="A31" s="11" t="s">
        <v>341</v>
      </c>
      <c r="B31" s="73" t="s">
        <v>1639</v>
      </c>
      <c r="C31" s="79" t="s">
        <v>75</v>
      </c>
      <c r="D31" t="str">
        <f>$E$1&amp;Tb_Alinhamento[[#This Row],[SEI]]</f>
        <v>202403096/2021</v>
      </c>
      <c r="E31" s="24">
        <f>IFERROR(INDEX(Atualizações!$Q$1:$Q$1265,MATCH(D31,Atualizações!$P$1:$P$1265,0)),"0")</f>
        <v>1</v>
      </c>
      <c r="F31" t="str">
        <f>$G$1&amp;Tb_Alinhamento[[#This Row],[SEI]]</f>
        <v>202503096/2021</v>
      </c>
      <c r="G31" s="24" t="str">
        <f>IFERROR(INDEX(Atualizações!$Q$1:$Q$1265,MATCH(F31,Atualizações!$P$1:$P$1265,0)),"0")</f>
        <v>0</v>
      </c>
      <c r="H31" t="str">
        <f>$I$1&amp;Tb_Alinhamento[[#This Row],[SEI]]</f>
        <v>202603096/2021</v>
      </c>
      <c r="I31" s="24" t="str">
        <f>IFERROR(INDEX(Atualizações!$Q$1:$Q$1265,MATCH(H31,Atualizações!$P$1:$P$1265,0)),"0")</f>
        <v>0</v>
      </c>
      <c r="J3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2" spans="1:10" ht="30" hidden="1">
      <c r="A32" s="11" t="s">
        <v>341</v>
      </c>
      <c r="B32" s="73" t="s">
        <v>1639</v>
      </c>
      <c r="C32" s="5" t="s">
        <v>390</v>
      </c>
      <c r="D32" t="str">
        <f>$E$1&amp;Tb_Alinhamento[[#This Row],[SEI]]</f>
        <v>202403096/2021</v>
      </c>
      <c r="E32" s="24">
        <f>IFERROR(INDEX(Atualizações!$Q$1:$Q$1265,MATCH(D32,Atualizações!$P$1:$P$1265,0)),"0")</f>
        <v>1</v>
      </c>
      <c r="F32" t="str">
        <f>$G$1&amp;Tb_Alinhamento[[#This Row],[SEI]]</f>
        <v>202503096/2021</v>
      </c>
      <c r="G32" s="24" t="str">
        <f>IFERROR(INDEX(Atualizações!$Q$1:$Q$1265,MATCH(F32,Atualizações!$P$1:$P$1265,0)),"0")</f>
        <v>0</v>
      </c>
      <c r="H32" t="str">
        <f>$I$1&amp;Tb_Alinhamento[[#This Row],[SEI]]</f>
        <v>202603096/2021</v>
      </c>
      <c r="I32" s="24" t="str">
        <f>IFERROR(INDEX(Atualizações!$Q$1:$Q$1265,MATCH(H32,Atualizações!$P$1:$P$1265,0)),"0")</f>
        <v>0</v>
      </c>
      <c r="J3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3" spans="1:10" ht="30" hidden="1">
      <c r="A33" s="11" t="s">
        <v>341</v>
      </c>
      <c r="B33" s="73" t="s">
        <v>1639</v>
      </c>
      <c r="C33" s="79" t="s">
        <v>88</v>
      </c>
      <c r="D33" t="str">
        <f>$E$1&amp;Tb_Alinhamento[[#This Row],[SEI]]</f>
        <v>202403096/2021</v>
      </c>
      <c r="E33" s="24">
        <f>IFERROR(INDEX(Atualizações!$Q$1:$Q$1265,MATCH(D33,Atualizações!$P$1:$P$1265,0)),"0")</f>
        <v>1</v>
      </c>
      <c r="F33" t="str">
        <f>$G$1&amp;Tb_Alinhamento[[#This Row],[SEI]]</f>
        <v>202503096/2021</v>
      </c>
      <c r="G33" s="24" t="str">
        <f>IFERROR(INDEX(Atualizações!$Q$1:$Q$1265,MATCH(F33,Atualizações!$P$1:$P$1265,0)),"0")</f>
        <v>0</v>
      </c>
      <c r="H33" t="str">
        <f>$I$1&amp;Tb_Alinhamento[[#This Row],[SEI]]</f>
        <v>202603096/2021</v>
      </c>
      <c r="I33" s="24" t="str">
        <f>IFERROR(INDEX(Atualizações!$Q$1:$Q$1265,MATCH(H33,Atualizações!$P$1:$P$1265,0)),"0")</f>
        <v>0</v>
      </c>
      <c r="J3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 spans="1:10" ht="30" hidden="1">
      <c r="A34" s="11" t="s">
        <v>341</v>
      </c>
      <c r="B34" s="73" t="s">
        <v>1639</v>
      </c>
      <c r="C34" s="79" t="s">
        <v>672</v>
      </c>
      <c r="D34" t="str">
        <f>$E$1&amp;Tb_Alinhamento[[#This Row],[SEI]]</f>
        <v>202403096/2021</v>
      </c>
      <c r="E34" s="24">
        <f>IFERROR(INDEX(Atualizações!$Q$1:$Q$1265,MATCH(D34,Atualizações!$P$1:$P$1265,0)),"0")</f>
        <v>1</v>
      </c>
      <c r="F34" t="str">
        <f>$G$1&amp;Tb_Alinhamento[[#This Row],[SEI]]</f>
        <v>202503096/2021</v>
      </c>
      <c r="G34" s="24" t="str">
        <f>IFERROR(INDEX(Atualizações!$Q$1:$Q$1265,MATCH(F34,Atualizações!$P$1:$P$1265,0)),"0")</f>
        <v>0</v>
      </c>
      <c r="H34" t="str">
        <f>$I$1&amp;Tb_Alinhamento[[#This Row],[SEI]]</f>
        <v>202603096/2021</v>
      </c>
      <c r="I34" s="24" t="str">
        <f>IFERROR(INDEX(Atualizações!$Q$1:$Q$1265,MATCH(H34,Atualizações!$P$1:$P$1265,0)),"0")</f>
        <v>0</v>
      </c>
      <c r="J3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 spans="1:10" ht="30" hidden="1">
      <c r="A35" s="11" t="s">
        <v>341</v>
      </c>
      <c r="B35" s="73" t="s">
        <v>1639</v>
      </c>
      <c r="C35" s="79" t="s">
        <v>1620</v>
      </c>
      <c r="D35" t="str">
        <f>$E$1&amp;Tb_Alinhamento[[#This Row],[SEI]]</f>
        <v>202403096/2021</v>
      </c>
      <c r="E35" s="24">
        <f>IFERROR(INDEX(Atualizações!$Q$1:$Q$1265,MATCH(D35,Atualizações!$P$1:$P$1265,0)),"0")</f>
        <v>1</v>
      </c>
      <c r="F35" t="str">
        <f>$G$1&amp;Tb_Alinhamento[[#This Row],[SEI]]</f>
        <v>202503096/2021</v>
      </c>
      <c r="G35" s="24" t="str">
        <f>IFERROR(INDEX(Atualizações!$Q$1:$Q$1265,MATCH(F35,Atualizações!$P$1:$P$1265,0)),"0")</f>
        <v>0</v>
      </c>
      <c r="H35" t="str">
        <f>$I$1&amp;Tb_Alinhamento[[#This Row],[SEI]]</f>
        <v>202603096/2021</v>
      </c>
      <c r="I35" s="24" t="str">
        <f>IFERROR(INDEX(Atualizações!$Q$1:$Q$1265,MATCH(H35,Atualizações!$P$1:$P$1265,0)),"0")</f>
        <v>0</v>
      </c>
      <c r="J3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 spans="1:10">
      <c r="A36" s="531" t="s">
        <v>70</v>
      </c>
      <c r="B36" s="536" t="s">
        <v>71</v>
      </c>
      <c r="C36" s="19" t="s">
        <v>105</v>
      </c>
      <c r="D36" t="str">
        <f>$E$1&amp;Tb_Alinhamento[[#This Row],[SEI]]</f>
        <v>202400139/2024</v>
      </c>
      <c r="E36" s="24">
        <f>IFERROR(INDEX(Atualizações!$Q$1:$Q$1265,MATCH(D36,Atualizações!$P$1:$P$1265,0)),"0")</f>
        <v>1</v>
      </c>
      <c r="F36" t="str">
        <f>$G$1&amp;Tb_Alinhamento[[#This Row],[SEI]]</f>
        <v>202500139/2024</v>
      </c>
      <c r="G36" s="24">
        <f>IFERROR(INDEX(Atualizações!$Q$1:$Q$1265,MATCH(F36,Atualizações!$P$1:$P$1265,0)),"0")</f>
        <v>1</v>
      </c>
      <c r="H36" t="str">
        <f>$I$1&amp;Tb_Alinhamento[[#This Row],[SEI]]</f>
        <v>202600139/2024</v>
      </c>
      <c r="I36" s="24">
        <f>IFERROR(INDEX(Atualizações!$Q$1:$Q$1265,MATCH(H36,Atualizações!$P$1:$P$1265,0)),"0")</f>
        <v>1</v>
      </c>
      <c r="J3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7" spans="1:10" ht="30">
      <c r="A37" s="531" t="s">
        <v>384</v>
      </c>
      <c r="B37" s="536" t="s">
        <v>1640</v>
      </c>
      <c r="C37" s="19" t="s">
        <v>146</v>
      </c>
      <c r="D37" t="str">
        <f>$E$1&amp;Tb_Alinhamento[[#This Row],[SEI]]</f>
        <v>202404137/2024</v>
      </c>
      <c r="E37" s="24">
        <f>IFERROR(INDEX(Atualizações!$Q$1:$Q$1265,MATCH(D37,Atualizações!$P$1:$P$1265,0)),"0")</f>
        <v>1</v>
      </c>
      <c r="F37" t="str">
        <f>$G$1&amp;Tb_Alinhamento[[#This Row],[SEI]]</f>
        <v>202504137/2024</v>
      </c>
      <c r="G37" s="24">
        <f>IFERROR(INDEX(Atualizações!$Q$1:$Q$1265,MATCH(F37,Atualizações!$P$1:$P$1265,0)),"0")</f>
        <v>1</v>
      </c>
      <c r="H37" t="str">
        <f>$I$1&amp;Tb_Alinhamento[[#This Row],[SEI]]</f>
        <v>202604137/2024</v>
      </c>
      <c r="I37" s="24">
        <f>IFERROR(INDEX(Atualizações!$Q$1:$Q$1265,MATCH(H37,Atualizações!$P$1:$P$1265,0)),"0")</f>
        <v>1</v>
      </c>
      <c r="J3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8" spans="1:10" ht="30" hidden="1">
      <c r="A38" s="11" t="s">
        <v>298</v>
      </c>
      <c r="B38" s="97" t="s">
        <v>299</v>
      </c>
      <c r="C38" s="7" t="s">
        <v>305</v>
      </c>
      <c r="D38" t="str">
        <f>$E$1&amp;Tb_Alinhamento[[#This Row],[SEI]]</f>
        <v>202402660/2023</v>
      </c>
      <c r="E38" s="24">
        <f>IFERROR(INDEX(Atualizações!$Q$1:$Q$1265,MATCH(D38,Atualizações!$P$1:$P$1265,0)),"0")</f>
        <v>1</v>
      </c>
      <c r="F38" t="str">
        <f>$G$1&amp;Tb_Alinhamento[[#This Row],[SEI]]</f>
        <v>202502660/2023</v>
      </c>
      <c r="G38" s="24" t="str">
        <f>IFERROR(INDEX(Atualizações!$Q$1:$Q$1265,MATCH(F38,Atualizações!$P$1:$P$1265,0)),"0")</f>
        <v>0</v>
      </c>
      <c r="H38" t="str">
        <f>$I$1&amp;Tb_Alinhamento[[#This Row],[SEI]]</f>
        <v>202602660/2023</v>
      </c>
      <c r="I38" s="24" t="str">
        <f>IFERROR(INDEX(Atualizações!$Q$1:$Q$1265,MATCH(H38,Atualizações!$P$1:$P$1265,0)),"0")</f>
        <v>0</v>
      </c>
      <c r="J3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 spans="1:10" ht="30" hidden="1">
      <c r="A39" s="11" t="s">
        <v>298</v>
      </c>
      <c r="B39" s="97" t="s">
        <v>299</v>
      </c>
      <c r="C39" s="19" t="s">
        <v>240</v>
      </c>
      <c r="D39" t="str">
        <f>$E$1&amp;Tb_Alinhamento[[#This Row],[SEI]]</f>
        <v>202402660/2023</v>
      </c>
      <c r="E39" s="24">
        <f>IFERROR(INDEX(Atualizações!$Q$1:$Q$1265,MATCH(D39,Atualizações!$P$1:$P$1265,0)),"0")</f>
        <v>1</v>
      </c>
      <c r="F39" t="str">
        <f>$G$1&amp;Tb_Alinhamento[[#This Row],[SEI]]</f>
        <v>202502660/2023</v>
      </c>
      <c r="G39" s="24" t="str">
        <f>IFERROR(INDEX(Atualizações!$Q$1:$Q$1265,MATCH(F39,Atualizações!$P$1:$P$1265,0)),"0")</f>
        <v>0</v>
      </c>
      <c r="H39" t="str">
        <f>$I$1&amp;Tb_Alinhamento[[#This Row],[SEI]]</f>
        <v>202602660/2023</v>
      </c>
      <c r="I39" s="24" t="str">
        <f>IFERROR(INDEX(Atualizações!$Q$1:$Q$1265,MATCH(H39,Atualizações!$P$1:$P$1265,0)),"0")</f>
        <v>0</v>
      </c>
      <c r="J3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 spans="1:10" hidden="1">
      <c r="A40" s="11" t="s">
        <v>1262</v>
      </c>
      <c r="B40" s="97" t="s">
        <v>1263</v>
      </c>
      <c r="C40" s="2" t="s">
        <v>448</v>
      </c>
      <c r="D40" t="str">
        <f>$E$1&amp;Tb_Alinhamento[[#This Row],[SEI]]</f>
        <v>202408285/2022</v>
      </c>
      <c r="E40" s="24" t="str">
        <f>IFERROR(INDEX(Atualizações!$Q$1:$Q$1265,MATCH(D40,Atualizações!$P$1:$P$1265,0)),"0")</f>
        <v>0</v>
      </c>
      <c r="F40" t="str">
        <f>$G$1&amp;Tb_Alinhamento[[#This Row],[SEI]]</f>
        <v>202508285/2022</v>
      </c>
      <c r="G40" s="24" t="str">
        <f>IFERROR(INDEX(Atualizações!$Q$1:$Q$1265,MATCH(F40,Atualizações!$P$1:$P$1265,0)),"0")</f>
        <v>0</v>
      </c>
      <c r="H40" t="str">
        <f>$I$1&amp;Tb_Alinhamento[[#This Row],[SEI]]</f>
        <v>202608285/2022</v>
      </c>
      <c r="I40" s="24" t="str">
        <f>IFERROR(INDEX(Atualizações!$Q$1:$Q$1265,MATCH(H40,Atualizações!$P$1:$P$1265,0)),"0")</f>
        <v>0</v>
      </c>
      <c r="J4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 spans="1:10" ht="30" hidden="1">
      <c r="A41" s="11" t="s">
        <v>436</v>
      </c>
      <c r="B41" s="97" t="s">
        <v>437</v>
      </c>
      <c r="C41" s="2" t="s">
        <v>213</v>
      </c>
      <c r="D41" t="str">
        <f>$E$1&amp;Tb_Alinhamento[[#This Row],[SEI]]</f>
        <v>202407855/2022</v>
      </c>
      <c r="E41" s="24">
        <f>IFERROR(INDEX(Atualizações!$Q$1:$Q$1265,MATCH(D41,Atualizações!$P$1:$P$1265,0)),"0")</f>
        <v>1</v>
      </c>
      <c r="F41" t="str">
        <f>$G$1&amp;Tb_Alinhamento[[#This Row],[SEI]]</f>
        <v>202507855/2022</v>
      </c>
      <c r="G41" s="24" t="str">
        <f>IFERROR(INDEX(Atualizações!$Q$1:$Q$1265,MATCH(F41,Atualizações!$P$1:$P$1265,0)),"0")</f>
        <v>0</v>
      </c>
      <c r="H41" t="str">
        <f>$I$1&amp;Tb_Alinhamento[[#This Row],[SEI]]</f>
        <v>202607855/2022</v>
      </c>
      <c r="I41" s="24" t="str">
        <f>IFERROR(INDEX(Atualizações!$Q$1:$Q$1265,MATCH(H41,Atualizações!$P$1:$P$1265,0)),"0")</f>
        <v>0</v>
      </c>
      <c r="J4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 spans="1:10" hidden="1">
      <c r="A42" s="2" t="s">
        <v>471</v>
      </c>
      <c r="B42" s="73" t="s">
        <v>472</v>
      </c>
      <c r="C42" s="2" t="s">
        <v>213</v>
      </c>
      <c r="D42" t="str">
        <f>$E$1&amp;Tb_Alinhamento[[#This Row],[SEI]]</f>
        <v>202408543/2021</v>
      </c>
      <c r="E42" s="24">
        <f>IFERROR(INDEX(Atualizações!$Q$1:$Q$1265,MATCH(D42,Atualizações!$P$1:$P$1265,0)),"0")</f>
        <v>1</v>
      </c>
      <c r="F42" t="str">
        <f>$G$1&amp;Tb_Alinhamento[[#This Row],[SEI]]</f>
        <v>202508543/2021</v>
      </c>
      <c r="G42" s="24" t="str">
        <f>IFERROR(INDEX(Atualizações!$Q$1:$Q$1265,MATCH(F42,Atualizações!$P$1:$P$1265,0)),"0")</f>
        <v>0</v>
      </c>
      <c r="H42" t="str">
        <f>$I$1&amp;Tb_Alinhamento[[#This Row],[SEI]]</f>
        <v>202608543/2021</v>
      </c>
      <c r="I42" s="24" t="str">
        <f>IFERROR(INDEX(Atualizações!$Q$1:$Q$1265,MATCH(H42,Atualizações!$P$1:$P$1265,0)),"0")</f>
        <v>0</v>
      </c>
      <c r="J4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 spans="1:10" ht="45" hidden="1">
      <c r="A43" s="2" t="s">
        <v>471</v>
      </c>
      <c r="B43" s="73" t="s">
        <v>472</v>
      </c>
      <c r="C43" s="79" t="s">
        <v>165</v>
      </c>
      <c r="D43" t="str">
        <f>$E$1&amp;Tb_Alinhamento[[#This Row],[SEI]]</f>
        <v>202408543/2021</v>
      </c>
      <c r="E43" s="24">
        <f>IFERROR(INDEX(Atualizações!$Q$1:$Q$1265,MATCH(D43,Atualizações!$P$1:$P$1265,0)),"0")</f>
        <v>1</v>
      </c>
      <c r="F43" t="str">
        <f>$G$1&amp;Tb_Alinhamento[[#This Row],[SEI]]</f>
        <v>202508543/2021</v>
      </c>
      <c r="G43" s="24" t="str">
        <f>IFERROR(INDEX(Atualizações!$Q$1:$Q$1265,MATCH(F43,Atualizações!$P$1:$P$1265,0)),"0")</f>
        <v>0</v>
      </c>
      <c r="H43" t="str">
        <f>$I$1&amp;Tb_Alinhamento[[#This Row],[SEI]]</f>
        <v>202608543/2021</v>
      </c>
      <c r="I43" s="24" t="str">
        <f>IFERROR(INDEX(Atualizações!$Q$1:$Q$1265,MATCH(H43,Atualizações!$P$1:$P$1265,0)),"0")</f>
        <v>0</v>
      </c>
      <c r="J4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 spans="1:10" ht="30" hidden="1">
      <c r="A44" s="21" t="s">
        <v>464</v>
      </c>
      <c r="B44" s="119" t="s">
        <v>465</v>
      </c>
      <c r="C44" s="7" t="s">
        <v>305</v>
      </c>
      <c r="D44" t="str">
        <f>$E$1&amp;Tb_Alinhamento[[#This Row],[SEI]]</f>
        <v>202408536/2022</v>
      </c>
      <c r="E44" s="24">
        <f>IFERROR(INDEX(Atualizações!$Q$1:$Q$1265,MATCH(D44,Atualizações!$P$1:$P$1265,0)),"0")</f>
        <v>1</v>
      </c>
      <c r="F44" t="str">
        <f>$G$1&amp;Tb_Alinhamento[[#This Row],[SEI]]</f>
        <v>202508536/2022</v>
      </c>
      <c r="G44" s="24" t="str">
        <f>IFERROR(INDEX(Atualizações!$Q$1:$Q$1265,MATCH(F44,Atualizações!$P$1:$P$1265,0)),"0")</f>
        <v>0</v>
      </c>
      <c r="H44" t="str">
        <f>$I$1&amp;Tb_Alinhamento[[#This Row],[SEI]]</f>
        <v>202608536/2022</v>
      </c>
      <c r="I44" s="24" t="str">
        <f>IFERROR(INDEX(Atualizações!$Q$1:$Q$1265,MATCH(H44,Atualizações!$P$1:$P$1265,0)),"0")</f>
        <v>0</v>
      </c>
      <c r="J4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 spans="1:10" ht="45" hidden="1">
      <c r="A45" s="11" t="s">
        <v>322</v>
      </c>
      <c r="B45" s="97" t="s">
        <v>323</v>
      </c>
      <c r="C45" s="7" t="s">
        <v>165</v>
      </c>
      <c r="D45" t="str">
        <f>$E$1&amp;Tb_Alinhamento[[#This Row],[SEI]]</f>
        <v>202402938/2021</v>
      </c>
      <c r="E45" s="24">
        <f>IFERROR(INDEX(Atualizações!$Q$1:$Q$1265,MATCH(D45,Atualizações!$P$1:$P$1265,0)),"0")</f>
        <v>1</v>
      </c>
      <c r="F45" t="str">
        <f>$G$1&amp;Tb_Alinhamento[[#This Row],[SEI]]</f>
        <v>202502938/2021</v>
      </c>
      <c r="G45" s="24" t="str">
        <f>IFERROR(INDEX(Atualizações!$Q$1:$Q$1265,MATCH(F45,Atualizações!$P$1:$P$1265,0)),"0")</f>
        <v>0</v>
      </c>
      <c r="H45" t="str">
        <f>$I$1&amp;Tb_Alinhamento[[#This Row],[SEI]]</f>
        <v>202602938/2021</v>
      </c>
      <c r="I45" s="24" t="str">
        <f>IFERROR(INDEX(Atualizações!$Q$1:$Q$1265,MATCH(H45,Atualizações!$P$1:$P$1265,0)),"0")</f>
        <v>0</v>
      </c>
      <c r="J4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 spans="1:10" ht="30" hidden="1">
      <c r="A46" s="11" t="s">
        <v>322</v>
      </c>
      <c r="B46" s="97" t="s">
        <v>323</v>
      </c>
      <c r="C46" s="79" t="s">
        <v>62</v>
      </c>
      <c r="D46" t="str">
        <f>$E$1&amp;Tb_Alinhamento[[#This Row],[SEI]]</f>
        <v>202402938/2021</v>
      </c>
      <c r="E46" s="24">
        <f>IFERROR(INDEX(Atualizações!$Q$1:$Q$1265,MATCH(D46,Atualizações!$P$1:$P$1265,0)),"0")</f>
        <v>1</v>
      </c>
      <c r="F46" t="str">
        <f>$G$1&amp;Tb_Alinhamento[[#This Row],[SEI]]</f>
        <v>202502938/2021</v>
      </c>
      <c r="G46" s="24" t="str">
        <f>IFERROR(INDEX(Atualizações!$Q$1:$Q$1265,MATCH(F46,Atualizações!$P$1:$P$1265,0)),"0")</f>
        <v>0</v>
      </c>
      <c r="H46" t="str">
        <f>$I$1&amp;Tb_Alinhamento[[#This Row],[SEI]]</f>
        <v>202602938/2021</v>
      </c>
      <c r="I46" s="24" t="str">
        <f>IFERROR(INDEX(Atualizações!$Q$1:$Q$1265,MATCH(H46,Atualizações!$P$1:$P$1265,0)),"0")</f>
        <v>0</v>
      </c>
      <c r="J4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7" spans="1:10" ht="45" hidden="1">
      <c r="A47" s="11" t="s">
        <v>331</v>
      </c>
      <c r="B47" s="97" t="s">
        <v>332</v>
      </c>
      <c r="C47" s="7" t="s">
        <v>165</v>
      </c>
      <c r="D47" t="str">
        <f>$E$1&amp;Tb_Alinhamento[[#This Row],[SEI]]</f>
        <v>202402941/2021</v>
      </c>
      <c r="E47" s="24">
        <f>IFERROR(INDEX(Atualizações!$Q$1:$Q$1265,MATCH(D47,Atualizações!$P$1:$P$1265,0)),"0")</f>
        <v>1</v>
      </c>
      <c r="F47" t="str">
        <f>$G$1&amp;Tb_Alinhamento[[#This Row],[SEI]]</f>
        <v>202502941/2021</v>
      </c>
      <c r="G47" s="24" t="str">
        <f>IFERROR(INDEX(Atualizações!$Q$1:$Q$1265,MATCH(F47,Atualizações!$P$1:$P$1265,0)),"0")</f>
        <v>0</v>
      </c>
      <c r="H47" t="str">
        <f>$I$1&amp;Tb_Alinhamento[[#This Row],[SEI]]</f>
        <v>202602941/2021</v>
      </c>
      <c r="I47" s="24" t="str">
        <f>IFERROR(INDEX(Atualizações!$Q$1:$Q$1265,MATCH(H47,Atualizações!$P$1:$P$1265,0)),"0")</f>
        <v>0</v>
      </c>
      <c r="J4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8" spans="1:10" hidden="1">
      <c r="A48" s="11" t="s">
        <v>331</v>
      </c>
      <c r="B48" s="97" t="s">
        <v>332</v>
      </c>
      <c r="C48" s="79" t="s">
        <v>104</v>
      </c>
      <c r="D48" t="str">
        <f>$E$1&amp;Tb_Alinhamento[[#This Row],[SEI]]</f>
        <v>202402941/2021</v>
      </c>
      <c r="E48" s="24">
        <f>IFERROR(INDEX(Atualizações!$Q$1:$Q$1265,MATCH(D48,Atualizações!$P$1:$P$1265,0)),"0")</f>
        <v>1</v>
      </c>
      <c r="F48" t="str">
        <f>$G$1&amp;Tb_Alinhamento[[#This Row],[SEI]]</f>
        <v>202502941/2021</v>
      </c>
      <c r="G48" s="24" t="str">
        <f>IFERROR(INDEX(Atualizações!$Q$1:$Q$1265,MATCH(F48,Atualizações!$P$1:$P$1265,0)),"0")</f>
        <v>0</v>
      </c>
      <c r="H48" t="str">
        <f>$I$1&amp;Tb_Alinhamento[[#This Row],[SEI]]</f>
        <v>202602941/2021</v>
      </c>
      <c r="I48" s="24" t="str">
        <f>IFERROR(INDEX(Atualizações!$Q$1:$Q$1265,MATCH(H48,Atualizações!$P$1:$P$1265,0)),"0")</f>
        <v>0</v>
      </c>
      <c r="J4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9" spans="1:10" ht="30" hidden="1">
      <c r="A49" s="11" t="s">
        <v>479</v>
      </c>
      <c r="B49" s="5" t="s">
        <v>480</v>
      </c>
      <c r="C49" s="2" t="s">
        <v>88</v>
      </c>
      <c r="D49" t="str">
        <f>$E$1&amp;Tb_Alinhamento[[#This Row],[SEI]]</f>
        <v>202408547/2021</v>
      </c>
      <c r="E49" s="24">
        <f>IFERROR(INDEX(Atualizações!$Q$1:$Q$1265,MATCH(D49,Atualizações!$P$1:$P$1265,0)),"0")</f>
        <v>1</v>
      </c>
      <c r="F49" t="str">
        <f>$G$1&amp;Tb_Alinhamento[[#This Row],[SEI]]</f>
        <v>202508547/2021</v>
      </c>
      <c r="G49" s="24" t="str">
        <f>IFERROR(INDEX(Atualizações!$Q$1:$Q$1265,MATCH(F49,Atualizações!$P$1:$P$1265,0)),"0")</f>
        <v>0</v>
      </c>
      <c r="H49" t="str">
        <f>$I$1&amp;Tb_Alinhamento[[#This Row],[SEI]]</f>
        <v>202608547/2021</v>
      </c>
      <c r="I49" s="24" t="str">
        <f>IFERROR(INDEX(Atualizações!$Q$1:$Q$1265,MATCH(H49,Atualizações!$P$1:$P$1265,0)),"0")</f>
        <v>0</v>
      </c>
      <c r="J4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0" spans="1:10" hidden="1">
      <c r="A50" s="11" t="s">
        <v>1283</v>
      </c>
      <c r="B50" s="79" t="s">
        <v>1284</v>
      </c>
      <c r="C50" s="7" t="s">
        <v>104</v>
      </c>
      <c r="D50" t="str">
        <f>$E$1&amp;Tb_Alinhamento[[#This Row],[SEI]]</f>
        <v>202401508/2022</v>
      </c>
      <c r="E50" s="24" t="str">
        <f>IFERROR(INDEX(Atualizações!$Q$1:$Q$1265,MATCH(D50,Atualizações!$P$1:$P$1265,0)),"0")</f>
        <v>0</v>
      </c>
      <c r="F50" t="str">
        <f>$G$1&amp;Tb_Alinhamento[[#This Row],[SEI]]</f>
        <v>202501508/2022</v>
      </c>
      <c r="G50" s="24" t="str">
        <f>IFERROR(INDEX(Atualizações!$Q$1:$Q$1265,MATCH(F50,Atualizações!$P$1:$P$1265,0)),"0")</f>
        <v>0</v>
      </c>
      <c r="H50" t="str">
        <f>$I$1&amp;Tb_Alinhamento[[#This Row],[SEI]]</f>
        <v>202601508/2022</v>
      </c>
      <c r="I50" s="24" t="str">
        <f>IFERROR(INDEX(Atualizações!$Q$1:$Q$1265,MATCH(H50,Atualizações!$P$1:$P$1265,0)),"0")</f>
        <v>0</v>
      </c>
      <c r="J5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1" spans="1:10" ht="30" hidden="1">
      <c r="A51" s="11" t="s">
        <v>1283</v>
      </c>
      <c r="B51" s="79" t="s">
        <v>1284</v>
      </c>
      <c r="C51" s="7" t="s">
        <v>672</v>
      </c>
      <c r="D51" t="str">
        <f>$E$1&amp;Tb_Alinhamento[[#This Row],[SEI]]</f>
        <v>202401508/2022</v>
      </c>
      <c r="E51" s="24" t="str">
        <f>IFERROR(INDEX(Atualizações!$Q$1:$Q$1265,MATCH(D51,Atualizações!$P$1:$P$1265,0)),"0")</f>
        <v>0</v>
      </c>
      <c r="F51" t="str">
        <f>$G$1&amp;Tb_Alinhamento[[#This Row],[SEI]]</f>
        <v>202501508/2022</v>
      </c>
      <c r="G51" s="24" t="str">
        <f>IFERROR(INDEX(Atualizações!$Q$1:$Q$1265,MATCH(F51,Atualizações!$P$1:$P$1265,0)),"0")</f>
        <v>0</v>
      </c>
      <c r="H51" t="str">
        <f>$I$1&amp;Tb_Alinhamento[[#This Row],[SEI]]</f>
        <v>202601508/2022</v>
      </c>
      <c r="I51" s="24" t="str">
        <f>IFERROR(INDEX(Atualizações!$Q$1:$Q$1265,MATCH(H51,Atualizações!$P$1:$P$1265,0)),"0")</f>
        <v>0</v>
      </c>
      <c r="J5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2" spans="1:10" ht="45" hidden="1">
      <c r="A52" s="2" t="s">
        <v>1283</v>
      </c>
      <c r="B52" s="73" t="s">
        <v>1284</v>
      </c>
      <c r="C52" s="2" t="s">
        <v>165</v>
      </c>
      <c r="D52" t="str">
        <f>$E$1&amp;Tb_Alinhamento[[#This Row],[SEI]]</f>
        <v>202401508/2022</v>
      </c>
      <c r="E52" s="24" t="str">
        <f>IFERROR(INDEX(Atualizações!$Q$1:$Q$1265,MATCH(D52,Atualizações!$P$1:$P$1265,0)),"0")</f>
        <v>0</v>
      </c>
      <c r="F52" t="str">
        <f>$G$1&amp;Tb_Alinhamento[[#This Row],[SEI]]</f>
        <v>202501508/2022</v>
      </c>
      <c r="G52" s="24" t="str">
        <f>IFERROR(INDEX(Atualizações!$Q$1:$Q$1265,MATCH(F52,Atualizações!$P$1:$P$1265,0)),"0")</f>
        <v>0</v>
      </c>
      <c r="H52" t="str">
        <f>$I$1&amp;Tb_Alinhamento[[#This Row],[SEI]]</f>
        <v>202601508/2022</v>
      </c>
      <c r="I52" s="24" t="str">
        <f>IFERROR(INDEX(Atualizações!$Q$1:$Q$1265,MATCH(H52,Atualizações!$P$1:$P$1265,0)),"0")</f>
        <v>0</v>
      </c>
      <c r="J5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3" spans="1:10" ht="30">
      <c r="A53" s="65" t="s">
        <v>416</v>
      </c>
      <c r="B53" s="8" t="s">
        <v>1641</v>
      </c>
      <c r="C53" s="2" t="s">
        <v>146</v>
      </c>
      <c r="D53" t="str">
        <f>$E$1&amp;Tb_Alinhamento[[#This Row],[SEI]]</f>
        <v>202405578/2024</v>
      </c>
      <c r="E53" s="24">
        <f>IFERROR(INDEX(Atualizações!$Q$1:$Q$1265,MATCH(D53,Atualizações!$P$1:$P$1265,0)),"0")</f>
        <v>1</v>
      </c>
      <c r="F53" t="str">
        <f>$G$1&amp;Tb_Alinhamento[[#This Row],[SEI]]</f>
        <v>202505578/2024</v>
      </c>
      <c r="G53" s="24">
        <f>IFERROR(INDEX(Atualizações!$Q$1:$Q$1265,MATCH(F53,Atualizações!$P$1:$P$1265,0)),"0")</f>
        <v>1</v>
      </c>
      <c r="H53" t="str">
        <f>$I$1&amp;Tb_Alinhamento[[#This Row],[SEI]]</f>
        <v>202605578/2024</v>
      </c>
      <c r="I53" s="24">
        <f>IFERROR(INDEX(Atualizações!$Q$1:$Q$1265,MATCH(H53,Atualizações!$P$1:$P$1265,0)),"0")</f>
        <v>1</v>
      </c>
      <c r="J5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54" spans="1:10" ht="30" hidden="1">
      <c r="A54" s="65" t="s">
        <v>615</v>
      </c>
      <c r="B54" s="8" t="s">
        <v>616</v>
      </c>
      <c r="C54" s="2" t="s">
        <v>305</v>
      </c>
      <c r="D54" t="str">
        <f>$E$1&amp;Tb_Alinhamento[[#This Row],[SEI]]</f>
        <v>202411340/2023</v>
      </c>
      <c r="E54" s="24">
        <f>IFERROR(INDEX(Atualizações!$Q$1:$Q$1265,MATCH(D54,Atualizações!$P$1:$P$1265,0)),"0")</f>
        <v>1</v>
      </c>
      <c r="F54" t="str">
        <f>$G$1&amp;Tb_Alinhamento[[#This Row],[SEI]]</f>
        <v>202511340/2023</v>
      </c>
      <c r="G54" s="24">
        <f>IFERROR(INDEX(Atualizações!$Q$1:$Q$1265,MATCH(F54,Atualizações!$P$1:$P$1265,0)),"0")</f>
        <v>1</v>
      </c>
      <c r="H54" t="str">
        <f>$I$1&amp;Tb_Alinhamento[[#This Row],[SEI]]</f>
        <v>202611340/2023</v>
      </c>
      <c r="I54" s="24" t="str">
        <f>IFERROR(INDEX(Atualizações!$Q$1:$Q$1265,MATCH(H54,Atualizações!$P$1:$P$1265,0)),"0")</f>
        <v>0</v>
      </c>
      <c r="J5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5" spans="1:10" hidden="1">
      <c r="A55" s="65" t="s">
        <v>615</v>
      </c>
      <c r="B55" s="8" t="s">
        <v>616</v>
      </c>
      <c r="C55" s="2" t="s">
        <v>213</v>
      </c>
      <c r="D55" t="str">
        <f>$E$1&amp;Tb_Alinhamento[[#This Row],[SEI]]</f>
        <v>202411340/2023</v>
      </c>
      <c r="E55" s="24">
        <f>IFERROR(INDEX(Atualizações!$Q$1:$Q$1265,MATCH(D55,Atualizações!$P$1:$P$1265,0)),"0")</f>
        <v>1</v>
      </c>
      <c r="F55" t="str">
        <f>$G$1&amp;Tb_Alinhamento[[#This Row],[SEI]]</f>
        <v>202511340/2023</v>
      </c>
      <c r="G55" s="24">
        <f>IFERROR(INDEX(Atualizações!$Q$1:$Q$1265,MATCH(F55,Atualizações!$P$1:$P$1265,0)),"0")</f>
        <v>1</v>
      </c>
      <c r="H55" t="str">
        <f>$I$1&amp;Tb_Alinhamento[[#This Row],[SEI]]</f>
        <v>202611340/2023</v>
      </c>
      <c r="I55" s="24" t="str">
        <f>IFERROR(INDEX(Atualizações!$Q$1:$Q$1265,MATCH(H55,Atualizações!$P$1:$P$1265,0)),"0")</f>
        <v>0</v>
      </c>
      <c r="J5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6" spans="1:10" ht="30" hidden="1">
      <c r="A56" s="65" t="s">
        <v>376</v>
      </c>
      <c r="B56" s="8" t="s">
        <v>377</v>
      </c>
      <c r="C56" s="8" t="s">
        <v>240</v>
      </c>
      <c r="D56" t="str">
        <f>$E$1&amp;Tb_Alinhamento[[#This Row],[SEI]]</f>
        <v>202403924/2023</v>
      </c>
      <c r="E56" s="24">
        <f>IFERROR(INDEX(Atualizações!$Q$1:$Q$1265,MATCH(D56,Atualizações!$P$1:$P$1265,0)),"0")</f>
        <v>1</v>
      </c>
      <c r="F56" t="str">
        <f>$G$1&amp;Tb_Alinhamento[[#This Row],[SEI]]</f>
        <v>202503924/2023</v>
      </c>
      <c r="G56" s="24">
        <f>IFERROR(INDEX(Atualizações!$Q$1:$Q$1265,MATCH(F56,Atualizações!$P$1:$P$1265,0)),"0")</f>
        <v>1</v>
      </c>
      <c r="H56" t="str">
        <f>$I$1&amp;Tb_Alinhamento[[#This Row],[SEI]]</f>
        <v>202603924/2023</v>
      </c>
      <c r="I56" s="24" t="str">
        <f>IFERROR(INDEX(Atualizações!$Q$1:$Q$1265,MATCH(H56,Atualizações!$P$1:$P$1265,0)),"0")</f>
        <v>0</v>
      </c>
      <c r="J5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7" spans="1:10" ht="30" hidden="1">
      <c r="A57" s="65" t="s">
        <v>404</v>
      </c>
      <c r="B57" s="8" t="s">
        <v>405</v>
      </c>
      <c r="C57" s="8" t="s">
        <v>240</v>
      </c>
      <c r="D57" t="str">
        <f>$E$1&amp;Tb_Alinhamento[[#This Row],[SEI]]</f>
        <v>202405138/2024</v>
      </c>
      <c r="E57" s="24">
        <f>IFERROR(INDEX(Atualizações!$Q$1:$Q$1265,MATCH(D57,Atualizações!$P$1:$P$1265,0)),"0")</f>
        <v>1</v>
      </c>
      <c r="F57" t="str">
        <f>$G$1&amp;Tb_Alinhamento[[#This Row],[SEI]]</f>
        <v>202505138/2024</v>
      </c>
      <c r="G57" s="24">
        <f>IFERROR(INDEX(Atualizações!$Q$1:$Q$1265,MATCH(F57,Atualizações!$P$1:$P$1265,0)),"0")</f>
        <v>1</v>
      </c>
      <c r="H57" t="str">
        <f>$I$1&amp;Tb_Alinhamento[[#This Row],[SEI]]</f>
        <v>202605138/2024</v>
      </c>
      <c r="I57" s="24" t="str">
        <f>IFERROR(INDEX(Atualizações!$Q$1:$Q$1265,MATCH(H57,Atualizações!$P$1:$P$1265,0)),"0")</f>
        <v>0</v>
      </c>
      <c r="J5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58" spans="1:10" ht="30">
      <c r="A58" s="65" t="s">
        <v>416</v>
      </c>
      <c r="B58" s="8" t="s">
        <v>1641</v>
      </c>
      <c r="C58" s="19" t="s">
        <v>176</v>
      </c>
      <c r="D58" t="str">
        <f>$E$1&amp;Tb_Alinhamento[[#This Row],[SEI]]</f>
        <v>202405578/2024</v>
      </c>
      <c r="E58" s="24">
        <f>IFERROR(INDEX(Atualizações!$Q$1:$Q$1265,MATCH(D58,Atualizações!$P$1:$P$1265,0)),"0")</f>
        <v>1</v>
      </c>
      <c r="F58" t="str">
        <f>$G$1&amp;Tb_Alinhamento[[#This Row],[SEI]]</f>
        <v>202505578/2024</v>
      </c>
      <c r="G58" s="24">
        <f>IFERROR(INDEX(Atualizações!$Q$1:$Q$1265,MATCH(F58,Atualizações!$P$1:$P$1265,0)),"0")</f>
        <v>1</v>
      </c>
      <c r="H58" t="str">
        <f>$I$1&amp;Tb_Alinhamento[[#This Row],[SEI]]</f>
        <v>202605578/2024</v>
      </c>
      <c r="I58" s="24">
        <f>IFERROR(INDEX(Atualizações!$Q$1:$Q$1265,MATCH(H58,Atualizações!$P$1:$P$1265,0)),"0")</f>
        <v>1</v>
      </c>
      <c r="J5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59" spans="1:10" ht="45" hidden="1">
      <c r="A59" s="65" t="s">
        <v>495</v>
      </c>
      <c r="B59" s="8" t="s">
        <v>496</v>
      </c>
      <c r="C59" s="2" t="s">
        <v>165</v>
      </c>
      <c r="D59" t="str">
        <f>$E$1&amp;Tb_Alinhamento[[#This Row],[SEI]]</f>
        <v>202408690/2023</v>
      </c>
      <c r="E59" s="24">
        <f>IFERROR(INDEX(Atualizações!$Q$1:$Q$1265,MATCH(D59,Atualizações!$P$1:$P$1265,0)),"0")</f>
        <v>1</v>
      </c>
      <c r="F59" t="str">
        <f>$G$1&amp;Tb_Alinhamento[[#This Row],[SEI]]</f>
        <v>202508690/2023</v>
      </c>
      <c r="G59" s="24" t="str">
        <f>IFERROR(INDEX(Atualizações!$Q$1:$Q$1265,MATCH(F59,Atualizações!$P$1:$P$1265,0)),"0")</f>
        <v>0</v>
      </c>
      <c r="H59" t="str">
        <f>$I$1&amp;Tb_Alinhamento[[#This Row],[SEI]]</f>
        <v>202608690/2023</v>
      </c>
      <c r="I59" s="24" t="str">
        <f>IFERROR(INDEX(Atualizações!$Q$1:$Q$1265,MATCH(H59,Atualizações!$P$1:$P$1265,0)),"0")</f>
        <v>0</v>
      </c>
      <c r="J5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60" spans="1:10" ht="45" hidden="1">
      <c r="A60" s="24" t="s">
        <v>273</v>
      </c>
      <c r="B60" s="5" t="s">
        <v>274</v>
      </c>
      <c r="C60" s="2" t="s">
        <v>165</v>
      </c>
      <c r="D60" t="str">
        <f>$E$1&amp;Tb_Alinhamento[[#This Row],[SEI]]</f>
        <v>202402483/2023</v>
      </c>
      <c r="E60" s="24">
        <f>IFERROR(INDEX(Atualizações!$Q$1:$Q$1265,MATCH(D60,Atualizações!$P$1:$P$1265,0)),"0")</f>
        <v>1</v>
      </c>
      <c r="F60" t="str">
        <f>$G$1&amp;Tb_Alinhamento[[#This Row],[SEI]]</f>
        <v>202502483/2023</v>
      </c>
      <c r="G60" s="24">
        <f>IFERROR(INDEX(Atualizações!$Q$1:$Q$1265,MATCH(F60,Atualizações!$P$1:$P$1265,0)),"0")</f>
        <v>1</v>
      </c>
      <c r="H60" t="str">
        <f>$I$1&amp;Tb_Alinhamento[[#This Row],[SEI]]</f>
        <v>202602483/2023</v>
      </c>
      <c r="I60" s="24" t="str">
        <f>IFERROR(INDEX(Atualizações!$Q$1:$Q$1265,MATCH(H60,Atualizações!$P$1:$P$1265,0)),"0")</f>
        <v>0</v>
      </c>
      <c r="J6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61" spans="1:10" ht="30" hidden="1">
      <c r="A61" s="24" t="s">
        <v>273</v>
      </c>
      <c r="B61" s="5" t="s">
        <v>274</v>
      </c>
      <c r="C61" s="8" t="s">
        <v>240</v>
      </c>
      <c r="D61" t="str">
        <f>$E$1&amp;Tb_Alinhamento[[#This Row],[SEI]]</f>
        <v>202402483/2023</v>
      </c>
      <c r="E61" s="24">
        <f>IFERROR(INDEX(Atualizações!$Q$1:$Q$1265,MATCH(D61,Atualizações!$P$1:$P$1265,0)),"0")</f>
        <v>1</v>
      </c>
      <c r="F61" t="str">
        <f>$G$1&amp;Tb_Alinhamento[[#This Row],[SEI]]</f>
        <v>202502483/2023</v>
      </c>
      <c r="G61" s="24">
        <f>IFERROR(INDEX(Atualizações!$Q$1:$Q$1265,MATCH(F61,Atualizações!$P$1:$P$1265,0)),"0")</f>
        <v>1</v>
      </c>
      <c r="H61" t="str">
        <f>$I$1&amp;Tb_Alinhamento[[#This Row],[SEI]]</f>
        <v>202602483/2023</v>
      </c>
      <c r="I61" s="24" t="str">
        <f>IFERROR(INDEX(Atualizações!$Q$1:$Q$1265,MATCH(H61,Atualizações!$P$1:$P$1265,0)),"0")</f>
        <v>0</v>
      </c>
      <c r="J6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62" spans="1:10" ht="75" hidden="1">
      <c r="A62" s="24" t="s">
        <v>273</v>
      </c>
      <c r="B62" s="5" t="s">
        <v>274</v>
      </c>
      <c r="C62" s="79" t="s">
        <v>75</v>
      </c>
      <c r="D62" t="str">
        <f>$E$1&amp;Tb_Alinhamento[[#This Row],[SEI]]</f>
        <v>202402483/2023</v>
      </c>
      <c r="E62" s="24">
        <f>IFERROR(INDEX(Atualizações!$Q$1:$Q$1265,MATCH(D62,Atualizações!$P$1:$P$1265,0)),"0")</f>
        <v>1</v>
      </c>
      <c r="F62" t="str">
        <f>$G$1&amp;Tb_Alinhamento[[#This Row],[SEI]]</f>
        <v>202502483/2023</v>
      </c>
      <c r="G62" s="24">
        <f>IFERROR(INDEX(Atualizações!$Q$1:$Q$1265,MATCH(F62,Atualizações!$P$1:$P$1265,0)),"0")</f>
        <v>1</v>
      </c>
      <c r="H62" t="str">
        <f>$I$1&amp;Tb_Alinhamento[[#This Row],[SEI]]</f>
        <v>202602483/2023</v>
      </c>
      <c r="I62" s="24" t="str">
        <f>IFERROR(INDEX(Atualizações!$Q$1:$Q$1265,MATCH(H62,Atualizações!$P$1:$P$1265,0)),"0")</f>
        <v>0</v>
      </c>
      <c r="J6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63" spans="1:10" ht="75" hidden="1">
      <c r="A63" s="20" t="s">
        <v>410</v>
      </c>
      <c r="B63" s="129" t="s">
        <v>411</v>
      </c>
      <c r="C63" s="7" t="s">
        <v>75</v>
      </c>
      <c r="D63" t="str">
        <f>$E$1&amp;Tb_Alinhamento[[#This Row],[SEI]]</f>
        <v>202405150/2024</v>
      </c>
      <c r="E63" s="24">
        <f>IFERROR(INDEX(Atualizações!$Q$1:$Q$1265,MATCH(D63,Atualizações!$P$1:$P$1265,0)),"0")</f>
        <v>1</v>
      </c>
      <c r="F63" t="str">
        <f>$G$1&amp;Tb_Alinhamento[[#This Row],[SEI]]</f>
        <v>202505150/2024</v>
      </c>
      <c r="G63" s="24">
        <f>IFERROR(INDEX(Atualizações!$Q$1:$Q$1265,MATCH(F63,Atualizações!$P$1:$P$1265,0)),"0")</f>
        <v>1</v>
      </c>
      <c r="H63" t="str">
        <f>$I$1&amp;Tb_Alinhamento[[#This Row],[SEI]]</f>
        <v>202605150/2024</v>
      </c>
      <c r="I63" s="24" t="str">
        <f>IFERROR(INDEX(Atualizações!$Q$1:$Q$1265,MATCH(H63,Atualizações!$P$1:$P$1265,0)),"0")</f>
        <v>0</v>
      </c>
      <c r="J6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64" spans="1:10">
      <c r="A64" s="531" t="s">
        <v>257</v>
      </c>
      <c r="B64" s="115" t="s">
        <v>258</v>
      </c>
      <c r="C64" s="2" t="s">
        <v>105</v>
      </c>
      <c r="D64" t="str">
        <f>$E$1&amp;Tb_Alinhamento[[#This Row],[SEI]]</f>
        <v>202402465/2024</v>
      </c>
      <c r="E64" s="24">
        <f>IFERROR(INDEX(Atualizações!$Q$1:$Q$1265,MATCH(D64,Atualizações!$P$1:$P$1265,0)),"0")</f>
        <v>1</v>
      </c>
      <c r="F64" t="str">
        <f>$G$1&amp;Tb_Alinhamento[[#This Row],[SEI]]</f>
        <v>202502465/2024</v>
      </c>
      <c r="G64" s="24">
        <f>IFERROR(INDEX(Atualizações!$Q$1:$Q$1265,MATCH(F64,Atualizações!$P$1:$P$1265,0)),"0")</f>
        <v>1</v>
      </c>
      <c r="H64" t="str">
        <f>$I$1&amp;Tb_Alinhamento[[#This Row],[SEI]]</f>
        <v>202602465/2024</v>
      </c>
      <c r="I64" s="24">
        <f>IFERROR(INDEX(Atualizações!$Q$1:$Q$1265,MATCH(H64,Atualizações!$P$1:$P$1265,0)),"0")</f>
        <v>1</v>
      </c>
      <c r="J6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65" spans="1:10">
      <c r="A65" s="531" t="s">
        <v>559</v>
      </c>
      <c r="B65" s="115" t="s">
        <v>560</v>
      </c>
      <c r="C65" s="7" t="s">
        <v>120</v>
      </c>
      <c r="D65" t="str">
        <f>$E$1&amp;Tb_Alinhamento[[#This Row],[SEI]]</f>
        <v>202410101/2024</v>
      </c>
      <c r="E65" s="24">
        <f>IFERROR(INDEX(Atualizações!$Q$1:$Q$1265,MATCH(D65,Atualizações!$P$1:$P$1265,0)),"0")</f>
        <v>1</v>
      </c>
      <c r="F65" t="str">
        <f>$G$1&amp;Tb_Alinhamento[[#This Row],[SEI]]</f>
        <v>202510101/2024</v>
      </c>
      <c r="G65" s="24">
        <f>IFERROR(INDEX(Atualizações!$Q$1:$Q$1265,MATCH(F65,Atualizações!$P$1:$P$1265,0)),"0")</f>
        <v>1</v>
      </c>
      <c r="H65" t="str">
        <f>$I$1&amp;Tb_Alinhamento[[#This Row],[SEI]]</f>
        <v>202610101/2024</v>
      </c>
      <c r="I65" s="24">
        <f>IFERROR(INDEX(Atualizações!$Q$1:$Q$1265,MATCH(H65,Atualizações!$P$1:$P$1265,0)),"0")</f>
        <v>1</v>
      </c>
      <c r="J6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66" spans="1:10" ht="30">
      <c r="A66" s="531" t="s">
        <v>559</v>
      </c>
      <c r="B66" s="115" t="s">
        <v>560</v>
      </c>
      <c r="C66" s="7" t="s">
        <v>166</v>
      </c>
      <c r="D66" t="str">
        <f>$E$1&amp;Tb_Alinhamento[[#This Row],[SEI]]</f>
        <v>202410101/2024</v>
      </c>
      <c r="E66" s="24">
        <f>IFERROR(INDEX(Atualizações!$Q$1:$Q$1265,MATCH(D66,Atualizações!$P$1:$P$1265,0)),"0")</f>
        <v>1</v>
      </c>
      <c r="F66" t="str">
        <f>$G$1&amp;Tb_Alinhamento[[#This Row],[SEI]]</f>
        <v>202510101/2024</v>
      </c>
      <c r="G66" s="24">
        <f>IFERROR(INDEX(Atualizações!$Q$1:$Q$1265,MATCH(F66,Atualizações!$P$1:$P$1265,0)),"0")</f>
        <v>1</v>
      </c>
      <c r="H66" t="str">
        <f>$I$1&amp;Tb_Alinhamento[[#This Row],[SEI]]</f>
        <v>202610101/2024</v>
      </c>
      <c r="I66" s="24">
        <f>IFERROR(INDEX(Atualizações!$Q$1:$Q$1265,MATCH(H66,Atualizações!$P$1:$P$1265,0)),"0")</f>
        <v>1</v>
      </c>
      <c r="J6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67" spans="1:10" ht="30">
      <c r="A67" s="531" t="s">
        <v>684</v>
      </c>
      <c r="B67" s="115" t="s">
        <v>685</v>
      </c>
      <c r="C67" s="7" t="s">
        <v>166</v>
      </c>
      <c r="D67" t="str">
        <f>$E$1&amp;Tb_Alinhamento[[#This Row],[SEI]]</f>
        <v>202412135/2022</v>
      </c>
      <c r="E67" s="24">
        <f>IFERROR(INDEX(Atualizações!$Q$1:$Q$1265,MATCH(D67,Atualizações!$P$1:$P$1265,0)),"0")</f>
        <v>1</v>
      </c>
      <c r="F67" t="str">
        <f>$G$1&amp;Tb_Alinhamento[[#This Row],[SEI]]</f>
        <v>202512135/2022</v>
      </c>
      <c r="G67" s="24">
        <f>IFERROR(INDEX(Atualizações!$Q$1:$Q$1265,MATCH(F67,Atualizações!$P$1:$P$1265,0)),"0")</f>
        <v>1</v>
      </c>
      <c r="H67" t="str">
        <f>$I$1&amp;Tb_Alinhamento[[#This Row],[SEI]]</f>
        <v>202612135/2022</v>
      </c>
      <c r="I67" s="24">
        <f>IFERROR(INDEX(Atualizações!$Q$1:$Q$1265,MATCH(H67,Atualizações!$P$1:$P$1265,0)),"0")</f>
        <v>1</v>
      </c>
      <c r="J6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68" spans="1:10" ht="30">
      <c r="A68" s="531" t="s">
        <v>684</v>
      </c>
      <c r="B68" s="115" t="s">
        <v>685</v>
      </c>
      <c r="C68" s="7" t="s">
        <v>146</v>
      </c>
      <c r="D68" t="str">
        <f>$E$1&amp;Tb_Alinhamento[[#This Row],[SEI]]</f>
        <v>202412135/2022</v>
      </c>
      <c r="E68" s="24">
        <f>IFERROR(INDEX(Atualizações!$Q$1:$Q$1265,MATCH(D68,Atualizações!$P$1:$P$1265,0)),"0")</f>
        <v>1</v>
      </c>
      <c r="F68" t="str">
        <f>$G$1&amp;Tb_Alinhamento[[#This Row],[SEI]]</f>
        <v>202512135/2022</v>
      </c>
      <c r="G68" s="24">
        <f>IFERROR(INDEX(Atualizações!$Q$1:$Q$1265,MATCH(F68,Atualizações!$P$1:$P$1265,0)),"0")</f>
        <v>1</v>
      </c>
      <c r="H68" t="str">
        <f>$I$1&amp;Tb_Alinhamento[[#This Row],[SEI]]</f>
        <v>202612135/2022</v>
      </c>
      <c r="I68" s="24">
        <f>IFERROR(INDEX(Atualizações!$Q$1:$Q$1265,MATCH(H68,Atualizações!$P$1:$P$1265,0)),"0")</f>
        <v>1</v>
      </c>
      <c r="J6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69" spans="1:10">
      <c r="A69" s="531" t="s">
        <v>431</v>
      </c>
      <c r="B69" s="115" t="s">
        <v>432</v>
      </c>
      <c r="C69" s="2" t="s">
        <v>105</v>
      </c>
      <c r="D69" t="str">
        <f>$E$1&amp;Tb_Alinhamento[[#This Row],[SEI]]</f>
        <v>202406826/2024</v>
      </c>
      <c r="E69" s="24">
        <f>IFERROR(INDEX(Atualizações!$Q$1:$Q$1265,MATCH(D69,Atualizações!$P$1:$P$1265,0)),"0")</f>
        <v>1</v>
      </c>
      <c r="F69" t="str">
        <f>$G$1&amp;Tb_Alinhamento[[#This Row],[SEI]]</f>
        <v>202506826/2024</v>
      </c>
      <c r="G69" s="24">
        <f>IFERROR(INDEX(Atualizações!$Q$1:$Q$1265,MATCH(F69,Atualizações!$P$1:$P$1265,0)),"0")</f>
        <v>1</v>
      </c>
      <c r="H69" t="str">
        <f>$I$1&amp;Tb_Alinhamento[[#This Row],[SEI]]</f>
        <v>202606826/2024</v>
      </c>
      <c r="I69" s="24">
        <f>IFERROR(INDEX(Atualizações!$Q$1:$Q$1265,MATCH(H69,Atualizações!$P$1:$P$1265,0)),"0")</f>
        <v>1</v>
      </c>
      <c r="J6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70" spans="1:10" ht="30">
      <c r="A70" s="531" t="s">
        <v>431</v>
      </c>
      <c r="B70" s="115" t="s">
        <v>432</v>
      </c>
      <c r="C70" s="7" t="s">
        <v>176</v>
      </c>
      <c r="D70" t="str">
        <f>$E$1&amp;Tb_Alinhamento[[#This Row],[SEI]]</f>
        <v>202406826/2024</v>
      </c>
      <c r="E70" s="24">
        <f>IFERROR(INDEX(Atualizações!$Q$1:$Q$1265,MATCH(D70,Atualizações!$P$1:$P$1265,0)),"0")</f>
        <v>1</v>
      </c>
      <c r="F70" t="str">
        <f>$G$1&amp;Tb_Alinhamento[[#This Row],[SEI]]</f>
        <v>202506826/2024</v>
      </c>
      <c r="G70" s="24">
        <f>IFERROR(INDEX(Atualizações!$Q$1:$Q$1265,MATCH(F70,Atualizações!$P$1:$P$1265,0)),"0")</f>
        <v>1</v>
      </c>
      <c r="H70" t="str">
        <f>$I$1&amp;Tb_Alinhamento[[#This Row],[SEI]]</f>
        <v>202606826/2024</v>
      </c>
      <c r="I70" s="24">
        <f>IFERROR(INDEX(Atualizações!$Q$1:$Q$1265,MATCH(H70,Atualizações!$P$1:$P$1265,0)),"0")</f>
        <v>1</v>
      </c>
      <c r="J7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71" spans="1:10">
      <c r="A71" s="531" t="s">
        <v>549</v>
      </c>
      <c r="B71" s="115" t="s">
        <v>1582</v>
      </c>
      <c r="C71" s="7" t="s">
        <v>105</v>
      </c>
      <c r="D71" t="str">
        <f>$E$1&amp;Tb_Alinhamento[[#This Row],[SEI]]</f>
        <v>202409796/2024</v>
      </c>
      <c r="E71" s="24">
        <f>IFERROR(INDEX(Atualizações!$Q$1:$Q$1265,MATCH(D71,Atualizações!$P$1:$P$1265,0)),"0")</f>
        <v>1</v>
      </c>
      <c r="F71" t="str">
        <f>$G$1&amp;Tb_Alinhamento[[#This Row],[SEI]]</f>
        <v>202509796/2024</v>
      </c>
      <c r="G71" s="24">
        <f>IFERROR(INDEX(Atualizações!$Q$1:$Q$1265,MATCH(F71,Atualizações!$P$1:$P$1265,0)),"0")</f>
        <v>1</v>
      </c>
      <c r="H71" t="str">
        <f>$I$1&amp;Tb_Alinhamento[[#This Row],[SEI]]</f>
        <v>202609796/2024</v>
      </c>
      <c r="I71" s="24">
        <f>IFERROR(INDEX(Atualizações!$Q$1:$Q$1265,MATCH(H71,Atualizações!$P$1:$P$1265,0)),"0")</f>
        <v>1</v>
      </c>
      <c r="J7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72" spans="1:10" ht="30" hidden="1">
      <c r="A72" s="120" t="s">
        <v>266</v>
      </c>
      <c r="B72" s="97" t="s">
        <v>267</v>
      </c>
      <c r="C72" s="8" t="s">
        <v>240</v>
      </c>
      <c r="D72" t="str">
        <f>$E$1&amp;Tb_Alinhamento[[#This Row],[SEI]]</f>
        <v>202402476/2024</v>
      </c>
      <c r="E72" s="24">
        <f>IFERROR(INDEX(Atualizações!$Q$1:$Q$1265,MATCH(D72,Atualizações!$P$1:$P$1265,0)),"0")</f>
        <v>1</v>
      </c>
      <c r="F72" t="str">
        <f>$G$1&amp;Tb_Alinhamento[[#This Row],[SEI]]</f>
        <v>202502476/2024</v>
      </c>
      <c r="G72" s="24">
        <f>IFERROR(INDEX(Atualizações!$Q$1:$Q$1265,MATCH(F72,Atualizações!$P$1:$P$1265,0)),"0")</f>
        <v>1</v>
      </c>
      <c r="H72" t="str">
        <f>$I$1&amp;Tb_Alinhamento[[#This Row],[SEI]]</f>
        <v>202602476/2024</v>
      </c>
      <c r="I72" s="24" t="str">
        <f>IFERROR(INDEX(Atualizações!$Q$1:$Q$1265,MATCH(H72,Atualizações!$P$1:$P$1265,0)),"0")</f>
        <v>0</v>
      </c>
      <c r="J7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73" spans="1:10" ht="75" hidden="1">
      <c r="A73" s="120" t="s">
        <v>266</v>
      </c>
      <c r="B73" s="97" t="s">
        <v>267</v>
      </c>
      <c r="C73" s="7" t="s">
        <v>75</v>
      </c>
      <c r="D73" t="str">
        <f>$E$1&amp;Tb_Alinhamento[[#This Row],[SEI]]</f>
        <v>202402476/2024</v>
      </c>
      <c r="E73" s="24">
        <f>IFERROR(INDEX(Atualizações!$Q$1:$Q$1265,MATCH(D73,Atualizações!$P$1:$P$1265,0)),"0")</f>
        <v>1</v>
      </c>
      <c r="F73" t="str">
        <f>$G$1&amp;Tb_Alinhamento[[#This Row],[SEI]]</f>
        <v>202502476/2024</v>
      </c>
      <c r="G73" s="24">
        <f>IFERROR(INDEX(Atualizações!$Q$1:$Q$1265,MATCH(F73,Atualizações!$P$1:$P$1265,0)),"0")</f>
        <v>1</v>
      </c>
      <c r="H73" t="str">
        <f>$I$1&amp;Tb_Alinhamento[[#This Row],[SEI]]</f>
        <v>202602476/2024</v>
      </c>
      <c r="I73" s="24" t="str">
        <f>IFERROR(INDEX(Atualizações!$Q$1:$Q$1265,MATCH(H73,Atualizações!$P$1:$P$1265,0)),"0")</f>
        <v>0</v>
      </c>
      <c r="J7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74" spans="1:10">
      <c r="A74" s="531" t="s">
        <v>644</v>
      </c>
      <c r="B74" s="5" t="s">
        <v>645</v>
      </c>
      <c r="C74" s="2" t="s">
        <v>647</v>
      </c>
      <c r="D74" t="str">
        <f>$E$1&amp;Tb_Alinhamento[[#This Row],[SEI]]</f>
        <v>202411645/2022</v>
      </c>
      <c r="E74" s="24">
        <f>IFERROR(INDEX(Atualizações!$Q$1:$Q$1265,MATCH(D74,Atualizações!$P$1:$P$1265,0)),"0")</f>
        <v>1</v>
      </c>
      <c r="F74" t="str">
        <f>$G$1&amp;Tb_Alinhamento[[#This Row],[SEI]]</f>
        <v>202511645/2022</v>
      </c>
      <c r="G74" s="24">
        <f>IFERROR(INDEX(Atualizações!$Q$1:$Q$1265,MATCH(F74,Atualizações!$P$1:$P$1265,0)),"0")</f>
        <v>1</v>
      </c>
      <c r="H74" t="str">
        <f>$I$1&amp;Tb_Alinhamento[[#This Row],[SEI]]</f>
        <v>202611645/2022</v>
      </c>
      <c r="I74" s="24">
        <f>IFERROR(INDEX(Atualizações!$Q$1:$Q$1265,MATCH(H74,Atualizações!$P$1:$P$1265,0)),"0")</f>
        <v>1</v>
      </c>
      <c r="J7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75" spans="1:10">
      <c r="A75" s="531" t="s">
        <v>644</v>
      </c>
      <c r="B75" s="5" t="s">
        <v>645</v>
      </c>
      <c r="C75" s="7" t="s">
        <v>105</v>
      </c>
      <c r="D75" t="str">
        <f>$E$1&amp;Tb_Alinhamento[[#This Row],[SEI]]</f>
        <v>202411645/2022</v>
      </c>
      <c r="E75" s="24">
        <f>IFERROR(INDEX(Atualizações!$Q$1:$Q$1265,MATCH(D75,Atualizações!$P$1:$P$1265,0)),"0")</f>
        <v>1</v>
      </c>
      <c r="F75" t="str">
        <f>$G$1&amp;Tb_Alinhamento[[#This Row],[SEI]]</f>
        <v>202511645/2022</v>
      </c>
      <c r="G75" s="24">
        <f>IFERROR(INDEX(Atualizações!$Q$1:$Q$1265,MATCH(F75,Atualizações!$P$1:$P$1265,0)),"0")</f>
        <v>1</v>
      </c>
      <c r="H75" t="str">
        <f>$I$1&amp;Tb_Alinhamento[[#This Row],[SEI]]</f>
        <v>202611645/2022</v>
      </c>
      <c r="I75" s="24">
        <f>IFERROR(INDEX(Atualizações!$Q$1:$Q$1265,MATCH(H75,Atualizações!$P$1:$P$1265,0)),"0")</f>
        <v>1</v>
      </c>
      <c r="J7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76" spans="1:10" ht="30" hidden="1">
      <c r="A76" s="120" t="s">
        <v>589</v>
      </c>
      <c r="B76" s="141" t="s">
        <v>590</v>
      </c>
      <c r="C76" s="8" t="s">
        <v>240</v>
      </c>
      <c r="D76" t="str">
        <f>$E$1&amp;Tb_Alinhamento[[#This Row],[SEI]]</f>
        <v>202410926/2024</v>
      </c>
      <c r="E76" s="24">
        <f>IFERROR(INDEX(Atualizações!$Q$1:$Q$1265,MATCH(D76,Atualizações!$P$1:$P$1265,0)),"0")</f>
        <v>1</v>
      </c>
      <c r="F76" t="str">
        <f>$G$1&amp;Tb_Alinhamento[[#This Row],[SEI]]</f>
        <v>202510926/2024</v>
      </c>
      <c r="G76" s="24">
        <f>IFERROR(INDEX(Atualizações!$Q$1:$Q$1265,MATCH(F76,Atualizações!$P$1:$P$1265,0)),"0")</f>
        <v>1</v>
      </c>
      <c r="H76" t="str">
        <f>$I$1&amp;Tb_Alinhamento[[#This Row],[SEI]]</f>
        <v>202610926/2024</v>
      </c>
      <c r="I76" s="24" t="str">
        <f>IFERROR(INDEX(Atualizações!$Q$1:$Q$1265,MATCH(H76,Atualizações!$P$1:$P$1265,0)),"0")</f>
        <v>0</v>
      </c>
      <c r="J7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77" spans="1:10" ht="30" hidden="1">
      <c r="A77" s="120" t="s">
        <v>589</v>
      </c>
      <c r="B77" s="141" t="s">
        <v>590</v>
      </c>
      <c r="C77" s="79" t="s">
        <v>672</v>
      </c>
      <c r="D77" t="str">
        <f>$E$1&amp;Tb_Alinhamento[[#This Row],[SEI]]</f>
        <v>202410926/2024</v>
      </c>
      <c r="E77" s="24">
        <f>IFERROR(INDEX(Atualizações!$Q$1:$Q$1265,MATCH(D77,Atualizações!$P$1:$P$1265,0)),"0")</f>
        <v>1</v>
      </c>
      <c r="F77" t="str">
        <f>$G$1&amp;Tb_Alinhamento[[#This Row],[SEI]]</f>
        <v>202510926/2024</v>
      </c>
      <c r="G77" s="24">
        <f>IFERROR(INDEX(Atualizações!$Q$1:$Q$1265,MATCH(F77,Atualizações!$P$1:$P$1265,0)),"0")</f>
        <v>1</v>
      </c>
      <c r="H77" t="str">
        <f>$I$1&amp;Tb_Alinhamento[[#This Row],[SEI]]</f>
        <v>202610926/2024</v>
      </c>
      <c r="I77" s="24" t="str">
        <f>IFERROR(INDEX(Atualizações!$Q$1:$Q$1265,MATCH(H77,Atualizações!$P$1:$P$1265,0)),"0")</f>
        <v>0</v>
      </c>
      <c r="J7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78" spans="1:10" ht="30" hidden="1">
      <c r="A78" s="120" t="s">
        <v>589</v>
      </c>
      <c r="B78" s="141" t="s">
        <v>590</v>
      </c>
      <c r="C78" s="79" t="s">
        <v>1620</v>
      </c>
      <c r="D78" t="str">
        <f>$E$1&amp;Tb_Alinhamento[[#This Row],[SEI]]</f>
        <v>202410926/2024</v>
      </c>
      <c r="E78" s="24">
        <f>IFERROR(INDEX(Atualizações!$Q$1:$Q$1265,MATCH(D78,Atualizações!$P$1:$P$1265,0)),"0")</f>
        <v>1</v>
      </c>
      <c r="F78" t="str">
        <f>$G$1&amp;Tb_Alinhamento[[#This Row],[SEI]]</f>
        <v>202510926/2024</v>
      </c>
      <c r="G78" s="24">
        <f>IFERROR(INDEX(Atualizações!$Q$1:$Q$1265,MATCH(F78,Atualizações!$P$1:$P$1265,0)),"0")</f>
        <v>1</v>
      </c>
      <c r="H78" t="str">
        <f>$I$1&amp;Tb_Alinhamento[[#This Row],[SEI]]</f>
        <v>202610926/2024</v>
      </c>
      <c r="I78" s="24" t="str">
        <f>IFERROR(INDEX(Atualizações!$Q$1:$Q$1265,MATCH(H78,Atualizações!$P$1:$P$1265,0)),"0")</f>
        <v>0</v>
      </c>
      <c r="J7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79" spans="1:10" ht="30">
      <c r="A79" s="531" t="s">
        <v>629</v>
      </c>
      <c r="B79" s="5" t="s">
        <v>630</v>
      </c>
      <c r="C79" s="7" t="s">
        <v>166</v>
      </c>
      <c r="D79" t="str">
        <f>$E$1&amp;Tb_Alinhamento[[#This Row],[SEI]]</f>
        <v>202411449/2024</v>
      </c>
      <c r="E79" s="24">
        <f>IFERROR(INDEX(Atualizações!$Q$1:$Q$1265,MATCH(D79,Atualizações!$P$1:$P$1265,0)),"0")</f>
        <v>1</v>
      </c>
      <c r="F79" t="str">
        <f>$G$1&amp;Tb_Alinhamento[[#This Row],[SEI]]</f>
        <v>202511449/2024</v>
      </c>
      <c r="G79" s="24">
        <f>IFERROR(INDEX(Atualizações!$Q$1:$Q$1265,MATCH(F79,Atualizações!$P$1:$P$1265,0)),"0")</f>
        <v>1</v>
      </c>
      <c r="H79" t="str">
        <f>$I$1&amp;Tb_Alinhamento[[#This Row],[SEI]]</f>
        <v>202611449/2024</v>
      </c>
      <c r="I79" s="24">
        <f>IFERROR(INDEX(Atualizações!$Q$1:$Q$1265,MATCH(H79,Atualizações!$P$1:$P$1265,0)),"0")</f>
        <v>1</v>
      </c>
      <c r="J7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80" spans="1:10" ht="30">
      <c r="A80" s="531" t="s">
        <v>629</v>
      </c>
      <c r="B80" s="5" t="s">
        <v>630</v>
      </c>
      <c r="C80" s="7" t="s">
        <v>146</v>
      </c>
      <c r="D80" t="str">
        <f>$E$1&amp;Tb_Alinhamento[[#This Row],[SEI]]</f>
        <v>202411449/2024</v>
      </c>
      <c r="E80" s="24">
        <f>IFERROR(INDEX(Atualizações!$Q$1:$Q$1265,MATCH(D80,Atualizações!$P$1:$P$1265,0)),"0")</f>
        <v>1</v>
      </c>
      <c r="F80" t="str">
        <f>$G$1&amp;Tb_Alinhamento[[#This Row],[SEI]]</f>
        <v>202511449/2024</v>
      </c>
      <c r="G80" s="24">
        <f>IFERROR(INDEX(Atualizações!$Q$1:$Q$1265,MATCH(F80,Atualizações!$P$1:$P$1265,0)),"0")</f>
        <v>1</v>
      </c>
      <c r="H80" t="str">
        <f>$I$1&amp;Tb_Alinhamento[[#This Row],[SEI]]</f>
        <v>202611449/2024</v>
      </c>
      <c r="I80" s="24">
        <f>IFERROR(INDEX(Atualizações!$Q$1:$Q$1265,MATCH(H80,Atualizações!$P$1:$P$1265,0)),"0")</f>
        <v>1</v>
      </c>
      <c r="J8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81" spans="1:10" ht="30">
      <c r="A81" s="531" t="s">
        <v>533</v>
      </c>
      <c r="B81" s="5" t="s">
        <v>534</v>
      </c>
      <c r="C81" s="7" t="s">
        <v>166</v>
      </c>
      <c r="D81" t="str">
        <f>$E$1&amp;Tb_Alinhamento[[#This Row],[SEI]]</f>
        <v>202409613/2024</v>
      </c>
      <c r="E81" s="24">
        <f>IFERROR(INDEX(Atualizações!$Q$1:$Q$1265,MATCH(D81,Atualizações!$P$1:$P$1265,0)),"0")</f>
        <v>1</v>
      </c>
      <c r="F81" t="str">
        <f>$G$1&amp;Tb_Alinhamento[[#This Row],[SEI]]</f>
        <v>202509613/2024</v>
      </c>
      <c r="G81" s="24">
        <f>IFERROR(INDEX(Atualizações!$Q$1:$Q$1265,MATCH(F81,Atualizações!$P$1:$P$1265,0)),"0")</f>
        <v>1</v>
      </c>
      <c r="H81" t="str">
        <f>$I$1&amp;Tb_Alinhamento[[#This Row],[SEI]]</f>
        <v>202609613/2024</v>
      </c>
      <c r="I81" s="24">
        <f>IFERROR(INDEX(Atualizações!$Q$1:$Q$1265,MATCH(H81,Atualizações!$P$1:$P$1265,0)),"0")</f>
        <v>1</v>
      </c>
      <c r="J8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82" spans="1:10" ht="30" hidden="1">
      <c r="A82" s="149" t="s">
        <v>668</v>
      </c>
      <c r="B82" s="141" t="s">
        <v>669</v>
      </c>
      <c r="C82" s="2" t="s">
        <v>305</v>
      </c>
      <c r="D82" t="str">
        <f>$E$1&amp;Tb_Alinhamento[[#This Row],[SEI]]</f>
        <v>202411821/2024</v>
      </c>
      <c r="E82" s="24">
        <f>IFERROR(INDEX(Atualizações!$Q$1:$Q$1265,MATCH(D82,Atualizações!$P$1:$P$1265,0)),"0")</f>
        <v>1</v>
      </c>
      <c r="F82" t="str">
        <f>$G$1&amp;Tb_Alinhamento[[#This Row],[SEI]]</f>
        <v>202511821/2024</v>
      </c>
      <c r="G82" s="24" t="str">
        <f>IFERROR(INDEX(Atualizações!$Q$1:$Q$1265,MATCH(F82,Atualizações!$P$1:$P$1265,0)),"0")</f>
        <v>0</v>
      </c>
      <c r="H82" t="str">
        <f>$I$1&amp;Tb_Alinhamento[[#This Row],[SEI]]</f>
        <v>202611821/2024</v>
      </c>
      <c r="I82" s="24" t="str">
        <f>IFERROR(INDEX(Atualizações!$Q$1:$Q$1265,MATCH(H82,Atualizações!$P$1:$P$1265,0)),"0")</f>
        <v>0</v>
      </c>
      <c r="J8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83" spans="1:10" ht="30">
      <c r="A83" s="531" t="s">
        <v>533</v>
      </c>
      <c r="B83" s="115" t="s">
        <v>534</v>
      </c>
      <c r="C83" s="7" t="s">
        <v>146</v>
      </c>
      <c r="D83" t="str">
        <f>$E$1&amp;Tb_Alinhamento[[#This Row],[SEI]]</f>
        <v>202409613/2024</v>
      </c>
      <c r="E83" s="24">
        <f>IFERROR(INDEX(Atualizações!$Q$1:$Q$1265,MATCH(D83,Atualizações!$P$1:$P$1265,0)),"0")</f>
        <v>1</v>
      </c>
      <c r="F83" t="str">
        <f>$G$1&amp;Tb_Alinhamento[[#This Row],[SEI]]</f>
        <v>202509613/2024</v>
      </c>
      <c r="G83" s="24">
        <f>IFERROR(INDEX(Atualizações!$Q$1:$Q$1265,MATCH(F83,Atualizações!$P$1:$P$1265,0)),"0")</f>
        <v>1</v>
      </c>
      <c r="H83" t="str">
        <f>$I$1&amp;Tb_Alinhamento[[#This Row],[SEI]]</f>
        <v>202609613/2024</v>
      </c>
      <c r="I83" s="24">
        <f>IFERROR(INDEX(Atualizações!$Q$1:$Q$1265,MATCH(H83,Atualizações!$P$1:$P$1265,0)),"0")</f>
        <v>1</v>
      </c>
      <c r="J8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84" spans="1:10">
      <c r="A84" s="531" t="s">
        <v>698</v>
      </c>
      <c r="B84" s="115" t="s">
        <v>699</v>
      </c>
      <c r="C84" s="7" t="s">
        <v>214</v>
      </c>
      <c r="D84" t="str">
        <f>$E$1&amp;Tb_Alinhamento[[#This Row],[SEI]]</f>
        <v>202413898/2024</v>
      </c>
      <c r="E84" s="24">
        <f>IFERROR(INDEX(Atualizações!$Q$1:$Q$1265,MATCH(D84,Atualizações!$P$1:$P$1265,0)),"0")</f>
        <v>1</v>
      </c>
      <c r="F84" t="str">
        <f>$G$1&amp;Tb_Alinhamento[[#This Row],[SEI]]</f>
        <v>202513898/2024</v>
      </c>
      <c r="G84" s="24">
        <f>IFERROR(INDEX(Atualizações!$Q$1:$Q$1265,MATCH(F84,Atualizações!$P$1:$P$1265,0)),"0")</f>
        <v>1</v>
      </c>
      <c r="H84" t="str">
        <f>$I$1&amp;Tb_Alinhamento[[#This Row],[SEI]]</f>
        <v>202613898/2024</v>
      </c>
      <c r="I84" s="24">
        <f>IFERROR(INDEX(Atualizações!$Q$1:$Q$1265,MATCH(H84,Atualizações!$P$1:$P$1265,0)),"0")</f>
        <v>1</v>
      </c>
      <c r="J8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85" spans="1:10" ht="45" hidden="1">
      <c r="A85" s="149" t="s">
        <v>172</v>
      </c>
      <c r="B85" s="97" t="s">
        <v>173</v>
      </c>
      <c r="C85" s="2" t="s">
        <v>165</v>
      </c>
      <c r="D85" t="str">
        <f>$E$1&amp;Tb_Alinhamento[[#This Row],[SEI]]</f>
        <v>202401703/2024</v>
      </c>
      <c r="E85" s="24">
        <f>IFERROR(INDEX(Atualizações!$Q$1:$Q$1265,MATCH(D85,Atualizações!$P$1:$P$1265,0)),"0")</f>
        <v>1</v>
      </c>
      <c r="F85" t="str">
        <f>$G$1&amp;Tb_Alinhamento[[#This Row],[SEI]]</f>
        <v>202501703/2024</v>
      </c>
      <c r="G85" s="24" t="str">
        <f>IFERROR(INDEX(Atualizações!$Q$1:$Q$1265,MATCH(F85,Atualizações!$P$1:$P$1265,0)),"0")</f>
        <v>0</v>
      </c>
      <c r="H85" t="str">
        <f>$I$1&amp;Tb_Alinhamento[[#This Row],[SEI]]</f>
        <v>202601703/2024</v>
      </c>
      <c r="I85" s="24" t="str">
        <f>IFERROR(INDEX(Atualizações!$Q$1:$Q$1265,MATCH(H85,Atualizações!$P$1:$P$1265,0)),"0")</f>
        <v>0</v>
      </c>
      <c r="J8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86" spans="1:10" ht="30" hidden="1">
      <c r="A86" s="149" t="s">
        <v>172</v>
      </c>
      <c r="B86" s="97" t="s">
        <v>173</v>
      </c>
      <c r="C86" s="7" t="s">
        <v>62</v>
      </c>
      <c r="D86" t="str">
        <f>$E$1&amp;Tb_Alinhamento[[#This Row],[SEI]]</f>
        <v>202401703/2024</v>
      </c>
      <c r="E86" s="24">
        <f>IFERROR(INDEX(Atualizações!$Q$1:$Q$1265,MATCH(D86,Atualizações!$P$1:$P$1265,0)),"0")</f>
        <v>1</v>
      </c>
      <c r="F86" t="str">
        <f>$G$1&amp;Tb_Alinhamento[[#This Row],[SEI]]</f>
        <v>202501703/2024</v>
      </c>
      <c r="G86" s="24" t="str">
        <f>IFERROR(INDEX(Atualizações!$Q$1:$Q$1265,MATCH(F86,Atualizações!$P$1:$P$1265,0)),"0")</f>
        <v>0</v>
      </c>
      <c r="H86" t="str">
        <f>$I$1&amp;Tb_Alinhamento[[#This Row],[SEI]]</f>
        <v>202601703/2024</v>
      </c>
      <c r="I86" s="24" t="str">
        <f>IFERROR(INDEX(Atualizações!$Q$1:$Q$1265,MATCH(H86,Atualizações!$P$1:$P$1265,0)),"0")</f>
        <v>0</v>
      </c>
      <c r="J8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87" spans="1:10" ht="75" hidden="1">
      <c r="A87" s="149" t="s">
        <v>172</v>
      </c>
      <c r="B87" s="97" t="s">
        <v>173</v>
      </c>
      <c r="C87" s="7" t="s">
        <v>75</v>
      </c>
      <c r="D87" t="str">
        <f>$E$1&amp;Tb_Alinhamento[[#This Row],[SEI]]</f>
        <v>202401703/2024</v>
      </c>
      <c r="E87" s="24">
        <f>IFERROR(INDEX(Atualizações!$Q$1:$Q$1265,MATCH(D87,Atualizações!$P$1:$P$1265,0)),"0")</f>
        <v>1</v>
      </c>
      <c r="F87" t="str">
        <f>$G$1&amp;Tb_Alinhamento[[#This Row],[SEI]]</f>
        <v>202501703/2024</v>
      </c>
      <c r="G87" s="24" t="str">
        <f>IFERROR(INDEX(Atualizações!$Q$1:$Q$1265,MATCH(F87,Atualizações!$P$1:$P$1265,0)),"0")</f>
        <v>0</v>
      </c>
      <c r="H87" t="str">
        <f>$I$1&amp;Tb_Alinhamento[[#This Row],[SEI]]</f>
        <v>202601703/2024</v>
      </c>
      <c r="I87" s="24" t="str">
        <f>IFERROR(INDEX(Atualizações!$Q$1:$Q$1265,MATCH(H87,Atualizações!$P$1:$P$1265,0)),"0")</f>
        <v>0</v>
      </c>
      <c r="J8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88" spans="1:10" ht="30">
      <c r="A88" s="531" t="s">
        <v>310</v>
      </c>
      <c r="B88" s="115" t="s">
        <v>311</v>
      </c>
      <c r="C88" s="7" t="s">
        <v>176</v>
      </c>
      <c r="D88" t="str">
        <f>$E$1&amp;Tb_Alinhamento[[#This Row],[SEI]]</f>
        <v>202402887/2024</v>
      </c>
      <c r="E88" s="24">
        <f>IFERROR(INDEX(Atualizações!$Q$1:$Q$1265,MATCH(D88,Atualizações!$P$1:$P$1265,0)),"0")</f>
        <v>1</v>
      </c>
      <c r="F88" t="str">
        <f>$G$1&amp;Tb_Alinhamento[[#This Row],[SEI]]</f>
        <v>202502887/2024</v>
      </c>
      <c r="G88" s="24">
        <f>IFERROR(INDEX(Atualizações!$Q$1:$Q$1265,MATCH(F88,Atualizações!$P$1:$P$1265,0)),"0")</f>
        <v>1</v>
      </c>
      <c r="H88" t="str">
        <f>$I$1&amp;Tb_Alinhamento[[#This Row],[SEI]]</f>
        <v>202602887/2024</v>
      </c>
      <c r="I88" s="24">
        <f>IFERROR(INDEX(Atualizações!$Q$1:$Q$1265,MATCH(H88,Atualizações!$P$1:$P$1265,0)),"0")</f>
        <v>1</v>
      </c>
      <c r="J8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89" spans="1:10">
      <c r="A89" s="531" t="s">
        <v>690</v>
      </c>
      <c r="B89" s="115" t="s">
        <v>691</v>
      </c>
      <c r="C89" s="7" t="s">
        <v>76</v>
      </c>
      <c r="D89" t="str">
        <f>$E$1&amp;Tb_Alinhamento[[#This Row],[SEI]]</f>
        <v>202412215/2023</v>
      </c>
      <c r="E89" s="24">
        <f>IFERROR(INDEX(Atualizações!$Q$1:$Q$1265,MATCH(D89,Atualizações!$P$1:$P$1265,0)),"0")</f>
        <v>1</v>
      </c>
      <c r="F89" t="str">
        <f>$G$1&amp;Tb_Alinhamento[[#This Row],[SEI]]</f>
        <v>202512215/2023</v>
      </c>
      <c r="G89" s="24">
        <f>IFERROR(INDEX(Atualizações!$Q$1:$Q$1265,MATCH(F89,Atualizações!$P$1:$P$1265,0)),"0")</f>
        <v>1</v>
      </c>
      <c r="H89" t="str">
        <f>$I$1&amp;Tb_Alinhamento[[#This Row],[SEI]]</f>
        <v>202612215/2023</v>
      </c>
      <c r="I89" s="24">
        <f>IFERROR(INDEX(Atualizações!$Q$1:$Q$1265,MATCH(H89,Atualizações!$P$1:$P$1265,0)),"0")</f>
        <v>1</v>
      </c>
      <c r="J8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0" spans="1:10" ht="30">
      <c r="A90" s="531" t="s">
        <v>690</v>
      </c>
      <c r="B90" s="115" t="s">
        <v>691</v>
      </c>
      <c r="C90" s="7" t="s">
        <v>166</v>
      </c>
      <c r="D90" t="str">
        <f>$E$1&amp;Tb_Alinhamento[[#This Row],[SEI]]</f>
        <v>202412215/2023</v>
      </c>
      <c r="E90" s="24">
        <f>IFERROR(INDEX(Atualizações!$Q$1:$Q$1265,MATCH(D90,Atualizações!$P$1:$P$1265,0)),"0")</f>
        <v>1</v>
      </c>
      <c r="F90" t="str">
        <f>$G$1&amp;Tb_Alinhamento[[#This Row],[SEI]]</f>
        <v>202512215/2023</v>
      </c>
      <c r="G90" s="24">
        <f>IFERROR(INDEX(Atualizações!$Q$1:$Q$1265,MATCH(F90,Atualizações!$P$1:$P$1265,0)),"0")</f>
        <v>1</v>
      </c>
      <c r="H90" t="str">
        <f>$I$1&amp;Tb_Alinhamento[[#This Row],[SEI]]</f>
        <v>202612215/2023</v>
      </c>
      <c r="I90" s="24">
        <f>IFERROR(INDEX(Atualizações!$Q$1:$Q$1265,MATCH(H90,Atualizações!$P$1:$P$1265,0)),"0")</f>
        <v>1</v>
      </c>
      <c r="J9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1" spans="1:10" ht="30">
      <c r="A91" s="531" t="s">
        <v>458</v>
      </c>
      <c r="B91" s="115" t="s">
        <v>459</v>
      </c>
      <c r="C91" s="7" t="s">
        <v>176</v>
      </c>
      <c r="D91" t="str">
        <f>$E$1&amp;Tb_Alinhamento[[#This Row],[SEI]]</f>
        <v>202408370/2024</v>
      </c>
      <c r="E91" s="24">
        <f>IFERROR(INDEX(Atualizações!$Q$1:$Q$1265,MATCH(D91,Atualizações!$P$1:$P$1265,0)),"0")</f>
        <v>1</v>
      </c>
      <c r="F91" t="str">
        <f>$G$1&amp;Tb_Alinhamento[[#This Row],[SEI]]</f>
        <v>202508370/2024</v>
      </c>
      <c r="G91" s="24">
        <f>IFERROR(INDEX(Atualizações!$Q$1:$Q$1265,MATCH(F91,Atualizações!$P$1:$P$1265,0)),"0")</f>
        <v>1</v>
      </c>
      <c r="H91" t="str">
        <f>$I$1&amp;Tb_Alinhamento[[#This Row],[SEI]]</f>
        <v>202608370/2024</v>
      </c>
      <c r="I91" s="24">
        <f>IFERROR(INDEX(Atualizações!$Q$1:$Q$1265,MATCH(H91,Atualizações!$P$1:$P$1265,0)),"0")</f>
        <v>1</v>
      </c>
      <c r="J9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2" spans="1:10">
      <c r="A92" s="531" t="s">
        <v>458</v>
      </c>
      <c r="B92" s="115" t="s">
        <v>459</v>
      </c>
      <c r="C92" s="7" t="s">
        <v>105</v>
      </c>
      <c r="D92" t="str">
        <f>$E$1&amp;Tb_Alinhamento[[#This Row],[SEI]]</f>
        <v>202408370/2024</v>
      </c>
      <c r="E92" s="24">
        <f>IFERROR(INDEX(Atualizações!$Q$1:$Q$1265,MATCH(D92,Atualizações!$P$1:$P$1265,0)),"0")</f>
        <v>1</v>
      </c>
      <c r="F92" t="str">
        <f>$G$1&amp;Tb_Alinhamento[[#This Row],[SEI]]</f>
        <v>202508370/2024</v>
      </c>
      <c r="G92" s="24">
        <f>IFERROR(INDEX(Atualizações!$Q$1:$Q$1265,MATCH(F92,Atualizações!$P$1:$P$1265,0)),"0")</f>
        <v>1</v>
      </c>
      <c r="H92" t="str">
        <f>$I$1&amp;Tb_Alinhamento[[#This Row],[SEI]]</f>
        <v>202608370/2024</v>
      </c>
      <c r="I92" s="24">
        <f>IFERROR(INDEX(Atualizações!$Q$1:$Q$1265,MATCH(H92,Atualizações!$P$1:$P$1265,0)),"0")</f>
        <v>1</v>
      </c>
      <c r="J9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3" spans="1:10" ht="30">
      <c r="A93" s="531" t="s">
        <v>83</v>
      </c>
      <c r="B93" s="115" t="s">
        <v>84</v>
      </c>
      <c r="C93" s="7" t="s">
        <v>89</v>
      </c>
      <c r="D93" t="str">
        <f>$E$1&amp;Tb_Alinhamento[[#This Row],[SEI]]</f>
        <v>202400484/2024</v>
      </c>
      <c r="E93" s="24">
        <f>IFERROR(INDEX(Atualizações!$Q$1:$Q$1265,MATCH(D93,Atualizações!$P$1:$P$1265,0)),"0")</f>
        <v>1</v>
      </c>
      <c r="F93" t="str">
        <f>$G$1&amp;Tb_Alinhamento[[#This Row],[SEI]]</f>
        <v>202500484/2024</v>
      </c>
      <c r="G93" s="24">
        <f>IFERROR(INDEX(Atualizações!$Q$1:$Q$1265,MATCH(F93,Atualizações!$P$1:$P$1265,0)),"0")</f>
        <v>1</v>
      </c>
      <c r="H93" t="str">
        <f>$I$1&amp;Tb_Alinhamento[[#This Row],[SEI]]</f>
        <v>202600484/2024</v>
      </c>
      <c r="I93" s="24">
        <f>IFERROR(INDEX(Atualizações!$Q$1:$Q$1265,MATCH(H93,Atualizações!$P$1:$P$1265,0)),"0")</f>
        <v>1</v>
      </c>
      <c r="J9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4" spans="1:10" ht="30">
      <c r="A94" s="531" t="s">
        <v>83</v>
      </c>
      <c r="B94" s="115" t="s">
        <v>84</v>
      </c>
      <c r="C94" s="7" t="s">
        <v>146</v>
      </c>
      <c r="D94" t="str">
        <f>$E$1&amp;Tb_Alinhamento[[#This Row],[SEI]]</f>
        <v>202400484/2024</v>
      </c>
      <c r="E94" s="24">
        <f>IFERROR(INDEX(Atualizações!$Q$1:$Q$1265,MATCH(D94,Atualizações!$P$1:$P$1265,0)),"0")</f>
        <v>1</v>
      </c>
      <c r="F94" t="str">
        <f>$G$1&amp;Tb_Alinhamento[[#This Row],[SEI]]</f>
        <v>202500484/2024</v>
      </c>
      <c r="G94" s="24">
        <f>IFERROR(INDEX(Atualizações!$Q$1:$Q$1265,MATCH(F94,Atualizações!$P$1:$P$1265,0)),"0")</f>
        <v>1</v>
      </c>
      <c r="H94" t="str">
        <f>$I$1&amp;Tb_Alinhamento[[#This Row],[SEI]]</f>
        <v>202600484/2024</v>
      </c>
      <c r="I94" s="24">
        <f>IFERROR(INDEX(Atualizações!$Q$1:$Q$1265,MATCH(H94,Atualizações!$P$1:$P$1265,0)),"0")</f>
        <v>1</v>
      </c>
      <c r="J9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5" spans="1:10" ht="75" hidden="1">
      <c r="A95" s="149" t="s">
        <v>318</v>
      </c>
      <c r="B95" s="97" t="s">
        <v>319</v>
      </c>
      <c r="C95" s="7" t="s">
        <v>75</v>
      </c>
      <c r="D95" t="str">
        <f>$E$1&amp;Tb_Alinhamento[[#This Row],[SEI]]</f>
        <v>202402888/2024</v>
      </c>
      <c r="E95" s="24">
        <f>IFERROR(INDEX(Atualizações!$Q$1:$Q$1265,MATCH(D95,Atualizações!$P$1:$P$1265,0)),"0")</f>
        <v>1</v>
      </c>
      <c r="F95" t="str">
        <f>$G$1&amp;Tb_Alinhamento[[#This Row],[SEI]]</f>
        <v>202502888/2024</v>
      </c>
      <c r="G95" s="24" t="str">
        <f>IFERROR(INDEX(Atualizações!$Q$1:$Q$1265,MATCH(F95,Atualizações!$P$1:$P$1265,0)),"0")</f>
        <v>0</v>
      </c>
      <c r="H95" t="str">
        <f>$I$1&amp;Tb_Alinhamento[[#This Row],[SEI]]</f>
        <v>202602888/2024</v>
      </c>
      <c r="I95" s="24" t="str">
        <f>IFERROR(INDEX(Atualizações!$Q$1:$Q$1265,MATCH(H95,Atualizações!$P$1:$P$1265,0)),"0")</f>
        <v>0</v>
      </c>
      <c r="J9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96" spans="1:10">
      <c r="A96" s="24" t="s">
        <v>638</v>
      </c>
      <c r="B96" s="115" t="s">
        <v>639</v>
      </c>
      <c r="C96" s="2" t="s">
        <v>120</v>
      </c>
      <c r="D96" t="str">
        <f>$E$1&amp;Tb_Alinhamento[[#This Row],[SEI]]</f>
        <v>202411644/2022</v>
      </c>
      <c r="E96" s="24">
        <f>IFERROR(INDEX(Atualizações!$Q$1:$Q$1265,MATCH(D96,Atualizações!$P$1:$P$1265,0)),"0")</f>
        <v>1</v>
      </c>
      <c r="F96" t="str">
        <f>$G$1&amp;Tb_Alinhamento[[#This Row],[SEI]]</f>
        <v>202511644/2022</v>
      </c>
      <c r="G96" s="24">
        <f>IFERROR(INDEX(Atualizações!$Q$1:$Q$1265,MATCH(F96,Atualizações!$P$1:$P$1265,0)),"0")</f>
        <v>1</v>
      </c>
      <c r="H96" t="str">
        <f>$I$1&amp;Tb_Alinhamento[[#This Row],[SEI]]</f>
        <v>202611644/2022</v>
      </c>
      <c r="I96" s="24">
        <f>IFERROR(INDEX(Atualizações!$Q$1:$Q$1265,MATCH(H96,Atualizações!$P$1:$P$1265,0)),"0")</f>
        <v>1</v>
      </c>
      <c r="J9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7" spans="1:10">
      <c r="A97" s="531" t="s">
        <v>638</v>
      </c>
      <c r="B97" s="115" t="s">
        <v>639</v>
      </c>
      <c r="C97" s="7" t="s">
        <v>105</v>
      </c>
      <c r="D97" t="str">
        <f>$E$1&amp;Tb_Alinhamento[[#This Row],[SEI]]</f>
        <v>202411644/2022</v>
      </c>
      <c r="E97" s="24">
        <f>IFERROR(INDEX(Atualizações!$Q$1:$Q$1265,MATCH(D97,Atualizações!$P$1:$P$1265,0)),"0")</f>
        <v>1</v>
      </c>
      <c r="F97" t="str">
        <f>$G$1&amp;Tb_Alinhamento[[#This Row],[SEI]]</f>
        <v>202511644/2022</v>
      </c>
      <c r="G97" s="24">
        <f>IFERROR(INDEX(Atualizações!$Q$1:$Q$1265,MATCH(F97,Atualizações!$P$1:$P$1265,0)),"0")</f>
        <v>1</v>
      </c>
      <c r="H97" t="str">
        <f>$I$1&amp;Tb_Alinhamento[[#This Row],[SEI]]</f>
        <v>202611644/2022</v>
      </c>
      <c r="I97" s="24">
        <f>IFERROR(INDEX(Atualizações!$Q$1:$Q$1265,MATCH(H97,Atualizações!$P$1:$P$1265,0)),"0")</f>
        <v>1</v>
      </c>
      <c r="J9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8" spans="1:10" ht="30">
      <c r="A98" s="531" t="s">
        <v>638</v>
      </c>
      <c r="B98" s="115" t="s">
        <v>639</v>
      </c>
      <c r="C98" s="2" t="s">
        <v>176</v>
      </c>
      <c r="D98" t="str">
        <f>$E$1&amp;Tb_Alinhamento[[#This Row],[SEI]]</f>
        <v>202411644/2022</v>
      </c>
      <c r="E98" s="24">
        <f>IFERROR(INDEX(Atualizações!$Q$1:$Q$1265,MATCH(D98,Atualizações!$P$1:$P$1265,0)),"0")</f>
        <v>1</v>
      </c>
      <c r="F98" t="str">
        <f>$G$1&amp;Tb_Alinhamento[[#This Row],[SEI]]</f>
        <v>202511644/2022</v>
      </c>
      <c r="G98" s="24">
        <f>IFERROR(INDEX(Atualizações!$Q$1:$Q$1265,MATCH(F98,Atualizações!$P$1:$P$1265,0)),"0")</f>
        <v>1</v>
      </c>
      <c r="H98" t="str">
        <f>$I$1&amp;Tb_Alinhamento[[#This Row],[SEI]]</f>
        <v>202611644/2022</v>
      </c>
      <c r="I98" s="24">
        <f>IFERROR(INDEX(Atualizações!$Q$1:$Q$1265,MATCH(H98,Atualizações!$P$1:$P$1265,0)),"0")</f>
        <v>1</v>
      </c>
      <c r="J9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99" spans="1:10" ht="30">
      <c r="A99" s="531" t="s">
        <v>247</v>
      </c>
      <c r="B99" s="115" t="s">
        <v>248</v>
      </c>
      <c r="C99" s="7" t="s">
        <v>146</v>
      </c>
      <c r="D99" t="str">
        <f>$E$1&amp;Tb_Alinhamento[[#This Row],[SEI]]</f>
        <v>202402394/2024</v>
      </c>
      <c r="E99" s="24">
        <f>IFERROR(INDEX(Atualizações!$Q$1:$Q$1265,MATCH(D99,Atualizações!$P$1:$P$1265,0)),"0")</f>
        <v>1</v>
      </c>
      <c r="F99" t="str">
        <f>$G$1&amp;Tb_Alinhamento[[#This Row],[SEI]]</f>
        <v>202502394/2024</v>
      </c>
      <c r="G99" s="24">
        <f>IFERROR(INDEX(Atualizações!$Q$1:$Q$1265,MATCH(F99,Atualizações!$P$1:$P$1265,0)),"0")</f>
        <v>1</v>
      </c>
      <c r="H99" t="str">
        <f>$I$1&amp;Tb_Alinhamento[[#This Row],[SEI]]</f>
        <v>202602394/2024</v>
      </c>
      <c r="I99" s="24">
        <f>IFERROR(INDEX(Atualizações!$Q$1:$Q$1265,MATCH(H99,Atualizações!$P$1:$P$1265,0)),"0")</f>
        <v>1</v>
      </c>
      <c r="J9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0" spans="1:10">
      <c r="A100" s="24" t="s">
        <v>247</v>
      </c>
      <c r="B100" s="5" t="s">
        <v>248</v>
      </c>
      <c r="C100" s="7" t="s">
        <v>105</v>
      </c>
      <c r="D100" t="str">
        <f>$E$1&amp;Tb_Alinhamento[[#This Row],[SEI]]</f>
        <v>202402394/2024</v>
      </c>
      <c r="E100" s="24">
        <f>IFERROR(INDEX(Atualizações!$Q$1:$Q$1265,MATCH(D100,Atualizações!$P$1:$P$1265,0)),"0")</f>
        <v>1</v>
      </c>
      <c r="F100" t="str">
        <f>$G$1&amp;Tb_Alinhamento[[#This Row],[SEI]]</f>
        <v>202502394/2024</v>
      </c>
      <c r="G100" s="24">
        <f>IFERROR(INDEX(Atualizações!$Q$1:$Q$1265,MATCH(F100,Atualizações!$P$1:$P$1265,0)),"0")</f>
        <v>1</v>
      </c>
      <c r="H100" t="str">
        <f>$I$1&amp;Tb_Alinhamento[[#This Row],[SEI]]</f>
        <v>202602394/2024</v>
      </c>
      <c r="I100" s="24">
        <f>IFERROR(INDEX(Atualizações!$Q$1:$Q$1265,MATCH(H100,Atualizações!$P$1:$P$1265,0)),"0")</f>
        <v>1</v>
      </c>
      <c r="J10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1" spans="1:10" ht="30">
      <c r="A101" s="24" t="s">
        <v>539</v>
      </c>
      <c r="B101" s="5" t="s">
        <v>540</v>
      </c>
      <c r="C101" s="7" t="s">
        <v>146</v>
      </c>
      <c r="D101" t="str">
        <f>$E$1&amp;Tb_Alinhamento[[#This Row],[SEI]]</f>
        <v>202409630/2024</v>
      </c>
      <c r="E101" s="24">
        <f>IFERROR(INDEX(Atualizações!$Q$1:$Q$1265,MATCH(D101,Atualizações!$P$1:$P$1265,0)),"0")</f>
        <v>1</v>
      </c>
      <c r="F101" t="str">
        <f>$G$1&amp;Tb_Alinhamento[[#This Row],[SEI]]</f>
        <v>202509630/2024</v>
      </c>
      <c r="G101" s="24">
        <f>IFERROR(INDEX(Atualizações!$Q$1:$Q$1265,MATCH(F101,Atualizações!$P$1:$P$1265,0)),"0")</f>
        <v>1</v>
      </c>
      <c r="H101" t="str">
        <f>$I$1&amp;Tb_Alinhamento[[#This Row],[SEI]]</f>
        <v>202609630/2024</v>
      </c>
      <c r="I101" s="24">
        <f>IFERROR(INDEX(Atualizações!$Q$1:$Q$1265,MATCH(H101,Atualizações!$P$1:$P$1265,0)),"0")</f>
        <v>1</v>
      </c>
      <c r="J10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2" spans="1:10" ht="30">
      <c r="A102" s="24" t="s">
        <v>539</v>
      </c>
      <c r="B102" s="5" t="s">
        <v>540</v>
      </c>
      <c r="C102" s="7" t="s">
        <v>176</v>
      </c>
      <c r="D102" t="str">
        <f>$E$1&amp;Tb_Alinhamento[[#This Row],[SEI]]</f>
        <v>202409630/2024</v>
      </c>
      <c r="E102" s="24">
        <f>IFERROR(INDEX(Atualizações!$Q$1:$Q$1265,MATCH(D102,Atualizações!$P$1:$P$1265,0)),"0")</f>
        <v>1</v>
      </c>
      <c r="F102" t="str">
        <f>$G$1&amp;Tb_Alinhamento[[#This Row],[SEI]]</f>
        <v>202509630/2024</v>
      </c>
      <c r="G102" s="24">
        <f>IFERROR(INDEX(Atualizações!$Q$1:$Q$1265,MATCH(F102,Atualizações!$P$1:$P$1265,0)),"0")</f>
        <v>1</v>
      </c>
      <c r="H102" t="str">
        <f>$I$1&amp;Tb_Alinhamento[[#This Row],[SEI]]</f>
        <v>202609630/2024</v>
      </c>
      <c r="I102" s="24">
        <f>IFERROR(INDEX(Atualizações!$Q$1:$Q$1265,MATCH(H102,Atualizações!$P$1:$P$1265,0)),"0")</f>
        <v>1</v>
      </c>
      <c r="J10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3" spans="1:10">
      <c r="A103" s="24" t="s">
        <v>901</v>
      </c>
      <c r="B103" s="5" t="s">
        <v>1642</v>
      </c>
      <c r="C103" s="2" t="s">
        <v>76</v>
      </c>
      <c r="D103" t="str">
        <f>$E$1&amp;Tb_Alinhamento[[#This Row],[SEI]]</f>
        <v>2024174666/2024</v>
      </c>
      <c r="E103" s="24">
        <f>IFERROR(INDEX(Atualizações!$Q$1:$Q$1265,MATCH(D103,Atualizações!$P$1:$P$1265,0)),"0")</f>
        <v>1</v>
      </c>
      <c r="F103" t="str">
        <f>$G$1&amp;Tb_Alinhamento[[#This Row],[SEI]]</f>
        <v>2025174666/2024</v>
      </c>
      <c r="G103" s="24">
        <f>IFERROR(INDEX(Atualizações!$Q$1:$Q$1265,MATCH(F103,Atualizações!$P$1:$P$1265,0)),"0")</f>
        <v>1</v>
      </c>
      <c r="H103" t="str">
        <f>$I$1&amp;Tb_Alinhamento[[#This Row],[SEI]]</f>
        <v>2026174666/2024</v>
      </c>
      <c r="I103" s="24">
        <f>IFERROR(INDEX(Atualizações!$Q$1:$Q$1265,MATCH(H103,Atualizações!$P$1:$P$1265,0)),"0")</f>
        <v>1</v>
      </c>
      <c r="J10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4" spans="1:10">
      <c r="A104" s="531" t="s">
        <v>901</v>
      </c>
      <c r="B104" s="5" t="s">
        <v>1642</v>
      </c>
      <c r="C104" s="7" t="s">
        <v>120</v>
      </c>
      <c r="D104" t="str">
        <f>$E$1&amp;Tb_Alinhamento[[#This Row],[SEI]]</f>
        <v>2024174666/2024</v>
      </c>
      <c r="E104" s="24">
        <f>IFERROR(INDEX(Atualizações!$Q$1:$Q$1265,MATCH(D104,Atualizações!$P$1:$P$1265,0)),"0")</f>
        <v>1</v>
      </c>
      <c r="F104" t="str">
        <f>$G$1&amp;Tb_Alinhamento[[#This Row],[SEI]]</f>
        <v>2025174666/2024</v>
      </c>
      <c r="G104" s="24">
        <f>IFERROR(INDEX(Atualizações!$Q$1:$Q$1265,MATCH(F104,Atualizações!$P$1:$P$1265,0)),"0")</f>
        <v>1</v>
      </c>
      <c r="H104" t="str">
        <f>$I$1&amp;Tb_Alinhamento[[#This Row],[SEI]]</f>
        <v>2026174666/2024</v>
      </c>
      <c r="I104" s="24">
        <f>IFERROR(INDEX(Atualizações!$Q$1:$Q$1265,MATCH(H104,Atualizações!$P$1:$P$1265,0)),"0")</f>
        <v>1</v>
      </c>
      <c r="J10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5" spans="1:10">
      <c r="A105" s="531" t="s">
        <v>844</v>
      </c>
      <c r="B105" s="5" t="s">
        <v>845</v>
      </c>
      <c r="C105" s="7" t="s">
        <v>76</v>
      </c>
      <c r="D105" t="str">
        <f>$E$1&amp;Tb_Alinhamento[[#This Row],[SEI]]</f>
        <v>20241746620/2024</v>
      </c>
      <c r="E105" s="24">
        <f>IFERROR(INDEX(Atualizações!$Q$1:$Q$1265,MATCH(D105,Atualizações!$P$1:$P$1265,0)),"0")</f>
        <v>1</v>
      </c>
      <c r="F105" t="str">
        <f>$G$1&amp;Tb_Alinhamento[[#This Row],[SEI]]</f>
        <v>20251746620/2024</v>
      </c>
      <c r="G105" s="24">
        <f>IFERROR(INDEX(Atualizações!$Q$1:$Q$1265,MATCH(F105,Atualizações!$P$1:$P$1265,0)),"0")</f>
        <v>1</v>
      </c>
      <c r="H105" t="str">
        <f>$I$1&amp;Tb_Alinhamento[[#This Row],[SEI]]</f>
        <v>20261746620/2024</v>
      </c>
      <c r="I105" s="24">
        <f>IFERROR(INDEX(Atualizações!$Q$1:$Q$1265,MATCH(H105,Atualizações!$P$1:$P$1265,0)),"0")</f>
        <v>1</v>
      </c>
      <c r="J10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6" spans="1:10" ht="30" hidden="1">
      <c r="A106" s="24" t="s">
        <v>523</v>
      </c>
      <c r="B106" s="5" t="s">
        <v>1643</v>
      </c>
      <c r="C106" s="7" t="s">
        <v>672</v>
      </c>
      <c r="D106" t="str">
        <f>$E$1&amp;Tb_Alinhamento[[#This Row],[SEI]]</f>
        <v>202409536/2024</v>
      </c>
      <c r="E106" s="24">
        <f>IFERROR(INDEX(Atualizações!$Q$1:$Q$1265,MATCH(D106,Atualizações!$P$1:$P$1265,0)),"0")</f>
        <v>1</v>
      </c>
      <c r="F106" t="str">
        <f>$G$1&amp;Tb_Alinhamento[[#This Row],[SEI]]</f>
        <v>202509536/2024</v>
      </c>
      <c r="G106" s="24">
        <f>IFERROR(INDEX(Atualizações!$Q$1:$Q$1265,MATCH(F106,Atualizações!$P$1:$P$1265,0)),"0")</f>
        <v>1</v>
      </c>
      <c r="H106" t="str">
        <f>$I$1&amp;Tb_Alinhamento[[#This Row],[SEI]]</f>
        <v>202609536/2024</v>
      </c>
      <c r="I106" s="24" t="str">
        <f>IFERROR(INDEX(Atualizações!$Q$1:$Q$1265,MATCH(H106,Atualizações!$P$1:$P$1265,0)),"0")</f>
        <v>0</v>
      </c>
      <c r="J10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07" spans="1:10" ht="30" hidden="1">
      <c r="A107" s="24" t="s">
        <v>523</v>
      </c>
      <c r="B107" s="5" t="s">
        <v>1643</v>
      </c>
      <c r="C107" s="5" t="s">
        <v>1620</v>
      </c>
      <c r="D107" t="str">
        <f>$E$1&amp;Tb_Alinhamento[[#This Row],[SEI]]</f>
        <v>202409536/2024</v>
      </c>
      <c r="E107" s="24">
        <f>IFERROR(INDEX(Atualizações!$Q$1:$Q$1265,MATCH(D107,Atualizações!$P$1:$P$1265,0)),"0")</f>
        <v>1</v>
      </c>
      <c r="F107" t="str">
        <f>$G$1&amp;Tb_Alinhamento[[#This Row],[SEI]]</f>
        <v>202509536/2024</v>
      </c>
      <c r="G107" s="24">
        <f>IFERROR(INDEX(Atualizações!$Q$1:$Q$1265,MATCH(F107,Atualizações!$P$1:$P$1265,0)),"0")</f>
        <v>1</v>
      </c>
      <c r="H107" t="str">
        <f>$I$1&amp;Tb_Alinhamento[[#This Row],[SEI]]</f>
        <v>202609536/2024</v>
      </c>
      <c r="I107" s="24" t="str">
        <f>IFERROR(INDEX(Atualizações!$Q$1:$Q$1265,MATCH(H107,Atualizações!$P$1:$P$1265,0)),"0")</f>
        <v>0</v>
      </c>
      <c r="J10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08" spans="1:10">
      <c r="A108" s="24" t="s">
        <v>844</v>
      </c>
      <c r="B108" s="5" t="s">
        <v>845</v>
      </c>
      <c r="C108" s="7" t="s">
        <v>120</v>
      </c>
      <c r="D108" t="str">
        <f>$E$1&amp;Tb_Alinhamento[[#This Row],[SEI]]</f>
        <v>20241746620/2024</v>
      </c>
      <c r="E108" s="24">
        <f>IFERROR(INDEX(Atualizações!$Q$1:$Q$1265,MATCH(D108,Atualizações!$P$1:$P$1265,0)),"0")</f>
        <v>1</v>
      </c>
      <c r="F108" t="str">
        <f>$G$1&amp;Tb_Alinhamento[[#This Row],[SEI]]</f>
        <v>20251746620/2024</v>
      </c>
      <c r="G108" s="24">
        <f>IFERROR(INDEX(Atualizações!$Q$1:$Q$1265,MATCH(F108,Atualizações!$P$1:$P$1265,0)),"0")</f>
        <v>1</v>
      </c>
      <c r="H108" t="str">
        <f>$I$1&amp;Tb_Alinhamento[[#This Row],[SEI]]</f>
        <v>20261746620/2024</v>
      </c>
      <c r="I108" s="24">
        <f>IFERROR(INDEX(Atualizações!$Q$1:$Q$1265,MATCH(H108,Atualizações!$P$1:$P$1265,0)),"0")</f>
        <v>1</v>
      </c>
      <c r="J10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09" spans="1:10">
      <c r="A109" s="24" t="s">
        <v>865</v>
      </c>
      <c r="B109" s="5" t="s">
        <v>866</v>
      </c>
      <c r="C109" s="2" t="s">
        <v>76</v>
      </c>
      <c r="D109" t="str">
        <f>$E$1&amp;Tb_Alinhamento[[#This Row],[SEI]]</f>
        <v>20241746625/2024</v>
      </c>
      <c r="E109" s="24">
        <f>IFERROR(INDEX(Atualizações!$Q$1:$Q$1265,MATCH(D109,Atualizações!$P$1:$P$1265,0)),"0")</f>
        <v>1</v>
      </c>
      <c r="F109" t="str">
        <f>$G$1&amp;Tb_Alinhamento[[#This Row],[SEI]]</f>
        <v>20251746625/2024</v>
      </c>
      <c r="G109" s="24">
        <f>IFERROR(INDEX(Atualizações!$Q$1:$Q$1265,MATCH(F109,Atualizações!$P$1:$P$1265,0)),"0")</f>
        <v>1</v>
      </c>
      <c r="H109" t="str">
        <f>$I$1&amp;Tb_Alinhamento[[#This Row],[SEI]]</f>
        <v>20261746625/2024</v>
      </c>
      <c r="I109" s="24">
        <f>IFERROR(INDEX(Atualizações!$Q$1:$Q$1265,MATCH(H109,Atualizações!$P$1:$P$1265,0)),"0")</f>
        <v>1</v>
      </c>
      <c r="J10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0" spans="1:10">
      <c r="A110" s="532" t="s">
        <v>865</v>
      </c>
      <c r="B110" s="5" t="s">
        <v>866</v>
      </c>
      <c r="C110" s="7" t="s">
        <v>120</v>
      </c>
      <c r="D110" t="str">
        <f>$E$1&amp;Tb_Alinhamento[[#This Row],[SEI]]</f>
        <v>20241746625/2024</v>
      </c>
      <c r="E110" s="24">
        <f>IFERROR(INDEX(Atualizações!$Q$1:$Q$1265,MATCH(D110,Atualizações!$P$1:$P$1265,0)),"0")</f>
        <v>1</v>
      </c>
      <c r="F110" t="str">
        <f>$G$1&amp;Tb_Alinhamento[[#This Row],[SEI]]</f>
        <v>20251746625/2024</v>
      </c>
      <c r="G110" s="24">
        <f>IFERROR(INDEX(Atualizações!$Q$1:$Q$1265,MATCH(F110,Atualizações!$P$1:$P$1265,0)),"0")</f>
        <v>1</v>
      </c>
      <c r="H110" t="str">
        <f>$I$1&amp;Tb_Alinhamento[[#This Row],[SEI]]</f>
        <v>20261746625/2024</v>
      </c>
      <c r="I110" s="24">
        <f>IFERROR(INDEX(Atualizações!$Q$1:$Q$1265,MATCH(H110,Atualizações!$P$1:$P$1265,0)),"0")</f>
        <v>1</v>
      </c>
      <c r="J11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1" spans="1:10" ht="30">
      <c r="A111" s="532" t="s">
        <v>728</v>
      </c>
      <c r="B111" s="5" t="s">
        <v>729</v>
      </c>
      <c r="C111" s="7" t="s">
        <v>120</v>
      </c>
      <c r="D111" t="str">
        <f>$E$1&amp;Tb_Alinhamento[[#This Row],[SEI]]</f>
        <v>202415844/2024</v>
      </c>
      <c r="E111" s="24" t="str">
        <f>IFERROR(INDEX(Atualizações!$Q$1:$Q$1265,MATCH(D111,Atualizações!$P$1:$P$1265,0)),"0")</f>
        <v>0</v>
      </c>
      <c r="F111" t="str">
        <f>$G$1&amp;Tb_Alinhamento[[#This Row],[SEI]]</f>
        <v>202515844/2024</v>
      </c>
      <c r="G111" s="24">
        <f>IFERROR(INDEX(Atualizações!$Q$1:$Q$1265,MATCH(F111,Atualizações!$P$1:$P$1265,0)),"0")</f>
        <v>1</v>
      </c>
      <c r="H111" t="str">
        <f>$I$1&amp;Tb_Alinhamento[[#This Row],[SEI]]</f>
        <v>202615844/2024</v>
      </c>
      <c r="I111" s="24">
        <f>IFERROR(INDEX(Atualizações!$Q$1:$Q$1265,MATCH(H111,Atualizações!$P$1:$P$1265,0)),"0")</f>
        <v>1</v>
      </c>
      <c r="J11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2" spans="1:10">
      <c r="A112" s="532" t="s">
        <v>714</v>
      </c>
      <c r="B112" s="5" t="s">
        <v>715</v>
      </c>
      <c r="C112" s="7" t="s">
        <v>120</v>
      </c>
      <c r="D112" t="str">
        <f>$E$1&amp;Tb_Alinhamento[[#This Row],[SEI]]</f>
        <v>202414204/2024</v>
      </c>
      <c r="E112" s="24">
        <f>IFERROR(INDEX(Atualizações!$Q$1:$Q$1265,MATCH(D112,Atualizações!$P$1:$P$1265,0)),"0")</f>
        <v>1</v>
      </c>
      <c r="F112" t="str">
        <f>$G$1&amp;Tb_Alinhamento[[#This Row],[SEI]]</f>
        <v>202514204/2024</v>
      </c>
      <c r="G112" s="24">
        <f>IFERROR(INDEX(Atualizações!$Q$1:$Q$1265,MATCH(F112,Atualizações!$P$1:$P$1265,0)),"0")</f>
        <v>1</v>
      </c>
      <c r="H112" t="str">
        <f>$I$1&amp;Tb_Alinhamento[[#This Row],[SEI]]</f>
        <v>202614204/2024</v>
      </c>
      <c r="I112" s="24">
        <f>IFERROR(INDEX(Atualizações!$Q$1:$Q$1265,MATCH(H112,Atualizações!$P$1:$P$1265,0)),"0")</f>
        <v>1</v>
      </c>
      <c r="J11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3" spans="1:10" ht="30">
      <c r="A113" s="24" t="s">
        <v>714</v>
      </c>
      <c r="B113" s="5" t="str">
        <f>_xlfn.XLOOKUP(Tb_Alinhamento[[#This Row],[SEI]],Tb_Portfólio[SEI],Tb_Portfólio[PROJETO],"Não cadastrado")</f>
        <v>Programa Novos Caminhos</v>
      </c>
      <c r="C113" s="7" t="s">
        <v>166</v>
      </c>
      <c r="D113" t="str">
        <f>$E$1&amp;Tb_Alinhamento[[#This Row],[SEI]]</f>
        <v>202414204/2024</v>
      </c>
      <c r="E113" s="24">
        <f>IFERROR(INDEX(Atualizações!$Q$1:$Q$1265,MATCH(D113,Atualizações!$P$1:$P$1265,0)),"0")</f>
        <v>1</v>
      </c>
      <c r="F113" t="str">
        <f>$G$1&amp;Tb_Alinhamento[[#This Row],[SEI]]</f>
        <v>202514204/2024</v>
      </c>
      <c r="G113" s="24">
        <f>IFERROR(INDEX(Atualizações!$Q$1:$Q$1265,MATCH(F113,Atualizações!$P$1:$P$1265,0)),"0")</f>
        <v>1</v>
      </c>
      <c r="H113" t="str">
        <f>$I$1&amp;Tb_Alinhamento[[#This Row],[SEI]]</f>
        <v>202614204/2024</v>
      </c>
      <c r="I113" s="24">
        <f>IFERROR(INDEX(Atualizações!$Q$1:$Q$1265,MATCH(H113,Atualizações!$P$1:$P$1265,0)),"0")</f>
        <v>1</v>
      </c>
      <c r="J11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4" spans="1:10">
      <c r="A114" s="24" t="s">
        <v>722</v>
      </c>
      <c r="B114" s="5" t="str">
        <f>_xlfn.XLOOKUP(Tb_Alinhamento[[#This Row],[SEI]],Tb_Portfólio[SEI],Tb_Portfólio[PROJETO],"Não cadastrado")</f>
        <v>Serviços Estruturantes - Melhorias Evolutivas e Corretivas</v>
      </c>
      <c r="C114" s="2" t="s">
        <v>105</v>
      </c>
      <c r="D114" t="str">
        <f>$E$1&amp;Tb_Alinhamento[[#This Row],[SEI]]</f>
        <v>202414965/2024</v>
      </c>
      <c r="E114" s="24" t="str">
        <f>IFERROR(INDEX(Atualizações!$Q$1:$Q$1265,MATCH(D114,Atualizações!$P$1:$P$1265,0)),"0")</f>
        <v>0</v>
      </c>
      <c r="F114" t="str">
        <f>$G$1&amp;Tb_Alinhamento[[#This Row],[SEI]]</f>
        <v>202514965/2024</v>
      </c>
      <c r="G114" s="24">
        <f>IFERROR(INDEX(Atualizações!$Q$1:$Q$1265,MATCH(F114,Atualizações!$P$1:$P$1265,0)),"0")</f>
        <v>1</v>
      </c>
      <c r="H114" t="str">
        <f>$I$1&amp;Tb_Alinhamento[[#This Row],[SEI]]</f>
        <v>202614965/2024</v>
      </c>
      <c r="I114" s="24">
        <f>IFERROR(INDEX(Atualizações!$Q$1:$Q$1265,MATCH(H114,Atualizações!$P$1:$P$1265,0)),"0")</f>
        <v>1</v>
      </c>
      <c r="J11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5" spans="1:10" ht="30">
      <c r="A115" s="24" t="s">
        <v>722</v>
      </c>
      <c r="B115" s="5" t="str">
        <f>_xlfn.XLOOKUP(Tb_Alinhamento[[#This Row],[SEI]],Tb_Portfólio[SEI],Tb_Portfólio[PROJETO],"Não cadastrado")</f>
        <v>Serviços Estruturantes - Melhorias Evolutivas e Corretivas</v>
      </c>
      <c r="C115" s="7" t="s">
        <v>176</v>
      </c>
      <c r="D115" t="str">
        <f>$E$1&amp;Tb_Alinhamento[[#This Row],[SEI]]</f>
        <v>202414965/2024</v>
      </c>
      <c r="E115" s="24" t="str">
        <f>IFERROR(INDEX(Atualizações!$Q$1:$Q$1265,MATCH(D115,Atualizações!$P$1:$P$1265,0)),"0")</f>
        <v>0</v>
      </c>
      <c r="F115" t="str">
        <f>$G$1&amp;Tb_Alinhamento[[#This Row],[SEI]]</f>
        <v>202514965/2024</v>
      </c>
      <c r="G115" s="24">
        <f>IFERROR(INDEX(Atualizações!$Q$1:$Q$1265,MATCH(F115,Atualizações!$P$1:$P$1265,0)),"0")</f>
        <v>1</v>
      </c>
      <c r="H115" t="str">
        <f>$I$1&amp;Tb_Alinhamento[[#This Row],[SEI]]</f>
        <v>202614965/2024</v>
      </c>
      <c r="I115" s="24">
        <f>IFERROR(INDEX(Atualizações!$Q$1:$Q$1265,MATCH(H115,Atualizações!$P$1:$P$1265,0)),"0")</f>
        <v>1</v>
      </c>
      <c r="J11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16" spans="1:10" ht="30" hidden="1">
      <c r="A116" s="24" t="s">
        <v>599</v>
      </c>
      <c r="B116" s="5" t="str">
        <f>IFERROR(INDEX(Projetos!$B$3:$B$129,MATCH(Tb_Alinhamento[[#This Row],[SEI]],Projetos!$A$3:$A$129,0))," ")</f>
        <v>BNMP 3.0 – Banco Nacional de Medidas Penais e Prisões – Fase 2</v>
      </c>
      <c r="C116" s="7" t="s">
        <v>240</v>
      </c>
      <c r="D116" t="str">
        <f>$E$1&amp;Tb_Alinhamento[[#This Row],[SEI]]</f>
        <v>202410965/2023</v>
      </c>
      <c r="E116" s="24">
        <f>IFERROR(INDEX(Atualizações!$Q$1:$Q$1265,MATCH(D116,Atualizações!$P$1:$P$1265,0)),"0")</f>
        <v>1</v>
      </c>
      <c r="F116" t="str">
        <f>$G$1&amp;Tb_Alinhamento[[#This Row],[SEI]]</f>
        <v>202510965/2023</v>
      </c>
      <c r="G116" s="24" t="str">
        <f>IFERROR(INDEX(Atualizações!$Q$1:$Q$1265,MATCH(F116,Atualizações!$P$1:$P$1265,0)),"0")</f>
        <v>0</v>
      </c>
      <c r="H116" t="str">
        <f>$I$1&amp;Tb_Alinhamento[[#This Row],[SEI]]</f>
        <v>202610965/2023</v>
      </c>
      <c r="I116" s="24" t="str">
        <f>IFERROR(INDEX(Atualizações!$Q$1:$Q$1265,MATCH(H116,Atualizações!$P$1:$P$1265,0)),"0")</f>
        <v>0</v>
      </c>
      <c r="J11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17" spans="1:10" ht="30" hidden="1">
      <c r="A117" s="24" t="s">
        <v>781</v>
      </c>
      <c r="B117" s="5" t="str">
        <f>IFERROR(INDEX(Projetos!$B$3:$B$129,MATCH(Tb_Alinhamento[[#This Row],[SEI]],Projetos!$A$3:$A$129,0))," ")</f>
        <v>Audiência de Custódia (sistema penal)</v>
      </c>
      <c r="C117" s="7" t="s">
        <v>240</v>
      </c>
      <c r="D117" t="str">
        <f>$E$1&amp;Tb_Alinhamento[[#This Row],[SEI]]</f>
        <v>202417466/2024</v>
      </c>
      <c r="E117" s="24">
        <f>IFERROR(INDEX(Atualizações!$Q$1:$Q$1265,MATCH(D117,Atualizações!$P$1:$P$1265,0)),"0")</f>
        <v>1</v>
      </c>
      <c r="F117" t="str">
        <f>$G$1&amp;Tb_Alinhamento[[#This Row],[SEI]]</f>
        <v>202517466/2024</v>
      </c>
      <c r="G117" s="24" t="str">
        <f>IFERROR(INDEX(Atualizações!$Q$1:$Q$1265,MATCH(F117,Atualizações!$P$1:$P$1265,0)),"0")</f>
        <v>0</v>
      </c>
      <c r="H117" t="str">
        <f>$I$1&amp;Tb_Alinhamento[[#This Row],[SEI]]</f>
        <v>202617466/2024</v>
      </c>
      <c r="I117" s="24" t="str">
        <f>IFERROR(INDEX(Atualizações!$Q$1:$Q$1265,MATCH(H117,Atualizações!$P$1:$P$1265,0)),"0")</f>
        <v>0</v>
      </c>
      <c r="J11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18" spans="1:10" ht="75" hidden="1">
      <c r="A118" s="24" t="s">
        <v>781</v>
      </c>
      <c r="B118" s="5" t="str">
        <f>IFERROR(INDEX(Projetos!$B$3:$B$129,MATCH(Tb_Alinhamento[[#This Row],[SEI]],Projetos!$A$3:$A$129,0))," ")</f>
        <v>Audiência de Custódia (sistema penal)</v>
      </c>
      <c r="C118" s="7" t="s">
        <v>75</v>
      </c>
      <c r="D118" t="str">
        <f>$E$1&amp;Tb_Alinhamento[[#This Row],[SEI]]</f>
        <v>202417466/2024</v>
      </c>
      <c r="E118" s="24">
        <f>IFERROR(INDEX(Atualizações!$Q$1:$Q$1265,MATCH(D118,Atualizações!$P$1:$P$1265,0)),"0")</f>
        <v>1</v>
      </c>
      <c r="F118" t="str">
        <f>$G$1&amp;Tb_Alinhamento[[#This Row],[SEI]]</f>
        <v>202517466/2024</v>
      </c>
      <c r="G118" s="24" t="str">
        <f>IFERROR(INDEX(Atualizações!$Q$1:$Q$1265,MATCH(F118,Atualizações!$P$1:$P$1265,0)),"0")</f>
        <v>0</v>
      </c>
      <c r="H118" t="str">
        <f>$I$1&amp;Tb_Alinhamento[[#This Row],[SEI]]</f>
        <v>202617466/2024</v>
      </c>
      <c r="I118" s="24" t="str">
        <f>IFERROR(INDEX(Atualizações!$Q$1:$Q$1265,MATCH(H118,Atualizações!$P$1:$P$1265,0)),"0")</f>
        <v>0</v>
      </c>
      <c r="J11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19" spans="1:10" ht="30" hidden="1">
      <c r="A119" s="24" t="s">
        <v>792</v>
      </c>
      <c r="B119" s="5" t="str">
        <f>IFERROR(INDEX(Projetos!$B$3:$B$129,MATCH(Tb_Alinhamento[[#This Row],[SEI]],Projetos!$A$3:$A$129,0))," ")</f>
        <v>Alternativas Penais (sistema penal)</v>
      </c>
      <c r="C119" s="7" t="s">
        <v>240</v>
      </c>
      <c r="D119" t="str">
        <f>$E$1&amp;Tb_Alinhamento[[#This Row],[SEI]]</f>
        <v>2024174661/2024</v>
      </c>
      <c r="E119" s="24">
        <f>IFERROR(INDEX(Atualizações!$Q$1:$Q$1265,MATCH(D119,Atualizações!$P$1:$P$1265,0)),"0")</f>
        <v>1</v>
      </c>
      <c r="F119" t="str">
        <f>$G$1&amp;Tb_Alinhamento[[#This Row],[SEI]]</f>
        <v>2025174661/2024</v>
      </c>
      <c r="G119" s="24" t="str">
        <f>IFERROR(INDEX(Atualizações!$Q$1:$Q$1265,MATCH(F119,Atualizações!$P$1:$P$1265,0)),"0")</f>
        <v>0</v>
      </c>
      <c r="H119" t="str">
        <f>$I$1&amp;Tb_Alinhamento[[#This Row],[SEI]]</f>
        <v>2026174661/2024</v>
      </c>
      <c r="I119" s="24" t="str">
        <f>IFERROR(INDEX(Atualizações!$Q$1:$Q$1265,MATCH(H119,Atualizações!$P$1:$P$1265,0)),"0")</f>
        <v>0</v>
      </c>
      <c r="J11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0" spans="1:10" ht="75" hidden="1">
      <c r="A120" s="24" t="s">
        <v>792</v>
      </c>
      <c r="B120" s="5" t="str">
        <f>IFERROR(INDEX(Projetos!$B$3:$B$129,MATCH(Tb_Alinhamento[[#This Row],[SEI]],Projetos!$A$3:$A$129,0))," ")</f>
        <v>Alternativas Penais (sistema penal)</v>
      </c>
      <c r="C120" s="7" t="s">
        <v>75</v>
      </c>
      <c r="D120" t="str">
        <f>$E$1&amp;Tb_Alinhamento[[#This Row],[SEI]]</f>
        <v>2024174661/2024</v>
      </c>
      <c r="E120" s="24">
        <f>IFERROR(INDEX(Atualizações!$Q$1:$Q$1265,MATCH(D120,Atualizações!$P$1:$P$1265,0)),"0")</f>
        <v>1</v>
      </c>
      <c r="F120" t="str">
        <f>$G$1&amp;Tb_Alinhamento[[#This Row],[SEI]]</f>
        <v>2025174661/2024</v>
      </c>
      <c r="G120" s="24" t="str">
        <f>IFERROR(INDEX(Atualizações!$Q$1:$Q$1265,MATCH(F120,Atualizações!$P$1:$P$1265,0)),"0")</f>
        <v>0</v>
      </c>
      <c r="H120" t="str">
        <f>$I$1&amp;Tb_Alinhamento[[#This Row],[SEI]]</f>
        <v>2026174661/2024</v>
      </c>
      <c r="I120" s="24" t="str">
        <f>IFERROR(INDEX(Atualizações!$Q$1:$Q$1265,MATCH(H120,Atualizações!$P$1:$P$1265,0)),"0")</f>
        <v>0</v>
      </c>
      <c r="J12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1" spans="1:10" ht="30" hidden="1">
      <c r="A121" s="24" t="s">
        <v>839</v>
      </c>
      <c r="B121" s="5" t="str">
        <f>IFERROR(INDEX(Projetos!$B$3:$B$129,MATCH(Tb_Alinhamento[[#This Row],[SEI]],Projetos!$A$3:$A$129,0))," ")</f>
        <v>Monitoração Eletrônica (sistema penal)</v>
      </c>
      <c r="C121" s="7" t="s">
        <v>240</v>
      </c>
      <c r="D121" t="str">
        <f>$E$1&amp;Tb_Alinhamento[[#This Row],[SEI]]</f>
        <v>2024174662/2024</v>
      </c>
      <c r="E121" s="24">
        <f>IFERROR(INDEX(Atualizações!$Q$1:$Q$1265,MATCH(D121,Atualizações!$P$1:$P$1265,0)),"0")</f>
        <v>1</v>
      </c>
      <c r="F121" t="str">
        <f>$G$1&amp;Tb_Alinhamento[[#This Row],[SEI]]</f>
        <v>2025174662/2024</v>
      </c>
      <c r="G121" s="24" t="str">
        <f>IFERROR(INDEX(Atualizações!$Q$1:$Q$1265,MATCH(F121,Atualizações!$P$1:$P$1265,0)),"0")</f>
        <v>0</v>
      </c>
      <c r="H121" t="str">
        <f>$I$1&amp;Tb_Alinhamento[[#This Row],[SEI]]</f>
        <v>2026174662/2024</v>
      </c>
      <c r="I121" s="24" t="str">
        <f>IFERROR(INDEX(Atualizações!$Q$1:$Q$1265,MATCH(H121,Atualizações!$P$1:$P$1265,0)),"0")</f>
        <v>0</v>
      </c>
      <c r="J12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2" spans="1:10" ht="75" hidden="1">
      <c r="A122" s="24" t="s">
        <v>839</v>
      </c>
      <c r="B122" s="5" t="str">
        <f>IFERROR(INDEX(Projetos!$B$3:$B$129,MATCH(Tb_Alinhamento[[#This Row],[SEI]],Projetos!$A$3:$A$129,0))," ")</f>
        <v>Monitoração Eletrônica (sistema penal)</v>
      </c>
      <c r="C122" s="7" t="s">
        <v>75</v>
      </c>
      <c r="D122" t="str">
        <f>$E$1&amp;Tb_Alinhamento[[#This Row],[SEI]]</f>
        <v>2024174662/2024</v>
      </c>
      <c r="E122" s="24">
        <f>IFERROR(INDEX(Atualizações!$Q$1:$Q$1265,MATCH(D122,Atualizações!$P$1:$P$1265,0)),"0")</f>
        <v>1</v>
      </c>
      <c r="F122" t="str">
        <f>$G$1&amp;Tb_Alinhamento[[#This Row],[SEI]]</f>
        <v>2025174662/2024</v>
      </c>
      <c r="G122" s="24" t="str">
        <f>IFERROR(INDEX(Atualizações!$Q$1:$Q$1265,MATCH(F122,Atualizações!$P$1:$P$1265,0)),"0")</f>
        <v>0</v>
      </c>
      <c r="H122" t="str">
        <f>$I$1&amp;Tb_Alinhamento[[#This Row],[SEI]]</f>
        <v>2026174662/2024</v>
      </c>
      <c r="I122" s="24" t="str">
        <f>IFERROR(INDEX(Atualizações!$Q$1:$Q$1265,MATCH(H122,Atualizações!$P$1:$P$1265,0)),"0")</f>
        <v>0</v>
      </c>
      <c r="J12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3" spans="1:10" ht="30" hidden="1">
      <c r="A123" s="24" t="s">
        <v>888</v>
      </c>
      <c r="B123" s="5" t="str">
        <f>IFERROR(INDEX(Projetos!$B$3:$B$129,MATCH(Tb_Alinhamento[[#This Row],[SEI]],Projetos!$A$3:$A$129,0))," ")</f>
        <v>Central de Regulação de Vagas (sistema penal)</v>
      </c>
      <c r="C123" s="7" t="s">
        <v>240</v>
      </c>
      <c r="D123" t="str">
        <f>$E$1&amp;Tb_Alinhamento[[#This Row],[SEI]]</f>
        <v>2024174663/2024</v>
      </c>
      <c r="E123" s="24">
        <f>IFERROR(INDEX(Atualizações!$Q$1:$Q$1265,MATCH(D123,Atualizações!$P$1:$P$1265,0)),"0")</f>
        <v>1</v>
      </c>
      <c r="F123" t="str">
        <f>$G$1&amp;Tb_Alinhamento[[#This Row],[SEI]]</f>
        <v>2025174663/2024</v>
      </c>
      <c r="G123" s="24">
        <f>IFERROR(INDEX(Atualizações!$Q$1:$Q$1265,MATCH(F123,Atualizações!$P$1:$P$1265,0)),"0")</f>
        <v>1</v>
      </c>
      <c r="H123" t="str">
        <f>$I$1&amp;Tb_Alinhamento[[#This Row],[SEI]]</f>
        <v>2026174663/2024</v>
      </c>
      <c r="I123" s="24" t="str">
        <f>IFERROR(INDEX(Atualizações!$Q$1:$Q$1265,MATCH(H123,Atualizações!$P$1:$P$1265,0)),"0")</f>
        <v>0</v>
      </c>
      <c r="J12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4" spans="1:10" ht="75" hidden="1">
      <c r="A124" s="24" t="s">
        <v>888</v>
      </c>
      <c r="B124" s="5" t="str">
        <f>IFERROR(INDEX(Projetos!$B$3:$B$129,MATCH(Tb_Alinhamento[[#This Row],[SEI]],Projetos!$A$3:$A$129,0))," ")</f>
        <v>Central de Regulação de Vagas (sistema penal)</v>
      </c>
      <c r="C124" s="7" t="s">
        <v>75</v>
      </c>
      <c r="D124" t="str">
        <f>$E$1&amp;Tb_Alinhamento[[#This Row],[SEI]]</f>
        <v>2024174663/2024</v>
      </c>
      <c r="E124" s="24">
        <f>IFERROR(INDEX(Atualizações!$Q$1:$Q$1265,MATCH(D124,Atualizações!$P$1:$P$1265,0)),"0")</f>
        <v>1</v>
      </c>
      <c r="F124" t="str">
        <f>$G$1&amp;Tb_Alinhamento[[#This Row],[SEI]]</f>
        <v>2025174663/2024</v>
      </c>
      <c r="G124" s="24">
        <f>IFERROR(INDEX(Atualizações!$Q$1:$Q$1265,MATCH(F124,Atualizações!$P$1:$P$1265,0)),"0")</f>
        <v>1</v>
      </c>
      <c r="H124" t="str">
        <f>$I$1&amp;Tb_Alinhamento[[#This Row],[SEI]]</f>
        <v>2026174663/2024</v>
      </c>
      <c r="I124" s="24" t="str">
        <f>IFERROR(INDEX(Atualizações!$Q$1:$Q$1265,MATCH(H124,Atualizações!$P$1:$P$1265,0)),"0")</f>
        <v>0</v>
      </c>
      <c r="J12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5" spans="1:10" ht="30" hidden="1">
      <c r="A125" s="24" t="s">
        <v>893</v>
      </c>
      <c r="B125" s="5" t="str">
        <f>IFERROR(INDEX(Projetos!$B$3:$B$129,MATCH(Tb_Alinhamento[[#This Row],[SEI]],Projetos!$A$3:$A$129,0))," ")</f>
        <v>Ação Nacional de Trabalho e Renda (sistema penal)</v>
      </c>
      <c r="C125" s="7" t="s">
        <v>240</v>
      </c>
      <c r="D125" t="str">
        <f>$E$1&amp;Tb_Alinhamento[[#This Row],[SEI]]</f>
        <v>2024174664/2024</v>
      </c>
      <c r="E125" s="24">
        <f>IFERROR(INDEX(Atualizações!$Q$1:$Q$1265,MATCH(D125,Atualizações!$P$1:$P$1265,0)),"0")</f>
        <v>1</v>
      </c>
      <c r="F125" t="str">
        <f>$G$1&amp;Tb_Alinhamento[[#This Row],[SEI]]</f>
        <v>2025174664/2024</v>
      </c>
      <c r="G125" s="24">
        <f>IFERROR(INDEX(Atualizações!$Q$1:$Q$1265,MATCH(F125,Atualizações!$P$1:$P$1265,0)),"0")</f>
        <v>1</v>
      </c>
      <c r="H125" t="str">
        <f>$I$1&amp;Tb_Alinhamento[[#This Row],[SEI]]</f>
        <v>2026174664/2024</v>
      </c>
      <c r="I125" s="24" t="str">
        <f>IFERROR(INDEX(Atualizações!$Q$1:$Q$1265,MATCH(H125,Atualizações!$P$1:$P$1265,0)),"0")</f>
        <v>0</v>
      </c>
      <c r="J12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6" spans="1:10" ht="75" hidden="1">
      <c r="A126" s="24" t="s">
        <v>893</v>
      </c>
      <c r="B126" s="5" t="str">
        <f>IFERROR(INDEX(Projetos!$B$3:$B$129,MATCH(Tb_Alinhamento[[#This Row],[SEI]],Projetos!$A$3:$A$129,0))," ")</f>
        <v>Ação Nacional de Trabalho e Renda (sistema penal)</v>
      </c>
      <c r="C126" s="7" t="s">
        <v>75</v>
      </c>
      <c r="D126" t="str">
        <f>$E$1&amp;Tb_Alinhamento[[#This Row],[SEI]]</f>
        <v>2024174664/2024</v>
      </c>
      <c r="E126" s="24">
        <f>IFERROR(INDEX(Atualizações!$Q$1:$Q$1265,MATCH(D126,Atualizações!$P$1:$P$1265,0)),"0")</f>
        <v>1</v>
      </c>
      <c r="F126" t="str">
        <f>$G$1&amp;Tb_Alinhamento[[#This Row],[SEI]]</f>
        <v>2025174664/2024</v>
      </c>
      <c r="G126" s="24">
        <f>IFERROR(INDEX(Atualizações!$Q$1:$Q$1265,MATCH(F126,Atualizações!$P$1:$P$1265,0)),"0")</f>
        <v>1</v>
      </c>
      <c r="H126" t="str">
        <f>$I$1&amp;Tb_Alinhamento[[#This Row],[SEI]]</f>
        <v>2026174664/2024</v>
      </c>
      <c r="I126" s="24" t="str">
        <f>IFERROR(INDEX(Atualizações!$Q$1:$Q$1265,MATCH(H126,Atualizações!$P$1:$P$1265,0)),"0")</f>
        <v>0</v>
      </c>
      <c r="J12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7" spans="1:10" ht="30" hidden="1">
      <c r="A127" s="24" t="s">
        <v>897</v>
      </c>
      <c r="B127" s="5" t="str">
        <f>IFERROR(INDEX(Projetos!$B$3:$B$129,MATCH(Tb_Alinhamento[[#This Row],[SEI]],Projetos!$A$3:$A$129,0))," ")</f>
        <v>Plano Nacional de Fomento à Leitura (sistema penal)</v>
      </c>
      <c r="C127" s="7" t="s">
        <v>240</v>
      </c>
      <c r="D127" t="str">
        <f>$E$1&amp;Tb_Alinhamento[[#This Row],[SEI]]</f>
        <v>2024174665/2024</v>
      </c>
      <c r="E127" s="24">
        <f>IFERROR(INDEX(Atualizações!$Q$1:$Q$1265,MATCH(D127,Atualizações!$P$1:$P$1265,0)),"0")</f>
        <v>1</v>
      </c>
      <c r="F127" t="str">
        <f>$G$1&amp;Tb_Alinhamento[[#This Row],[SEI]]</f>
        <v>2025174665/2024</v>
      </c>
      <c r="G127" s="24" t="str">
        <f>IFERROR(INDEX(Atualizações!$Q$1:$Q$1265,MATCH(F127,Atualizações!$P$1:$P$1265,0)),"0")</f>
        <v>0</v>
      </c>
      <c r="H127" t="str">
        <f>$I$1&amp;Tb_Alinhamento[[#This Row],[SEI]]</f>
        <v>2026174665/2024</v>
      </c>
      <c r="I127" s="24" t="str">
        <f>IFERROR(INDEX(Atualizações!$Q$1:$Q$1265,MATCH(H127,Atualizações!$P$1:$P$1265,0)),"0")</f>
        <v>0</v>
      </c>
      <c r="J12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8" spans="1:10" ht="75" hidden="1">
      <c r="A128" s="24" t="s">
        <v>897</v>
      </c>
      <c r="B128" s="5" t="str">
        <f>IFERROR(INDEX(Projetos!$B$3:$B$129,MATCH(Tb_Alinhamento[[#This Row],[SEI]],Projetos!$A$3:$A$129,0))," ")</f>
        <v>Plano Nacional de Fomento à Leitura (sistema penal)</v>
      </c>
      <c r="C128" s="7" t="s">
        <v>75</v>
      </c>
      <c r="D128" t="str">
        <f>$E$1&amp;Tb_Alinhamento[[#This Row],[SEI]]</f>
        <v>2024174665/2024</v>
      </c>
      <c r="E128" s="24">
        <f>IFERROR(INDEX(Atualizações!$Q$1:$Q$1265,MATCH(D128,Atualizações!$P$1:$P$1265,0)),"0")</f>
        <v>1</v>
      </c>
      <c r="F128" t="str">
        <f>$G$1&amp;Tb_Alinhamento[[#This Row],[SEI]]</f>
        <v>2025174665/2024</v>
      </c>
      <c r="G128" s="24" t="str">
        <f>IFERROR(INDEX(Atualizações!$Q$1:$Q$1265,MATCH(F128,Atualizações!$P$1:$P$1265,0)),"0")</f>
        <v>0</v>
      </c>
      <c r="H128" t="str">
        <f>$I$1&amp;Tb_Alinhamento[[#This Row],[SEI]]</f>
        <v>2026174665/2024</v>
      </c>
      <c r="I128" s="24" t="str">
        <f>IFERROR(INDEX(Atualizações!$Q$1:$Q$1265,MATCH(H128,Atualizações!$P$1:$P$1265,0)),"0")</f>
        <v>0</v>
      </c>
      <c r="J12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29" spans="1:10" ht="30">
      <c r="A129" s="24" t="s">
        <v>58</v>
      </c>
      <c r="B129" s="5" t="str">
        <f>_xlfn.XLOOKUP(Tb_Alinhamento[[#This Row],[SEI]],Tb_Portfólio[SEI],Tb_Portfólio[PROJETO],"Não cadastrado")</f>
        <v>Phase-out: Transição Projetos X Operação</v>
      </c>
      <c r="C129" s="7" t="s">
        <v>176</v>
      </c>
      <c r="D129" t="str">
        <f>$E$1&amp;Tb_Alinhamento[[#This Row],[SEI]]</f>
        <v>202400030/2025</v>
      </c>
      <c r="E129" s="24" t="str">
        <f>IFERROR(INDEX(Atualizações!$Q$1:$Q$1265,MATCH(D129,Atualizações!$P$1:$P$1265,0)),"0")</f>
        <v>0</v>
      </c>
      <c r="F129" t="str">
        <f>$G$1&amp;Tb_Alinhamento[[#This Row],[SEI]]</f>
        <v>202500030/2025</v>
      </c>
      <c r="G129" s="24">
        <f>IFERROR(INDEX(Atualizações!$Q$1:$Q$1265,MATCH(F129,Atualizações!$P$1:$P$1265,0)),"0")</f>
        <v>1</v>
      </c>
      <c r="H129" t="str">
        <f>$I$1&amp;Tb_Alinhamento[[#This Row],[SEI]]</f>
        <v>202600030/2025</v>
      </c>
      <c r="I129" s="24">
        <f>IFERROR(INDEX(Atualizações!$Q$1:$Q$1265,MATCH(H129,Atualizações!$P$1:$P$1265,0)),"0")</f>
        <v>1</v>
      </c>
      <c r="J12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30" spans="1:10" ht="30">
      <c r="A130" s="24" t="s">
        <v>58</v>
      </c>
      <c r="B130" s="5" t="str">
        <f>_xlfn.XLOOKUP(Tb_Alinhamento[[#This Row],[SEI]],Tb_Portfólio[SEI],Tb_Portfólio[PROJETO],"Não cadastrado")</f>
        <v>Phase-out: Transição Projetos X Operação</v>
      </c>
      <c r="C130" s="7" t="s">
        <v>146</v>
      </c>
      <c r="D130" t="str">
        <f>$E$1&amp;Tb_Alinhamento[[#This Row],[SEI]]</f>
        <v>202400030/2025</v>
      </c>
      <c r="E130" s="24" t="str">
        <f>IFERROR(INDEX(Atualizações!$Q$1:$Q$1265,MATCH(D130,Atualizações!$P$1:$P$1265,0)),"0")</f>
        <v>0</v>
      </c>
      <c r="F130" t="str">
        <f>$G$1&amp;Tb_Alinhamento[[#This Row],[SEI]]</f>
        <v>202500030/2025</v>
      </c>
      <c r="G130" s="24">
        <f>IFERROR(INDEX(Atualizações!$Q$1:$Q$1265,MATCH(F130,Atualizações!$P$1:$P$1265,0)),"0")</f>
        <v>1</v>
      </c>
      <c r="H130" t="str">
        <f>$I$1&amp;Tb_Alinhamento[[#This Row],[SEI]]</f>
        <v>202600030/2025</v>
      </c>
      <c r="I130" s="24">
        <f>IFERROR(INDEX(Atualizações!$Q$1:$Q$1265,MATCH(H130,Atualizações!$P$1:$P$1265,0)),"0")</f>
        <v>1</v>
      </c>
      <c r="J13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31" spans="1:10" ht="30" hidden="1">
      <c r="A131" s="24" t="s">
        <v>905</v>
      </c>
      <c r="B131" s="5" t="str">
        <f>IFERROR(INDEX(Projetos!$B$3:$B$129,MATCH(Tb_Alinhamento[[#This Row],[SEI]],Projetos!$A$3:$A$129,0))," ")</f>
        <v>Atenção às Pessoas Egressas e Escritório Social (sistema penal)</v>
      </c>
      <c r="C131" s="7" t="s">
        <v>240</v>
      </c>
      <c r="D131" t="str">
        <f>$E$1&amp;Tb_Alinhamento[[#This Row],[SEI]]</f>
        <v>2024174667/2024</v>
      </c>
      <c r="E131" s="24">
        <f>IFERROR(INDEX(Atualizações!$Q$1:$Q$1265,MATCH(D131,Atualizações!$P$1:$P$1265,0)),"0")</f>
        <v>1</v>
      </c>
      <c r="F131" t="str">
        <f>$G$1&amp;Tb_Alinhamento[[#This Row],[SEI]]</f>
        <v>2025174667/2024</v>
      </c>
      <c r="G131" s="24" t="str">
        <f>IFERROR(INDEX(Atualizações!$Q$1:$Q$1265,MATCH(F131,Atualizações!$P$1:$P$1265,0)),"0")</f>
        <v>0</v>
      </c>
      <c r="H131" t="str">
        <f>$I$1&amp;Tb_Alinhamento[[#This Row],[SEI]]</f>
        <v>2026174667/2024</v>
      </c>
      <c r="I131" s="24" t="str">
        <f>IFERROR(INDEX(Atualizações!$Q$1:$Q$1265,MATCH(H131,Atualizações!$P$1:$P$1265,0)),"0")</f>
        <v>0</v>
      </c>
      <c r="J13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2" spans="1:10" ht="75" hidden="1">
      <c r="A132" s="24" t="s">
        <v>905</v>
      </c>
      <c r="B132" s="5" t="str">
        <f>IFERROR(INDEX(Projetos!$B$3:$B$129,MATCH(Tb_Alinhamento[[#This Row],[SEI]],Projetos!$A$3:$A$129,0))," ")</f>
        <v>Atenção às Pessoas Egressas e Escritório Social (sistema penal)</v>
      </c>
      <c r="C132" s="7" t="s">
        <v>75</v>
      </c>
      <c r="D132" t="str">
        <f>$E$1&amp;Tb_Alinhamento[[#This Row],[SEI]]</f>
        <v>2024174667/2024</v>
      </c>
      <c r="E132" s="24">
        <f>IFERROR(INDEX(Atualizações!$Q$1:$Q$1265,MATCH(D132,Atualizações!$P$1:$P$1265,0)),"0")</f>
        <v>1</v>
      </c>
      <c r="F132" t="str">
        <f>$G$1&amp;Tb_Alinhamento[[#This Row],[SEI]]</f>
        <v>2025174667/2024</v>
      </c>
      <c r="G132" s="24" t="str">
        <f>IFERROR(INDEX(Atualizações!$Q$1:$Q$1265,MATCH(F132,Atualizações!$P$1:$P$1265,0)),"0")</f>
        <v>0</v>
      </c>
      <c r="H132" t="str">
        <f>$I$1&amp;Tb_Alinhamento[[#This Row],[SEI]]</f>
        <v>2026174667/2024</v>
      </c>
      <c r="I132" s="24" t="str">
        <f>IFERROR(INDEX(Atualizações!$Q$1:$Q$1265,MATCH(H132,Atualizações!$P$1:$P$1265,0)),"0")</f>
        <v>0</v>
      </c>
      <c r="J13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3" spans="1:10" ht="30" hidden="1">
      <c r="A133" s="24" t="s">
        <v>909</v>
      </c>
      <c r="B133" s="5" t="str">
        <f>IFERROR(INDEX(Projetos!$B$3:$B$129,MATCH(Tb_Alinhamento[[#This Row],[SEI]],Projetos!$A$3:$A$129,0))," ")</f>
        <v>Fortalecimento da Participação Social (sistema penal)</v>
      </c>
      <c r="C133" s="7" t="s">
        <v>240</v>
      </c>
      <c r="D133" t="str">
        <f>$E$1&amp;Tb_Alinhamento[[#This Row],[SEI]]</f>
        <v>2024174668/2024</v>
      </c>
      <c r="E133" s="24">
        <f>IFERROR(INDEX(Atualizações!$Q$1:$Q$1265,MATCH(D133,Atualizações!$P$1:$P$1265,0)),"0")</f>
        <v>1</v>
      </c>
      <c r="F133" t="str">
        <f>$G$1&amp;Tb_Alinhamento[[#This Row],[SEI]]</f>
        <v>2025174668/2024</v>
      </c>
      <c r="G133" s="24" t="str">
        <f>IFERROR(INDEX(Atualizações!$Q$1:$Q$1265,MATCH(F133,Atualizações!$P$1:$P$1265,0)),"0")</f>
        <v>0</v>
      </c>
      <c r="H133" t="str">
        <f>$I$1&amp;Tb_Alinhamento[[#This Row],[SEI]]</f>
        <v>2026174668/2024</v>
      </c>
      <c r="I133" s="24" t="str">
        <f>IFERROR(INDEX(Atualizações!$Q$1:$Q$1265,MATCH(H133,Atualizações!$P$1:$P$1265,0)),"0")</f>
        <v>0</v>
      </c>
      <c r="J13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4" spans="1:10" ht="75" hidden="1">
      <c r="A134" s="24" t="s">
        <v>909</v>
      </c>
      <c r="B134" s="5" t="str">
        <f>IFERROR(INDEX(Projetos!$B$3:$B$129,MATCH(Tb_Alinhamento[[#This Row],[SEI]],Projetos!$A$3:$A$129,0))," ")</f>
        <v>Fortalecimento da Participação Social (sistema penal)</v>
      </c>
      <c r="C134" s="7" t="s">
        <v>75</v>
      </c>
      <c r="D134" t="str">
        <f>$E$1&amp;Tb_Alinhamento[[#This Row],[SEI]]</f>
        <v>2024174668/2024</v>
      </c>
      <c r="E134" s="24">
        <f>IFERROR(INDEX(Atualizações!$Q$1:$Q$1265,MATCH(D134,Atualizações!$P$1:$P$1265,0)),"0")</f>
        <v>1</v>
      </c>
      <c r="F134" t="str">
        <f>$G$1&amp;Tb_Alinhamento[[#This Row],[SEI]]</f>
        <v>2025174668/2024</v>
      </c>
      <c r="G134" s="24" t="str">
        <f>IFERROR(INDEX(Atualizações!$Q$1:$Q$1265,MATCH(F134,Atualizações!$P$1:$P$1265,0)),"0")</f>
        <v>0</v>
      </c>
      <c r="H134" t="str">
        <f>$I$1&amp;Tb_Alinhamento[[#This Row],[SEI]]</f>
        <v>2026174668/2024</v>
      </c>
      <c r="I134" s="24" t="str">
        <f>IFERROR(INDEX(Atualizações!$Q$1:$Q$1265,MATCH(H134,Atualizações!$P$1:$P$1265,0)),"0")</f>
        <v>0</v>
      </c>
      <c r="J13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5" spans="1:10" ht="30" hidden="1">
      <c r="A135" s="24" t="s">
        <v>913</v>
      </c>
      <c r="B135" s="5" t="str">
        <f>IFERROR(INDEX(Projetos!$B$3:$B$129,MATCH(Tb_Alinhamento[[#This Row],[SEI]],Projetos!$A$3:$A$129,0))," ")</f>
        <v>Comitê de Políticas Penais (sistema penal)</v>
      </c>
      <c r="C135" s="7" t="s">
        <v>240</v>
      </c>
      <c r="D135" t="str">
        <f>$E$1&amp;Tb_Alinhamento[[#This Row],[SEI]]</f>
        <v>2024174669/2024</v>
      </c>
      <c r="E135" s="24">
        <f>IFERROR(INDEX(Atualizações!$Q$1:$Q$1265,MATCH(D135,Atualizações!$P$1:$P$1265,0)),"0")</f>
        <v>1</v>
      </c>
      <c r="F135" t="str">
        <f>$G$1&amp;Tb_Alinhamento[[#This Row],[SEI]]</f>
        <v>2025174669/2024</v>
      </c>
      <c r="G135" s="24" t="str">
        <f>IFERROR(INDEX(Atualizações!$Q$1:$Q$1265,MATCH(F135,Atualizações!$P$1:$P$1265,0)),"0")</f>
        <v>0</v>
      </c>
      <c r="H135" t="str">
        <f>$I$1&amp;Tb_Alinhamento[[#This Row],[SEI]]</f>
        <v>2026174669/2024</v>
      </c>
      <c r="I135" s="24" t="str">
        <f>IFERROR(INDEX(Atualizações!$Q$1:$Q$1265,MATCH(H135,Atualizações!$P$1:$P$1265,0)),"0")</f>
        <v>0</v>
      </c>
      <c r="J13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6" spans="1:10" ht="75" hidden="1">
      <c r="A136" s="24" t="s">
        <v>913</v>
      </c>
      <c r="B136" s="5" t="str">
        <f>IFERROR(INDEX(Projetos!$B$3:$B$129,MATCH(Tb_Alinhamento[[#This Row],[SEI]],Projetos!$A$3:$A$129,0))," ")</f>
        <v>Comitê de Políticas Penais (sistema penal)</v>
      </c>
      <c r="C136" s="7" t="s">
        <v>75</v>
      </c>
      <c r="D136" t="str">
        <f>$E$1&amp;Tb_Alinhamento[[#This Row],[SEI]]</f>
        <v>2024174669/2024</v>
      </c>
      <c r="E136" s="24">
        <f>IFERROR(INDEX(Atualizações!$Q$1:$Q$1265,MATCH(D136,Atualizações!$P$1:$P$1265,0)),"0")</f>
        <v>1</v>
      </c>
      <c r="F136" t="str">
        <f>$G$1&amp;Tb_Alinhamento[[#This Row],[SEI]]</f>
        <v>2025174669/2024</v>
      </c>
      <c r="G136" s="24" t="str">
        <f>IFERROR(INDEX(Atualizações!$Q$1:$Q$1265,MATCH(F136,Atualizações!$P$1:$P$1265,0)),"0")</f>
        <v>0</v>
      </c>
      <c r="H136" t="str">
        <f>$I$1&amp;Tb_Alinhamento[[#This Row],[SEI]]</f>
        <v>2026174669/2024</v>
      </c>
      <c r="I136" s="24" t="str">
        <f>IFERROR(INDEX(Atualizações!$Q$1:$Q$1265,MATCH(H136,Atualizações!$P$1:$P$1265,0)),"0")</f>
        <v>0</v>
      </c>
      <c r="J13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7" spans="1:10" ht="30" hidden="1">
      <c r="A137" s="24" t="s">
        <v>796</v>
      </c>
      <c r="B137" s="5" t="str">
        <f>IFERROR(INDEX(Projetos!$B$3:$B$129,MATCH(Tb_Alinhamento[[#This Row],[SEI]],Projetos!$A$3:$A$129,0))," ")</f>
        <v>Mutirão Processual Penal (sistema penal)</v>
      </c>
      <c r="C137" s="7" t="s">
        <v>240</v>
      </c>
      <c r="D137" t="str">
        <f>$E$1&amp;Tb_Alinhamento[[#This Row],[SEI]]</f>
        <v>20241746610/2024</v>
      </c>
      <c r="E137" s="24">
        <f>IFERROR(INDEX(Atualizações!$Q$1:$Q$1265,MATCH(D137,Atualizações!$P$1:$P$1265,0)),"0")</f>
        <v>1</v>
      </c>
      <c r="F137" t="str">
        <f>$G$1&amp;Tb_Alinhamento[[#This Row],[SEI]]</f>
        <v>20251746610/2024</v>
      </c>
      <c r="G137" s="24" t="str">
        <f>IFERROR(INDEX(Atualizações!$Q$1:$Q$1265,MATCH(F137,Atualizações!$P$1:$P$1265,0)),"0")</f>
        <v>0</v>
      </c>
      <c r="H137" t="str">
        <f>$I$1&amp;Tb_Alinhamento[[#This Row],[SEI]]</f>
        <v>20261746610/2024</v>
      </c>
      <c r="I137" s="24" t="str">
        <f>IFERROR(INDEX(Atualizações!$Q$1:$Q$1265,MATCH(H137,Atualizações!$P$1:$P$1265,0)),"0")</f>
        <v>0</v>
      </c>
      <c r="J13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8" spans="1:10" ht="75" hidden="1">
      <c r="A138" s="24" t="s">
        <v>796</v>
      </c>
      <c r="B138" s="5" t="str">
        <f>IFERROR(INDEX(Projetos!$B$3:$B$129,MATCH(Tb_Alinhamento[[#This Row],[SEI]],Projetos!$A$3:$A$129,0))," ")</f>
        <v>Mutirão Processual Penal (sistema penal)</v>
      </c>
      <c r="C138" s="7" t="s">
        <v>75</v>
      </c>
      <c r="D138" t="str">
        <f>$E$1&amp;Tb_Alinhamento[[#This Row],[SEI]]</f>
        <v>20241746610/2024</v>
      </c>
      <c r="E138" s="24">
        <f>IFERROR(INDEX(Atualizações!$Q$1:$Q$1265,MATCH(D138,Atualizações!$P$1:$P$1265,0)),"0")</f>
        <v>1</v>
      </c>
      <c r="F138" t="str">
        <f>$G$1&amp;Tb_Alinhamento[[#This Row],[SEI]]</f>
        <v>20251746610/2024</v>
      </c>
      <c r="G138" s="24" t="str">
        <f>IFERROR(INDEX(Atualizações!$Q$1:$Q$1265,MATCH(F138,Atualizações!$P$1:$P$1265,0)),"0")</f>
        <v>0</v>
      </c>
      <c r="H138" t="str">
        <f>$I$1&amp;Tb_Alinhamento[[#This Row],[SEI]]</f>
        <v>20261746610/2024</v>
      </c>
      <c r="I138" s="24" t="str">
        <f>IFERROR(INDEX(Atualizações!$Q$1:$Q$1265,MATCH(H138,Atualizações!$P$1:$P$1265,0)),"0")</f>
        <v>0</v>
      </c>
      <c r="J13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39" spans="1:10" ht="30" hidden="1">
      <c r="A139" s="24" t="s">
        <v>800</v>
      </c>
      <c r="B139" s="5" t="str">
        <f>IFERROR(INDEX(Projetos!$B$3:$B$129,MATCH(Tb_Alinhamento[[#This Row],[SEI]],Projetos!$A$3:$A$129,0))," ")</f>
        <v>Sistema Eletrônico de Execução Unificado - SEEU (sistema penal)</v>
      </c>
      <c r="C139" s="7" t="s">
        <v>240</v>
      </c>
      <c r="D139" t="str">
        <f>$E$1&amp;Tb_Alinhamento[[#This Row],[SEI]]</f>
        <v>20241746611/2024</v>
      </c>
      <c r="E139" s="24">
        <f>IFERROR(INDEX(Atualizações!$Q$1:$Q$1265,MATCH(D139,Atualizações!$P$1:$P$1265,0)),"0")</f>
        <v>1</v>
      </c>
      <c r="F139" t="str">
        <f>$G$1&amp;Tb_Alinhamento[[#This Row],[SEI]]</f>
        <v>20251746611/2024</v>
      </c>
      <c r="G139" s="24" t="str">
        <f>IFERROR(INDEX(Atualizações!$Q$1:$Q$1265,MATCH(F139,Atualizações!$P$1:$P$1265,0)),"0")</f>
        <v>0</v>
      </c>
      <c r="H139" t="str">
        <f>$I$1&amp;Tb_Alinhamento[[#This Row],[SEI]]</f>
        <v>20261746611/2024</v>
      </c>
      <c r="I139" s="24" t="str">
        <f>IFERROR(INDEX(Atualizações!$Q$1:$Q$1265,MATCH(H139,Atualizações!$P$1:$P$1265,0)),"0")</f>
        <v>0</v>
      </c>
      <c r="J13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0" spans="1:10" ht="75" hidden="1">
      <c r="A140" s="24" t="s">
        <v>800</v>
      </c>
      <c r="B140" s="5" t="str">
        <f>IFERROR(INDEX(Projetos!$B$3:$B$129,MATCH(Tb_Alinhamento[[#This Row],[SEI]],Projetos!$A$3:$A$129,0))," ")</f>
        <v>Sistema Eletrônico de Execução Unificado - SEEU (sistema penal)</v>
      </c>
      <c r="C140" s="7" t="s">
        <v>75</v>
      </c>
      <c r="D140" t="str">
        <f>$E$1&amp;Tb_Alinhamento[[#This Row],[SEI]]</f>
        <v>20241746611/2024</v>
      </c>
      <c r="E140" s="24">
        <f>IFERROR(INDEX(Atualizações!$Q$1:$Q$1265,MATCH(D140,Atualizações!$P$1:$P$1265,0)),"0")</f>
        <v>1</v>
      </c>
      <c r="F140" t="str">
        <f>$G$1&amp;Tb_Alinhamento[[#This Row],[SEI]]</f>
        <v>20251746611/2024</v>
      </c>
      <c r="G140" s="24" t="str">
        <f>IFERROR(INDEX(Atualizações!$Q$1:$Q$1265,MATCH(F140,Atualizações!$P$1:$P$1265,0)),"0")</f>
        <v>0</v>
      </c>
      <c r="H140" t="str">
        <f>$I$1&amp;Tb_Alinhamento[[#This Row],[SEI]]</f>
        <v>20261746611/2024</v>
      </c>
      <c r="I140" s="24" t="str">
        <f>IFERROR(INDEX(Atualizações!$Q$1:$Q$1265,MATCH(H140,Atualizações!$P$1:$P$1265,0)),"0")</f>
        <v>0</v>
      </c>
      <c r="J14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1" spans="1:10" ht="30" hidden="1">
      <c r="A141" s="24" t="s">
        <v>805</v>
      </c>
      <c r="B141" s="5" t="str">
        <f>IFERROR(INDEX(Projetos!$B$3:$B$129,MATCH(Tb_Alinhamento[[#This Row],[SEI]],Projetos!$A$3:$A$129,0))," ")</f>
        <v>Atendimento Inicial e Núcleo de Atendimento Integrado (sistema socioeducativo)</v>
      </c>
      <c r="C141" s="7" t="s">
        <v>240</v>
      </c>
      <c r="D141" t="str">
        <f>$E$1&amp;Tb_Alinhamento[[#This Row],[SEI]]</f>
        <v>20241746612/2024</v>
      </c>
      <c r="E141" s="24">
        <f>IFERROR(INDEX(Atualizações!$Q$1:$Q$1265,MATCH(D141,Atualizações!$P$1:$P$1265,0)),"0")</f>
        <v>1</v>
      </c>
      <c r="F141" t="str">
        <f>$G$1&amp;Tb_Alinhamento[[#This Row],[SEI]]</f>
        <v>20251746612/2024</v>
      </c>
      <c r="G141" s="24" t="str">
        <f>IFERROR(INDEX(Atualizações!$Q$1:$Q$1265,MATCH(F141,Atualizações!$P$1:$P$1265,0)),"0")</f>
        <v>0</v>
      </c>
      <c r="H141" t="str">
        <f>$I$1&amp;Tb_Alinhamento[[#This Row],[SEI]]</f>
        <v>20261746612/2024</v>
      </c>
      <c r="I141" s="24" t="str">
        <f>IFERROR(INDEX(Atualizações!$Q$1:$Q$1265,MATCH(H141,Atualizações!$P$1:$P$1265,0)),"0")</f>
        <v>0</v>
      </c>
      <c r="J14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2" spans="1:10" ht="75" hidden="1">
      <c r="A142" s="24" t="s">
        <v>805</v>
      </c>
      <c r="B142" s="5" t="str">
        <f>IFERROR(INDEX(Projetos!$B$3:$B$129,MATCH(Tb_Alinhamento[[#This Row],[SEI]],Projetos!$A$3:$A$129,0))," ")</f>
        <v>Atendimento Inicial e Núcleo de Atendimento Integrado (sistema socioeducativo)</v>
      </c>
      <c r="C142" s="7" t="s">
        <v>75</v>
      </c>
      <c r="D142" t="str">
        <f>$E$1&amp;Tb_Alinhamento[[#This Row],[SEI]]</f>
        <v>20241746612/2024</v>
      </c>
      <c r="E142" s="24">
        <f>IFERROR(INDEX(Atualizações!$Q$1:$Q$1265,MATCH(D142,Atualizações!$P$1:$P$1265,0)),"0")</f>
        <v>1</v>
      </c>
      <c r="F142" t="str">
        <f>$G$1&amp;Tb_Alinhamento[[#This Row],[SEI]]</f>
        <v>20251746612/2024</v>
      </c>
      <c r="G142" s="24" t="str">
        <f>IFERROR(INDEX(Atualizações!$Q$1:$Q$1265,MATCH(F142,Atualizações!$P$1:$P$1265,0)),"0")</f>
        <v>0</v>
      </c>
      <c r="H142" t="str">
        <f>$I$1&amp;Tb_Alinhamento[[#This Row],[SEI]]</f>
        <v>20261746612/2024</v>
      </c>
      <c r="I142" s="24" t="str">
        <f>IFERROR(INDEX(Atualizações!$Q$1:$Q$1265,MATCH(H142,Atualizações!$P$1:$P$1265,0)),"0")</f>
        <v>0</v>
      </c>
      <c r="J14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3" spans="1:10" ht="30" hidden="1">
      <c r="A143" s="24" t="s">
        <v>810</v>
      </c>
      <c r="B143" s="5" t="str">
        <f>IFERROR(INDEX(Projetos!$B$3:$B$129,MATCH(Tb_Alinhamento[[#This Row],[SEI]],Projetos!$A$3:$A$129,0))," ")</f>
        <v>Central de Vagas (sistema socioeducativo)</v>
      </c>
      <c r="C143" s="7" t="s">
        <v>240</v>
      </c>
      <c r="D143" t="str">
        <f>$E$1&amp;Tb_Alinhamento[[#This Row],[SEI]]</f>
        <v>20241746613/2024</v>
      </c>
      <c r="E143" s="24">
        <f>IFERROR(INDEX(Atualizações!$Q$1:$Q$1265,MATCH(D143,Atualizações!$P$1:$P$1265,0)),"0")</f>
        <v>1</v>
      </c>
      <c r="F143" t="str">
        <f>$G$1&amp;Tb_Alinhamento[[#This Row],[SEI]]</f>
        <v>20251746613/2024</v>
      </c>
      <c r="G143" s="24" t="str">
        <f>IFERROR(INDEX(Atualizações!$Q$1:$Q$1265,MATCH(F143,Atualizações!$P$1:$P$1265,0)),"0")</f>
        <v>0</v>
      </c>
      <c r="H143" t="str">
        <f>$I$1&amp;Tb_Alinhamento[[#This Row],[SEI]]</f>
        <v>20261746613/2024</v>
      </c>
      <c r="I143" s="24" t="str">
        <f>IFERROR(INDEX(Atualizações!$Q$1:$Q$1265,MATCH(H143,Atualizações!$P$1:$P$1265,0)),"0")</f>
        <v>0</v>
      </c>
      <c r="J14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4" spans="1:10" ht="75" hidden="1">
      <c r="A144" s="24" t="s">
        <v>810</v>
      </c>
      <c r="B144" s="5" t="str">
        <f>IFERROR(INDEX(Projetos!$B$3:$B$129,MATCH(Tb_Alinhamento[[#This Row],[SEI]],Projetos!$A$3:$A$129,0))," ")</f>
        <v>Central de Vagas (sistema socioeducativo)</v>
      </c>
      <c r="C144" s="7" t="s">
        <v>75</v>
      </c>
      <c r="D144" t="str">
        <f>$E$1&amp;Tb_Alinhamento[[#This Row],[SEI]]</f>
        <v>20241746613/2024</v>
      </c>
      <c r="E144" s="24">
        <f>IFERROR(INDEX(Atualizações!$Q$1:$Q$1265,MATCH(D144,Atualizações!$P$1:$P$1265,0)),"0")</f>
        <v>1</v>
      </c>
      <c r="F144" t="str">
        <f>$G$1&amp;Tb_Alinhamento[[#This Row],[SEI]]</f>
        <v>20251746613/2024</v>
      </c>
      <c r="G144" s="24" t="str">
        <f>IFERROR(INDEX(Atualizações!$Q$1:$Q$1265,MATCH(F144,Atualizações!$P$1:$P$1265,0)),"0")</f>
        <v>0</v>
      </c>
      <c r="H144" t="str">
        <f>$I$1&amp;Tb_Alinhamento[[#This Row],[SEI]]</f>
        <v>20261746613/2024</v>
      </c>
      <c r="I144" s="24" t="str">
        <f>IFERROR(INDEX(Atualizações!$Q$1:$Q$1265,MATCH(H144,Atualizações!$P$1:$P$1265,0)),"0")</f>
        <v>0</v>
      </c>
      <c r="J14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5" spans="1:10" ht="30" hidden="1">
      <c r="A145" s="24" t="s">
        <v>814</v>
      </c>
      <c r="B145" s="5" t="str">
        <f>IFERROR(INDEX(Projetos!$B$3:$B$129,MATCH(Tb_Alinhamento[[#This Row],[SEI]],Projetos!$A$3:$A$129,0))," ")</f>
        <v>Audiência Concentrada (sistema socioeducativo)</v>
      </c>
      <c r="C145" s="7" t="s">
        <v>240</v>
      </c>
      <c r="D145" t="str">
        <f>$E$1&amp;Tb_Alinhamento[[#This Row],[SEI]]</f>
        <v>20241746614/2024</v>
      </c>
      <c r="E145" s="24">
        <f>IFERROR(INDEX(Atualizações!$Q$1:$Q$1265,MATCH(D145,Atualizações!$P$1:$P$1265,0)),"0")</f>
        <v>1</v>
      </c>
      <c r="F145" t="str">
        <f>$G$1&amp;Tb_Alinhamento[[#This Row],[SEI]]</f>
        <v>20251746614/2024</v>
      </c>
      <c r="G145" s="24" t="str">
        <f>IFERROR(INDEX(Atualizações!$Q$1:$Q$1265,MATCH(F145,Atualizações!$P$1:$P$1265,0)),"0")</f>
        <v>0</v>
      </c>
      <c r="H145" t="str">
        <f>$I$1&amp;Tb_Alinhamento[[#This Row],[SEI]]</f>
        <v>20261746614/2024</v>
      </c>
      <c r="I145" s="24" t="str">
        <f>IFERROR(INDEX(Atualizações!$Q$1:$Q$1265,MATCH(H145,Atualizações!$P$1:$P$1265,0)),"0")</f>
        <v>0</v>
      </c>
      <c r="J14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6" spans="1:10" ht="75" hidden="1">
      <c r="A146" s="24" t="s">
        <v>814</v>
      </c>
      <c r="B146" s="5" t="str">
        <f>IFERROR(INDEX(Projetos!$B$3:$B$129,MATCH(Tb_Alinhamento[[#This Row],[SEI]],Projetos!$A$3:$A$129,0))," ")</f>
        <v>Audiência Concentrada (sistema socioeducativo)</v>
      </c>
      <c r="C146" s="7" t="s">
        <v>75</v>
      </c>
      <c r="D146" t="str">
        <f>$E$1&amp;Tb_Alinhamento[[#This Row],[SEI]]</f>
        <v>20241746614/2024</v>
      </c>
      <c r="E146" s="24">
        <f>IFERROR(INDEX(Atualizações!$Q$1:$Q$1265,MATCH(D146,Atualizações!$P$1:$P$1265,0)),"0")</f>
        <v>1</v>
      </c>
      <c r="F146" t="str">
        <f>$G$1&amp;Tb_Alinhamento[[#This Row],[SEI]]</f>
        <v>20251746614/2024</v>
      </c>
      <c r="G146" s="24" t="str">
        <f>IFERROR(INDEX(Atualizações!$Q$1:$Q$1265,MATCH(F146,Atualizações!$P$1:$P$1265,0)),"0")</f>
        <v>0</v>
      </c>
      <c r="H146" t="str">
        <f>$I$1&amp;Tb_Alinhamento[[#This Row],[SEI]]</f>
        <v>20261746614/2024</v>
      </c>
      <c r="I146" s="24" t="str">
        <f>IFERROR(INDEX(Atualizações!$Q$1:$Q$1265,MATCH(H146,Atualizações!$P$1:$P$1265,0)),"0")</f>
        <v>0</v>
      </c>
      <c r="J14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7" spans="1:10" ht="30" hidden="1">
      <c r="A147" s="24" t="s">
        <v>818</v>
      </c>
      <c r="B147" s="5" t="str">
        <f>IFERROR(INDEX(Projetos!$B$3:$B$129,MATCH(Tb_Alinhamento[[#This Row],[SEI]],Projetos!$A$3:$A$129,0))," ")</f>
        <v>Programa Pós-medida (sistema socioeducativo)</v>
      </c>
      <c r="C147" s="7" t="s">
        <v>240</v>
      </c>
      <c r="D147" t="str">
        <f>$E$1&amp;Tb_Alinhamento[[#This Row],[SEI]]</f>
        <v>20241746615/2024</v>
      </c>
      <c r="E147" s="24">
        <f>IFERROR(INDEX(Atualizações!$Q$1:$Q$1265,MATCH(D147,Atualizações!$P$1:$P$1265,0)),"0")</f>
        <v>1</v>
      </c>
      <c r="F147" t="str">
        <f>$G$1&amp;Tb_Alinhamento[[#This Row],[SEI]]</f>
        <v>20251746615/2024</v>
      </c>
      <c r="G147" s="24" t="str">
        <f>IFERROR(INDEX(Atualizações!$Q$1:$Q$1265,MATCH(F147,Atualizações!$P$1:$P$1265,0)),"0")</f>
        <v>0</v>
      </c>
      <c r="H147" t="str">
        <f>$I$1&amp;Tb_Alinhamento[[#This Row],[SEI]]</f>
        <v>20261746615/2024</v>
      </c>
      <c r="I147" s="24" t="str">
        <f>IFERROR(INDEX(Atualizações!$Q$1:$Q$1265,MATCH(H147,Atualizações!$P$1:$P$1265,0)),"0")</f>
        <v>0</v>
      </c>
      <c r="J14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8" spans="1:10" ht="75" hidden="1">
      <c r="A148" s="24" t="s">
        <v>818</v>
      </c>
      <c r="B148" s="5" t="str">
        <f>IFERROR(INDEX(Projetos!$B$3:$B$129,MATCH(Tb_Alinhamento[[#This Row],[SEI]],Projetos!$A$3:$A$129,0))," ")</f>
        <v>Programa Pós-medida (sistema socioeducativo)</v>
      </c>
      <c r="C148" s="7" t="s">
        <v>75</v>
      </c>
      <c r="D148" t="str">
        <f>$E$1&amp;Tb_Alinhamento[[#This Row],[SEI]]</f>
        <v>20241746615/2024</v>
      </c>
      <c r="E148" s="24">
        <f>IFERROR(INDEX(Atualizações!$Q$1:$Q$1265,MATCH(D148,Atualizações!$P$1:$P$1265,0)),"0")</f>
        <v>1</v>
      </c>
      <c r="F148" t="str">
        <f>$G$1&amp;Tb_Alinhamento[[#This Row],[SEI]]</f>
        <v>20251746615/2024</v>
      </c>
      <c r="G148" s="24" t="str">
        <f>IFERROR(INDEX(Atualizações!$Q$1:$Q$1265,MATCH(F148,Atualizações!$P$1:$P$1265,0)),"0")</f>
        <v>0</v>
      </c>
      <c r="H148" t="str">
        <f>$I$1&amp;Tb_Alinhamento[[#This Row],[SEI]]</f>
        <v>20261746615/2024</v>
      </c>
      <c r="I148" s="24" t="str">
        <f>IFERROR(INDEX(Atualizações!$Q$1:$Q$1265,MATCH(H148,Atualizações!$P$1:$P$1265,0)),"0")</f>
        <v>0</v>
      </c>
      <c r="J14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49" spans="1:10" ht="30" hidden="1">
      <c r="A149" s="24" t="s">
        <v>822</v>
      </c>
      <c r="B149" s="5" t="str">
        <f>IFERROR(INDEX(Projetos!$B$3:$B$129,MATCH(Tb_Alinhamento[[#This Row],[SEI]],Projetos!$A$3:$A$129,0))," ")</f>
        <v>Ação Nacional de Cultura (sistema socioeducativo)</v>
      </c>
      <c r="C149" s="7" t="s">
        <v>240</v>
      </c>
      <c r="D149" t="str">
        <f>$E$1&amp;Tb_Alinhamento[[#This Row],[SEI]]</f>
        <v>20241746616/2024</v>
      </c>
      <c r="E149" s="24">
        <f>IFERROR(INDEX(Atualizações!$Q$1:$Q$1265,MATCH(D149,Atualizações!$P$1:$P$1265,0)),"0")</f>
        <v>1</v>
      </c>
      <c r="F149" t="str">
        <f>$G$1&amp;Tb_Alinhamento[[#This Row],[SEI]]</f>
        <v>20251746616/2024</v>
      </c>
      <c r="G149" s="24" t="str">
        <f>IFERROR(INDEX(Atualizações!$Q$1:$Q$1265,MATCH(F149,Atualizações!$P$1:$P$1265,0)),"0")</f>
        <v>0</v>
      </c>
      <c r="H149" t="str">
        <f>$I$1&amp;Tb_Alinhamento[[#This Row],[SEI]]</f>
        <v>20261746616/2024</v>
      </c>
      <c r="I149" s="24" t="str">
        <f>IFERROR(INDEX(Atualizações!$Q$1:$Q$1265,MATCH(H149,Atualizações!$P$1:$P$1265,0)),"0")</f>
        <v>0</v>
      </c>
      <c r="J14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0" spans="1:10" ht="75" hidden="1">
      <c r="A150" s="24" t="s">
        <v>822</v>
      </c>
      <c r="B150" s="5" t="str">
        <f>IFERROR(INDEX(Projetos!$B$3:$B$129,MATCH(Tb_Alinhamento[[#This Row],[SEI]],Projetos!$A$3:$A$129,0))," ")</f>
        <v>Ação Nacional de Cultura (sistema socioeducativo)</v>
      </c>
      <c r="C150" s="7" t="s">
        <v>75</v>
      </c>
      <c r="D150" t="str">
        <f>$E$1&amp;Tb_Alinhamento[[#This Row],[SEI]]</f>
        <v>20241746616/2024</v>
      </c>
      <c r="E150" s="24">
        <f>IFERROR(INDEX(Atualizações!$Q$1:$Q$1265,MATCH(D150,Atualizações!$P$1:$P$1265,0)),"0")</f>
        <v>1</v>
      </c>
      <c r="F150" t="str">
        <f>$G$1&amp;Tb_Alinhamento[[#This Row],[SEI]]</f>
        <v>20251746616/2024</v>
      </c>
      <c r="G150" s="24" t="str">
        <f>IFERROR(INDEX(Atualizações!$Q$1:$Q$1265,MATCH(F150,Atualizações!$P$1:$P$1265,0)),"0")</f>
        <v>0</v>
      </c>
      <c r="H150" t="str">
        <f>$I$1&amp;Tb_Alinhamento[[#This Row],[SEI]]</f>
        <v>20261746616/2024</v>
      </c>
      <c r="I150" s="24" t="str">
        <f>IFERROR(INDEX(Atualizações!$Q$1:$Q$1265,MATCH(H150,Atualizações!$P$1:$P$1265,0)),"0")</f>
        <v>0</v>
      </c>
      <c r="J15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1" spans="1:10" ht="30" hidden="1">
      <c r="A151" s="24" t="s">
        <v>826</v>
      </c>
      <c r="B151" s="5" t="str">
        <f>IFERROR(INDEX(Projetos!$B$3:$B$129,MATCH(Tb_Alinhamento[[#This Row],[SEI]],Projetos!$A$3:$A$129,0))," ")</f>
        <v>Aprendizagem (sistema socioeducativo)</v>
      </c>
      <c r="C151" s="7" t="s">
        <v>240</v>
      </c>
      <c r="D151" t="str">
        <f>$E$1&amp;Tb_Alinhamento[[#This Row],[SEI]]</f>
        <v>20241746617/2024</v>
      </c>
      <c r="E151" s="24">
        <f>IFERROR(INDEX(Atualizações!$Q$1:$Q$1265,MATCH(D151,Atualizações!$P$1:$P$1265,0)),"0")</f>
        <v>1</v>
      </c>
      <c r="F151" t="str">
        <f>$G$1&amp;Tb_Alinhamento[[#This Row],[SEI]]</f>
        <v>20251746617/2024</v>
      </c>
      <c r="G151" s="24" t="str">
        <f>IFERROR(INDEX(Atualizações!$Q$1:$Q$1265,MATCH(F151,Atualizações!$P$1:$P$1265,0)),"0")</f>
        <v>0</v>
      </c>
      <c r="H151" t="str">
        <f>$I$1&amp;Tb_Alinhamento[[#This Row],[SEI]]</f>
        <v>20261746617/2024</v>
      </c>
      <c r="I151" s="24" t="str">
        <f>IFERROR(INDEX(Atualizações!$Q$1:$Q$1265,MATCH(H151,Atualizações!$P$1:$P$1265,0)),"0")</f>
        <v>0</v>
      </c>
      <c r="J15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2" spans="1:10" ht="75" hidden="1">
      <c r="A152" s="24" t="s">
        <v>826</v>
      </c>
      <c r="B152" s="5" t="str">
        <f>IFERROR(INDEX(Projetos!$B$3:$B$129,MATCH(Tb_Alinhamento[[#This Row],[SEI]],Projetos!$A$3:$A$129,0))," ")</f>
        <v>Aprendizagem (sistema socioeducativo)</v>
      </c>
      <c r="C152" s="7" t="s">
        <v>75</v>
      </c>
      <c r="D152" t="str">
        <f>$E$1&amp;Tb_Alinhamento[[#This Row],[SEI]]</f>
        <v>20241746617/2024</v>
      </c>
      <c r="E152" s="24">
        <f>IFERROR(INDEX(Atualizações!$Q$1:$Q$1265,MATCH(D152,Atualizações!$P$1:$P$1265,0)),"0")</f>
        <v>1</v>
      </c>
      <c r="F152" t="str">
        <f>$G$1&amp;Tb_Alinhamento[[#This Row],[SEI]]</f>
        <v>20251746617/2024</v>
      </c>
      <c r="G152" s="24" t="str">
        <f>IFERROR(INDEX(Atualizações!$Q$1:$Q$1265,MATCH(F152,Atualizações!$P$1:$P$1265,0)),"0")</f>
        <v>0</v>
      </c>
      <c r="H152" t="str">
        <f>$I$1&amp;Tb_Alinhamento[[#This Row],[SEI]]</f>
        <v>20261746617/2024</v>
      </c>
      <c r="I152" s="24" t="str">
        <f>IFERROR(INDEX(Atualizações!$Q$1:$Q$1265,MATCH(H152,Atualizações!$P$1:$P$1265,0)),"0")</f>
        <v>0</v>
      </c>
      <c r="J15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3" spans="1:10" ht="30" hidden="1">
      <c r="A153" s="24" t="s">
        <v>830</v>
      </c>
      <c r="B153" s="5" t="str">
        <f>IFERROR(INDEX(Projetos!$B$3:$B$129,MATCH(Tb_Alinhamento[[#This Row],[SEI]],Projetos!$A$3:$A$129,0))," ")</f>
        <v>Plataforma Socioeducativa (sistema socioeducativo)</v>
      </c>
      <c r="C153" s="7" t="s">
        <v>240</v>
      </c>
      <c r="D153" t="str">
        <f>$E$1&amp;Tb_Alinhamento[[#This Row],[SEI]]</f>
        <v>20241746618/2024</v>
      </c>
      <c r="E153" s="24">
        <f>IFERROR(INDEX(Atualizações!$Q$1:$Q$1265,MATCH(D153,Atualizações!$P$1:$P$1265,0)),"0")</f>
        <v>1</v>
      </c>
      <c r="F153" t="str">
        <f>$G$1&amp;Tb_Alinhamento[[#This Row],[SEI]]</f>
        <v>20251746618/2024</v>
      </c>
      <c r="G153" s="24" t="str">
        <f>IFERROR(INDEX(Atualizações!$Q$1:$Q$1265,MATCH(F153,Atualizações!$P$1:$P$1265,0)),"0")</f>
        <v>0</v>
      </c>
      <c r="H153" t="str">
        <f>$I$1&amp;Tb_Alinhamento[[#This Row],[SEI]]</f>
        <v>20261746618/2024</v>
      </c>
      <c r="I153" s="24" t="str">
        <f>IFERROR(INDEX(Atualizações!$Q$1:$Q$1265,MATCH(H153,Atualizações!$P$1:$P$1265,0)),"0")</f>
        <v>0</v>
      </c>
      <c r="J15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4" spans="1:10" ht="75" hidden="1">
      <c r="A154" s="24" t="s">
        <v>830</v>
      </c>
      <c r="B154" s="5" t="str">
        <f>IFERROR(INDEX(Projetos!$B$3:$B$129,MATCH(Tb_Alinhamento[[#This Row],[SEI]],Projetos!$A$3:$A$129,0))," ")</f>
        <v>Plataforma Socioeducativa (sistema socioeducativo)</v>
      </c>
      <c r="C154" s="7" t="s">
        <v>75</v>
      </c>
      <c r="D154" t="str">
        <f>$E$1&amp;Tb_Alinhamento[[#This Row],[SEI]]</f>
        <v>20241746618/2024</v>
      </c>
      <c r="E154" s="24">
        <f>IFERROR(INDEX(Atualizações!$Q$1:$Q$1265,MATCH(D154,Atualizações!$P$1:$P$1265,0)),"0")</f>
        <v>1</v>
      </c>
      <c r="F154" t="str">
        <f>$G$1&amp;Tb_Alinhamento[[#This Row],[SEI]]</f>
        <v>20251746618/2024</v>
      </c>
      <c r="G154" s="24" t="str">
        <f>IFERROR(INDEX(Atualizações!$Q$1:$Q$1265,MATCH(F154,Atualizações!$P$1:$P$1265,0)),"0")</f>
        <v>0</v>
      </c>
      <c r="H154" t="str">
        <f>$I$1&amp;Tb_Alinhamento[[#This Row],[SEI]]</f>
        <v>20261746618/2024</v>
      </c>
      <c r="I154" s="24" t="str">
        <f>IFERROR(INDEX(Atualizações!$Q$1:$Q$1265,MATCH(H154,Atualizações!$P$1:$P$1265,0)),"0")</f>
        <v>0</v>
      </c>
      <c r="J15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5" spans="1:10" ht="30" hidden="1">
      <c r="A155" s="24" t="s">
        <v>834</v>
      </c>
      <c r="B155" s="5" t="str">
        <f>IFERROR(INDEX(Projetos!$B$3:$B$129,MATCH(Tb_Alinhamento[[#This Row],[SEI]],Projetos!$A$3:$A$129,0))," ")</f>
        <v>Inspeção Judicial</v>
      </c>
      <c r="C155" s="7" t="s">
        <v>240</v>
      </c>
      <c r="D155" t="str">
        <f>$E$1&amp;Tb_Alinhamento[[#This Row],[SEI]]</f>
        <v>20241746619/2024</v>
      </c>
      <c r="E155" s="24">
        <f>IFERROR(INDEX(Atualizações!$Q$1:$Q$1265,MATCH(D155,Atualizações!$P$1:$P$1265,0)),"0")</f>
        <v>1</v>
      </c>
      <c r="F155" t="str">
        <f>$G$1&amp;Tb_Alinhamento[[#This Row],[SEI]]</f>
        <v>20251746619/2024</v>
      </c>
      <c r="G155" s="24">
        <f>IFERROR(INDEX(Atualizações!$Q$1:$Q$1265,MATCH(F155,Atualizações!$P$1:$P$1265,0)),"0")</f>
        <v>1</v>
      </c>
      <c r="H155" t="str">
        <f>$I$1&amp;Tb_Alinhamento[[#This Row],[SEI]]</f>
        <v>20261746619/2024</v>
      </c>
      <c r="I155" s="24" t="str">
        <f>IFERROR(INDEX(Atualizações!$Q$1:$Q$1265,MATCH(H155,Atualizações!$P$1:$P$1265,0)),"0")</f>
        <v>0</v>
      </c>
      <c r="J15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6" spans="1:10" ht="75" hidden="1">
      <c r="A156" s="24" t="s">
        <v>834</v>
      </c>
      <c r="B156" s="5" t="str">
        <f>IFERROR(INDEX(Projetos!$B$3:$B$129,MATCH(Tb_Alinhamento[[#This Row],[SEI]],Projetos!$A$3:$A$129,0))," ")</f>
        <v>Inspeção Judicial</v>
      </c>
      <c r="C156" s="7" t="s">
        <v>75</v>
      </c>
      <c r="D156" t="str">
        <f>$E$1&amp;Tb_Alinhamento[[#This Row],[SEI]]</f>
        <v>20241746619/2024</v>
      </c>
      <c r="E156" s="24">
        <f>IFERROR(INDEX(Atualizações!$Q$1:$Q$1265,MATCH(D156,Atualizações!$P$1:$P$1265,0)),"0")</f>
        <v>1</v>
      </c>
      <c r="F156" t="str">
        <f>$G$1&amp;Tb_Alinhamento[[#This Row],[SEI]]</f>
        <v>20251746619/2024</v>
      </c>
      <c r="G156" s="24">
        <f>IFERROR(INDEX(Atualizações!$Q$1:$Q$1265,MATCH(F156,Atualizações!$P$1:$P$1265,0)),"0")</f>
        <v>1</v>
      </c>
      <c r="H156" t="str">
        <f>$I$1&amp;Tb_Alinhamento[[#This Row],[SEI]]</f>
        <v>20261746619/2024</v>
      </c>
      <c r="I156" s="24" t="str">
        <f>IFERROR(INDEX(Atualizações!$Q$1:$Q$1265,MATCH(H156,Atualizações!$P$1:$P$1265,0)),"0")</f>
        <v>0</v>
      </c>
      <c r="J15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57" spans="1:10" ht="30">
      <c r="A157" s="24" t="s">
        <v>517</v>
      </c>
      <c r="B157" s="5" t="str">
        <f>_xlfn.XLOOKUP(Tb_Alinhamento[[#This Row],[SEI]],Tb_Portfólio[SEI],Tb_Portfólio[PROJETO],"Não cadastrado")</f>
        <v>Domicílio Judicial Eletrônico - Melhorias Evolutivas</v>
      </c>
      <c r="C157" s="7" t="s">
        <v>176</v>
      </c>
      <c r="D157" t="str">
        <f>$E$1&amp;Tb_Alinhamento[[#This Row],[SEI]]</f>
        <v>202409445/2023</v>
      </c>
      <c r="E157" s="24" t="str">
        <f>IFERROR(INDEX(Atualizações!$Q$1:$Q$1265,MATCH(D157,Atualizações!$P$1:$P$1265,0)),"0")</f>
        <v>0</v>
      </c>
      <c r="F157" t="str">
        <f>$G$1&amp;Tb_Alinhamento[[#This Row],[SEI]]</f>
        <v>202509445/2023</v>
      </c>
      <c r="G157" s="24">
        <f>IFERROR(INDEX(Atualizações!$Q$1:$Q$1265,MATCH(F157,Atualizações!$P$1:$P$1265,0)),"0")</f>
        <v>1</v>
      </c>
      <c r="H157" t="str">
        <f>$I$1&amp;Tb_Alinhamento[[#This Row],[SEI]]</f>
        <v>202609445/2023</v>
      </c>
      <c r="I157" s="24">
        <f>IFERROR(INDEX(Atualizações!$Q$1:$Q$1265,MATCH(H157,Atualizações!$P$1:$P$1265,0)),"0")</f>
        <v>1</v>
      </c>
      <c r="J15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58" spans="1:10">
      <c r="A158" s="24" t="s">
        <v>517</v>
      </c>
      <c r="B158" s="5" t="str">
        <f>_xlfn.XLOOKUP(Tb_Alinhamento[[#This Row],[SEI]],Tb_Portfólio[SEI],Tb_Portfólio[PROJETO],"Não cadastrado")</f>
        <v>Domicílio Judicial Eletrônico - Melhorias Evolutivas</v>
      </c>
      <c r="C158" s="7" t="s">
        <v>105</v>
      </c>
      <c r="D158" t="str">
        <f>$E$1&amp;Tb_Alinhamento[[#This Row],[SEI]]</f>
        <v>202409445/2023</v>
      </c>
      <c r="E158" s="24" t="str">
        <f>IFERROR(INDEX(Atualizações!$Q$1:$Q$1265,MATCH(D158,Atualizações!$P$1:$P$1265,0)),"0")</f>
        <v>0</v>
      </c>
      <c r="F158" t="str">
        <f>$G$1&amp;Tb_Alinhamento[[#This Row],[SEI]]</f>
        <v>202509445/2023</v>
      </c>
      <c r="G158" s="24">
        <f>IFERROR(INDEX(Atualizações!$Q$1:$Q$1265,MATCH(F158,Atualizações!$P$1:$P$1265,0)),"0")</f>
        <v>1</v>
      </c>
      <c r="H158" t="str">
        <f>$I$1&amp;Tb_Alinhamento[[#This Row],[SEI]]</f>
        <v>202609445/2023</v>
      </c>
      <c r="I158" s="24">
        <f>IFERROR(INDEX(Atualizações!$Q$1:$Q$1265,MATCH(H158,Atualizações!$P$1:$P$1265,0)),"0")</f>
        <v>1</v>
      </c>
      <c r="J15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59" spans="1:10" ht="30" hidden="1">
      <c r="A159" s="24" t="s">
        <v>849</v>
      </c>
      <c r="B159" s="5" t="str">
        <f>IFERROR(INDEX(Projetos!$B$3:$B$129,MATCH(Tb_Alinhamento[[#This Row],[SEI]],Projetos!$A$3:$A$129,0))," ")</f>
        <v>Populações com Vulnerabilidade Acrescida</v>
      </c>
      <c r="C159" s="7" t="s">
        <v>240</v>
      </c>
      <c r="D159" t="str">
        <f>$E$1&amp;Tb_Alinhamento[[#This Row],[SEI]]</f>
        <v>20241746621/2024</v>
      </c>
      <c r="E159" s="24">
        <f>IFERROR(INDEX(Atualizações!$Q$1:$Q$1265,MATCH(D159,Atualizações!$P$1:$P$1265,0)),"0")</f>
        <v>1</v>
      </c>
      <c r="F159" t="str">
        <f>$G$1&amp;Tb_Alinhamento[[#This Row],[SEI]]</f>
        <v>20251746621/2024</v>
      </c>
      <c r="G159" s="24" t="str">
        <f>IFERROR(INDEX(Atualizações!$Q$1:$Q$1265,MATCH(F159,Atualizações!$P$1:$P$1265,0)),"0")</f>
        <v>0</v>
      </c>
      <c r="H159" t="str">
        <f>$I$1&amp;Tb_Alinhamento[[#This Row],[SEI]]</f>
        <v>20261746621/2024</v>
      </c>
      <c r="I159" s="24" t="str">
        <f>IFERROR(INDEX(Atualizações!$Q$1:$Q$1265,MATCH(H159,Atualizações!$P$1:$P$1265,0)),"0")</f>
        <v>0</v>
      </c>
      <c r="J15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0" spans="1:10" ht="75" hidden="1">
      <c r="A160" s="24" t="s">
        <v>849</v>
      </c>
      <c r="B160" s="5" t="str">
        <f>IFERROR(INDEX(Projetos!$B$3:$B$129,MATCH(Tb_Alinhamento[[#This Row],[SEI]],Projetos!$A$3:$A$129,0))," ")</f>
        <v>Populações com Vulnerabilidade Acrescida</v>
      </c>
      <c r="C160" s="7" t="s">
        <v>75</v>
      </c>
      <c r="D160" t="str">
        <f>$E$1&amp;Tb_Alinhamento[[#This Row],[SEI]]</f>
        <v>20241746621/2024</v>
      </c>
      <c r="E160" s="24">
        <f>IFERROR(INDEX(Atualizações!$Q$1:$Q$1265,MATCH(D160,Atualizações!$P$1:$P$1265,0)),"0")</f>
        <v>1</v>
      </c>
      <c r="F160" t="str">
        <f>$G$1&amp;Tb_Alinhamento[[#This Row],[SEI]]</f>
        <v>20251746621/2024</v>
      </c>
      <c r="G160" s="24" t="str">
        <f>IFERROR(INDEX(Atualizações!$Q$1:$Q$1265,MATCH(F160,Atualizações!$P$1:$P$1265,0)),"0")</f>
        <v>0</v>
      </c>
      <c r="H160" t="str">
        <f>$I$1&amp;Tb_Alinhamento[[#This Row],[SEI]]</f>
        <v>20261746621/2024</v>
      </c>
      <c r="I160" s="24" t="str">
        <f>IFERROR(INDEX(Atualizações!$Q$1:$Q$1265,MATCH(H160,Atualizações!$P$1:$P$1265,0)),"0")</f>
        <v>0</v>
      </c>
      <c r="J16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1" spans="1:10" ht="30" hidden="1">
      <c r="A161" s="24" t="s">
        <v>853</v>
      </c>
      <c r="B161" s="5" t="str">
        <f>IFERROR(INDEX(Projetos!$B$3:$B$129,MATCH(Tb_Alinhamento[[#This Row],[SEI]],Projetos!$A$3:$A$129,0))," ")</f>
        <v>Saúde Mental</v>
      </c>
      <c r="C161" s="7" t="s">
        <v>240</v>
      </c>
      <c r="D161" t="str">
        <f>$E$1&amp;Tb_Alinhamento[[#This Row],[SEI]]</f>
        <v>20241746622/2024</v>
      </c>
      <c r="E161" s="24">
        <f>IFERROR(INDEX(Atualizações!$Q$1:$Q$1265,MATCH(D161,Atualizações!$P$1:$P$1265,0)),"0")</f>
        <v>1</v>
      </c>
      <c r="F161" t="str">
        <f>$G$1&amp;Tb_Alinhamento[[#This Row],[SEI]]</f>
        <v>20251746622/2024</v>
      </c>
      <c r="G161" s="24" t="str">
        <f>IFERROR(INDEX(Atualizações!$Q$1:$Q$1265,MATCH(F161,Atualizações!$P$1:$P$1265,0)),"0")</f>
        <v>0</v>
      </c>
      <c r="H161" t="str">
        <f>$I$1&amp;Tb_Alinhamento[[#This Row],[SEI]]</f>
        <v>20261746622/2024</v>
      </c>
      <c r="I161" s="24" t="str">
        <f>IFERROR(INDEX(Atualizações!$Q$1:$Q$1265,MATCH(H161,Atualizações!$P$1:$P$1265,0)),"0")</f>
        <v>0</v>
      </c>
      <c r="J16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2" spans="1:10" ht="75" hidden="1">
      <c r="A162" s="24" t="s">
        <v>853</v>
      </c>
      <c r="B162" s="5" t="str">
        <f>IFERROR(INDEX(Projetos!$B$3:$B$129,MATCH(Tb_Alinhamento[[#This Row],[SEI]],Projetos!$A$3:$A$129,0))," ")</f>
        <v>Saúde Mental</v>
      </c>
      <c r="C162" s="7" t="s">
        <v>75</v>
      </c>
      <c r="D162" t="str">
        <f>$E$1&amp;Tb_Alinhamento[[#This Row],[SEI]]</f>
        <v>20241746622/2024</v>
      </c>
      <c r="E162" s="24">
        <f>IFERROR(INDEX(Atualizações!$Q$1:$Q$1265,MATCH(D162,Atualizações!$P$1:$P$1265,0)),"0")</f>
        <v>1</v>
      </c>
      <c r="F162" t="str">
        <f>$G$1&amp;Tb_Alinhamento[[#This Row],[SEI]]</f>
        <v>20251746622/2024</v>
      </c>
      <c r="G162" s="24" t="str">
        <f>IFERROR(INDEX(Atualizações!$Q$1:$Q$1265,MATCH(F162,Atualizações!$P$1:$P$1265,0)),"0")</f>
        <v>0</v>
      </c>
      <c r="H162" t="str">
        <f>$I$1&amp;Tb_Alinhamento[[#This Row],[SEI]]</f>
        <v>20261746622/2024</v>
      </c>
      <c r="I162" s="24" t="str">
        <f>IFERROR(INDEX(Atualizações!$Q$1:$Q$1265,MATCH(H162,Atualizações!$P$1:$P$1265,0)),"0")</f>
        <v>0</v>
      </c>
      <c r="J16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3" spans="1:10" ht="30" hidden="1">
      <c r="A163" s="24" t="s">
        <v>857</v>
      </c>
      <c r="B163" s="5" t="str">
        <f>IFERROR(INDEX(Projetos!$B$3:$B$129,MATCH(Tb_Alinhamento[[#This Row],[SEI]],Projetos!$A$3:$A$129,0))," ")</f>
        <v>Políticas de Drogas</v>
      </c>
      <c r="C163" s="7" t="s">
        <v>240</v>
      </c>
      <c r="D163" t="str">
        <f>$E$1&amp;Tb_Alinhamento[[#This Row],[SEI]]</f>
        <v>20241746623/2024</v>
      </c>
      <c r="E163" s="24">
        <f>IFERROR(INDEX(Atualizações!$Q$1:$Q$1265,MATCH(D163,Atualizações!$P$1:$P$1265,0)),"0")</f>
        <v>1</v>
      </c>
      <c r="F163" t="str">
        <f>$G$1&amp;Tb_Alinhamento[[#This Row],[SEI]]</f>
        <v>20251746623/2024</v>
      </c>
      <c r="G163" s="24" t="str">
        <f>IFERROR(INDEX(Atualizações!$Q$1:$Q$1265,MATCH(F163,Atualizações!$P$1:$P$1265,0)),"0")</f>
        <v>0</v>
      </c>
      <c r="H163" t="str">
        <f>$I$1&amp;Tb_Alinhamento[[#This Row],[SEI]]</f>
        <v>20261746623/2024</v>
      </c>
      <c r="I163" s="24" t="str">
        <f>IFERROR(INDEX(Atualizações!$Q$1:$Q$1265,MATCH(H163,Atualizações!$P$1:$P$1265,0)),"0")</f>
        <v>0</v>
      </c>
      <c r="J16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4" spans="1:10" ht="75" hidden="1">
      <c r="A164" s="24" t="s">
        <v>857</v>
      </c>
      <c r="B164" s="5" t="str">
        <f>IFERROR(INDEX(Projetos!$B$3:$B$129,MATCH(Tb_Alinhamento[[#This Row],[SEI]],Projetos!$A$3:$A$129,0))," ")</f>
        <v>Políticas de Drogas</v>
      </c>
      <c r="C164" s="7" t="s">
        <v>75</v>
      </c>
      <c r="D164" t="str">
        <f>$E$1&amp;Tb_Alinhamento[[#This Row],[SEI]]</f>
        <v>20241746623/2024</v>
      </c>
      <c r="E164" s="24">
        <f>IFERROR(INDEX(Atualizações!$Q$1:$Q$1265,MATCH(D164,Atualizações!$P$1:$P$1265,0)),"0")</f>
        <v>1</v>
      </c>
      <c r="F164" t="str">
        <f>$G$1&amp;Tb_Alinhamento[[#This Row],[SEI]]</f>
        <v>20251746623/2024</v>
      </c>
      <c r="G164" s="24" t="str">
        <f>IFERROR(INDEX(Atualizações!$Q$1:$Q$1265,MATCH(F164,Atualizações!$P$1:$P$1265,0)),"0")</f>
        <v>0</v>
      </c>
      <c r="H164" t="str">
        <f>$I$1&amp;Tb_Alinhamento[[#This Row],[SEI]]</f>
        <v>20261746623/2024</v>
      </c>
      <c r="I164" s="24" t="str">
        <f>IFERROR(INDEX(Atualizações!$Q$1:$Q$1265,MATCH(H164,Atualizações!$P$1:$P$1265,0)),"0")</f>
        <v>0</v>
      </c>
      <c r="J16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5" spans="1:10" ht="30" hidden="1">
      <c r="A165" s="24" t="s">
        <v>861</v>
      </c>
      <c r="B165" s="5" t="str">
        <f>IFERROR(INDEX(Projetos!$B$3:$B$129,MATCH(Tb_Alinhamento[[#This Row],[SEI]],Projetos!$A$3:$A$129,0))," ")</f>
        <v>Documentação Civil</v>
      </c>
      <c r="C165" s="7" t="s">
        <v>240</v>
      </c>
      <c r="D165" t="str">
        <f>$E$1&amp;Tb_Alinhamento[[#This Row],[SEI]]</f>
        <v>20241746624/2024</v>
      </c>
      <c r="E165" s="24">
        <f>IFERROR(INDEX(Atualizações!$Q$1:$Q$1265,MATCH(D165,Atualizações!$P$1:$P$1265,0)),"0")</f>
        <v>1</v>
      </c>
      <c r="F165" t="str">
        <f>$G$1&amp;Tb_Alinhamento[[#This Row],[SEI]]</f>
        <v>20251746624/2024</v>
      </c>
      <c r="G165" s="24" t="str">
        <f>IFERROR(INDEX(Atualizações!$Q$1:$Q$1265,MATCH(F165,Atualizações!$P$1:$P$1265,0)),"0")</f>
        <v>0</v>
      </c>
      <c r="H165" t="str">
        <f>$I$1&amp;Tb_Alinhamento[[#This Row],[SEI]]</f>
        <v>20261746624/2024</v>
      </c>
      <c r="I165" s="24" t="str">
        <f>IFERROR(INDEX(Atualizações!$Q$1:$Q$1265,MATCH(H165,Atualizações!$P$1:$P$1265,0)),"0")</f>
        <v>0</v>
      </c>
      <c r="J16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6" spans="1:10" ht="75" hidden="1">
      <c r="A166" s="24" t="s">
        <v>861</v>
      </c>
      <c r="B166" s="5" t="str">
        <f>IFERROR(INDEX(Projetos!$B$3:$B$129,MATCH(Tb_Alinhamento[[#This Row],[SEI]],Projetos!$A$3:$A$129,0))," ")</f>
        <v>Documentação Civil</v>
      </c>
      <c r="C166" s="7" t="s">
        <v>75</v>
      </c>
      <c r="D166" t="str">
        <f>$E$1&amp;Tb_Alinhamento[[#This Row],[SEI]]</f>
        <v>20241746624/2024</v>
      </c>
      <c r="E166" s="24">
        <f>IFERROR(INDEX(Atualizações!$Q$1:$Q$1265,MATCH(D166,Atualizações!$P$1:$P$1265,0)),"0")</f>
        <v>1</v>
      </c>
      <c r="F166" t="str">
        <f>$G$1&amp;Tb_Alinhamento[[#This Row],[SEI]]</f>
        <v>20251746624/2024</v>
      </c>
      <c r="G166" s="24" t="str">
        <f>IFERROR(INDEX(Atualizações!$Q$1:$Q$1265,MATCH(F166,Atualizações!$P$1:$P$1265,0)),"0")</f>
        <v>0</v>
      </c>
      <c r="H166" t="str">
        <f>$I$1&amp;Tb_Alinhamento[[#This Row],[SEI]]</f>
        <v>20261746624/2024</v>
      </c>
      <c r="I166" s="24" t="str">
        <f>IFERROR(INDEX(Atualizações!$Q$1:$Q$1265,MATCH(H166,Atualizações!$P$1:$P$1265,0)),"0")</f>
        <v>0</v>
      </c>
      <c r="J16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67" spans="1:10" ht="30">
      <c r="A167" s="24" t="s">
        <v>396</v>
      </c>
      <c r="B167" s="5" t="str">
        <f>_xlfn.XLOOKUP(Tb_Alinhamento[[#This Row],[SEI]],Tb_Portfólio[SEI],Tb_Portfólio[PROJETO],"Não cadastrado")</f>
        <v>CODEX - Melhorias Evolutivas e Corretivas</v>
      </c>
      <c r="C167" s="7" t="s">
        <v>176</v>
      </c>
      <c r="D167" t="str">
        <f>$E$1&amp;Tb_Alinhamento[[#This Row],[SEI]]</f>
        <v>202404751/2022</v>
      </c>
      <c r="E167" s="24" t="str">
        <f>IFERROR(INDEX(Atualizações!$Q$1:$Q$1265,MATCH(D167,Atualizações!$P$1:$P$1265,0)),"0")</f>
        <v>0</v>
      </c>
      <c r="F167" t="str">
        <f>$G$1&amp;Tb_Alinhamento[[#This Row],[SEI]]</f>
        <v>202504751/2022</v>
      </c>
      <c r="G167" s="24">
        <f>IFERROR(INDEX(Atualizações!$Q$1:$Q$1265,MATCH(F167,Atualizações!$P$1:$P$1265,0)),"0")</f>
        <v>1</v>
      </c>
      <c r="H167" t="str">
        <f>$I$1&amp;Tb_Alinhamento[[#This Row],[SEI]]</f>
        <v>202604751/2022</v>
      </c>
      <c r="I167" s="24">
        <f>IFERROR(INDEX(Atualizações!$Q$1:$Q$1265,MATCH(H167,Atualizações!$P$1:$P$1265,0)),"0")</f>
        <v>1</v>
      </c>
      <c r="J16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68" spans="1:10">
      <c r="A168" s="24" t="s">
        <v>396</v>
      </c>
      <c r="B168" s="5" t="str">
        <f>_xlfn.XLOOKUP(Tb_Alinhamento[[#This Row],[SEI]],Tb_Portfólio[SEI],Tb_Portfólio[PROJETO],"Não cadastrado")</f>
        <v>CODEX - Melhorias Evolutivas e Corretivas</v>
      </c>
      <c r="C168" s="7" t="s">
        <v>105</v>
      </c>
      <c r="D168" t="str">
        <f>$E$1&amp;Tb_Alinhamento[[#This Row],[SEI]]</f>
        <v>202404751/2022</v>
      </c>
      <c r="E168" s="24" t="str">
        <f>IFERROR(INDEX(Atualizações!$Q$1:$Q$1265,MATCH(D168,Atualizações!$P$1:$P$1265,0)),"0")</f>
        <v>0</v>
      </c>
      <c r="F168" t="str">
        <f>$G$1&amp;Tb_Alinhamento[[#This Row],[SEI]]</f>
        <v>202504751/2022</v>
      </c>
      <c r="G168" s="24">
        <f>IFERROR(INDEX(Atualizações!$Q$1:$Q$1265,MATCH(F168,Atualizações!$P$1:$P$1265,0)),"0")</f>
        <v>1</v>
      </c>
      <c r="H168" t="str">
        <f>$I$1&amp;Tb_Alinhamento[[#This Row],[SEI]]</f>
        <v>202604751/2022</v>
      </c>
      <c r="I168" s="24">
        <f>IFERROR(INDEX(Atualizações!$Q$1:$Q$1265,MATCH(H168,Atualizações!$P$1:$P$1265,0)),"0")</f>
        <v>1</v>
      </c>
      <c r="J16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69" spans="1:10" ht="30" hidden="1">
      <c r="A169" s="24" t="s">
        <v>870</v>
      </c>
      <c r="B169" s="5" t="str">
        <f>IFERROR(INDEX(Projetos!$B$3:$B$129,MATCH(Tb_Alinhamento[[#This Row],[SEI]],Projetos!$A$3:$A$129,0))," ")</f>
        <v>Grupo de Monitoramento e Fiscalização - GMF</v>
      </c>
      <c r="C169" s="7" t="s">
        <v>240</v>
      </c>
      <c r="D169" t="str">
        <f>$E$1&amp;Tb_Alinhamento[[#This Row],[SEI]]</f>
        <v>20241746626/2024</v>
      </c>
      <c r="E169" s="24">
        <f>IFERROR(INDEX(Atualizações!$Q$1:$Q$1265,MATCH(D169,Atualizações!$P$1:$P$1265,0)),"0")</f>
        <v>1</v>
      </c>
      <c r="F169" t="str">
        <f>$G$1&amp;Tb_Alinhamento[[#This Row],[SEI]]</f>
        <v>20251746626/2024</v>
      </c>
      <c r="G169" s="24" t="str">
        <f>IFERROR(INDEX(Atualizações!$Q$1:$Q$1265,MATCH(F169,Atualizações!$P$1:$P$1265,0)),"0")</f>
        <v>0</v>
      </c>
      <c r="H169" t="str">
        <f>$I$1&amp;Tb_Alinhamento[[#This Row],[SEI]]</f>
        <v>20261746626/2024</v>
      </c>
      <c r="I169" s="24" t="str">
        <f>IFERROR(INDEX(Atualizações!$Q$1:$Q$1265,MATCH(H169,Atualizações!$P$1:$P$1265,0)),"0")</f>
        <v>0</v>
      </c>
      <c r="J16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0" spans="1:10" ht="75" hidden="1">
      <c r="A170" s="24" t="s">
        <v>870</v>
      </c>
      <c r="B170" s="5" t="str">
        <f>IFERROR(INDEX(Projetos!$B$3:$B$129,MATCH(Tb_Alinhamento[[#This Row],[SEI]],Projetos!$A$3:$A$129,0))," ")</f>
        <v>Grupo de Monitoramento e Fiscalização - GMF</v>
      </c>
      <c r="C170" s="7" t="s">
        <v>75</v>
      </c>
      <c r="D170" t="str">
        <f>$E$1&amp;Tb_Alinhamento[[#This Row],[SEI]]</f>
        <v>20241746626/2024</v>
      </c>
      <c r="E170" s="24">
        <f>IFERROR(INDEX(Atualizações!$Q$1:$Q$1265,MATCH(D170,Atualizações!$P$1:$P$1265,0)),"0")</f>
        <v>1</v>
      </c>
      <c r="F170" t="str">
        <f>$G$1&amp;Tb_Alinhamento[[#This Row],[SEI]]</f>
        <v>20251746626/2024</v>
      </c>
      <c r="G170" s="24" t="str">
        <f>IFERROR(INDEX(Atualizações!$Q$1:$Q$1265,MATCH(F170,Atualizações!$P$1:$P$1265,0)),"0")</f>
        <v>0</v>
      </c>
      <c r="H170" t="str">
        <f>$I$1&amp;Tb_Alinhamento[[#This Row],[SEI]]</f>
        <v>20261746626/2024</v>
      </c>
      <c r="I170" s="24" t="str">
        <f>IFERROR(INDEX(Atualizações!$Q$1:$Q$1265,MATCH(H170,Atualizações!$P$1:$P$1265,0)),"0")</f>
        <v>0</v>
      </c>
      <c r="J17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1" spans="1:10" ht="30" hidden="1">
      <c r="A171" s="24" t="s">
        <v>874</v>
      </c>
      <c r="B171" s="5" t="str">
        <f>IFERROR(INDEX(Projetos!$B$3:$B$129,MATCH(Tb_Alinhamento[[#This Row],[SEI]],Projetos!$A$3:$A$129,0))," ")</f>
        <v>Formação e Cultura Institucional</v>
      </c>
      <c r="C171" s="7" t="s">
        <v>240</v>
      </c>
      <c r="D171" t="str">
        <f>$E$1&amp;Tb_Alinhamento[[#This Row],[SEI]]</f>
        <v>20241746627/2024</v>
      </c>
      <c r="E171" s="24">
        <f>IFERROR(INDEX(Atualizações!$Q$1:$Q$1265,MATCH(D171,Atualizações!$P$1:$P$1265,0)),"0")</f>
        <v>1</v>
      </c>
      <c r="F171" t="str">
        <f>$G$1&amp;Tb_Alinhamento[[#This Row],[SEI]]</f>
        <v>20251746627/2024</v>
      </c>
      <c r="G171" s="24" t="str">
        <f>IFERROR(INDEX(Atualizações!$Q$1:$Q$1265,MATCH(F171,Atualizações!$P$1:$P$1265,0)),"0")</f>
        <v>0</v>
      </c>
      <c r="H171" t="str">
        <f>$I$1&amp;Tb_Alinhamento[[#This Row],[SEI]]</f>
        <v>20261746627/2024</v>
      </c>
      <c r="I171" s="24" t="str">
        <f>IFERROR(INDEX(Atualizações!$Q$1:$Q$1265,MATCH(H171,Atualizações!$P$1:$P$1265,0)),"0")</f>
        <v>0</v>
      </c>
      <c r="J17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2" spans="1:10" ht="75" hidden="1">
      <c r="A172" s="24" t="s">
        <v>874</v>
      </c>
      <c r="B172" s="5" t="str">
        <f>IFERROR(INDEX(Projetos!$B$3:$B$129,MATCH(Tb_Alinhamento[[#This Row],[SEI]],Projetos!$A$3:$A$129,0))," ")</f>
        <v>Formação e Cultura Institucional</v>
      </c>
      <c r="C172" s="7" t="s">
        <v>75</v>
      </c>
      <c r="D172" t="str">
        <f>$E$1&amp;Tb_Alinhamento[[#This Row],[SEI]]</f>
        <v>20241746627/2024</v>
      </c>
      <c r="E172" s="24">
        <f>IFERROR(INDEX(Atualizações!$Q$1:$Q$1265,MATCH(D172,Atualizações!$P$1:$P$1265,0)),"0")</f>
        <v>1</v>
      </c>
      <c r="F172" t="str">
        <f>$G$1&amp;Tb_Alinhamento[[#This Row],[SEI]]</f>
        <v>20251746627/2024</v>
      </c>
      <c r="G172" s="24" t="str">
        <f>IFERROR(INDEX(Atualizações!$Q$1:$Q$1265,MATCH(F172,Atualizações!$P$1:$P$1265,0)),"0")</f>
        <v>0</v>
      </c>
      <c r="H172" t="str">
        <f>$I$1&amp;Tb_Alinhamento[[#This Row],[SEI]]</f>
        <v>20261746627/2024</v>
      </c>
      <c r="I172" s="24" t="str">
        <f>IFERROR(INDEX(Atualizações!$Q$1:$Q$1265,MATCH(H172,Atualizações!$P$1:$P$1265,0)),"0")</f>
        <v>0</v>
      </c>
      <c r="J17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3" spans="1:10" ht="30" hidden="1">
      <c r="A173" s="24" t="s">
        <v>878</v>
      </c>
      <c r="B173" s="5" t="str">
        <f>IFERROR(INDEX(Projetos!$B$3:$B$129,MATCH(Tb_Alinhamento[[#This Row],[SEI]],Projetos!$A$3:$A$129,0))," ")</f>
        <v>Adequação à Lei Geral de Proteção de Dados Pessoais</v>
      </c>
      <c r="C173" s="7" t="s">
        <v>240</v>
      </c>
      <c r="D173" t="str">
        <f>$E$1&amp;Tb_Alinhamento[[#This Row],[SEI]]</f>
        <v>20241746628/2024</v>
      </c>
      <c r="E173" s="24">
        <f>IFERROR(INDEX(Atualizações!$Q$1:$Q$1265,MATCH(D173,Atualizações!$P$1:$P$1265,0)),"0")</f>
        <v>1</v>
      </c>
      <c r="F173" t="str">
        <f>$G$1&amp;Tb_Alinhamento[[#This Row],[SEI]]</f>
        <v>20251746628/2024</v>
      </c>
      <c r="G173" s="24">
        <f>IFERROR(INDEX(Atualizações!$Q$1:$Q$1265,MATCH(F173,Atualizações!$P$1:$P$1265,0)),"0")</f>
        <v>1</v>
      </c>
      <c r="H173" t="str">
        <f>$I$1&amp;Tb_Alinhamento[[#This Row],[SEI]]</f>
        <v>20261746628/2024</v>
      </c>
      <c r="I173" s="24" t="str">
        <f>IFERROR(INDEX(Atualizações!$Q$1:$Q$1265,MATCH(H173,Atualizações!$P$1:$P$1265,0)),"0")</f>
        <v>0</v>
      </c>
      <c r="J17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4" spans="1:10" ht="75" hidden="1">
      <c r="A174" s="24" t="s">
        <v>878</v>
      </c>
      <c r="B174" s="5" t="str">
        <f>IFERROR(INDEX(Projetos!$B$3:$B$129,MATCH(Tb_Alinhamento[[#This Row],[SEI]],Projetos!$A$3:$A$129,0))," ")</f>
        <v>Adequação à Lei Geral de Proteção de Dados Pessoais</v>
      </c>
      <c r="C174" s="7" t="s">
        <v>75</v>
      </c>
      <c r="D174" t="str">
        <f>$E$1&amp;Tb_Alinhamento[[#This Row],[SEI]]</f>
        <v>20241746628/2024</v>
      </c>
      <c r="E174" s="24">
        <f>IFERROR(INDEX(Atualizações!$Q$1:$Q$1265,MATCH(D174,Atualizações!$P$1:$P$1265,0)),"0")</f>
        <v>1</v>
      </c>
      <c r="F174" t="str">
        <f>$G$1&amp;Tb_Alinhamento[[#This Row],[SEI]]</f>
        <v>20251746628/2024</v>
      </c>
      <c r="G174" s="24">
        <f>IFERROR(INDEX(Atualizações!$Q$1:$Q$1265,MATCH(F174,Atualizações!$P$1:$P$1265,0)),"0")</f>
        <v>1</v>
      </c>
      <c r="H174" t="str">
        <f>$I$1&amp;Tb_Alinhamento[[#This Row],[SEI]]</f>
        <v>20261746628/2024</v>
      </c>
      <c r="I174" s="24" t="str">
        <f>IFERROR(INDEX(Atualizações!$Q$1:$Q$1265,MATCH(H174,Atualizações!$P$1:$P$1265,0)),"0")</f>
        <v>0</v>
      </c>
      <c r="J17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175" spans="1:10">
      <c r="A175" s="532" t="s">
        <v>580</v>
      </c>
      <c r="B175" s="5" t="str">
        <f>_xlfn.XLOOKUP(Tb_Alinhamento[[#This Row],[SEI]],Tb_Portfólio[SEI],Tb_Portfólio[PROJETO],"Não cadastrado")</f>
        <v>SireneJud 2.0 - Evoluções</v>
      </c>
      <c r="C175" s="2" t="s">
        <v>1624</v>
      </c>
      <c r="D175" t="str">
        <f>$E$1&amp;Tb_Alinhamento[[#This Row],[SEI]]</f>
        <v>202410698/2024</v>
      </c>
      <c r="E175" s="24" t="str">
        <f>IFERROR(INDEX(Atualizações!$Q$1:$Q$1265,MATCH(D175,Atualizações!$P$1:$P$1265,0)),"0")</f>
        <v>0</v>
      </c>
      <c r="F175" t="str">
        <f>$G$1&amp;Tb_Alinhamento[[#This Row],[SEI]]</f>
        <v>202510698/2024</v>
      </c>
      <c r="G175" s="24">
        <f>IFERROR(INDEX(Atualizações!$Q$1:$Q$1265,MATCH(F175,Atualizações!$P$1:$P$1265,0)),"0")</f>
        <v>1</v>
      </c>
      <c r="H175" t="str">
        <f>$I$1&amp;Tb_Alinhamento[[#This Row],[SEI]]</f>
        <v>202610698/2024</v>
      </c>
      <c r="I175" s="24">
        <f>IFERROR(INDEX(Atualizações!$Q$1:$Q$1265,MATCH(H175,Atualizações!$P$1:$P$1265,0)),"0")</f>
        <v>1</v>
      </c>
      <c r="J17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76" spans="1:10" ht="30">
      <c r="A176" s="24" t="s">
        <v>580</v>
      </c>
      <c r="B176" s="5" t="str">
        <f>_xlfn.XLOOKUP(Tb_Alinhamento[[#This Row],[SEI]],Tb_Portfólio[SEI],Tb_Portfólio[PROJETO],"Não cadastrado")</f>
        <v>SireneJud 2.0 - Evoluções</v>
      </c>
      <c r="C176" s="7" t="s">
        <v>176</v>
      </c>
      <c r="D176" t="str">
        <f>$E$1&amp;Tb_Alinhamento[[#This Row],[SEI]]</f>
        <v>202410698/2024</v>
      </c>
      <c r="E176" s="24" t="str">
        <f>IFERROR(INDEX(Atualizações!$Q$1:$Q$1265,MATCH(D176,Atualizações!$P$1:$P$1265,0)),"0")</f>
        <v>0</v>
      </c>
      <c r="F176" t="str">
        <f>$G$1&amp;Tb_Alinhamento[[#This Row],[SEI]]</f>
        <v>202510698/2024</v>
      </c>
      <c r="G176" s="24">
        <f>IFERROR(INDEX(Atualizações!$Q$1:$Q$1265,MATCH(F176,Atualizações!$P$1:$P$1265,0)),"0")</f>
        <v>1</v>
      </c>
      <c r="H176" t="str">
        <f>$I$1&amp;Tb_Alinhamento[[#This Row],[SEI]]</f>
        <v>202610698/2024</v>
      </c>
      <c r="I176" s="24">
        <f>IFERROR(INDEX(Atualizações!$Q$1:$Q$1265,MATCH(H176,Atualizações!$P$1:$P$1265,0)),"0")</f>
        <v>1</v>
      </c>
      <c r="J17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77" spans="1:10" ht="30" hidden="1">
      <c r="A177" s="24" t="s">
        <v>141</v>
      </c>
      <c r="B177" s="5" t="s">
        <v>142</v>
      </c>
      <c r="C177" s="2" t="s">
        <v>146</v>
      </c>
      <c r="D177" t="str">
        <f>$E$1&amp;Tb_Alinhamento[[#This Row],[SEI]]</f>
        <v>202401179/2023</v>
      </c>
      <c r="E177" s="24">
        <f>IFERROR(INDEX(Atualizações!$Q$1:$Q$1265,MATCH(D177,Atualizações!$P$1:$P$1265,0)),"0")</f>
        <v>1</v>
      </c>
      <c r="F177" t="str">
        <f>$G$1&amp;Tb_Alinhamento[[#This Row],[SEI]]</f>
        <v>202501179/2023</v>
      </c>
      <c r="G177" s="24">
        <f>IFERROR(INDEX(Atualizações!$Q$1:$Q$1265,MATCH(F177,Atualizações!$P$1:$P$1265,0)),"0")</f>
        <v>1</v>
      </c>
      <c r="H177" t="str">
        <f>$I$1&amp;Tb_Alinhamento[[#This Row],[SEI]]</f>
        <v>202601179/2023</v>
      </c>
      <c r="I177" s="24" t="str">
        <f>IFERROR(INDEX(Atualizações!$Q$1:$Q$1265,MATCH(H177,Atualizações!$P$1:$P$1265,0)),"0")</f>
        <v>0</v>
      </c>
      <c r="J17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78" spans="1:10" hidden="1">
      <c r="A178" s="24" t="s">
        <v>141</v>
      </c>
      <c r="B178" s="5" t="s">
        <v>142</v>
      </c>
      <c r="C178" s="2" t="s">
        <v>120</v>
      </c>
      <c r="D178" t="str">
        <f>$E$1&amp;Tb_Alinhamento[[#This Row],[SEI]]</f>
        <v>202401179/2023</v>
      </c>
      <c r="E178" s="24">
        <f>IFERROR(INDEX(Atualizações!$Q$1:$Q$1265,MATCH(D178,Atualizações!$P$1:$P$1265,0)),"0")</f>
        <v>1</v>
      </c>
      <c r="F178" t="str">
        <f>$G$1&amp;Tb_Alinhamento[[#This Row],[SEI]]</f>
        <v>202501179/2023</v>
      </c>
      <c r="G178" s="24">
        <f>IFERROR(INDEX(Atualizações!$Q$1:$Q$1265,MATCH(F178,Atualizações!$P$1:$P$1265,0)),"0")</f>
        <v>1</v>
      </c>
      <c r="H178" t="str">
        <f>$I$1&amp;Tb_Alinhamento[[#This Row],[SEI]]</f>
        <v>202601179/2023</v>
      </c>
      <c r="I178" s="24" t="str">
        <f>IFERROR(INDEX(Atualizações!$Q$1:$Q$1265,MATCH(H178,Atualizações!$P$1:$P$1265,0)),"0")</f>
        <v>0</v>
      </c>
      <c r="J17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79" spans="1:10" ht="45" hidden="1">
      <c r="A179" s="24" t="s">
        <v>369</v>
      </c>
      <c r="B179" s="5" t="s">
        <v>370</v>
      </c>
      <c r="C179" s="2" t="s">
        <v>146</v>
      </c>
      <c r="D179" t="str">
        <f>$E$1&amp;Tb_Alinhamento[[#This Row],[SEI]]</f>
        <v>202403559/2021</v>
      </c>
      <c r="E179" s="24">
        <f>IFERROR(INDEX(Atualizações!$Q$1:$Q$1265,MATCH(D179,Atualizações!$P$1:$P$1265,0)),"0")</f>
        <v>1</v>
      </c>
      <c r="F179" t="str">
        <f>$G$1&amp;Tb_Alinhamento[[#This Row],[SEI]]</f>
        <v>202503559/2021</v>
      </c>
      <c r="G179" s="24" t="str">
        <f>IFERROR(INDEX(Atualizações!$Q$1:$Q$1265,MATCH(F179,Atualizações!$P$1:$P$1265,0)),"0")</f>
        <v>0</v>
      </c>
      <c r="H179" t="str">
        <f>$I$1&amp;Tb_Alinhamento[[#This Row],[SEI]]</f>
        <v>202603559/2021</v>
      </c>
      <c r="I179" s="24" t="str">
        <f>IFERROR(INDEX(Atualizações!$Q$1:$Q$1265,MATCH(H179,Atualizações!$P$1:$P$1265,0)),"0")</f>
        <v>0</v>
      </c>
      <c r="J17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0" spans="1:10" ht="45" hidden="1">
      <c r="A180" s="24" t="s">
        <v>369</v>
      </c>
      <c r="B180" s="5" t="s">
        <v>370</v>
      </c>
      <c r="C180" s="2" t="s">
        <v>214</v>
      </c>
      <c r="D180" t="str">
        <f>$E$1&amp;Tb_Alinhamento[[#This Row],[SEI]]</f>
        <v>202403559/2021</v>
      </c>
      <c r="E180" s="24">
        <f>IFERROR(INDEX(Atualizações!$Q$1:$Q$1265,MATCH(D180,Atualizações!$P$1:$P$1265,0)),"0")</f>
        <v>1</v>
      </c>
      <c r="F180" t="str">
        <f>$G$1&amp;Tb_Alinhamento[[#This Row],[SEI]]</f>
        <v>202503559/2021</v>
      </c>
      <c r="G180" s="24" t="str">
        <f>IFERROR(INDEX(Atualizações!$Q$1:$Q$1265,MATCH(F180,Atualizações!$P$1:$P$1265,0)),"0")</f>
        <v>0</v>
      </c>
      <c r="H180" t="str">
        <f>$I$1&amp;Tb_Alinhamento[[#This Row],[SEI]]</f>
        <v>202603559/2021</v>
      </c>
      <c r="I180" s="24" t="str">
        <f>IFERROR(INDEX(Atualizações!$Q$1:$Q$1265,MATCH(H180,Atualizações!$P$1:$P$1265,0)),"0")</f>
        <v>0</v>
      </c>
      <c r="J18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1" spans="1:10" ht="45" hidden="1">
      <c r="A181" s="24" t="s">
        <v>369</v>
      </c>
      <c r="B181" s="5" t="s">
        <v>370</v>
      </c>
      <c r="C181" s="2" t="s">
        <v>176</v>
      </c>
      <c r="D181" t="str">
        <f>$E$1&amp;Tb_Alinhamento[[#This Row],[SEI]]</f>
        <v>202403559/2021</v>
      </c>
      <c r="E181" s="24">
        <f>IFERROR(INDEX(Atualizações!$Q$1:$Q$1265,MATCH(D181,Atualizações!$P$1:$P$1265,0)),"0")</f>
        <v>1</v>
      </c>
      <c r="F181" t="str">
        <f>$G$1&amp;Tb_Alinhamento[[#This Row],[SEI]]</f>
        <v>202503559/2021</v>
      </c>
      <c r="G181" s="24" t="str">
        <f>IFERROR(INDEX(Atualizações!$Q$1:$Q$1265,MATCH(F181,Atualizações!$P$1:$P$1265,0)),"0")</f>
        <v>0</v>
      </c>
      <c r="H181" t="str">
        <f>$I$1&amp;Tb_Alinhamento[[#This Row],[SEI]]</f>
        <v>202603559/2021</v>
      </c>
      <c r="I181" s="24" t="str">
        <f>IFERROR(INDEX(Atualizações!$Q$1:$Q$1265,MATCH(H181,Atualizações!$P$1:$P$1265,0)),"0")</f>
        <v>0</v>
      </c>
      <c r="J18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2" spans="1:10" ht="30" hidden="1">
      <c r="A182" s="24" t="s">
        <v>209</v>
      </c>
      <c r="B182" s="5" t="s">
        <v>210</v>
      </c>
      <c r="C182" s="2" t="s">
        <v>214</v>
      </c>
      <c r="D182" t="str">
        <f>$E$1&amp;Tb_Alinhamento[[#This Row],[SEI]]</f>
        <v>202401945/2022</v>
      </c>
      <c r="E182" s="24">
        <f>IFERROR(INDEX(Atualizações!$Q$1:$Q$1265,MATCH(D182,Atualizações!$P$1:$P$1265,0)),"0")</f>
        <v>1</v>
      </c>
      <c r="F182" t="str">
        <f>$G$1&amp;Tb_Alinhamento[[#This Row],[SEI]]</f>
        <v>202501945/2022</v>
      </c>
      <c r="G182" s="24">
        <f>IFERROR(INDEX(Atualizações!$Q$1:$Q$1265,MATCH(F182,Atualizações!$P$1:$P$1265,0)),"0")</f>
        <v>1</v>
      </c>
      <c r="H182" t="str">
        <f>$I$1&amp;Tb_Alinhamento[[#This Row],[SEI]]</f>
        <v>202601945/2022</v>
      </c>
      <c r="I182" s="24" t="str">
        <f>IFERROR(INDEX(Atualizações!$Q$1:$Q$1265,MATCH(H182,Atualizações!$P$1:$P$1265,0)),"0")</f>
        <v>0</v>
      </c>
      <c r="J18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3" spans="1:10" ht="30" hidden="1">
      <c r="A183" s="24" t="s">
        <v>209</v>
      </c>
      <c r="B183" s="5" t="s">
        <v>210</v>
      </c>
      <c r="C183" s="2" t="s">
        <v>176</v>
      </c>
      <c r="D183" t="str">
        <f>$E$1&amp;Tb_Alinhamento[[#This Row],[SEI]]</f>
        <v>202401945/2022</v>
      </c>
      <c r="E183" s="24">
        <f>IFERROR(INDEX(Atualizações!$Q$1:$Q$1265,MATCH(D183,Atualizações!$P$1:$P$1265,0)),"0")</f>
        <v>1</v>
      </c>
      <c r="F183" t="str">
        <f>$G$1&amp;Tb_Alinhamento[[#This Row],[SEI]]</f>
        <v>202501945/2022</v>
      </c>
      <c r="G183" s="24">
        <f>IFERROR(INDEX(Atualizações!$Q$1:$Q$1265,MATCH(F183,Atualizações!$P$1:$P$1265,0)),"0")</f>
        <v>1</v>
      </c>
      <c r="H183" t="str">
        <f>$I$1&amp;Tb_Alinhamento[[#This Row],[SEI]]</f>
        <v>202601945/2022</v>
      </c>
      <c r="I183" s="24" t="str">
        <f>IFERROR(INDEX(Atualizações!$Q$1:$Q$1265,MATCH(H183,Atualizações!$P$1:$P$1265,0)),"0")</f>
        <v>0</v>
      </c>
      <c r="J18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4" spans="1:10" ht="30" hidden="1">
      <c r="A184" s="24" t="s">
        <v>451</v>
      </c>
      <c r="B184" s="5" t="s">
        <v>452</v>
      </c>
      <c r="C184" s="2" t="s">
        <v>89</v>
      </c>
      <c r="D184" t="str">
        <f>$E$1&amp;Tb_Alinhamento[[#This Row],[SEI]]</f>
        <v>202408287/2022</v>
      </c>
      <c r="E184" s="24">
        <f>IFERROR(INDEX(Atualizações!$Q$1:$Q$1265,MATCH(D184,Atualizações!$P$1:$P$1265,0)),"0")</f>
        <v>1</v>
      </c>
      <c r="F184" t="str">
        <f>$G$1&amp;Tb_Alinhamento[[#This Row],[SEI]]</f>
        <v>202508287/2022</v>
      </c>
      <c r="G184" s="24" t="str">
        <f>IFERROR(INDEX(Atualizações!$Q$1:$Q$1265,MATCH(F184,Atualizações!$P$1:$P$1265,0)),"0")</f>
        <v>0</v>
      </c>
      <c r="H184" t="str">
        <f>$I$1&amp;Tb_Alinhamento[[#This Row],[SEI]]</f>
        <v>202608287/2022</v>
      </c>
      <c r="I184" s="24" t="str">
        <f>IFERROR(INDEX(Atualizações!$Q$1:$Q$1265,MATCH(H184,Atualizações!$P$1:$P$1265,0)),"0")</f>
        <v>0</v>
      </c>
      <c r="J18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5" spans="1:10" ht="30" hidden="1">
      <c r="A185" s="24" t="s">
        <v>570</v>
      </c>
      <c r="B185" s="5" t="s">
        <v>1267</v>
      </c>
      <c r="C185" s="2" t="s">
        <v>575</v>
      </c>
      <c r="D185" t="str">
        <f>$E$1&amp;Tb_Alinhamento[[#This Row],[SEI]]</f>
        <v>202410157/2022</v>
      </c>
      <c r="E185" s="24">
        <f>IFERROR(INDEX(Atualizações!$Q$1:$Q$1265,MATCH(D185,Atualizações!$P$1:$P$1265,0)),"0")</f>
        <v>1</v>
      </c>
      <c r="F185" t="str">
        <f>$G$1&amp;Tb_Alinhamento[[#This Row],[SEI]]</f>
        <v>202510157/2022</v>
      </c>
      <c r="G185" s="24" t="str">
        <f>IFERROR(INDEX(Atualizações!$Q$1:$Q$1265,MATCH(F185,Atualizações!$P$1:$P$1265,0)),"0")</f>
        <v>0</v>
      </c>
      <c r="H185" t="str">
        <f>$I$1&amp;Tb_Alinhamento[[#This Row],[SEI]]</f>
        <v>202610157/2022</v>
      </c>
      <c r="I185" s="24" t="str">
        <f>IFERROR(INDEX(Atualizações!$Q$1:$Q$1265,MATCH(H185,Atualizações!$P$1:$P$1265,0)),"0")</f>
        <v>0</v>
      </c>
      <c r="J18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6" spans="1:10" ht="30" hidden="1">
      <c r="A186" s="24" t="s">
        <v>570</v>
      </c>
      <c r="B186" s="5" t="s">
        <v>1267</v>
      </c>
      <c r="C186" s="2" t="s">
        <v>146</v>
      </c>
      <c r="D186" t="str">
        <f>$E$1&amp;Tb_Alinhamento[[#This Row],[SEI]]</f>
        <v>202410157/2022</v>
      </c>
      <c r="E186" s="24">
        <f>IFERROR(INDEX(Atualizações!$Q$1:$Q$1265,MATCH(D186,Atualizações!$P$1:$P$1265,0)),"0")</f>
        <v>1</v>
      </c>
      <c r="F186" t="str">
        <f>$G$1&amp;Tb_Alinhamento[[#This Row],[SEI]]</f>
        <v>202510157/2022</v>
      </c>
      <c r="G186" s="24" t="str">
        <f>IFERROR(INDEX(Atualizações!$Q$1:$Q$1265,MATCH(F186,Atualizações!$P$1:$P$1265,0)),"0")</f>
        <v>0</v>
      </c>
      <c r="H186" t="str">
        <f>$I$1&amp;Tb_Alinhamento[[#This Row],[SEI]]</f>
        <v>202610157/2022</v>
      </c>
      <c r="I186" s="24" t="str">
        <f>IFERROR(INDEX(Atualizações!$Q$1:$Q$1265,MATCH(H186,Atualizações!$P$1:$P$1265,0)),"0")</f>
        <v>0</v>
      </c>
      <c r="J18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7" spans="1:10" hidden="1">
      <c r="A187" s="24" t="s">
        <v>487</v>
      </c>
      <c r="B187" s="5" t="s">
        <v>488</v>
      </c>
      <c r="C187" s="2" t="s">
        <v>105</v>
      </c>
      <c r="D187" t="str">
        <f>$E$1&amp;Tb_Alinhamento[[#This Row],[SEI]]</f>
        <v>202408610/2022</v>
      </c>
      <c r="E187" s="24">
        <f>IFERROR(INDEX(Atualizações!$Q$1:$Q$1265,MATCH(D187,Atualizações!$P$1:$P$1265,0)),"0")</f>
        <v>1</v>
      </c>
      <c r="F187" t="str">
        <f>$G$1&amp;Tb_Alinhamento[[#This Row],[SEI]]</f>
        <v>202508610/2022</v>
      </c>
      <c r="G187" s="24">
        <f>IFERROR(INDEX(Atualizações!$Q$1:$Q$1265,MATCH(F187,Atualizações!$P$1:$P$1265,0)),"0")</f>
        <v>1</v>
      </c>
      <c r="H187" t="str">
        <f>$I$1&amp;Tb_Alinhamento[[#This Row],[SEI]]</f>
        <v>202608610/2022</v>
      </c>
      <c r="I187" s="24" t="str">
        <f>IFERROR(INDEX(Atualizações!$Q$1:$Q$1265,MATCH(H187,Atualizações!$P$1:$P$1265,0)),"0")</f>
        <v>0</v>
      </c>
      <c r="J18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8" spans="1:10" ht="45" hidden="1">
      <c r="A188" s="24" t="s">
        <v>425</v>
      </c>
      <c r="B188" s="5" t="s">
        <v>426</v>
      </c>
      <c r="C188" s="2" t="s">
        <v>146</v>
      </c>
      <c r="D188" t="str">
        <f>$E$1&amp;Tb_Alinhamento[[#This Row],[SEI]]</f>
        <v>202406767/2022</v>
      </c>
      <c r="E188" s="24">
        <f>IFERROR(INDEX(Atualizações!$Q$1:$Q$1265,MATCH(D188,Atualizações!$P$1:$P$1265,0)),"0")</f>
        <v>1</v>
      </c>
      <c r="F188" t="str">
        <f>$G$1&amp;Tb_Alinhamento[[#This Row],[SEI]]</f>
        <v>202506767/2022</v>
      </c>
      <c r="G188" s="24" t="str">
        <f>IFERROR(INDEX(Atualizações!$Q$1:$Q$1265,MATCH(F188,Atualizações!$P$1:$P$1265,0)),"0")</f>
        <v>0</v>
      </c>
      <c r="H188" t="str">
        <f>$I$1&amp;Tb_Alinhamento[[#This Row],[SEI]]</f>
        <v>202606767/2022</v>
      </c>
      <c r="I188" s="24" t="str">
        <f>IFERROR(INDEX(Atualizações!$Q$1:$Q$1265,MATCH(H188,Atualizações!$P$1:$P$1265,0)),"0")</f>
        <v>0</v>
      </c>
      <c r="J18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89" spans="1:10" ht="45" hidden="1">
      <c r="A189" s="24" t="s">
        <v>425</v>
      </c>
      <c r="B189" s="5" t="s">
        <v>426</v>
      </c>
      <c r="C189" s="2" t="s">
        <v>176</v>
      </c>
      <c r="D189" t="str">
        <f>$E$1&amp;Tb_Alinhamento[[#This Row],[SEI]]</f>
        <v>202406767/2022</v>
      </c>
      <c r="E189" s="24">
        <f>IFERROR(INDEX(Atualizações!$Q$1:$Q$1265,MATCH(D189,Atualizações!$P$1:$P$1265,0)),"0")</f>
        <v>1</v>
      </c>
      <c r="F189" t="str">
        <f>$G$1&amp;Tb_Alinhamento[[#This Row],[SEI]]</f>
        <v>202506767/2022</v>
      </c>
      <c r="G189" s="24" t="str">
        <f>IFERROR(INDEX(Atualizações!$Q$1:$Q$1265,MATCH(F189,Atualizações!$P$1:$P$1265,0)),"0")</f>
        <v>0</v>
      </c>
      <c r="H189" t="str">
        <f>$I$1&amp;Tb_Alinhamento[[#This Row],[SEI]]</f>
        <v>202606767/2022</v>
      </c>
      <c r="I189" s="24" t="str">
        <f>IFERROR(INDEX(Atualizações!$Q$1:$Q$1265,MATCH(H189,Atualizações!$P$1:$P$1265,0)),"0")</f>
        <v>0</v>
      </c>
      <c r="J18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0" spans="1:10" ht="30" hidden="1">
      <c r="A190" s="24" t="s">
        <v>160</v>
      </c>
      <c r="B190" s="5" t="s">
        <v>161</v>
      </c>
      <c r="C190" s="2" t="s">
        <v>166</v>
      </c>
      <c r="D190" t="str">
        <f>$E$1&amp;Tb_Alinhamento[[#This Row],[SEI]]</f>
        <v>202401487/2022</v>
      </c>
      <c r="E190" s="24">
        <f>IFERROR(INDEX(Atualizações!$Q$1:$Q$1265,MATCH(D190,Atualizações!$P$1:$P$1265,0)),"0")</f>
        <v>1</v>
      </c>
      <c r="F190" t="str">
        <f>$G$1&amp;Tb_Alinhamento[[#This Row],[SEI]]</f>
        <v>202501487/2022</v>
      </c>
      <c r="G190" s="24" t="str">
        <f>IFERROR(INDEX(Atualizações!$Q$1:$Q$1265,MATCH(F190,Atualizações!$P$1:$P$1265,0)),"0")</f>
        <v>0</v>
      </c>
      <c r="H190" t="str">
        <f>$I$1&amp;Tb_Alinhamento[[#This Row],[SEI]]</f>
        <v>202601487/2022</v>
      </c>
      <c r="I190" s="24" t="str">
        <f>IFERROR(INDEX(Atualizações!$Q$1:$Q$1265,MATCH(H190,Atualizações!$P$1:$P$1265,0)),"0")</f>
        <v>0</v>
      </c>
      <c r="J19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1" spans="1:10" ht="30" hidden="1">
      <c r="A191" s="24" t="s">
        <v>160</v>
      </c>
      <c r="B191" s="5" t="s">
        <v>161</v>
      </c>
      <c r="C191" s="2" t="s">
        <v>176</v>
      </c>
      <c r="D191" t="str">
        <f>$E$1&amp;Tb_Alinhamento[[#This Row],[SEI]]</f>
        <v>202401487/2022</v>
      </c>
      <c r="E191" s="24">
        <f>IFERROR(INDEX(Atualizações!$Q$1:$Q$1265,MATCH(D191,Atualizações!$P$1:$P$1265,0)),"0")</f>
        <v>1</v>
      </c>
      <c r="F191" t="str">
        <f>$G$1&amp;Tb_Alinhamento[[#This Row],[SEI]]</f>
        <v>202501487/2022</v>
      </c>
      <c r="G191" s="24" t="str">
        <f>IFERROR(INDEX(Atualizações!$Q$1:$Q$1265,MATCH(F191,Atualizações!$P$1:$P$1265,0)),"0")</f>
        <v>0</v>
      </c>
      <c r="H191" t="str">
        <f>$I$1&amp;Tb_Alinhamento[[#This Row],[SEI]]</f>
        <v>202601487/2022</v>
      </c>
      <c r="I191" s="24" t="str">
        <f>IFERROR(INDEX(Atualizações!$Q$1:$Q$1265,MATCH(H191,Atualizações!$P$1:$P$1265,0)),"0")</f>
        <v>0</v>
      </c>
      <c r="J19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2" spans="1:10" hidden="1">
      <c r="A192" s="24" t="s">
        <v>609</v>
      </c>
      <c r="B192" s="5" t="s">
        <v>610</v>
      </c>
      <c r="C192" s="2" t="s">
        <v>105</v>
      </c>
      <c r="D192" t="str">
        <f>$E$1&amp;Tb_Alinhamento[[#This Row],[SEI]]</f>
        <v>202411270/2022</v>
      </c>
      <c r="E192" s="24">
        <f>IFERROR(INDEX(Atualizações!$Q$1:$Q$1265,MATCH(D192,Atualizações!$P$1:$P$1265,0)),"0")</f>
        <v>1</v>
      </c>
      <c r="F192" t="str">
        <f>$G$1&amp;Tb_Alinhamento[[#This Row],[SEI]]</f>
        <v>202511270/2022</v>
      </c>
      <c r="G192" s="24">
        <f>IFERROR(INDEX(Atualizações!$Q$1:$Q$1265,MATCH(F192,Atualizações!$P$1:$P$1265,0)),"0")</f>
        <v>1</v>
      </c>
      <c r="H192" t="str">
        <f>$I$1&amp;Tb_Alinhamento[[#This Row],[SEI]]</f>
        <v>202611270/2022</v>
      </c>
      <c r="I192" s="24" t="str">
        <f>IFERROR(INDEX(Atualizações!$Q$1:$Q$1265,MATCH(H192,Atualizações!$P$1:$P$1265,0)),"0")</f>
        <v>0</v>
      </c>
      <c r="J19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3" spans="1:10" ht="30" hidden="1">
      <c r="A193" s="24" t="s">
        <v>609</v>
      </c>
      <c r="B193" s="5" t="s">
        <v>1637</v>
      </c>
      <c r="C193" s="2" t="s">
        <v>166</v>
      </c>
      <c r="D193" t="str">
        <f>$E$1&amp;Tb_Alinhamento[[#This Row],[SEI]]</f>
        <v>202411270/2022</v>
      </c>
      <c r="E193" s="24">
        <f>IFERROR(INDEX(Atualizações!$Q$1:$Q$1265,MATCH(D193,Atualizações!$P$1:$P$1265,0)),"0")</f>
        <v>1</v>
      </c>
      <c r="F193" t="str">
        <f>$G$1&amp;Tb_Alinhamento[[#This Row],[SEI]]</f>
        <v>202511270/2022</v>
      </c>
      <c r="G193" s="24">
        <f>IFERROR(INDEX(Atualizações!$Q$1:$Q$1265,MATCH(F193,Atualizações!$P$1:$P$1265,0)),"0")</f>
        <v>1</v>
      </c>
      <c r="H193" t="str">
        <f>$I$1&amp;Tb_Alinhamento[[#This Row],[SEI]]</f>
        <v>202611270/2022</v>
      </c>
      <c r="I193" s="24" t="str">
        <f>IFERROR(INDEX(Atualizações!$Q$1:$Q$1265,MATCH(H193,Atualizações!$P$1:$P$1265,0)),"0")</f>
        <v>0</v>
      </c>
      <c r="J19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4" spans="1:10" hidden="1">
      <c r="A194" s="24" t="s">
        <v>97</v>
      </c>
      <c r="B194" s="5" t="s">
        <v>98</v>
      </c>
      <c r="C194" s="2" t="s">
        <v>105</v>
      </c>
      <c r="D194" t="str">
        <f>$E$1&amp;Tb_Alinhamento[[#This Row],[SEI]]</f>
        <v>202400535/2019</v>
      </c>
      <c r="E194" s="24">
        <f>IFERROR(INDEX(Atualizações!$Q$1:$Q$1265,MATCH(D194,Atualizações!$P$1:$P$1265,0)),"0")</f>
        <v>1</v>
      </c>
      <c r="F194" t="str">
        <f>$G$1&amp;Tb_Alinhamento[[#This Row],[SEI]]</f>
        <v>202500535/2019</v>
      </c>
      <c r="G194" s="24" t="str">
        <f>IFERROR(INDEX(Atualizações!$Q$1:$Q$1265,MATCH(F194,Atualizações!$P$1:$P$1265,0)),"0")</f>
        <v>0</v>
      </c>
      <c r="H194" t="str">
        <f>$I$1&amp;Tb_Alinhamento[[#This Row],[SEI]]</f>
        <v>202600535/2019</v>
      </c>
      <c r="I194" s="24" t="str">
        <f>IFERROR(INDEX(Atualizações!$Q$1:$Q$1265,MATCH(H194,Atualizações!$P$1:$P$1265,0)),"0")</f>
        <v>0</v>
      </c>
      <c r="J19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5" spans="1:10" ht="30">
      <c r="A195" s="24" t="s">
        <v>773</v>
      </c>
      <c r="B195" s="5" t="str">
        <f>_xlfn.XLOOKUP(Tb_Alinhamento[[#This Row],[SEI]],Tb_Portfólio[SEI],Tb_Portfólio[PROJETO],"Não cadastrado")</f>
        <v>API de Pessoas</v>
      </c>
      <c r="C195" s="2" t="s">
        <v>146</v>
      </c>
      <c r="D195" t="str">
        <f>$E$1&amp;Tb_Alinhamento[[#This Row],[SEI]]</f>
        <v xml:space="preserve">202417372/2024 </v>
      </c>
      <c r="E195" s="24" t="str">
        <f>IFERROR(INDEX(Atualizações!$Q$1:$Q$1265,MATCH(D195,Atualizações!$P$1:$P$1265,0)),"0")</f>
        <v>0</v>
      </c>
      <c r="F195" t="str">
        <f>$G$1&amp;Tb_Alinhamento[[#This Row],[SEI]]</f>
        <v xml:space="preserve">202517372/2024 </v>
      </c>
      <c r="G195" s="24">
        <f>IFERROR(INDEX(Atualizações!$Q$1:$Q$1265,MATCH(F195,Atualizações!$P$1:$P$1265,0)),"0")</f>
        <v>1</v>
      </c>
      <c r="H195" t="str">
        <f>$I$1&amp;Tb_Alinhamento[[#This Row],[SEI]]</f>
        <v xml:space="preserve">202617372/2024 </v>
      </c>
      <c r="I195" s="24">
        <f>IFERROR(INDEX(Atualizações!$Q$1:$Q$1265,MATCH(H195,Atualizações!$P$1:$P$1265,0)),"0")</f>
        <v>1</v>
      </c>
      <c r="J19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6" spans="1:10" ht="30">
      <c r="A196" s="24" t="s">
        <v>773</v>
      </c>
      <c r="B196" s="5" t="str">
        <f>_xlfn.XLOOKUP(Tb_Alinhamento[[#This Row],[SEI]],Tb_Portfólio[SEI],Tb_Portfólio[PROJETO],"Não cadastrado")</f>
        <v>API de Pessoas</v>
      </c>
      <c r="C196" s="2" t="s">
        <v>176</v>
      </c>
      <c r="D196" t="str">
        <f>$E$1&amp;Tb_Alinhamento[[#This Row],[SEI]]</f>
        <v xml:space="preserve">202417372/2024 </v>
      </c>
      <c r="E196" s="24" t="str">
        <f>IFERROR(INDEX(Atualizações!$Q$1:$Q$1265,MATCH(D196,Atualizações!$P$1:$P$1265,0)),"0")</f>
        <v>0</v>
      </c>
      <c r="F196" t="str">
        <f>$G$1&amp;Tb_Alinhamento[[#This Row],[SEI]]</f>
        <v xml:space="preserve">202517372/2024 </v>
      </c>
      <c r="G196" s="24">
        <f>IFERROR(INDEX(Atualizações!$Q$1:$Q$1265,MATCH(F196,Atualizações!$P$1:$P$1265,0)),"0")</f>
        <v>1</v>
      </c>
      <c r="H196" t="str">
        <f>$I$1&amp;Tb_Alinhamento[[#This Row],[SEI]]</f>
        <v xml:space="preserve">202617372/2024 </v>
      </c>
      <c r="I196" s="24">
        <f>IFERROR(INDEX(Atualizações!$Q$1:$Q$1265,MATCH(H196,Atualizações!$P$1:$P$1265,0)),"0")</f>
        <v>1</v>
      </c>
      <c r="J19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7" spans="1:10" hidden="1">
      <c r="A197" s="24" t="s">
        <v>443</v>
      </c>
      <c r="B197" s="5" t="s">
        <v>444</v>
      </c>
      <c r="C197" s="2" t="s">
        <v>105</v>
      </c>
      <c r="D197" t="str">
        <f>$E$1&amp;Tb_Alinhamento[[#This Row],[SEI]]</f>
        <v>202408286/2022</v>
      </c>
      <c r="E197" s="24">
        <f>IFERROR(INDEX(Atualizações!$Q$1:$Q$1265,MATCH(D197,Atualizações!$P$1:$P$1265,0)),"0")</f>
        <v>1</v>
      </c>
      <c r="F197" t="str">
        <f>$G$1&amp;Tb_Alinhamento[[#This Row],[SEI]]</f>
        <v>202508286/2022</v>
      </c>
      <c r="G197" s="24">
        <f>IFERROR(INDEX(Atualizações!$Q$1:$Q$1265,MATCH(F197,Atualizações!$P$1:$P$1265,0)),"0")</f>
        <v>1</v>
      </c>
      <c r="H197" t="str">
        <f>$I$1&amp;Tb_Alinhamento[[#This Row],[SEI]]</f>
        <v>202608286/2022</v>
      </c>
      <c r="I197" s="24" t="str">
        <f>IFERROR(INDEX(Atualizações!$Q$1:$Q$1265,MATCH(H197,Atualizações!$P$1:$P$1265,0)),"0")</f>
        <v>0</v>
      </c>
      <c r="J19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8" spans="1:10" ht="30" hidden="1">
      <c r="A198" s="24" t="s">
        <v>443</v>
      </c>
      <c r="B198" s="5" t="s">
        <v>444</v>
      </c>
      <c r="C198" s="2" t="s">
        <v>575</v>
      </c>
      <c r="D198" t="str">
        <f>$E$1&amp;Tb_Alinhamento[[#This Row],[SEI]]</f>
        <v>202408286/2022</v>
      </c>
      <c r="E198" s="24">
        <f>IFERROR(INDEX(Atualizações!$Q$1:$Q$1265,MATCH(D198,Atualizações!$P$1:$P$1265,0)),"0")</f>
        <v>1</v>
      </c>
      <c r="F198" t="str">
        <f>$G$1&amp;Tb_Alinhamento[[#This Row],[SEI]]</f>
        <v>202508286/2022</v>
      </c>
      <c r="G198" s="24">
        <f>IFERROR(INDEX(Atualizações!$Q$1:$Q$1265,MATCH(F198,Atualizações!$P$1:$P$1265,0)),"0")</f>
        <v>1</v>
      </c>
      <c r="H198" t="str">
        <f>$I$1&amp;Tb_Alinhamento[[#This Row],[SEI]]</f>
        <v>202608286/2022</v>
      </c>
      <c r="I198" s="24" t="str">
        <f>IFERROR(INDEX(Atualizações!$Q$1:$Q$1265,MATCH(H198,Atualizações!$P$1:$P$1265,0)),"0")</f>
        <v>0</v>
      </c>
      <c r="J19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199" spans="1:10" ht="60">
      <c r="A199" s="24" t="s">
        <v>219</v>
      </c>
      <c r="B199" s="5" t="str">
        <f>_xlfn.XLOOKUP(Tb_Alinhamento[[#This Row],[SEI]],Tb_Portfólio[SEI],Tb_Portfólio[PROJETO],"Não cadastrado")</f>
        <v xml:space="preserve">Aperfeiçoamento funcional em temáticas prioritárias para o CNJ e para Justiça Federal 
(cursos, capacitações, metodologias e ferramentas avançados) – Ciclo Avançado </v>
      </c>
      <c r="C199" s="2" t="s">
        <v>146</v>
      </c>
      <c r="D199" t="str">
        <f>$E$1&amp;Tb_Alinhamento[[#This Row],[SEI]]</f>
        <v>202402024/2024</v>
      </c>
      <c r="E199" s="24" t="str">
        <f>IFERROR(INDEX(Atualizações!$Q$1:$Q$1265,MATCH(D199,Atualizações!$P$1:$P$1265,0)),"0")</f>
        <v>0</v>
      </c>
      <c r="F199" t="str">
        <f>$G$1&amp;Tb_Alinhamento[[#This Row],[SEI]]</f>
        <v>202502024/2024</v>
      </c>
      <c r="G199" s="24">
        <f>IFERROR(INDEX(Atualizações!$Q$1:$Q$1265,MATCH(F199,Atualizações!$P$1:$P$1265,0)),"0")</f>
        <v>1</v>
      </c>
      <c r="H199" t="str">
        <f>$I$1&amp;Tb_Alinhamento[[#This Row],[SEI]]</f>
        <v>202602024/2024</v>
      </c>
      <c r="I199" s="24">
        <f>IFERROR(INDEX(Atualizações!$Q$1:$Q$1265,MATCH(H199,Atualizações!$P$1:$P$1265,0)),"0")</f>
        <v>1</v>
      </c>
      <c r="J19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0" spans="1:10" ht="60">
      <c r="A200" s="24" t="s">
        <v>219</v>
      </c>
      <c r="B200" s="5" t="str">
        <f>_xlfn.XLOOKUP(Tb_Alinhamento[[#This Row],[SEI]],Tb_Portfólio[SEI],Tb_Portfólio[PROJETO],"Não cadastrado")</f>
        <v xml:space="preserve">Aperfeiçoamento funcional em temáticas prioritárias para o CNJ e para Justiça Federal 
(cursos, capacitações, metodologias e ferramentas avançados) – Ciclo Avançado </v>
      </c>
      <c r="C200" s="2" t="s">
        <v>214</v>
      </c>
      <c r="D200" t="str">
        <f>$E$1&amp;Tb_Alinhamento[[#This Row],[SEI]]</f>
        <v>202402024/2024</v>
      </c>
      <c r="E200" s="24" t="str">
        <f>IFERROR(INDEX(Atualizações!$Q$1:$Q$1265,MATCH(D200,Atualizações!$P$1:$P$1265,0)),"0")</f>
        <v>0</v>
      </c>
      <c r="F200" t="str">
        <f>$G$1&amp;Tb_Alinhamento[[#This Row],[SEI]]</f>
        <v>202502024/2024</v>
      </c>
      <c r="G200" s="24">
        <f>IFERROR(INDEX(Atualizações!$Q$1:$Q$1265,MATCH(F200,Atualizações!$P$1:$P$1265,0)),"0")</f>
        <v>1</v>
      </c>
      <c r="H200" t="str">
        <f>$I$1&amp;Tb_Alinhamento[[#This Row],[SEI]]</f>
        <v>202602024/2024</v>
      </c>
      <c r="I200" s="24">
        <f>IFERROR(INDEX(Atualizações!$Q$1:$Q$1265,MATCH(H200,Atualizações!$P$1:$P$1265,0)),"0")</f>
        <v>1</v>
      </c>
      <c r="J20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1" spans="1:10" ht="30">
      <c r="A201" s="24" t="s">
        <v>661</v>
      </c>
      <c r="B201" s="5" t="str">
        <f>_xlfn.XLOOKUP(Tb_Alinhamento[[#This Row],[SEI]],Tb_Portfólio[SEI],Tb_Portfólio[PROJETO],"Não cadastrado")</f>
        <v>BNMP – Banco Nacional de Medidas Penais e Prisões – Melhorias Evolutivas</v>
      </c>
      <c r="C201" s="2" t="s">
        <v>76</v>
      </c>
      <c r="D201" t="str">
        <f>$E$1&amp;Tb_Alinhamento[[#This Row],[SEI]]</f>
        <v>202411776/2024</v>
      </c>
      <c r="E201" s="24" t="str">
        <f>IFERROR(INDEX(Atualizações!$Q$1:$Q$1265,MATCH(D201,Atualizações!$P$1:$P$1265,0)),"0")</f>
        <v>0</v>
      </c>
      <c r="F201" t="str">
        <f>$G$1&amp;Tb_Alinhamento[[#This Row],[SEI]]</f>
        <v>202511776/2024</v>
      </c>
      <c r="G201" s="24">
        <f>IFERROR(INDEX(Atualizações!$Q$1:$Q$1265,MATCH(F201,Atualizações!$P$1:$P$1265,0)),"0")</f>
        <v>1</v>
      </c>
      <c r="H201" t="str">
        <f>$I$1&amp;Tb_Alinhamento[[#This Row],[SEI]]</f>
        <v>202611776/2024</v>
      </c>
      <c r="I201" s="24">
        <f>IFERROR(INDEX(Atualizações!$Q$1:$Q$1265,MATCH(H201,Atualizações!$P$1:$P$1265,0)),"0")</f>
        <v>1</v>
      </c>
      <c r="J20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2" spans="1:10" ht="30" hidden="1">
      <c r="A202" s="24" t="s">
        <v>502</v>
      </c>
      <c r="B202" s="5" t="s">
        <v>503</v>
      </c>
      <c r="C202" s="2" t="s">
        <v>146</v>
      </c>
      <c r="D202" t="str">
        <f>$E$1&amp;Tb_Alinhamento[[#This Row],[SEI]]</f>
        <v>202409081/2022</v>
      </c>
      <c r="E202" s="24">
        <f>IFERROR(INDEX(Atualizações!$Q$1:$Q$1265,MATCH(D202,Atualizações!$P$1:$P$1265,0)),"0")</f>
        <v>1</v>
      </c>
      <c r="F202" t="str">
        <f>$G$1&amp;Tb_Alinhamento[[#This Row],[SEI]]</f>
        <v>202509081/2022</v>
      </c>
      <c r="G202" s="24" t="str">
        <f>IFERROR(INDEX(Atualizações!$Q$1:$Q$1265,MATCH(F202,Atualizações!$P$1:$P$1265,0)),"0")</f>
        <v>0</v>
      </c>
      <c r="H202" t="str">
        <f>$I$1&amp;Tb_Alinhamento[[#This Row],[SEI]]</f>
        <v>202609081/2022</v>
      </c>
      <c r="I202" s="24" t="str">
        <f>IFERROR(INDEX(Atualizações!$Q$1:$Q$1265,MATCH(H202,Atualizações!$P$1:$P$1265,0)),"0")</f>
        <v>0</v>
      </c>
      <c r="J20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3" spans="1:10" ht="30" hidden="1">
      <c r="A203" s="24" t="s">
        <v>341</v>
      </c>
      <c r="B203" s="5" t="s">
        <v>1639</v>
      </c>
      <c r="C203" s="2" t="s">
        <v>146</v>
      </c>
      <c r="D203" t="str">
        <f>$E$1&amp;Tb_Alinhamento[[#This Row],[SEI]]</f>
        <v>202403096/2021</v>
      </c>
      <c r="E203" s="24">
        <f>IFERROR(INDEX(Atualizações!$Q$1:$Q$1265,MATCH(D203,Atualizações!$P$1:$P$1265,0)),"0")</f>
        <v>1</v>
      </c>
      <c r="F203" t="str">
        <f>$G$1&amp;Tb_Alinhamento[[#This Row],[SEI]]</f>
        <v>202503096/2021</v>
      </c>
      <c r="G203" s="24" t="str">
        <f>IFERROR(INDEX(Atualizações!$Q$1:$Q$1265,MATCH(F203,Atualizações!$P$1:$P$1265,0)),"0")</f>
        <v>0</v>
      </c>
      <c r="H203" t="str">
        <f>$I$1&amp;Tb_Alinhamento[[#This Row],[SEI]]</f>
        <v>202603096/2021</v>
      </c>
      <c r="I203" s="24" t="str">
        <f>IFERROR(INDEX(Atualizações!$Q$1:$Q$1265,MATCH(H203,Atualizações!$P$1:$P$1265,0)),"0")</f>
        <v>0</v>
      </c>
      <c r="J20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4" spans="1:10">
      <c r="A204" s="24" t="s">
        <v>152</v>
      </c>
      <c r="B204" s="5" t="str">
        <f>_xlfn.XLOOKUP(Tb_Alinhamento[[#This Row],[SEI]],Tb_Portfólio[SEI],Tb_Portfólio[PROJETO],"Não cadastrado")</f>
        <v>Painel da Fazenda Nacional.</v>
      </c>
      <c r="C204" s="2" t="s">
        <v>105</v>
      </c>
      <c r="D204" t="str">
        <f>$E$1&amp;Tb_Alinhamento[[#This Row],[SEI]]</f>
        <v>202401247/2025</v>
      </c>
      <c r="E204" s="24" t="str">
        <f>IFERROR(INDEX(Atualizações!$Q$1:$Q$1265,MATCH(D204,Atualizações!$P$1:$P$1265,0)),"0")</f>
        <v>0</v>
      </c>
      <c r="F204" t="str">
        <f>$G$1&amp;Tb_Alinhamento[[#This Row],[SEI]]</f>
        <v>202501247/2025</v>
      </c>
      <c r="G204" s="24">
        <f>IFERROR(INDEX(Atualizações!$Q$1:$Q$1265,MATCH(F204,Atualizações!$P$1:$P$1265,0)),"0")</f>
        <v>1</v>
      </c>
      <c r="H204" t="str">
        <f>$I$1&amp;Tb_Alinhamento[[#This Row],[SEI]]</f>
        <v>202601247/2025</v>
      </c>
      <c r="I204" s="24">
        <f>IFERROR(INDEX(Atualizações!$Q$1:$Q$1265,MATCH(H204,Atualizações!$P$1:$P$1265,0)),"0")</f>
        <v>1</v>
      </c>
      <c r="J20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5" spans="1:10" ht="30">
      <c r="A205" s="24" t="s">
        <v>152</v>
      </c>
      <c r="B205" s="5" t="str">
        <f>_xlfn.XLOOKUP(Tb_Alinhamento[[#This Row],[SEI]],Tb_Portfólio[SEI],Tb_Portfólio[PROJETO],"Não cadastrado")</f>
        <v>Painel da Fazenda Nacional.</v>
      </c>
      <c r="C205" s="2" t="s">
        <v>166</v>
      </c>
      <c r="D205" t="str">
        <f>$E$1&amp;Tb_Alinhamento[[#This Row],[SEI]]</f>
        <v>202401247/2025</v>
      </c>
      <c r="E205" s="24" t="str">
        <f>IFERROR(INDEX(Atualizações!$Q$1:$Q$1265,MATCH(D205,Atualizações!$P$1:$P$1265,0)),"0")</f>
        <v>0</v>
      </c>
      <c r="F205" t="str">
        <f>$G$1&amp;Tb_Alinhamento[[#This Row],[SEI]]</f>
        <v>202501247/2025</v>
      </c>
      <c r="G205" s="24">
        <f>IFERROR(INDEX(Atualizações!$Q$1:$Q$1265,MATCH(F205,Atualizações!$P$1:$P$1265,0)),"0")</f>
        <v>1</v>
      </c>
      <c r="H205" t="str">
        <f>$I$1&amp;Tb_Alinhamento[[#This Row],[SEI]]</f>
        <v>202601247/2025</v>
      </c>
      <c r="I205" s="24">
        <f>IFERROR(INDEX(Atualizações!$Q$1:$Q$1265,MATCH(H205,Atualizações!$P$1:$P$1265,0)),"0")</f>
        <v>1</v>
      </c>
      <c r="J20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6" spans="1:10" ht="30">
      <c r="A206" s="24" t="s">
        <v>652</v>
      </c>
      <c r="B206" s="5" t="str">
        <f>_xlfn.XLOOKUP(Tb_Alinhamento[[#This Row],[SEI]],Tb_Portfólio[SEI],Tb_Portfólio[PROJETO],"Não cadastrado")</f>
        <v>Projeto Piloto – Rede de Apoio para Avaliação Externa, com base no IA-CM</v>
      </c>
      <c r="C206" s="2" t="s">
        <v>146</v>
      </c>
      <c r="D206" t="str">
        <f>$E$1&amp;Tb_Alinhamento[[#This Row],[SEI]]</f>
        <v>202411729/2025</v>
      </c>
      <c r="E206" s="24" t="str">
        <f>IFERROR(INDEX(Atualizações!$Q$1:$Q$1265,MATCH(D206,Atualizações!$P$1:$P$1265,0)),"0")</f>
        <v>0</v>
      </c>
      <c r="F206" t="str">
        <f>$G$1&amp;Tb_Alinhamento[[#This Row],[SEI]]</f>
        <v>202511729/2025</v>
      </c>
      <c r="G206" s="24">
        <f>IFERROR(INDEX(Atualizações!$Q$1:$Q$1265,MATCH(F206,Atualizações!$P$1:$P$1265,0)),"0")</f>
        <v>1</v>
      </c>
      <c r="H206" t="str">
        <f>$I$1&amp;Tb_Alinhamento[[#This Row],[SEI]]</f>
        <v>202611729/2025</v>
      </c>
      <c r="I206" s="24">
        <f>IFERROR(INDEX(Atualizações!$Q$1:$Q$1265,MATCH(H206,Atualizações!$P$1:$P$1265,0)),"0")</f>
        <v>1</v>
      </c>
      <c r="J20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7" spans="1:10" hidden="1">
      <c r="A207" s="24" t="s">
        <v>298</v>
      </c>
      <c r="B207" s="5" t="s">
        <v>299</v>
      </c>
      <c r="C207" s="2" t="s">
        <v>120</v>
      </c>
      <c r="D207" t="str">
        <f>$E$1&amp;Tb_Alinhamento[[#This Row],[SEI]]</f>
        <v>202402660/2023</v>
      </c>
      <c r="E207" s="24">
        <f>IFERROR(INDEX(Atualizações!$Q$1:$Q$1265,MATCH(D207,Atualizações!$P$1:$P$1265,0)),"0")</f>
        <v>1</v>
      </c>
      <c r="F207" t="str">
        <f>$G$1&amp;Tb_Alinhamento[[#This Row],[SEI]]</f>
        <v>202502660/2023</v>
      </c>
      <c r="G207" s="24" t="str">
        <f>IFERROR(INDEX(Atualizações!$Q$1:$Q$1265,MATCH(F207,Atualizações!$P$1:$P$1265,0)),"0")</f>
        <v>0</v>
      </c>
      <c r="H207" t="str">
        <f>$I$1&amp;Tb_Alinhamento[[#This Row],[SEI]]</f>
        <v>202602660/2023</v>
      </c>
      <c r="I207" s="24" t="str">
        <f>IFERROR(INDEX(Atualizações!$Q$1:$Q$1265,MATCH(H207,Atualizações!$P$1:$P$1265,0)),"0")</f>
        <v>0</v>
      </c>
      <c r="J20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8" spans="1:10" ht="30" hidden="1">
      <c r="A208" s="24" t="s">
        <v>298</v>
      </c>
      <c r="B208" s="5" t="s">
        <v>299</v>
      </c>
      <c r="C208" s="2" t="s">
        <v>166</v>
      </c>
      <c r="D208" t="str">
        <f>$E$1&amp;Tb_Alinhamento[[#This Row],[SEI]]</f>
        <v>202402660/2023</v>
      </c>
      <c r="E208" s="24">
        <f>IFERROR(INDEX(Atualizações!$Q$1:$Q$1265,MATCH(D208,Atualizações!$P$1:$P$1265,0)),"0")</f>
        <v>1</v>
      </c>
      <c r="F208" t="str">
        <f>$G$1&amp;Tb_Alinhamento[[#This Row],[SEI]]</f>
        <v>202502660/2023</v>
      </c>
      <c r="G208" s="24" t="str">
        <f>IFERROR(INDEX(Atualizações!$Q$1:$Q$1265,MATCH(F208,Atualizações!$P$1:$P$1265,0)),"0")</f>
        <v>0</v>
      </c>
      <c r="H208" t="str">
        <f>$I$1&amp;Tb_Alinhamento[[#This Row],[SEI]]</f>
        <v>202602660/2023</v>
      </c>
      <c r="I208" s="24" t="str">
        <f>IFERROR(INDEX(Atualizações!$Q$1:$Q$1265,MATCH(H208,Atualizações!$P$1:$P$1265,0)),"0")</f>
        <v>0</v>
      </c>
      <c r="J20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09" spans="1:10" hidden="1">
      <c r="A209" s="24" t="s">
        <v>298</v>
      </c>
      <c r="B209" s="5" t="s">
        <v>299</v>
      </c>
      <c r="C209" s="2" t="s">
        <v>1624</v>
      </c>
      <c r="D209" t="str">
        <f>$E$1&amp;Tb_Alinhamento[[#This Row],[SEI]]</f>
        <v>202402660/2023</v>
      </c>
      <c r="E209" s="24">
        <f>IFERROR(INDEX(Atualizações!$Q$1:$Q$1265,MATCH(D209,Atualizações!$P$1:$P$1265,0)),"0")</f>
        <v>1</v>
      </c>
      <c r="F209" t="str">
        <f>$G$1&amp;Tb_Alinhamento[[#This Row],[SEI]]</f>
        <v>202502660/2023</v>
      </c>
      <c r="G209" s="24" t="str">
        <f>IFERROR(INDEX(Atualizações!$Q$1:$Q$1265,MATCH(F209,Atualizações!$P$1:$P$1265,0)),"0")</f>
        <v>0</v>
      </c>
      <c r="H209" t="str">
        <f>$I$1&amp;Tb_Alinhamento[[#This Row],[SEI]]</f>
        <v>202602660/2023</v>
      </c>
      <c r="I209" s="24" t="str">
        <f>IFERROR(INDEX(Atualizações!$Q$1:$Q$1265,MATCH(H209,Atualizações!$P$1:$P$1265,0)),"0")</f>
        <v>0</v>
      </c>
      <c r="J20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0" spans="1:10" hidden="1">
      <c r="A210" s="24" t="s">
        <v>1262</v>
      </c>
      <c r="B210" s="5" t="s">
        <v>1263</v>
      </c>
      <c r="C210" s="2" t="s">
        <v>105</v>
      </c>
      <c r="D210" t="str">
        <f>$E$1&amp;Tb_Alinhamento[[#This Row],[SEI]]</f>
        <v>202408285/2022</v>
      </c>
      <c r="E210" s="24" t="str">
        <f>IFERROR(INDEX(Atualizações!$Q$1:$Q$1265,MATCH(D210,Atualizações!$P$1:$P$1265,0)),"0")</f>
        <v>0</v>
      </c>
      <c r="F210" t="str">
        <f>$G$1&amp;Tb_Alinhamento[[#This Row],[SEI]]</f>
        <v>202508285/2022</v>
      </c>
      <c r="G210" s="24" t="str">
        <f>IFERROR(INDEX(Atualizações!$Q$1:$Q$1265,MATCH(F210,Atualizações!$P$1:$P$1265,0)),"0")</f>
        <v>0</v>
      </c>
      <c r="H210" t="str">
        <f>$I$1&amp;Tb_Alinhamento[[#This Row],[SEI]]</f>
        <v>202608285/2022</v>
      </c>
      <c r="I210" s="24" t="str">
        <f>IFERROR(INDEX(Atualizações!$Q$1:$Q$1265,MATCH(H210,Atualizações!$P$1:$P$1265,0)),"0")</f>
        <v>0</v>
      </c>
      <c r="J21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1" spans="1:10" hidden="1">
      <c r="A211" s="24" t="s">
        <v>1262</v>
      </c>
      <c r="B211" s="5" t="s">
        <v>1263</v>
      </c>
      <c r="C211" s="2" t="s">
        <v>120</v>
      </c>
      <c r="D211" t="str">
        <f>$E$1&amp;Tb_Alinhamento[[#This Row],[SEI]]</f>
        <v>202408285/2022</v>
      </c>
      <c r="E211" s="24" t="str">
        <f>IFERROR(INDEX(Atualizações!$Q$1:$Q$1265,MATCH(D211,Atualizações!$P$1:$P$1265,0)),"0")</f>
        <v>0</v>
      </c>
      <c r="F211" t="str">
        <f>$G$1&amp;Tb_Alinhamento[[#This Row],[SEI]]</f>
        <v>202508285/2022</v>
      </c>
      <c r="G211" s="24" t="str">
        <f>IFERROR(INDEX(Atualizações!$Q$1:$Q$1265,MATCH(F211,Atualizações!$P$1:$P$1265,0)),"0")</f>
        <v>0</v>
      </c>
      <c r="H211" t="str">
        <f>$I$1&amp;Tb_Alinhamento[[#This Row],[SEI]]</f>
        <v>202608285/2022</v>
      </c>
      <c r="I211" s="24" t="str">
        <f>IFERROR(INDEX(Atualizações!$Q$1:$Q$1265,MATCH(H211,Atualizações!$P$1:$P$1265,0)),"0")</f>
        <v>0</v>
      </c>
      <c r="J21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2" spans="1:10" ht="30" hidden="1">
      <c r="A212" s="24" t="s">
        <v>436</v>
      </c>
      <c r="B212" s="5" t="s">
        <v>437</v>
      </c>
      <c r="C212" s="2" t="s">
        <v>214</v>
      </c>
      <c r="D212" t="str">
        <f>$E$1&amp;Tb_Alinhamento[[#This Row],[SEI]]</f>
        <v>202407855/2022</v>
      </c>
      <c r="E212" s="24">
        <f>IFERROR(INDEX(Atualizações!$Q$1:$Q$1265,MATCH(D212,Atualizações!$P$1:$P$1265,0)),"0")</f>
        <v>1</v>
      </c>
      <c r="F212" t="str">
        <f>$G$1&amp;Tb_Alinhamento[[#This Row],[SEI]]</f>
        <v>202507855/2022</v>
      </c>
      <c r="G212" s="24" t="str">
        <f>IFERROR(INDEX(Atualizações!$Q$1:$Q$1265,MATCH(F212,Atualizações!$P$1:$P$1265,0)),"0")</f>
        <v>0</v>
      </c>
      <c r="H212" t="str">
        <f>$I$1&amp;Tb_Alinhamento[[#This Row],[SEI]]</f>
        <v>202607855/2022</v>
      </c>
      <c r="I212" s="24" t="str">
        <f>IFERROR(INDEX(Atualizações!$Q$1:$Q$1265,MATCH(H212,Atualizações!$P$1:$P$1265,0)),"0")</f>
        <v>0</v>
      </c>
      <c r="J21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3" spans="1:10" ht="30" hidden="1">
      <c r="A213" s="24" t="s">
        <v>436</v>
      </c>
      <c r="B213" s="5" t="s">
        <v>437</v>
      </c>
      <c r="C213" s="2" t="s">
        <v>575</v>
      </c>
      <c r="D213" t="str">
        <f>$E$1&amp;Tb_Alinhamento[[#This Row],[SEI]]</f>
        <v>202407855/2022</v>
      </c>
      <c r="E213" s="24">
        <f>IFERROR(INDEX(Atualizações!$Q$1:$Q$1265,MATCH(D213,Atualizações!$P$1:$P$1265,0)),"0")</f>
        <v>1</v>
      </c>
      <c r="F213" t="str">
        <f>$G$1&amp;Tb_Alinhamento[[#This Row],[SEI]]</f>
        <v>202507855/2022</v>
      </c>
      <c r="G213" s="24" t="str">
        <f>IFERROR(INDEX(Atualizações!$Q$1:$Q$1265,MATCH(F213,Atualizações!$P$1:$P$1265,0)),"0")</f>
        <v>0</v>
      </c>
      <c r="H213" t="str">
        <f>$I$1&amp;Tb_Alinhamento[[#This Row],[SEI]]</f>
        <v>202607855/2022</v>
      </c>
      <c r="I213" s="24" t="str">
        <f>IFERROR(INDEX(Atualizações!$Q$1:$Q$1265,MATCH(H213,Atualizações!$P$1:$P$1265,0)),"0")</f>
        <v>0</v>
      </c>
      <c r="J21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4" spans="1:10" hidden="1">
      <c r="A214" s="24" t="s">
        <v>471</v>
      </c>
      <c r="B214" s="5" t="s">
        <v>472</v>
      </c>
      <c r="C214" s="2" t="s">
        <v>214</v>
      </c>
      <c r="D214" t="str">
        <f>$E$1&amp;Tb_Alinhamento[[#This Row],[SEI]]</f>
        <v>202408543/2021</v>
      </c>
      <c r="E214" s="24">
        <f>IFERROR(INDEX(Atualizações!$Q$1:$Q$1265,MATCH(D214,Atualizações!$P$1:$P$1265,0)),"0")</f>
        <v>1</v>
      </c>
      <c r="F214" t="str">
        <f>$G$1&amp;Tb_Alinhamento[[#This Row],[SEI]]</f>
        <v>202508543/2021</v>
      </c>
      <c r="G214" s="24" t="str">
        <f>IFERROR(INDEX(Atualizações!$Q$1:$Q$1265,MATCH(F214,Atualizações!$P$1:$P$1265,0)),"0")</f>
        <v>0</v>
      </c>
      <c r="H214" t="str">
        <f>$I$1&amp;Tb_Alinhamento[[#This Row],[SEI]]</f>
        <v>202608543/2021</v>
      </c>
      <c r="I214" s="24" t="str">
        <f>IFERROR(INDEX(Atualizações!$Q$1:$Q$1265,MATCH(H214,Atualizações!$P$1:$P$1265,0)),"0")</f>
        <v>0</v>
      </c>
      <c r="J21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5" spans="1:10" ht="30" hidden="1">
      <c r="A215" s="24" t="s">
        <v>471</v>
      </c>
      <c r="B215" s="5" t="s">
        <v>472</v>
      </c>
      <c r="C215" s="2" t="s">
        <v>176</v>
      </c>
      <c r="D215" t="str">
        <f>$E$1&amp;Tb_Alinhamento[[#This Row],[SEI]]</f>
        <v>202408543/2021</v>
      </c>
      <c r="E215" s="24">
        <f>IFERROR(INDEX(Atualizações!$Q$1:$Q$1265,MATCH(D215,Atualizações!$P$1:$P$1265,0)),"0")</f>
        <v>1</v>
      </c>
      <c r="F215" t="str">
        <f>$G$1&amp;Tb_Alinhamento[[#This Row],[SEI]]</f>
        <v>202508543/2021</v>
      </c>
      <c r="G215" s="24" t="str">
        <f>IFERROR(INDEX(Atualizações!$Q$1:$Q$1265,MATCH(F215,Atualizações!$P$1:$P$1265,0)),"0")</f>
        <v>0</v>
      </c>
      <c r="H215" t="str">
        <f>$I$1&amp;Tb_Alinhamento[[#This Row],[SEI]]</f>
        <v>202608543/2021</v>
      </c>
      <c r="I215" s="24" t="str">
        <f>IFERROR(INDEX(Atualizações!$Q$1:$Q$1265,MATCH(H215,Atualizações!$P$1:$P$1265,0)),"0")</f>
        <v>0</v>
      </c>
      <c r="J21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6" spans="1:10" hidden="1">
      <c r="A216" s="24" t="s">
        <v>464</v>
      </c>
      <c r="B216" s="5" t="s">
        <v>465</v>
      </c>
      <c r="C216" s="2" t="s">
        <v>120</v>
      </c>
      <c r="D216" t="str">
        <f>$E$1&amp;Tb_Alinhamento[[#This Row],[SEI]]</f>
        <v>202408536/2022</v>
      </c>
      <c r="E216" s="24">
        <f>IFERROR(INDEX(Atualizações!$Q$1:$Q$1265,MATCH(D216,Atualizações!$P$1:$P$1265,0)),"0")</f>
        <v>1</v>
      </c>
      <c r="F216" t="str">
        <f>$G$1&amp;Tb_Alinhamento[[#This Row],[SEI]]</f>
        <v>202508536/2022</v>
      </c>
      <c r="G216" s="24" t="str">
        <f>IFERROR(INDEX(Atualizações!$Q$1:$Q$1265,MATCH(F216,Atualizações!$P$1:$P$1265,0)),"0")</f>
        <v>0</v>
      </c>
      <c r="H216" t="str">
        <f>$I$1&amp;Tb_Alinhamento[[#This Row],[SEI]]</f>
        <v>202608536/2022</v>
      </c>
      <c r="I216" s="24" t="str">
        <f>IFERROR(INDEX(Atualizações!$Q$1:$Q$1265,MATCH(H216,Atualizações!$P$1:$P$1265,0)),"0")</f>
        <v>0</v>
      </c>
      <c r="J21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7" spans="1:10" hidden="1">
      <c r="A217" s="24" t="s">
        <v>464</v>
      </c>
      <c r="B217" s="5" t="s">
        <v>465</v>
      </c>
      <c r="C217" s="2" t="s">
        <v>1624</v>
      </c>
      <c r="D217" t="str">
        <f>$E$1&amp;Tb_Alinhamento[[#This Row],[SEI]]</f>
        <v>202408536/2022</v>
      </c>
      <c r="E217" s="24">
        <f>IFERROR(INDEX(Atualizações!$Q$1:$Q$1265,MATCH(D217,Atualizações!$P$1:$P$1265,0)),"0")</f>
        <v>1</v>
      </c>
      <c r="F217" t="str">
        <f>$G$1&amp;Tb_Alinhamento[[#This Row],[SEI]]</f>
        <v>202508536/2022</v>
      </c>
      <c r="G217" s="24" t="str">
        <f>IFERROR(INDEX(Atualizações!$Q$1:$Q$1265,MATCH(F217,Atualizações!$P$1:$P$1265,0)),"0")</f>
        <v>0</v>
      </c>
      <c r="H217" t="str">
        <f>$I$1&amp;Tb_Alinhamento[[#This Row],[SEI]]</f>
        <v>202608536/2022</v>
      </c>
      <c r="I217" s="24" t="str">
        <f>IFERROR(INDEX(Atualizações!$Q$1:$Q$1265,MATCH(H217,Atualizações!$P$1:$P$1265,0)),"0")</f>
        <v>0</v>
      </c>
      <c r="J21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8" spans="1:10" ht="30" hidden="1">
      <c r="A218" s="24" t="s">
        <v>322</v>
      </c>
      <c r="B218" s="5" t="s">
        <v>323</v>
      </c>
      <c r="C218" s="2" t="s">
        <v>176</v>
      </c>
      <c r="D218" t="str">
        <f>$E$1&amp;Tb_Alinhamento[[#This Row],[SEI]]</f>
        <v>202402938/2021</v>
      </c>
      <c r="E218" s="24">
        <f>IFERROR(INDEX(Atualizações!$Q$1:$Q$1265,MATCH(D218,Atualizações!$P$1:$P$1265,0)),"0")</f>
        <v>1</v>
      </c>
      <c r="F218" t="str">
        <f>$G$1&amp;Tb_Alinhamento[[#This Row],[SEI]]</f>
        <v>202502938/2021</v>
      </c>
      <c r="G218" s="24" t="str">
        <f>IFERROR(INDEX(Atualizações!$Q$1:$Q$1265,MATCH(F218,Atualizações!$P$1:$P$1265,0)),"0")</f>
        <v>0</v>
      </c>
      <c r="H218" t="str">
        <f>$I$1&amp;Tb_Alinhamento[[#This Row],[SEI]]</f>
        <v>202602938/2021</v>
      </c>
      <c r="I218" s="24" t="str">
        <f>IFERROR(INDEX(Atualizações!$Q$1:$Q$1265,MATCH(H218,Atualizações!$P$1:$P$1265,0)),"0")</f>
        <v>0</v>
      </c>
      <c r="J21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19" spans="1:10" ht="30" hidden="1">
      <c r="A219" s="24" t="s">
        <v>331</v>
      </c>
      <c r="B219" s="5" t="s">
        <v>332</v>
      </c>
      <c r="C219" s="2" t="s">
        <v>146</v>
      </c>
      <c r="D219" t="str">
        <f>$E$1&amp;Tb_Alinhamento[[#This Row],[SEI]]</f>
        <v>202402941/2021</v>
      </c>
      <c r="E219" s="24">
        <f>IFERROR(INDEX(Atualizações!$Q$1:$Q$1265,MATCH(D219,Atualizações!$P$1:$P$1265,0)),"0")</f>
        <v>1</v>
      </c>
      <c r="F219" t="str">
        <f>$G$1&amp;Tb_Alinhamento[[#This Row],[SEI]]</f>
        <v>202502941/2021</v>
      </c>
      <c r="G219" s="24" t="str">
        <f>IFERROR(INDEX(Atualizações!$Q$1:$Q$1265,MATCH(F219,Atualizações!$P$1:$P$1265,0)),"0")</f>
        <v>0</v>
      </c>
      <c r="H219" t="str">
        <f>$I$1&amp;Tb_Alinhamento[[#This Row],[SEI]]</f>
        <v>202602941/2021</v>
      </c>
      <c r="I219" s="24" t="str">
        <f>IFERROR(INDEX(Atualizações!$Q$1:$Q$1265,MATCH(H219,Atualizações!$P$1:$P$1265,0)),"0")</f>
        <v>0</v>
      </c>
      <c r="J21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0" spans="1:10" ht="30" hidden="1">
      <c r="A220" s="24" t="s">
        <v>331</v>
      </c>
      <c r="B220" s="5" t="s">
        <v>332</v>
      </c>
      <c r="C220" s="2" t="s">
        <v>176</v>
      </c>
      <c r="D220" t="str">
        <f>$E$1&amp;Tb_Alinhamento[[#This Row],[SEI]]</f>
        <v>202402941/2021</v>
      </c>
      <c r="E220" s="24">
        <f>IFERROR(INDEX(Atualizações!$Q$1:$Q$1265,MATCH(D220,Atualizações!$P$1:$P$1265,0)),"0")</f>
        <v>1</v>
      </c>
      <c r="F220" t="str">
        <f>$G$1&amp;Tb_Alinhamento[[#This Row],[SEI]]</f>
        <v>202502941/2021</v>
      </c>
      <c r="G220" s="24" t="str">
        <f>IFERROR(INDEX(Atualizações!$Q$1:$Q$1265,MATCH(F220,Atualizações!$P$1:$P$1265,0)),"0")</f>
        <v>0</v>
      </c>
      <c r="H220" t="str">
        <f>$I$1&amp;Tb_Alinhamento[[#This Row],[SEI]]</f>
        <v>202602941/2021</v>
      </c>
      <c r="I220" s="24" t="str">
        <f>IFERROR(INDEX(Atualizações!$Q$1:$Q$1265,MATCH(H220,Atualizações!$P$1:$P$1265,0)),"0")</f>
        <v>0</v>
      </c>
      <c r="J22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1" spans="1:10" ht="30" hidden="1">
      <c r="A221" s="24" t="s">
        <v>479</v>
      </c>
      <c r="B221" s="5" t="s">
        <v>480</v>
      </c>
      <c r="C221" s="2" t="s">
        <v>176</v>
      </c>
      <c r="D221" t="str">
        <f>$E$1&amp;Tb_Alinhamento[[#This Row],[SEI]]</f>
        <v>202408547/2021</v>
      </c>
      <c r="E221" s="24">
        <f>IFERROR(INDEX(Atualizações!$Q$1:$Q$1265,MATCH(D221,Atualizações!$P$1:$P$1265,0)),"0")</f>
        <v>1</v>
      </c>
      <c r="F221" t="str">
        <f>$G$1&amp;Tb_Alinhamento[[#This Row],[SEI]]</f>
        <v>202508547/2021</v>
      </c>
      <c r="G221" s="24" t="str">
        <f>IFERROR(INDEX(Atualizações!$Q$1:$Q$1265,MATCH(F221,Atualizações!$P$1:$P$1265,0)),"0")</f>
        <v>0</v>
      </c>
      <c r="H221" t="str">
        <f>$I$1&amp;Tb_Alinhamento[[#This Row],[SEI]]</f>
        <v>202608547/2021</v>
      </c>
      <c r="I221" s="24" t="str">
        <f>IFERROR(INDEX(Atualizações!$Q$1:$Q$1265,MATCH(H221,Atualizações!$P$1:$P$1265,0)),"0")</f>
        <v>0</v>
      </c>
      <c r="J22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2" spans="1:10" ht="30" hidden="1">
      <c r="A222" s="24" t="s">
        <v>479</v>
      </c>
      <c r="B222" s="5" t="s">
        <v>480</v>
      </c>
      <c r="C222" s="2" t="s">
        <v>146</v>
      </c>
      <c r="D222" t="str">
        <f>$E$1&amp;Tb_Alinhamento[[#This Row],[SEI]]</f>
        <v>202408547/2021</v>
      </c>
      <c r="E222" s="24">
        <f>IFERROR(INDEX(Atualizações!$Q$1:$Q$1265,MATCH(D222,Atualizações!$P$1:$P$1265,0)),"0")</f>
        <v>1</v>
      </c>
      <c r="F222" t="str">
        <f>$G$1&amp;Tb_Alinhamento[[#This Row],[SEI]]</f>
        <v>202508547/2021</v>
      </c>
      <c r="G222" s="24" t="str">
        <f>IFERROR(INDEX(Atualizações!$Q$1:$Q$1265,MATCH(F222,Atualizações!$P$1:$P$1265,0)),"0")</f>
        <v>0</v>
      </c>
      <c r="H222" t="str">
        <f>$I$1&amp;Tb_Alinhamento[[#This Row],[SEI]]</f>
        <v>202608547/2021</v>
      </c>
      <c r="I222" s="24" t="str">
        <f>IFERROR(INDEX(Atualizações!$Q$1:$Q$1265,MATCH(H222,Atualizações!$P$1:$P$1265,0)),"0")</f>
        <v>0</v>
      </c>
      <c r="J22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3" spans="1:10" hidden="1">
      <c r="A223" s="24" t="s">
        <v>1283</v>
      </c>
      <c r="B223" s="5" t="s">
        <v>1284</v>
      </c>
      <c r="C223" s="2" t="s">
        <v>105</v>
      </c>
      <c r="D223" t="str">
        <f>$E$1&amp;Tb_Alinhamento[[#This Row],[SEI]]</f>
        <v>202401508/2022</v>
      </c>
      <c r="E223" s="24" t="str">
        <f>IFERROR(INDEX(Atualizações!$Q$1:$Q$1265,MATCH(D223,Atualizações!$P$1:$P$1265,0)),"0")</f>
        <v>0</v>
      </c>
      <c r="F223" t="str">
        <f>$G$1&amp;Tb_Alinhamento[[#This Row],[SEI]]</f>
        <v>202501508/2022</v>
      </c>
      <c r="G223" s="24" t="str">
        <f>IFERROR(INDEX(Atualizações!$Q$1:$Q$1265,MATCH(F223,Atualizações!$P$1:$P$1265,0)),"0")</f>
        <v>0</v>
      </c>
      <c r="H223" t="str">
        <f>$I$1&amp;Tb_Alinhamento[[#This Row],[SEI]]</f>
        <v>202601508/2022</v>
      </c>
      <c r="I223" s="24" t="str">
        <f>IFERROR(INDEX(Atualizações!$Q$1:$Q$1265,MATCH(H223,Atualizações!$P$1:$P$1265,0)),"0")</f>
        <v>0</v>
      </c>
      <c r="J22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4" spans="1:10" ht="30" hidden="1">
      <c r="A224" s="24" t="s">
        <v>1283</v>
      </c>
      <c r="B224" s="5" t="s">
        <v>1284</v>
      </c>
      <c r="C224" s="2" t="s">
        <v>146</v>
      </c>
      <c r="D224" t="str">
        <f>$E$1&amp;Tb_Alinhamento[[#This Row],[SEI]]</f>
        <v>202401508/2022</v>
      </c>
      <c r="E224" s="24" t="str">
        <f>IFERROR(INDEX(Atualizações!$Q$1:$Q$1265,MATCH(D224,Atualizações!$P$1:$P$1265,0)),"0")</f>
        <v>0</v>
      </c>
      <c r="F224" t="str">
        <f>$G$1&amp;Tb_Alinhamento[[#This Row],[SEI]]</f>
        <v>202501508/2022</v>
      </c>
      <c r="G224" s="24" t="str">
        <f>IFERROR(INDEX(Atualizações!$Q$1:$Q$1265,MATCH(F224,Atualizações!$P$1:$P$1265,0)),"0")</f>
        <v>0</v>
      </c>
      <c r="H224" t="str">
        <f>$I$1&amp;Tb_Alinhamento[[#This Row],[SEI]]</f>
        <v>202601508/2022</v>
      </c>
      <c r="I224" s="24" t="str">
        <f>IFERROR(INDEX(Atualizações!$Q$1:$Q$1265,MATCH(H224,Atualizações!$P$1:$P$1265,0)),"0")</f>
        <v>0</v>
      </c>
      <c r="J22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5" spans="1:10" ht="30">
      <c r="A225" s="24" t="s">
        <v>652</v>
      </c>
      <c r="B225" s="5" t="str">
        <f>_xlfn.XLOOKUP(Tb_Alinhamento[[#This Row],[SEI]],Tb_Portfólio[SEI],Tb_Portfólio[PROJETO],"Não cadastrado")</f>
        <v>Projeto Piloto – Rede de Apoio para Avaliação Externa, com base no IA-CM</v>
      </c>
      <c r="C225" s="2" t="s">
        <v>575</v>
      </c>
      <c r="D225" t="str">
        <f>$E$1&amp;Tb_Alinhamento[[#This Row],[SEI]]</f>
        <v>202411729/2025</v>
      </c>
      <c r="E225" s="24" t="str">
        <f>IFERROR(INDEX(Atualizações!$Q$1:$Q$1265,MATCH(D225,Atualizações!$P$1:$P$1265,0)),"0")</f>
        <v>0</v>
      </c>
      <c r="F225" t="str">
        <f>$G$1&amp;Tb_Alinhamento[[#This Row],[SEI]]</f>
        <v>202511729/2025</v>
      </c>
      <c r="G225" s="24">
        <f>IFERROR(INDEX(Atualizações!$Q$1:$Q$1265,MATCH(F225,Atualizações!$P$1:$P$1265,0)),"0")</f>
        <v>1</v>
      </c>
      <c r="H225" t="str">
        <f>$I$1&amp;Tb_Alinhamento[[#This Row],[SEI]]</f>
        <v>202611729/2025</v>
      </c>
      <c r="I225" s="24">
        <f>IFERROR(INDEX(Atualizações!$Q$1:$Q$1265,MATCH(H225,Atualizações!$P$1:$P$1265,0)),"0")</f>
        <v>1</v>
      </c>
      <c r="J22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6" spans="1:10" ht="30">
      <c r="A226" s="133" t="s">
        <v>189</v>
      </c>
      <c r="B226" s="5" t="str">
        <f>_xlfn.XLOOKUP(Tb_Alinhamento[[#This Row],[SEI]],Tb_Portfólio[SEI],Tb_Portfólio[PROJETO],"Não cadastrado")</f>
        <v>Gestão de Clientes</v>
      </c>
      <c r="C226" s="2" t="s">
        <v>146</v>
      </c>
      <c r="D226" t="str">
        <f>$E$1&amp;Tb_Alinhamento[[#This Row],[SEI]]</f>
        <v>202401809/2025</v>
      </c>
      <c r="E226" s="24" t="str">
        <f>IFERROR(INDEX(Atualizações!$Q$1:$Q$1265,MATCH(D226,Atualizações!$P$1:$P$1265,0)),"0")</f>
        <v>0</v>
      </c>
      <c r="F226" t="str">
        <f>$G$1&amp;Tb_Alinhamento[[#This Row],[SEI]]</f>
        <v>202501809/2025</v>
      </c>
      <c r="G226" s="24">
        <f>IFERROR(INDEX(Atualizações!$Q$1:$Q$1265,MATCH(F226,Atualizações!$P$1:$P$1265,0)),"0")</f>
        <v>1</v>
      </c>
      <c r="H226" t="str">
        <f>$I$1&amp;Tb_Alinhamento[[#This Row],[SEI]]</f>
        <v>202601809/2025</v>
      </c>
      <c r="I226" s="24">
        <f>IFERROR(INDEX(Atualizações!$Q$1:$Q$1265,MATCH(H226,Atualizações!$P$1:$P$1265,0)),"0")</f>
        <v>1</v>
      </c>
      <c r="J22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7" spans="1:10" hidden="1">
      <c r="A227" s="24" t="s">
        <v>615</v>
      </c>
      <c r="B227" s="5" t="s">
        <v>616</v>
      </c>
      <c r="C227" s="2" t="s">
        <v>120</v>
      </c>
      <c r="D227" t="str">
        <f>$E$1&amp;Tb_Alinhamento[[#This Row],[SEI]]</f>
        <v>202411340/2023</v>
      </c>
      <c r="E227" s="24">
        <f>IFERROR(INDEX(Atualizações!$Q$1:$Q$1265,MATCH(D227,Atualizações!$P$1:$P$1265,0)),"0")</f>
        <v>1</v>
      </c>
      <c r="F227" t="str">
        <f>$G$1&amp;Tb_Alinhamento[[#This Row],[SEI]]</f>
        <v>202511340/2023</v>
      </c>
      <c r="G227" s="24">
        <f>IFERROR(INDEX(Atualizações!$Q$1:$Q$1265,MATCH(F227,Atualizações!$P$1:$P$1265,0)),"0")</f>
        <v>1</v>
      </c>
      <c r="H227" t="str">
        <f>$I$1&amp;Tb_Alinhamento[[#This Row],[SEI]]</f>
        <v>202611340/2023</v>
      </c>
      <c r="I227" s="24" t="str">
        <f>IFERROR(INDEX(Atualizações!$Q$1:$Q$1265,MATCH(H227,Atualizações!$P$1:$P$1265,0)),"0")</f>
        <v>0</v>
      </c>
      <c r="J22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8" spans="1:10" hidden="1">
      <c r="A228" s="24" t="s">
        <v>615</v>
      </c>
      <c r="B228" s="5" t="s">
        <v>616</v>
      </c>
      <c r="C228" s="2" t="s">
        <v>214</v>
      </c>
      <c r="D228" t="str">
        <f>$E$1&amp;Tb_Alinhamento[[#This Row],[SEI]]</f>
        <v>202411340/2023</v>
      </c>
      <c r="E228" s="24">
        <f>IFERROR(INDEX(Atualizações!$Q$1:$Q$1265,MATCH(D228,Atualizações!$P$1:$P$1265,0)),"0")</f>
        <v>1</v>
      </c>
      <c r="F228" t="str">
        <f>$G$1&amp;Tb_Alinhamento[[#This Row],[SEI]]</f>
        <v>202511340/2023</v>
      </c>
      <c r="G228" s="24">
        <f>IFERROR(INDEX(Atualizações!$Q$1:$Q$1265,MATCH(F228,Atualizações!$P$1:$P$1265,0)),"0")</f>
        <v>1</v>
      </c>
      <c r="H228" t="str">
        <f>$I$1&amp;Tb_Alinhamento[[#This Row],[SEI]]</f>
        <v>202611340/2023</v>
      </c>
      <c r="I228" s="24" t="str">
        <f>IFERROR(INDEX(Atualizações!$Q$1:$Q$1265,MATCH(H228,Atualizações!$P$1:$P$1265,0)),"0")</f>
        <v>0</v>
      </c>
      <c r="J22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29" spans="1:10" ht="30" hidden="1">
      <c r="A229" s="24" t="s">
        <v>376</v>
      </c>
      <c r="B229" s="5" t="s">
        <v>377</v>
      </c>
      <c r="C229" s="2" t="s">
        <v>105</v>
      </c>
      <c r="D229" t="str">
        <f>$E$1&amp;Tb_Alinhamento[[#This Row],[SEI]]</f>
        <v>202403924/2023</v>
      </c>
      <c r="E229" s="24">
        <f>IFERROR(INDEX(Atualizações!$Q$1:$Q$1265,MATCH(D229,Atualizações!$P$1:$P$1265,0)),"0")</f>
        <v>1</v>
      </c>
      <c r="F229" t="str">
        <f>$G$1&amp;Tb_Alinhamento[[#This Row],[SEI]]</f>
        <v>202503924/2023</v>
      </c>
      <c r="G229" s="24">
        <f>IFERROR(INDEX(Atualizações!$Q$1:$Q$1265,MATCH(F229,Atualizações!$P$1:$P$1265,0)),"0")</f>
        <v>1</v>
      </c>
      <c r="H229" t="str">
        <f>$I$1&amp;Tb_Alinhamento[[#This Row],[SEI]]</f>
        <v>202603924/2023</v>
      </c>
      <c r="I229" s="24" t="str">
        <f>IFERROR(INDEX(Atualizações!$Q$1:$Q$1265,MATCH(H229,Atualizações!$P$1:$P$1265,0)),"0")</f>
        <v>0</v>
      </c>
      <c r="J22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0" spans="1:10" ht="30" hidden="1">
      <c r="A230" s="24" t="s">
        <v>376</v>
      </c>
      <c r="B230" s="5" t="s">
        <v>377</v>
      </c>
      <c r="C230" s="2" t="s">
        <v>176</v>
      </c>
      <c r="D230" t="str">
        <f>$E$1&amp;Tb_Alinhamento[[#This Row],[SEI]]</f>
        <v>202403924/2023</v>
      </c>
      <c r="E230" s="24">
        <f>IFERROR(INDEX(Atualizações!$Q$1:$Q$1265,MATCH(D230,Atualizações!$P$1:$P$1265,0)),"0")</f>
        <v>1</v>
      </c>
      <c r="F230" t="str">
        <f>$G$1&amp;Tb_Alinhamento[[#This Row],[SEI]]</f>
        <v>202503924/2023</v>
      </c>
      <c r="G230" s="24">
        <f>IFERROR(INDEX(Atualizações!$Q$1:$Q$1265,MATCH(F230,Atualizações!$P$1:$P$1265,0)),"0")</f>
        <v>1</v>
      </c>
      <c r="H230" t="str">
        <f>$I$1&amp;Tb_Alinhamento[[#This Row],[SEI]]</f>
        <v>202603924/2023</v>
      </c>
      <c r="I230" s="24" t="str">
        <f>IFERROR(INDEX(Atualizações!$Q$1:$Q$1265,MATCH(H230,Atualizações!$P$1:$P$1265,0)),"0")</f>
        <v>0</v>
      </c>
      <c r="J23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1" spans="1:10" hidden="1">
      <c r="A231" s="24" t="s">
        <v>404</v>
      </c>
      <c r="B231" s="5" t="s">
        <v>405</v>
      </c>
      <c r="C231" s="2" t="s">
        <v>76</v>
      </c>
      <c r="D231" t="str">
        <f>$E$1&amp;Tb_Alinhamento[[#This Row],[SEI]]</f>
        <v>202405138/2024</v>
      </c>
      <c r="E231" s="24">
        <f>IFERROR(INDEX(Atualizações!$Q$1:$Q$1265,MATCH(D231,Atualizações!$P$1:$P$1265,0)),"0")</f>
        <v>1</v>
      </c>
      <c r="F231" t="str">
        <f>$G$1&amp;Tb_Alinhamento[[#This Row],[SEI]]</f>
        <v>202505138/2024</v>
      </c>
      <c r="G231" s="24">
        <f>IFERROR(INDEX(Atualizações!$Q$1:$Q$1265,MATCH(F231,Atualizações!$P$1:$P$1265,0)),"0")</f>
        <v>1</v>
      </c>
      <c r="H231" t="str">
        <f>$I$1&amp;Tb_Alinhamento[[#This Row],[SEI]]</f>
        <v>202605138/2024</v>
      </c>
      <c r="I231" s="24" t="str">
        <f>IFERROR(INDEX(Atualizações!$Q$1:$Q$1265,MATCH(H231,Atualizações!$P$1:$P$1265,0)),"0")</f>
        <v>0</v>
      </c>
      <c r="J23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2" spans="1:10" ht="30">
      <c r="A232" s="133" t="s">
        <v>189</v>
      </c>
      <c r="B232" s="5" t="str">
        <f>_xlfn.XLOOKUP(Tb_Alinhamento[[#This Row],[SEI]],Tb_Portfólio[SEI],Tb_Portfólio[PROJETO],"Não cadastrado")</f>
        <v>Gestão de Clientes</v>
      </c>
      <c r="C232" s="2" t="s">
        <v>176</v>
      </c>
      <c r="D232" t="str">
        <f>$E$1&amp;Tb_Alinhamento[[#This Row],[SEI]]</f>
        <v>202401809/2025</v>
      </c>
      <c r="E232" s="24" t="str">
        <f>IFERROR(INDEX(Atualizações!$Q$1:$Q$1265,MATCH(D232,Atualizações!$P$1:$P$1265,0)),"0")</f>
        <v>0</v>
      </c>
      <c r="F232" t="str">
        <f>$G$1&amp;Tb_Alinhamento[[#This Row],[SEI]]</f>
        <v>202501809/2025</v>
      </c>
      <c r="G232" s="24">
        <f>IFERROR(INDEX(Atualizações!$Q$1:$Q$1265,MATCH(F232,Atualizações!$P$1:$P$1265,0)),"0")</f>
        <v>1</v>
      </c>
      <c r="H232" t="str">
        <f>$I$1&amp;Tb_Alinhamento[[#This Row],[SEI]]</f>
        <v>202601809/2025</v>
      </c>
      <c r="I232" s="24">
        <f>IFERROR(INDEX(Atualizações!$Q$1:$Q$1265,MATCH(H232,Atualizações!$P$1:$P$1265,0)),"0")</f>
        <v>1</v>
      </c>
      <c r="J23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3" spans="1:10" ht="30" hidden="1">
      <c r="A233" s="24" t="s">
        <v>495</v>
      </c>
      <c r="B233" s="5" t="s">
        <v>496</v>
      </c>
      <c r="C233" s="2" t="s">
        <v>214</v>
      </c>
      <c r="D233" t="str">
        <f>$E$1&amp;Tb_Alinhamento[[#This Row],[SEI]]</f>
        <v>202408690/2023</v>
      </c>
      <c r="E233" s="24">
        <f>IFERROR(INDEX(Atualizações!$Q$1:$Q$1265,MATCH(D233,Atualizações!$P$1:$P$1265,0)),"0")</f>
        <v>1</v>
      </c>
      <c r="F233" t="str">
        <f>$G$1&amp;Tb_Alinhamento[[#This Row],[SEI]]</f>
        <v>202508690/2023</v>
      </c>
      <c r="G233" s="24" t="str">
        <f>IFERROR(INDEX(Atualizações!$Q$1:$Q$1265,MATCH(F233,Atualizações!$P$1:$P$1265,0)),"0")</f>
        <v>0</v>
      </c>
      <c r="H233" t="str">
        <f>$I$1&amp;Tb_Alinhamento[[#This Row],[SEI]]</f>
        <v>202608690/2023</v>
      </c>
      <c r="I233" s="24" t="str">
        <f>IFERROR(INDEX(Atualizações!$Q$1:$Q$1265,MATCH(H233,Atualizações!$P$1:$P$1265,0)),"0")</f>
        <v>0</v>
      </c>
      <c r="J23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4" spans="1:10" ht="30" hidden="1">
      <c r="A234" s="24" t="s">
        <v>495</v>
      </c>
      <c r="B234" s="5" t="s">
        <v>496</v>
      </c>
      <c r="C234" s="2" t="s">
        <v>176</v>
      </c>
      <c r="D234" t="str">
        <f>$E$1&amp;Tb_Alinhamento[[#This Row],[SEI]]</f>
        <v>202408690/2023</v>
      </c>
      <c r="E234" s="24">
        <f>IFERROR(INDEX(Atualizações!$Q$1:$Q$1265,MATCH(D234,Atualizações!$P$1:$P$1265,0)),"0")</f>
        <v>1</v>
      </c>
      <c r="F234" t="str">
        <f>$G$1&amp;Tb_Alinhamento[[#This Row],[SEI]]</f>
        <v>202508690/2023</v>
      </c>
      <c r="G234" s="24" t="str">
        <f>IFERROR(INDEX(Atualizações!$Q$1:$Q$1265,MATCH(F234,Atualizações!$P$1:$P$1265,0)),"0")</f>
        <v>0</v>
      </c>
      <c r="H234" t="str">
        <f>$I$1&amp;Tb_Alinhamento[[#This Row],[SEI]]</f>
        <v>202608690/2023</v>
      </c>
      <c r="I234" s="24" t="str">
        <f>IFERROR(INDEX(Atualizações!$Q$1:$Q$1265,MATCH(H234,Atualizações!$P$1:$P$1265,0)),"0")</f>
        <v>0</v>
      </c>
      <c r="J23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5" spans="1:10" hidden="1">
      <c r="A235" s="24" t="s">
        <v>273</v>
      </c>
      <c r="B235" s="5" t="s">
        <v>274</v>
      </c>
      <c r="C235" s="2" t="s">
        <v>120</v>
      </c>
      <c r="D235" t="str">
        <f>$E$1&amp;Tb_Alinhamento[[#This Row],[SEI]]</f>
        <v>202402483/2023</v>
      </c>
      <c r="E235" s="24">
        <f>IFERROR(INDEX(Atualizações!$Q$1:$Q$1265,MATCH(D235,Atualizações!$P$1:$P$1265,0)),"0")</f>
        <v>1</v>
      </c>
      <c r="F235" t="str">
        <f>$G$1&amp;Tb_Alinhamento[[#This Row],[SEI]]</f>
        <v>202502483/2023</v>
      </c>
      <c r="G235" s="24">
        <f>IFERROR(INDEX(Atualizações!$Q$1:$Q$1265,MATCH(F235,Atualizações!$P$1:$P$1265,0)),"0")</f>
        <v>1</v>
      </c>
      <c r="H235" t="str">
        <f>$I$1&amp;Tb_Alinhamento[[#This Row],[SEI]]</f>
        <v>202602483/2023</v>
      </c>
      <c r="I235" s="24" t="str">
        <f>IFERROR(INDEX(Atualizações!$Q$1:$Q$1265,MATCH(H235,Atualizações!$P$1:$P$1265,0)),"0")</f>
        <v>0</v>
      </c>
      <c r="J23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6" spans="1:10" ht="30" hidden="1">
      <c r="A236" s="24" t="s">
        <v>273</v>
      </c>
      <c r="B236" s="5" t="s">
        <v>274</v>
      </c>
      <c r="C236" s="2" t="s">
        <v>166</v>
      </c>
      <c r="D236" t="str">
        <f>$E$1&amp;Tb_Alinhamento[[#This Row],[SEI]]</f>
        <v>202402483/2023</v>
      </c>
      <c r="E236" s="24">
        <f>IFERROR(INDEX(Atualizações!$Q$1:$Q$1265,MATCH(D236,Atualizações!$P$1:$P$1265,0)),"0")</f>
        <v>1</v>
      </c>
      <c r="F236" t="str">
        <f>$G$1&amp;Tb_Alinhamento[[#This Row],[SEI]]</f>
        <v>202502483/2023</v>
      </c>
      <c r="G236" s="24">
        <f>IFERROR(INDEX(Atualizações!$Q$1:$Q$1265,MATCH(F236,Atualizações!$P$1:$P$1265,0)),"0")</f>
        <v>1</v>
      </c>
      <c r="H236" t="str">
        <f>$I$1&amp;Tb_Alinhamento[[#This Row],[SEI]]</f>
        <v>202602483/2023</v>
      </c>
      <c r="I236" s="24" t="str">
        <f>IFERROR(INDEX(Atualizações!$Q$1:$Q$1265,MATCH(H236,Atualizações!$P$1:$P$1265,0)),"0")</f>
        <v>0</v>
      </c>
      <c r="J23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7" spans="1:10" ht="30" hidden="1">
      <c r="A237" s="24" t="s">
        <v>410</v>
      </c>
      <c r="B237" s="5" t="s">
        <v>411</v>
      </c>
      <c r="C237" s="2" t="s">
        <v>166</v>
      </c>
      <c r="D237" t="str">
        <f>$E$1&amp;Tb_Alinhamento[[#This Row],[SEI]]</f>
        <v>202405150/2024</v>
      </c>
      <c r="E237" s="24">
        <f>IFERROR(INDEX(Atualizações!$Q$1:$Q$1265,MATCH(D237,Atualizações!$P$1:$P$1265,0)),"0")</f>
        <v>1</v>
      </c>
      <c r="F237" t="str">
        <f>$G$1&amp;Tb_Alinhamento[[#This Row],[SEI]]</f>
        <v>202505150/2024</v>
      </c>
      <c r="G237" s="24">
        <f>IFERROR(INDEX(Atualizações!$Q$1:$Q$1265,MATCH(F237,Atualizações!$P$1:$P$1265,0)),"0")</f>
        <v>1</v>
      </c>
      <c r="H237" t="str">
        <f>$I$1&amp;Tb_Alinhamento[[#This Row],[SEI]]</f>
        <v>202605150/2024</v>
      </c>
      <c r="I237" s="24" t="str">
        <f>IFERROR(INDEX(Atualizações!$Q$1:$Q$1265,MATCH(H237,Atualizações!$P$1:$P$1265,0)),"0")</f>
        <v>0</v>
      </c>
      <c r="J23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8" spans="1:10" ht="30" hidden="1">
      <c r="A238" s="24" t="s">
        <v>410</v>
      </c>
      <c r="B238" s="5" t="s">
        <v>411</v>
      </c>
      <c r="C238" s="2" t="s">
        <v>146</v>
      </c>
      <c r="D238" t="str">
        <f>$E$1&amp;Tb_Alinhamento[[#This Row],[SEI]]</f>
        <v>202405150/2024</v>
      </c>
      <c r="E238" s="24">
        <f>IFERROR(INDEX(Atualizações!$Q$1:$Q$1265,MATCH(D238,Atualizações!$P$1:$P$1265,0)),"0")</f>
        <v>1</v>
      </c>
      <c r="F238" t="str">
        <f>$G$1&amp;Tb_Alinhamento[[#This Row],[SEI]]</f>
        <v>202505150/2024</v>
      </c>
      <c r="G238" s="24">
        <f>IFERROR(INDEX(Atualizações!$Q$1:$Q$1265,MATCH(F238,Atualizações!$P$1:$P$1265,0)),"0")</f>
        <v>1</v>
      </c>
      <c r="H238" t="str">
        <f>$I$1&amp;Tb_Alinhamento[[#This Row],[SEI]]</f>
        <v>202605150/2024</v>
      </c>
      <c r="I238" s="24" t="str">
        <f>IFERROR(INDEX(Atualizações!$Q$1:$Q$1265,MATCH(H238,Atualizações!$P$1:$P$1265,0)),"0")</f>
        <v>0</v>
      </c>
      <c r="J23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39" spans="1:10" ht="30">
      <c r="A239" s="24" t="s">
        <v>198</v>
      </c>
      <c r="B239" s="5" t="str">
        <f>_xlfn.XLOOKUP(Tb_Alinhamento[[#This Row],[SEI]],Tb_Portfólio[SEI],Tb_Portfólio[PROJETO],"Não cadastrado")</f>
        <v>Desenvolvimento de um Conjunto de Solução em Gestão de Dados para a Corregedoria Nacional de Justiça</v>
      </c>
      <c r="C239" s="2" t="s">
        <v>105</v>
      </c>
      <c r="D239" t="str">
        <f>$E$1&amp;Tb_Alinhamento[[#This Row],[SEI]]</f>
        <v>202401913/2025</v>
      </c>
      <c r="E239" s="24" t="str">
        <f>IFERROR(INDEX(Atualizações!$Q$1:$Q$1265,MATCH(D239,Atualizações!$P$1:$P$1265,0)),"0")</f>
        <v>0</v>
      </c>
      <c r="F239" t="str">
        <f>$G$1&amp;Tb_Alinhamento[[#This Row],[SEI]]</f>
        <v>202501913/2025</v>
      </c>
      <c r="G239" s="24">
        <f>IFERROR(INDEX(Atualizações!$Q$1:$Q$1265,MATCH(F239,Atualizações!$P$1:$P$1265,0)),"0")</f>
        <v>1</v>
      </c>
      <c r="H239" t="str">
        <f>$I$1&amp;Tb_Alinhamento[[#This Row],[SEI]]</f>
        <v>202601913/2025</v>
      </c>
      <c r="I239" s="24">
        <f>IFERROR(INDEX(Atualizações!$Q$1:$Q$1265,MATCH(H239,Atualizações!$P$1:$P$1265,0)),"0")</f>
        <v>1</v>
      </c>
      <c r="J23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0" spans="1:10" ht="30">
      <c r="A240" s="24" t="s">
        <v>198</v>
      </c>
      <c r="B240" s="5" t="str">
        <f>_xlfn.XLOOKUP(Tb_Alinhamento[[#This Row],[SEI]],Tb_Portfólio[SEI],Tb_Portfólio[PROJETO],"Não cadastrado")</f>
        <v>Desenvolvimento de um Conjunto de Solução em Gestão de Dados para a Corregedoria Nacional de Justiça</v>
      </c>
      <c r="C240" s="2" t="s">
        <v>575</v>
      </c>
      <c r="D240" t="str">
        <f>$E$1&amp;Tb_Alinhamento[[#This Row],[SEI]]</f>
        <v>202401913/2025</v>
      </c>
      <c r="E240" s="24" t="str">
        <f>IFERROR(INDEX(Atualizações!$Q$1:$Q$1265,MATCH(D240,Atualizações!$P$1:$P$1265,0)),"0")</f>
        <v>0</v>
      </c>
      <c r="F240" t="str">
        <f>$G$1&amp;Tb_Alinhamento[[#This Row],[SEI]]</f>
        <v>202501913/2025</v>
      </c>
      <c r="G240" s="24">
        <f>IFERROR(INDEX(Atualizações!$Q$1:$Q$1265,MATCH(F240,Atualizações!$P$1:$P$1265,0)),"0")</f>
        <v>1</v>
      </c>
      <c r="H240" t="str">
        <f>$I$1&amp;Tb_Alinhamento[[#This Row],[SEI]]</f>
        <v>202601913/2025</v>
      </c>
      <c r="I240" s="24">
        <f>IFERROR(INDEX(Atualizações!$Q$1:$Q$1265,MATCH(H240,Atualizações!$P$1:$P$1265,0)),"0")</f>
        <v>1</v>
      </c>
      <c r="J24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1" spans="1:10" ht="30">
      <c r="A241" s="24" t="s">
        <v>198</v>
      </c>
      <c r="B241" s="5" t="str">
        <f>_xlfn.XLOOKUP(Tb_Alinhamento[[#This Row],[SEI]],Tb_Portfólio[SEI],Tb_Portfólio[PROJETO],"Não cadastrado")</f>
        <v>Desenvolvimento de um Conjunto de Solução em Gestão de Dados para a Corregedoria Nacional de Justiça</v>
      </c>
      <c r="C241" s="2" t="s">
        <v>146</v>
      </c>
      <c r="D241" t="str">
        <f>$E$1&amp;Tb_Alinhamento[[#This Row],[SEI]]</f>
        <v>202401913/2025</v>
      </c>
      <c r="E241" s="24" t="str">
        <f>IFERROR(INDEX(Atualizações!$Q$1:$Q$1265,MATCH(D241,Atualizações!$P$1:$P$1265,0)),"0")</f>
        <v>0</v>
      </c>
      <c r="F241" t="str">
        <f>$G$1&amp;Tb_Alinhamento[[#This Row],[SEI]]</f>
        <v>202501913/2025</v>
      </c>
      <c r="G241" s="24">
        <f>IFERROR(INDEX(Atualizações!$Q$1:$Q$1265,MATCH(F241,Atualizações!$P$1:$P$1265,0)),"0")</f>
        <v>1</v>
      </c>
      <c r="H241" t="str">
        <f>$I$1&amp;Tb_Alinhamento[[#This Row],[SEI]]</f>
        <v>202601913/2025</v>
      </c>
      <c r="I241" s="24">
        <f>IFERROR(INDEX(Atualizações!$Q$1:$Q$1265,MATCH(H241,Atualizações!$P$1:$P$1265,0)),"0")</f>
        <v>1</v>
      </c>
      <c r="J24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2" spans="1:10" ht="30" hidden="1">
      <c r="A242" s="24" t="s">
        <v>266</v>
      </c>
      <c r="B242" s="5" t="s">
        <v>267</v>
      </c>
      <c r="C242" s="2" t="s">
        <v>120</v>
      </c>
      <c r="D242" t="str">
        <f>$E$1&amp;Tb_Alinhamento[[#This Row],[SEI]]</f>
        <v>202402476/2024</v>
      </c>
      <c r="E242" s="24">
        <f>IFERROR(INDEX(Atualizações!$Q$1:$Q$1265,MATCH(D242,Atualizações!$P$1:$P$1265,0)),"0")</f>
        <v>1</v>
      </c>
      <c r="F242" t="str">
        <f>$G$1&amp;Tb_Alinhamento[[#This Row],[SEI]]</f>
        <v>202502476/2024</v>
      </c>
      <c r="G242" s="24">
        <f>IFERROR(INDEX(Atualizações!$Q$1:$Q$1265,MATCH(F242,Atualizações!$P$1:$P$1265,0)),"0")</f>
        <v>1</v>
      </c>
      <c r="H242" t="str">
        <f>$I$1&amp;Tb_Alinhamento[[#This Row],[SEI]]</f>
        <v>202602476/2024</v>
      </c>
      <c r="I242" s="24" t="str">
        <f>IFERROR(INDEX(Atualizações!$Q$1:$Q$1265,MATCH(H242,Atualizações!$P$1:$P$1265,0)),"0")</f>
        <v>0</v>
      </c>
      <c r="J24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3" spans="1:10" ht="30" hidden="1">
      <c r="A243" s="24" t="s">
        <v>266</v>
      </c>
      <c r="B243" s="5" t="s">
        <v>267</v>
      </c>
      <c r="C243" s="2" t="s">
        <v>166</v>
      </c>
      <c r="D243" t="str">
        <f>$E$1&amp;Tb_Alinhamento[[#This Row],[SEI]]</f>
        <v>202402476/2024</v>
      </c>
      <c r="E243" s="24">
        <f>IFERROR(INDEX(Atualizações!$Q$1:$Q$1265,MATCH(D243,Atualizações!$P$1:$P$1265,0)),"0")</f>
        <v>1</v>
      </c>
      <c r="F243" t="str">
        <f>$G$1&amp;Tb_Alinhamento[[#This Row],[SEI]]</f>
        <v>202502476/2024</v>
      </c>
      <c r="G243" s="24">
        <f>IFERROR(INDEX(Atualizações!$Q$1:$Q$1265,MATCH(F243,Atualizações!$P$1:$P$1265,0)),"0")</f>
        <v>1</v>
      </c>
      <c r="H243" t="str">
        <f>$I$1&amp;Tb_Alinhamento[[#This Row],[SEI]]</f>
        <v>202602476/2024</v>
      </c>
      <c r="I243" s="24" t="str">
        <f>IFERROR(INDEX(Atualizações!$Q$1:$Q$1265,MATCH(H243,Atualizações!$P$1:$P$1265,0)),"0")</f>
        <v>0</v>
      </c>
      <c r="J24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4" spans="1:10" ht="30">
      <c r="A244" s="24" t="s">
        <v>738</v>
      </c>
      <c r="B244" s="5" t="str">
        <f>_xlfn.XLOOKUP(Tb_Alinhamento[[#This Row],[SEI]],Tb_Portfólio[SEI],Tb_Portfólio[PROJETO],"Não cadastrado")</f>
        <v>FONAR - Formulário Nacional de Avaliação de Risco e Formulário Rogéria</v>
      </c>
      <c r="C244" s="2" t="s">
        <v>120</v>
      </c>
      <c r="D244" t="str">
        <f>$E$1&amp;Tb_Alinhamento[[#This Row],[SEI]]</f>
        <v>202416319/2024</v>
      </c>
      <c r="E244" s="24" t="str">
        <f>IFERROR(INDEX(Atualizações!$Q$1:$Q$1265,MATCH(D244,Atualizações!$P$1:$P$1265,0)),"0")</f>
        <v>0</v>
      </c>
      <c r="F244" t="str">
        <f>$G$1&amp;Tb_Alinhamento[[#This Row],[SEI]]</f>
        <v>202516319/2024</v>
      </c>
      <c r="G244" s="24">
        <f>IFERROR(INDEX(Atualizações!$Q$1:$Q$1265,MATCH(F244,Atualizações!$P$1:$P$1265,0)),"0")</f>
        <v>1</v>
      </c>
      <c r="H244" t="str">
        <f>$I$1&amp;Tb_Alinhamento[[#This Row],[SEI]]</f>
        <v>202616319/2024</v>
      </c>
      <c r="I244" s="24">
        <f>IFERROR(INDEX(Atualizações!$Q$1:$Q$1265,MATCH(H244,Atualizações!$P$1:$P$1265,0)),"0")</f>
        <v>1</v>
      </c>
      <c r="J24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5" spans="1:10" ht="30">
      <c r="A245" s="24" t="s">
        <v>738</v>
      </c>
      <c r="B245" s="5" t="str">
        <f>_xlfn.XLOOKUP(Tb_Alinhamento[[#This Row],[SEI]],Tb_Portfólio[SEI],Tb_Portfólio[PROJETO],"Não cadastrado")</f>
        <v>FONAR - Formulário Nacional de Avaliação de Risco e Formulário Rogéria</v>
      </c>
      <c r="C245" s="2" t="s">
        <v>176</v>
      </c>
      <c r="D245" t="str">
        <f>$E$1&amp;Tb_Alinhamento[[#This Row],[SEI]]</f>
        <v>202416319/2024</v>
      </c>
      <c r="E245" s="24" t="str">
        <f>IFERROR(INDEX(Atualizações!$Q$1:$Q$1265,MATCH(D245,Atualizações!$P$1:$P$1265,0)),"0")</f>
        <v>0</v>
      </c>
      <c r="F245" t="str">
        <f>$G$1&amp;Tb_Alinhamento[[#This Row],[SEI]]</f>
        <v>202516319/2024</v>
      </c>
      <c r="G245" s="24">
        <f>IFERROR(INDEX(Atualizações!$Q$1:$Q$1265,MATCH(F245,Atualizações!$P$1:$P$1265,0)),"0")</f>
        <v>1</v>
      </c>
      <c r="H245" t="str">
        <f>$I$1&amp;Tb_Alinhamento[[#This Row],[SEI]]</f>
        <v>202616319/2024</v>
      </c>
      <c r="I245" s="24">
        <f>IFERROR(INDEX(Atualizações!$Q$1:$Q$1265,MATCH(H245,Atualizações!$P$1:$P$1265,0)),"0")</f>
        <v>1</v>
      </c>
      <c r="J24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6" spans="1:10" hidden="1">
      <c r="A246" s="24" t="s">
        <v>589</v>
      </c>
      <c r="B246" s="5" t="s">
        <v>590</v>
      </c>
      <c r="C246" s="2" t="s">
        <v>120</v>
      </c>
      <c r="D246" t="str">
        <f>$E$1&amp;Tb_Alinhamento[[#This Row],[SEI]]</f>
        <v>202410926/2024</v>
      </c>
      <c r="E246" s="24">
        <f>IFERROR(INDEX(Atualizações!$Q$1:$Q$1265,MATCH(D246,Atualizações!$P$1:$P$1265,0)),"0")</f>
        <v>1</v>
      </c>
      <c r="F246" t="str">
        <f>$G$1&amp;Tb_Alinhamento[[#This Row],[SEI]]</f>
        <v>202510926/2024</v>
      </c>
      <c r="G246" s="24">
        <f>IFERROR(INDEX(Atualizações!$Q$1:$Q$1265,MATCH(F246,Atualizações!$P$1:$P$1265,0)),"0")</f>
        <v>1</v>
      </c>
      <c r="H246" t="str">
        <f>$I$1&amp;Tb_Alinhamento[[#This Row],[SEI]]</f>
        <v>202610926/2024</v>
      </c>
      <c r="I246" s="24" t="str">
        <f>IFERROR(INDEX(Atualizações!$Q$1:$Q$1265,MATCH(H246,Atualizações!$P$1:$P$1265,0)),"0")</f>
        <v>0</v>
      </c>
      <c r="J24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7" spans="1:10" ht="30" hidden="1">
      <c r="A247" s="24" t="s">
        <v>589</v>
      </c>
      <c r="B247" s="5" t="s">
        <v>590</v>
      </c>
      <c r="C247" s="2" t="s">
        <v>166</v>
      </c>
      <c r="D247" t="str">
        <f>$E$1&amp;Tb_Alinhamento[[#This Row],[SEI]]</f>
        <v>202410926/2024</v>
      </c>
      <c r="E247" s="24">
        <f>IFERROR(INDEX(Atualizações!$Q$1:$Q$1265,MATCH(D247,Atualizações!$P$1:$P$1265,0)),"0")</f>
        <v>1</v>
      </c>
      <c r="F247" t="str">
        <f>$G$1&amp;Tb_Alinhamento[[#This Row],[SEI]]</f>
        <v>202510926/2024</v>
      </c>
      <c r="G247" s="24">
        <f>IFERROR(INDEX(Atualizações!$Q$1:$Q$1265,MATCH(F247,Atualizações!$P$1:$P$1265,0)),"0")</f>
        <v>1</v>
      </c>
      <c r="H247" t="str">
        <f>$I$1&amp;Tb_Alinhamento[[#This Row],[SEI]]</f>
        <v>202610926/2024</v>
      </c>
      <c r="I247" s="24" t="str">
        <f>IFERROR(INDEX(Atualizações!$Q$1:$Q$1265,MATCH(H247,Atualizações!$P$1:$P$1265,0)),"0")</f>
        <v>0</v>
      </c>
      <c r="J24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8" spans="1:10" ht="45">
      <c r="A248" s="24" t="s">
        <v>281</v>
      </c>
      <c r="B248" s="5" t="str">
        <f>_xlfn.XLOOKUP(Tb_Alinhamento[[#This Row],[SEI]],Tb_Portfólio[SEI],Tb_Portfólio[PROJETO],"Não cadastrado")</f>
        <v>Fortalecimento da Segurança Cibernética e da Transparência para Governança e Efetividade da Atuação do Poder Judiciário (Projeto BRA/24/021)</v>
      </c>
      <c r="C248" s="2" t="s">
        <v>176</v>
      </c>
      <c r="D248" t="str">
        <f>$E$1&amp;Tb_Alinhamento[[#This Row],[SEI]]</f>
        <v>202402626/2025</v>
      </c>
      <c r="E248" s="24" t="str">
        <f>IFERROR(INDEX(Atualizações!$Q$1:$Q$1265,MATCH(D248,Atualizações!$P$1:$P$1265,0)),"0")</f>
        <v>0</v>
      </c>
      <c r="F248" t="str">
        <f>$G$1&amp;Tb_Alinhamento[[#This Row],[SEI]]</f>
        <v>202502626/2025</v>
      </c>
      <c r="G248" s="24">
        <f>IFERROR(INDEX(Atualizações!$Q$1:$Q$1265,MATCH(F248,Atualizações!$P$1:$P$1265,0)),"0")</f>
        <v>1</v>
      </c>
      <c r="H248" t="str">
        <f>$I$1&amp;Tb_Alinhamento[[#This Row],[SEI]]</f>
        <v>202602626/2025</v>
      </c>
      <c r="I248" s="24">
        <f>IFERROR(INDEX(Atualizações!$Q$1:$Q$1265,MATCH(H248,Atualizações!$P$1:$P$1265,0)),"0")</f>
        <v>1</v>
      </c>
      <c r="J24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49" spans="1:10" ht="45">
      <c r="A249" s="24" t="s">
        <v>281</v>
      </c>
      <c r="B249" s="5" t="str">
        <f>_xlfn.XLOOKUP(Tb_Alinhamento[[#This Row],[SEI]],Tb_Portfólio[SEI],Tb_Portfólio[PROJETO],"Não cadastrado")</f>
        <v>Fortalecimento da Segurança Cibernética e da Transparência para Governança e Efetividade da Atuação do Poder Judiciário (Projeto BRA/24/021)</v>
      </c>
      <c r="C249" s="2" t="s">
        <v>146</v>
      </c>
      <c r="D249" t="str">
        <f>$E$1&amp;Tb_Alinhamento[[#This Row],[SEI]]</f>
        <v>202402626/2025</v>
      </c>
      <c r="E249" s="24" t="str">
        <f>IFERROR(INDEX(Atualizações!$Q$1:$Q$1265,MATCH(D249,Atualizações!$P$1:$P$1265,0)),"0")</f>
        <v>0</v>
      </c>
      <c r="F249" t="str">
        <f>$G$1&amp;Tb_Alinhamento[[#This Row],[SEI]]</f>
        <v>202502626/2025</v>
      </c>
      <c r="G249" s="24">
        <f>IFERROR(INDEX(Atualizações!$Q$1:$Q$1265,MATCH(F249,Atualizações!$P$1:$P$1265,0)),"0")</f>
        <v>1</v>
      </c>
      <c r="H249" t="str">
        <f>$I$1&amp;Tb_Alinhamento[[#This Row],[SEI]]</f>
        <v>202602626/2025</v>
      </c>
      <c r="I249" s="24">
        <f>IFERROR(INDEX(Atualizações!$Q$1:$Q$1265,MATCH(H249,Atualizações!$P$1:$P$1265,0)),"0")</f>
        <v>1</v>
      </c>
      <c r="J24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0" spans="1:10" hidden="1">
      <c r="A250" s="24" t="s">
        <v>668</v>
      </c>
      <c r="B250" s="5" t="s">
        <v>669</v>
      </c>
      <c r="C250" s="2" t="s">
        <v>120</v>
      </c>
      <c r="D250" t="str">
        <f>$E$1&amp;Tb_Alinhamento[[#This Row],[SEI]]</f>
        <v>202411821/2024</v>
      </c>
      <c r="E250" s="24">
        <f>IFERROR(INDEX(Atualizações!$Q$1:$Q$1265,MATCH(D250,Atualizações!$P$1:$P$1265,0)),"0")</f>
        <v>1</v>
      </c>
      <c r="F250" t="str">
        <f>$G$1&amp;Tb_Alinhamento[[#This Row],[SEI]]</f>
        <v>202511821/2024</v>
      </c>
      <c r="G250" s="24" t="str">
        <f>IFERROR(INDEX(Atualizações!$Q$1:$Q$1265,MATCH(F250,Atualizações!$P$1:$P$1265,0)),"0")</f>
        <v>0</v>
      </c>
      <c r="H250" t="str">
        <f>$I$1&amp;Tb_Alinhamento[[#This Row],[SEI]]</f>
        <v>202611821/2024</v>
      </c>
      <c r="I250" s="24" t="str">
        <f>IFERROR(INDEX(Atualizações!$Q$1:$Q$1265,MATCH(H250,Atualizações!$P$1:$P$1265,0)),"0")</f>
        <v>0</v>
      </c>
      <c r="J25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1" spans="1:10" ht="30" hidden="1">
      <c r="A251" s="24" t="s">
        <v>668</v>
      </c>
      <c r="B251" s="5" t="s">
        <v>669</v>
      </c>
      <c r="C251" s="2" t="s">
        <v>166</v>
      </c>
      <c r="D251" t="str">
        <f>$E$1&amp;Tb_Alinhamento[[#This Row],[SEI]]</f>
        <v>202411821/2024</v>
      </c>
      <c r="E251" s="24">
        <f>IFERROR(INDEX(Atualizações!$Q$1:$Q$1265,MATCH(D251,Atualizações!$P$1:$P$1265,0)),"0")</f>
        <v>1</v>
      </c>
      <c r="F251" t="str">
        <f>$G$1&amp;Tb_Alinhamento[[#This Row],[SEI]]</f>
        <v>202511821/2024</v>
      </c>
      <c r="G251" s="24" t="str">
        <f>IFERROR(INDEX(Atualizações!$Q$1:$Q$1265,MATCH(F251,Atualizações!$P$1:$P$1265,0)),"0")</f>
        <v>0</v>
      </c>
      <c r="H251" t="str">
        <f>$I$1&amp;Tb_Alinhamento[[#This Row],[SEI]]</f>
        <v>202611821/2024</v>
      </c>
      <c r="I251" s="24" t="str">
        <f>IFERROR(INDEX(Atualizações!$Q$1:$Q$1265,MATCH(H251,Atualizações!$P$1:$P$1265,0)),"0")</f>
        <v>0</v>
      </c>
      <c r="J25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2" spans="1:10">
      <c r="A252" s="24" t="s">
        <v>917</v>
      </c>
      <c r="B252" s="5" t="str">
        <f>_xlfn.XLOOKUP(Tb_Alinhamento[[#This Row],[SEI]],Tb_Portfólio[SEI],Tb_Portfólio[PROJETO],"Não cadastrado")</f>
        <v>e-NatJus 4.0</v>
      </c>
      <c r="C252" s="2" t="s">
        <v>120</v>
      </c>
      <c r="D252" t="str">
        <f>$E$1&amp;Tb_Alinhamento[[#This Row],[SEI]]</f>
        <v>202417529/2024</v>
      </c>
      <c r="E252" s="24" t="str">
        <f>IFERROR(INDEX(Atualizações!$Q$1:$Q$1265,MATCH(D252,Atualizações!$P$1:$P$1265,0)),"0")</f>
        <v>0</v>
      </c>
      <c r="F252" t="str">
        <f>$G$1&amp;Tb_Alinhamento[[#This Row],[SEI]]</f>
        <v>202517529/2024</v>
      </c>
      <c r="G252" s="24">
        <f>IFERROR(INDEX(Atualizações!$Q$1:$Q$1265,MATCH(F252,Atualizações!$P$1:$P$1265,0)),"0")</f>
        <v>1</v>
      </c>
      <c r="H252" t="str">
        <f>$I$1&amp;Tb_Alinhamento[[#This Row],[SEI]]</f>
        <v>202617529/2024</v>
      </c>
      <c r="I252" s="24">
        <f>IFERROR(INDEX(Atualizações!$Q$1:$Q$1265,MATCH(H252,Atualizações!$P$1:$P$1265,0)),"0")</f>
        <v>1</v>
      </c>
      <c r="J25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3" spans="1:10" ht="30">
      <c r="A253" s="24" t="s">
        <v>917</v>
      </c>
      <c r="B253" s="5" t="str">
        <f>_xlfn.XLOOKUP(Tb_Alinhamento[[#This Row],[SEI]],Tb_Portfólio[SEI],Tb_Portfólio[PROJETO],"Não cadastrado")</f>
        <v>e-NatJus 4.0</v>
      </c>
      <c r="C253" s="2" t="s">
        <v>146</v>
      </c>
      <c r="D253" t="str">
        <f>$E$1&amp;Tb_Alinhamento[[#This Row],[SEI]]</f>
        <v>202417529/2024</v>
      </c>
      <c r="E253" s="24" t="str">
        <f>IFERROR(INDEX(Atualizações!$Q$1:$Q$1265,MATCH(D253,Atualizações!$P$1:$P$1265,0)),"0")</f>
        <v>0</v>
      </c>
      <c r="F253" t="str">
        <f>$G$1&amp;Tb_Alinhamento[[#This Row],[SEI]]</f>
        <v>202517529/2024</v>
      </c>
      <c r="G253" s="24">
        <f>IFERROR(INDEX(Atualizações!$Q$1:$Q$1265,MATCH(F253,Atualizações!$P$1:$P$1265,0)),"0")</f>
        <v>1</v>
      </c>
      <c r="H253" t="str">
        <f>$I$1&amp;Tb_Alinhamento[[#This Row],[SEI]]</f>
        <v>202617529/2024</v>
      </c>
      <c r="I253" s="24">
        <f>IFERROR(INDEX(Atualizações!$Q$1:$Q$1265,MATCH(H253,Atualizações!$P$1:$P$1265,0)),"0")</f>
        <v>1</v>
      </c>
      <c r="J25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4" spans="1:10" ht="30" hidden="1">
      <c r="A254" s="24" t="s">
        <v>172</v>
      </c>
      <c r="B254" s="5" t="s">
        <v>173</v>
      </c>
      <c r="C254" s="2" t="s">
        <v>176</v>
      </c>
      <c r="D254" t="str">
        <f>$E$1&amp;Tb_Alinhamento[[#This Row],[SEI]]</f>
        <v>202401703/2024</v>
      </c>
      <c r="E254" s="24">
        <f>IFERROR(INDEX(Atualizações!$Q$1:$Q$1265,MATCH(D254,Atualizações!$P$1:$P$1265,0)),"0")</f>
        <v>1</v>
      </c>
      <c r="F254" t="str">
        <f>$G$1&amp;Tb_Alinhamento[[#This Row],[SEI]]</f>
        <v>202501703/2024</v>
      </c>
      <c r="G254" s="24" t="str">
        <f>IFERROR(INDEX(Atualizações!$Q$1:$Q$1265,MATCH(F254,Atualizações!$P$1:$P$1265,0)),"0")</f>
        <v>0</v>
      </c>
      <c r="H254" t="str">
        <f>$I$1&amp;Tb_Alinhamento[[#This Row],[SEI]]</f>
        <v>202601703/2024</v>
      </c>
      <c r="I254" s="24" t="str">
        <f>IFERROR(INDEX(Atualizações!$Q$1:$Q$1265,MATCH(H254,Atualizações!$P$1:$P$1265,0)),"0")</f>
        <v>0</v>
      </c>
      <c r="J25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5" spans="1:10" ht="30">
      <c r="A255" s="24" t="s">
        <v>917</v>
      </c>
      <c r="B255" s="5" t="str">
        <f>_xlfn.XLOOKUP(Tb_Alinhamento[[#This Row],[SEI]],Tb_Portfólio[SEI],Tb_Portfólio[PROJETO],"Não cadastrado")</f>
        <v>e-NatJus 4.0</v>
      </c>
      <c r="C255" s="2" t="s">
        <v>176</v>
      </c>
      <c r="D255" t="str">
        <f>$E$1&amp;Tb_Alinhamento[[#This Row],[SEI]]</f>
        <v>202417529/2024</v>
      </c>
      <c r="E255" s="24" t="str">
        <f>IFERROR(INDEX(Atualizações!$Q$1:$Q$1265,MATCH(D255,Atualizações!$P$1:$P$1265,0)),"0")</f>
        <v>0</v>
      </c>
      <c r="F255" t="str">
        <f>$G$1&amp;Tb_Alinhamento[[#This Row],[SEI]]</f>
        <v>202517529/2024</v>
      </c>
      <c r="G255" s="24">
        <f>IFERROR(INDEX(Atualizações!$Q$1:$Q$1265,MATCH(F255,Atualizações!$P$1:$P$1265,0)),"0")</f>
        <v>1</v>
      </c>
      <c r="H255" t="str">
        <f>$I$1&amp;Tb_Alinhamento[[#This Row],[SEI]]</f>
        <v>202617529/2024</v>
      </c>
      <c r="I255" s="24">
        <f>IFERROR(INDEX(Atualizações!$Q$1:$Q$1265,MATCH(H255,Atualizações!$P$1:$P$1265,0)),"0")</f>
        <v>1</v>
      </c>
      <c r="J25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6" spans="1:10">
      <c r="A256" s="24" t="s">
        <v>766</v>
      </c>
      <c r="B256" s="5" t="s">
        <v>1644</v>
      </c>
      <c r="C256" s="2" t="s">
        <v>76</v>
      </c>
      <c r="D256" t="str">
        <f>$E$1&amp;Tb_Alinhamento[[#This Row],[SEI]]</f>
        <v>202417085/2025</v>
      </c>
      <c r="E256" s="24" t="str">
        <f>IFERROR(INDEX(Atualizações!$Q$1:$Q$1265,MATCH(D256,Atualizações!$P$1:$P$1265,0)),"0")</f>
        <v>0</v>
      </c>
      <c r="F256" t="str">
        <f>$G$1&amp;Tb_Alinhamento[[#This Row],[SEI]]</f>
        <v>202517085/2025</v>
      </c>
      <c r="G256" s="24">
        <f>IFERROR(INDEX(Atualizações!$Q$1:$Q$1265,MATCH(F256,Atualizações!$P$1:$P$1265,0)),"0")</f>
        <v>1</v>
      </c>
      <c r="H256" t="str">
        <f>$I$1&amp;Tb_Alinhamento[[#This Row],[SEI]]</f>
        <v>202617085/2025</v>
      </c>
      <c r="I256" s="24">
        <f>IFERROR(INDEX(Atualizações!$Q$1:$Q$1265,MATCH(H256,Atualizações!$P$1:$P$1265,0)),"0")</f>
        <v>1</v>
      </c>
      <c r="J25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7" spans="1:10" ht="30">
      <c r="A257" s="24" t="s">
        <v>766</v>
      </c>
      <c r="B257" s="5" t="s">
        <v>1644</v>
      </c>
      <c r="C257" s="2" t="s">
        <v>146</v>
      </c>
      <c r="D257" t="str">
        <f>$E$1&amp;Tb_Alinhamento[[#This Row],[SEI]]</f>
        <v>202417085/2025</v>
      </c>
      <c r="E257" s="24" t="str">
        <f>IFERROR(INDEX(Atualizações!$Q$1:$Q$1265,MATCH(D257,Atualizações!$P$1:$P$1265,0)),"0")</f>
        <v>0</v>
      </c>
      <c r="F257" t="str">
        <f>$G$1&amp;Tb_Alinhamento[[#This Row],[SEI]]</f>
        <v>202517085/2025</v>
      </c>
      <c r="G257" s="24">
        <f>IFERROR(INDEX(Atualizações!$Q$1:$Q$1265,MATCH(F257,Atualizações!$P$1:$P$1265,0)),"0")</f>
        <v>1</v>
      </c>
      <c r="H257" t="str">
        <f>$I$1&amp;Tb_Alinhamento[[#This Row],[SEI]]</f>
        <v>202617085/2025</v>
      </c>
      <c r="I257" s="24">
        <f>IFERROR(INDEX(Atualizações!$Q$1:$Q$1265,MATCH(H257,Atualizações!$P$1:$P$1265,0)),"0")</f>
        <v>1</v>
      </c>
      <c r="J25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8" spans="1:10">
      <c r="A258" s="24" t="s">
        <v>747</v>
      </c>
      <c r="B258" s="5" t="s">
        <v>1645</v>
      </c>
      <c r="C258" s="2" t="s">
        <v>76</v>
      </c>
      <c r="D258" t="str">
        <f>$E$1&amp;Tb_Alinhamento[[#This Row],[SEI]]</f>
        <v>202416689/2025</v>
      </c>
      <c r="E258" s="24" t="str">
        <f>IFERROR(INDEX(Atualizações!$Q$1:$Q$1265,MATCH(D258,Atualizações!$P$1:$P$1265,0)),"0")</f>
        <v>0</v>
      </c>
      <c r="F258" t="str">
        <f>$G$1&amp;Tb_Alinhamento[[#This Row],[SEI]]</f>
        <v>202516689/2025</v>
      </c>
      <c r="G258" s="24">
        <f>IFERROR(INDEX(Atualizações!$Q$1:$Q$1265,MATCH(F258,Atualizações!$P$1:$P$1265,0)),"0")</f>
        <v>1</v>
      </c>
      <c r="H258" t="str">
        <f>$I$1&amp;Tb_Alinhamento[[#This Row],[SEI]]</f>
        <v>202616689/2025</v>
      </c>
      <c r="I258" s="24">
        <f>IFERROR(INDEX(Atualizações!$Q$1:$Q$1265,MATCH(H258,Atualizações!$P$1:$P$1265,0)),"0")</f>
        <v>1</v>
      </c>
      <c r="J25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59" spans="1:10" ht="30">
      <c r="A259" s="24" t="s">
        <v>747</v>
      </c>
      <c r="B259" s="5" t="s">
        <v>1645</v>
      </c>
      <c r="C259" s="2" t="s">
        <v>146</v>
      </c>
      <c r="D259" t="str">
        <f>$E$1&amp;Tb_Alinhamento[[#This Row],[SEI]]</f>
        <v>202416689/2025</v>
      </c>
      <c r="E259" s="24" t="str">
        <f>IFERROR(INDEX(Atualizações!$Q$1:$Q$1265,MATCH(D259,Atualizações!$P$1:$P$1265,0)),"0")</f>
        <v>0</v>
      </c>
      <c r="F259" t="str">
        <f>$G$1&amp;Tb_Alinhamento[[#This Row],[SEI]]</f>
        <v>202516689/2025</v>
      </c>
      <c r="G259" s="24">
        <f>IFERROR(INDEX(Atualizações!$Q$1:$Q$1265,MATCH(F259,Atualizações!$P$1:$P$1265,0)),"0")</f>
        <v>1</v>
      </c>
      <c r="H259" t="str">
        <f>$I$1&amp;Tb_Alinhamento[[#This Row],[SEI]]</f>
        <v>202616689/2025</v>
      </c>
      <c r="I259" s="24">
        <f>IFERROR(INDEX(Atualizações!$Q$1:$Q$1265,MATCH(H259,Atualizações!$P$1:$P$1265,0)),"0")</f>
        <v>1</v>
      </c>
      <c r="J25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0" spans="1:10" ht="30">
      <c r="A260" s="24" t="s">
        <v>925</v>
      </c>
      <c r="B260" s="5" t="str">
        <f>_xlfn.XLOOKUP(Tb_Alinhamento[[#This Row],[SEI]],Tb_Portfólio[SEI],Tb_Portfólio[PROJETO],"Não cadastrado")</f>
        <v>21 dias de ativismo pelo fim da violência contra mulher - edição 2025</v>
      </c>
      <c r="C260" s="2" t="s">
        <v>120</v>
      </c>
      <c r="D260" t="str">
        <f>$E$1&amp;Tb_Alinhamento[[#This Row],[SEI]]</f>
        <v>202419706/2025</v>
      </c>
      <c r="E260" s="24" t="str">
        <f>IFERROR(INDEX(Atualizações!$Q$1:$Q$1265,MATCH(D260,Atualizações!$P$1:$P$1265,0)),"0")</f>
        <v>0</v>
      </c>
      <c r="F260" t="str">
        <f>$G$1&amp;Tb_Alinhamento[[#This Row],[SEI]]</f>
        <v>202519706/2025</v>
      </c>
      <c r="G260" s="24">
        <f>IFERROR(INDEX(Atualizações!$Q$1:$Q$1265,MATCH(F260,Atualizações!$P$1:$P$1265,0)),"0")</f>
        <v>1</v>
      </c>
      <c r="H260" t="str">
        <f>$I$1&amp;Tb_Alinhamento[[#This Row],[SEI]]</f>
        <v>202619706/2025</v>
      </c>
      <c r="I260" s="24">
        <f>IFERROR(INDEX(Atualizações!$Q$1:$Q$1265,MATCH(H260,Atualizações!$P$1:$P$1265,0)),"0")</f>
        <v>1</v>
      </c>
      <c r="J26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1" spans="1:10" ht="30">
      <c r="A261" s="24" t="s">
        <v>925</v>
      </c>
      <c r="B261" s="5" t="s">
        <v>926</v>
      </c>
      <c r="C261" s="2" t="s">
        <v>166</v>
      </c>
      <c r="D261" t="str">
        <f>$E$1&amp;Tb_Alinhamento[[#This Row],[SEI]]</f>
        <v>202419706/2025</v>
      </c>
      <c r="E261" s="24" t="str">
        <f>IFERROR(INDEX(Atualizações!$Q$1:$Q$1265,MATCH(D261,Atualizações!$P$1:$P$1265,0)),"0")</f>
        <v>0</v>
      </c>
      <c r="F261" t="str">
        <f>$G$1&amp;Tb_Alinhamento[[#This Row],[SEI]]</f>
        <v>202519706/2025</v>
      </c>
      <c r="G261" s="24">
        <f>IFERROR(INDEX(Atualizações!$Q$1:$Q$1265,MATCH(F261,Atualizações!$P$1:$P$1265,0)),"0")</f>
        <v>1</v>
      </c>
      <c r="H261" t="str">
        <f>$I$1&amp;Tb_Alinhamento[[#This Row],[SEI]]</f>
        <v>202619706/2025</v>
      </c>
      <c r="I261" s="24">
        <f>IFERROR(INDEX(Atualizações!$Q$1:$Q$1265,MATCH(H261,Atualizações!$P$1:$P$1265,0)),"0")</f>
        <v>1</v>
      </c>
      <c r="J26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2" spans="1:10" hidden="1">
      <c r="A262" s="24" t="s">
        <v>318</v>
      </c>
      <c r="B262" s="5" t="s">
        <v>319</v>
      </c>
      <c r="C262" s="2" t="s">
        <v>105</v>
      </c>
      <c r="D262" t="str">
        <f>$E$1&amp;Tb_Alinhamento[[#This Row],[SEI]]</f>
        <v>202402888/2024</v>
      </c>
      <c r="E262" s="24">
        <f>IFERROR(INDEX(Atualizações!$Q$1:$Q$1265,MATCH(D262,Atualizações!$P$1:$P$1265,0)),"0")</f>
        <v>1</v>
      </c>
      <c r="F262" t="str">
        <f>$G$1&amp;Tb_Alinhamento[[#This Row],[SEI]]</f>
        <v>202502888/2024</v>
      </c>
      <c r="G262" s="24" t="str">
        <f>IFERROR(INDEX(Atualizações!$Q$1:$Q$1265,MATCH(F262,Atualizações!$P$1:$P$1265,0)),"0")</f>
        <v>0</v>
      </c>
      <c r="H262" t="str">
        <f>$I$1&amp;Tb_Alinhamento[[#This Row],[SEI]]</f>
        <v>202602888/2024</v>
      </c>
      <c r="I262" s="24" t="str">
        <f>IFERROR(INDEX(Atualizações!$Q$1:$Q$1265,MATCH(H262,Atualizações!$P$1:$P$1265,0)),"0")</f>
        <v>0</v>
      </c>
      <c r="J26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3" spans="1:10" ht="30">
      <c r="A263" s="24" t="s">
        <v>756</v>
      </c>
      <c r="B263" s="5" t="str">
        <f>_xlfn.XLOOKUP(Tb_Alinhamento[[#This Row],[SEI]],Tb_Portfólio[SEI],Tb_Portfólio[PROJETO],"Não cadastrado")</f>
        <v>Módulo de Pessoal e Estrutura Judiciária Mensal (MPM) V.2</v>
      </c>
      <c r="C263" s="2" t="s">
        <v>146</v>
      </c>
      <c r="D263" t="str">
        <f>$E$1&amp;Tb_Alinhamento[[#This Row],[SEI]]</f>
        <v>202416882/2025</v>
      </c>
      <c r="E263" s="24" t="str">
        <f>IFERROR(INDEX(Atualizações!$Q$1:$Q$1265,MATCH(D263,Atualizações!$P$1:$P$1265,0)),"0")</f>
        <v>0</v>
      </c>
      <c r="F263" t="str">
        <f>$G$1&amp;Tb_Alinhamento[[#This Row],[SEI]]</f>
        <v>202516882/2025</v>
      </c>
      <c r="G263" s="24" t="str">
        <f>IFERROR(INDEX(Atualizações!$Q$1:$Q$1265,MATCH(F263,Atualizações!$P$1:$P$1265,0)),"0")</f>
        <v>0</v>
      </c>
      <c r="H263" s="24" t="str">
        <f>$I$1&amp;Tb_Alinhamento[[#This Row],[SEI]]</f>
        <v>202616882/2025</v>
      </c>
      <c r="I263" s="24">
        <f>IFERROR(INDEX(Atualizações!$Q$1:$Q$1265,MATCH(H263,Atualizações!$P$1:$P$1265,0)),"0")</f>
        <v>1</v>
      </c>
      <c r="J26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4" spans="1:10">
      <c r="A264" s="24" t="s">
        <v>756</v>
      </c>
      <c r="B264" s="5" t="str">
        <f>_xlfn.XLOOKUP(Tb_Alinhamento[[#This Row],[SEI]],Tb_Portfólio[SEI],Tb_Portfólio[PROJETO],"Não cadastrado")</f>
        <v>Módulo de Pessoal e Estrutura Judiciária Mensal (MPM) V.2</v>
      </c>
      <c r="C264" s="2" t="s">
        <v>214</v>
      </c>
      <c r="D264" t="str">
        <f>$E$1&amp;Tb_Alinhamento[[#This Row],[SEI]]</f>
        <v>202416882/2025</v>
      </c>
      <c r="E264" s="24" t="str">
        <f>IFERROR(INDEX(Atualizações!$Q$1:$Q$1265,MATCH(D264,Atualizações!$P$1:$P$1265,0)),"0")</f>
        <v>0</v>
      </c>
      <c r="F264" t="str">
        <f>$G$1&amp;Tb_Alinhamento[[#This Row],[SEI]]</f>
        <v>202516882/2025</v>
      </c>
      <c r="G264" s="24" t="str">
        <f>IFERROR(INDEX(Atualizações!$Q$1:$Q$1265,MATCH(F264,Atualizações!$P$1:$P$1265,0)),"0")</f>
        <v>0</v>
      </c>
      <c r="H264" s="24" t="str">
        <f>$I$1&amp;Tb_Alinhamento[[#This Row],[SEI]]</f>
        <v>202616882/2025</v>
      </c>
      <c r="I264" s="24">
        <f>IFERROR(INDEX(Atualizações!$Q$1:$Q$1265,MATCH(H264,Atualizações!$P$1:$P$1265,0)),"0")</f>
        <v>1</v>
      </c>
      <c r="J26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5" spans="1:10" ht="30">
      <c r="A265" s="24" t="s">
        <v>706</v>
      </c>
      <c r="B265" s="5" t="str">
        <f>_xlfn.XLOOKUP(Tb_Alinhamento[[#This Row],[SEI]],Tb_Portfólio[SEI],Tb_Portfólio[PROJETO],"Não cadastrado")</f>
        <v>Sistema de Detecção e Prevenção de Nepotismo no Poder Judiciário</v>
      </c>
      <c r="C265" s="2" t="s">
        <v>575</v>
      </c>
      <c r="D265" t="str">
        <f>$E$1&amp;Tb_Alinhamento[[#This Row],[SEI]]</f>
        <v>202413961/2025</v>
      </c>
      <c r="E265" s="24" t="str">
        <f>IFERROR(INDEX(Atualizações!$Q$1:$Q$1265,MATCH(D265,Atualizações!$P$1:$P$1265,0)),"0")</f>
        <v>0</v>
      </c>
      <c r="F265" t="str">
        <f>$G$1&amp;Tb_Alinhamento[[#This Row],[SEI]]</f>
        <v>202513961/2025</v>
      </c>
      <c r="G265" s="24" t="str">
        <f>IFERROR(INDEX(Atualizações!$Q$1:$Q$1265,MATCH(F265,Atualizações!$P$1:$P$1265,0)),"0")</f>
        <v>0</v>
      </c>
      <c r="H265" s="24" t="str">
        <f>$I$1&amp;Tb_Alinhamento[[#This Row],[SEI]]</f>
        <v>202613961/2025</v>
      </c>
      <c r="I265" s="24">
        <f>IFERROR(INDEX(Atualizações!$Q$1:$Q$1265,MATCH(H265,Atualizações!$P$1:$P$1265,0)),"0")</f>
        <v>1</v>
      </c>
      <c r="J26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6" spans="1:10" ht="30">
      <c r="A266" s="24" t="s">
        <v>706</v>
      </c>
      <c r="B266" s="5" t="str">
        <f>_xlfn.XLOOKUP(Tb_Alinhamento[[#This Row],[SEI]],Tb_Portfólio[SEI],Tb_Portfólio[PROJETO],"Não cadastrado")</f>
        <v>Sistema de Detecção e Prevenção de Nepotismo no Poder Judiciário</v>
      </c>
      <c r="C266" s="2" t="s">
        <v>176</v>
      </c>
      <c r="D266" t="str">
        <f>$E$1&amp;Tb_Alinhamento[[#This Row],[SEI]]</f>
        <v>202413961/2025</v>
      </c>
      <c r="E266" s="24" t="str">
        <f>IFERROR(INDEX(Atualizações!$Q$1:$Q$1265,MATCH(D266,Atualizações!$P$1:$P$1265,0)),"0")</f>
        <v>0</v>
      </c>
      <c r="F266" t="str">
        <f>$G$1&amp;Tb_Alinhamento[[#This Row],[SEI]]</f>
        <v>202513961/2025</v>
      </c>
      <c r="G266" s="24" t="str">
        <f>IFERROR(INDEX(Atualizações!$Q$1:$Q$1265,MATCH(F266,Atualizações!$P$1:$P$1265,0)),"0")</f>
        <v>0</v>
      </c>
      <c r="H266" s="24" t="str">
        <f>$I$1&amp;Tb_Alinhamento[[#This Row],[SEI]]</f>
        <v>202613961/2025</v>
      </c>
      <c r="I266" s="24">
        <f>IFERROR(INDEX(Atualizações!$Q$1:$Q$1265,MATCH(H266,Atualizações!$P$1:$P$1265,0)),"0")</f>
        <v>1</v>
      </c>
      <c r="J26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7" spans="1:10">
      <c r="A267" s="24" t="s">
        <v>882</v>
      </c>
      <c r="B267" s="5" t="str">
        <f>_xlfn.XLOOKUP(Tb_Alinhamento[[#This Row],[SEI]],Tb_Portfólio[SEI],Tb_Portfólio[PROJETO],"Não cadastrado")</f>
        <v>Programa Fazendo Justiça - Projeto BRA/23/017</v>
      </c>
      <c r="C267" s="2" t="s">
        <v>76</v>
      </c>
      <c r="D267" t="str">
        <f>$E$1&amp;Tb_Alinhamento[[#This Row],[SEI]]</f>
        <v>20241746629/2024</v>
      </c>
      <c r="E267" s="24" t="str">
        <f>IFERROR(INDEX(Atualizações!$Q$1:$Q$1265,MATCH(D267,Atualizações!$P$1:$P$1265,0)),"0")</f>
        <v>0</v>
      </c>
      <c r="F267" t="str">
        <f>$G$1&amp;Tb_Alinhamento[[#This Row],[SEI]]</f>
        <v>20251746629/2024</v>
      </c>
      <c r="G267" s="24" t="str">
        <f>IFERROR(INDEX(Atualizações!$Q$1:$Q$1265,MATCH(F267,Atualizações!$P$1:$P$1265,0)),"0")</f>
        <v>0</v>
      </c>
      <c r="H267" s="24" t="str">
        <f>$I$1&amp;Tb_Alinhamento[[#This Row],[SEI]]</f>
        <v>20261746629/2024</v>
      </c>
      <c r="I267" s="24">
        <f>IFERROR(INDEX(Atualizações!$Q$1:$Q$1265,MATCH(H267,Atualizações!$P$1:$P$1265,0)),"0")</f>
        <v>1</v>
      </c>
      <c r="J26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8" spans="1:10">
      <c r="A268" s="24" t="s">
        <v>882</v>
      </c>
      <c r="B268" s="5" t="str">
        <f>_xlfn.XLOOKUP(Tb_Alinhamento[[#This Row],[SEI]],Tb_Portfólio[SEI],Tb_Portfólio[PROJETO],"Não cadastrado")</f>
        <v>Programa Fazendo Justiça - Projeto BRA/23/017</v>
      </c>
      <c r="C268" s="2" t="s">
        <v>120</v>
      </c>
      <c r="D268" t="str">
        <f>$E$1&amp;Tb_Alinhamento[[#This Row],[SEI]]</f>
        <v>20241746629/2024</v>
      </c>
      <c r="E268" s="24" t="str">
        <f>IFERROR(INDEX(Atualizações!$Q$1:$Q$1265,MATCH(D268,Atualizações!$P$1:$P$1265,0)),"0")</f>
        <v>0</v>
      </c>
      <c r="F268" t="str">
        <f>$G$1&amp;Tb_Alinhamento[[#This Row],[SEI]]</f>
        <v>20251746629/2024</v>
      </c>
      <c r="G268" s="24" t="str">
        <f>IFERROR(INDEX(Atualizações!$Q$1:$Q$1265,MATCH(F268,Atualizações!$P$1:$P$1265,0)),"0")</f>
        <v>0</v>
      </c>
      <c r="H268" s="24" t="str">
        <f>$I$1&amp;Tb_Alinhamento[[#This Row],[SEI]]</f>
        <v>20261746629/2024</v>
      </c>
      <c r="I268" s="24">
        <f>IFERROR(INDEX(Atualizações!$Q$1:$Q$1265,MATCH(H268,Atualizações!$P$1:$P$1265,0)),"0")</f>
        <v>1</v>
      </c>
      <c r="J26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69" spans="1:10">
      <c r="A269" s="24" t="s">
        <v>236</v>
      </c>
      <c r="B269" s="5" t="str">
        <f>_xlfn.XLOOKUP(Tb_Alinhamento[[#This Row],[SEI]],Tb_Portfólio[SEI],Tb_Portfólio[PROJETO],"Não cadastrado")</f>
        <v>SEEU - Reescrita</v>
      </c>
      <c r="C269" s="2" t="s">
        <v>76</v>
      </c>
      <c r="D269" t="str">
        <f>$E$1&amp;Tb_Alinhamento[[#This Row],[SEI]]</f>
        <v>202402245/2025</v>
      </c>
      <c r="E269" s="24" t="str">
        <f>IFERROR(INDEX(Atualizações!$Q$1:$Q$1265,MATCH(D269,Atualizações!$P$1:$P$1265,0)),"0")</f>
        <v>0</v>
      </c>
      <c r="F269" t="str">
        <f>$G$1&amp;Tb_Alinhamento[[#This Row],[SEI]]</f>
        <v>202502245/2025</v>
      </c>
      <c r="G269" s="24" t="str">
        <f>IFERROR(INDEX(Atualizações!$Q$1:$Q$1265,MATCH(F269,Atualizações!$P$1:$P$1265,0)),"0")</f>
        <v>0</v>
      </c>
      <c r="H269" s="24" t="str">
        <f>$I$1&amp;Tb_Alinhamento[[#This Row],[SEI]]</f>
        <v>202602245/2025</v>
      </c>
      <c r="I269" s="24">
        <f>IFERROR(INDEX(Atualizações!$Q$1:$Q$1265,MATCH(H269,Atualizações!$P$1:$P$1265,0)),"0")</f>
        <v>1</v>
      </c>
      <c r="J26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0" spans="1:10" ht="30">
      <c r="A270" s="24" t="s">
        <v>236</v>
      </c>
      <c r="B270" s="5" t="str">
        <f>_xlfn.XLOOKUP(Tb_Alinhamento[[#This Row],[SEI]],Tb_Portfólio[SEI],Tb_Portfólio[PROJETO],"Não cadastrado")</f>
        <v>SEEU - Reescrita</v>
      </c>
      <c r="C270" s="2" t="s">
        <v>176</v>
      </c>
      <c r="D270" t="str">
        <f>$E$1&amp;Tb_Alinhamento[[#This Row],[SEI]]</f>
        <v>202402245/2025</v>
      </c>
      <c r="E270" s="24" t="str">
        <f>IFERROR(INDEX(Atualizações!$Q$1:$Q$1265,MATCH(D270,Atualizações!$P$1:$P$1265,0)),"0")</f>
        <v>0</v>
      </c>
      <c r="F270" t="str">
        <f>$G$1&amp;Tb_Alinhamento[[#This Row],[SEI]]</f>
        <v>202502245/2025</v>
      </c>
      <c r="G270" s="24" t="str">
        <f>IFERROR(INDEX(Atualizações!$Q$1:$Q$1265,MATCH(F270,Atualizações!$P$1:$P$1265,0)),"0")</f>
        <v>0</v>
      </c>
      <c r="H270" s="24" t="str">
        <f>$I$1&amp;Tb_Alinhamento[[#This Row],[SEI]]</f>
        <v>202602245/2025</v>
      </c>
      <c r="I270" s="24">
        <f>IFERROR(INDEX(Atualizações!$Q$1:$Q$1265,MATCH(H270,Atualizações!$P$1:$P$1265,0)),"0")</f>
        <v>1</v>
      </c>
      <c r="J27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1" spans="1:10" ht="30" hidden="1">
      <c r="A271" s="24" t="s">
        <v>523</v>
      </c>
      <c r="B271" s="5" t="s">
        <v>524</v>
      </c>
      <c r="C271" s="2" t="s">
        <v>166</v>
      </c>
      <c r="D271" t="str">
        <f>$E$1&amp;Tb_Alinhamento[[#This Row],[SEI]]</f>
        <v>202409536/2024</v>
      </c>
      <c r="E271" s="24">
        <f>IFERROR(INDEX(Atualizações!$Q$1:$Q$1265,MATCH(D271,Atualizações!$P$1:$P$1265,0)),"0")</f>
        <v>1</v>
      </c>
      <c r="F271" t="str">
        <f>$G$1&amp;Tb_Alinhamento[[#This Row],[SEI]]</f>
        <v>202509536/2024</v>
      </c>
      <c r="G271" s="24">
        <f>IFERROR(INDEX(Atualizações!$Q$1:$Q$1265,MATCH(F271,Atualizações!$P$1:$P$1265,0)),"0")</f>
        <v>1</v>
      </c>
      <c r="H271" t="str">
        <f>$I$1&amp;Tb_Alinhamento[[#This Row],[SEI]]</f>
        <v>202609536/2024</v>
      </c>
      <c r="I271" s="24" t="str">
        <f>IFERROR(INDEX(Atualizações!$Q$1:$Q$1265,MATCH(H271,Atualizações!$P$1:$P$1265,0)),"0")</f>
        <v>0</v>
      </c>
      <c r="J27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2" spans="1:10" ht="30" hidden="1">
      <c r="A272" s="24" t="s">
        <v>523</v>
      </c>
      <c r="B272" s="5" t="s">
        <v>524</v>
      </c>
      <c r="C272" s="2" t="s">
        <v>176</v>
      </c>
      <c r="D272" t="str">
        <f>$E$1&amp;Tb_Alinhamento[[#This Row],[SEI]]</f>
        <v>202409536/2024</v>
      </c>
      <c r="E272" s="24">
        <f>IFERROR(INDEX(Atualizações!$Q$1:$Q$1265,MATCH(D272,Atualizações!$P$1:$P$1265,0)),"0")</f>
        <v>1</v>
      </c>
      <c r="F272" t="str">
        <f>$G$1&amp;Tb_Alinhamento[[#This Row],[SEI]]</f>
        <v>202509536/2024</v>
      </c>
      <c r="G272" s="24">
        <f>IFERROR(INDEX(Atualizações!$Q$1:$Q$1265,MATCH(F272,Atualizações!$P$1:$P$1265,0)),"0")</f>
        <v>1</v>
      </c>
      <c r="H272" t="str">
        <f>$I$1&amp;Tb_Alinhamento[[#This Row],[SEI]]</f>
        <v>202609536/2024</v>
      </c>
      <c r="I272" s="24" t="str">
        <f>IFERROR(INDEX(Atualizações!$Q$1:$Q$1265,MATCH(H272,Atualizações!$P$1:$P$1265,0)),"0")</f>
        <v>0</v>
      </c>
      <c r="J27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3" spans="1:10">
      <c r="A273" s="24" t="s">
        <v>934</v>
      </c>
      <c r="B273" s="5" t="str">
        <f>_xlfn.XLOOKUP(Tb_Alinhamento[[#This Row],[SEI]],Tb_Portfólio[SEI],Tb_Portfólio[PROJETO],"Não cadastrado")</f>
        <v>Programa Infância a Priori</v>
      </c>
      <c r="C273" s="2" t="s">
        <v>120</v>
      </c>
      <c r="D273" t="str">
        <f>$E$1&amp;Tb_Alinhamento[[#This Row],[SEI]]</f>
        <v>202421959/2025</v>
      </c>
      <c r="E273" s="24" t="str">
        <f>IFERROR(INDEX(Atualizações!$Q$1:$Q$1265,MATCH(D273,Atualizações!$P$1:$P$1265,0)),"0")</f>
        <v>0</v>
      </c>
      <c r="F273" t="str">
        <f>$G$1&amp;Tb_Alinhamento[[#This Row],[SEI]]</f>
        <v>202521959/2025</v>
      </c>
      <c r="G273" s="24" t="str">
        <f>IFERROR(INDEX(Atualizações!$Q$1:$Q$1265,MATCH(F273,Atualizações!$P$1:$P$1265,0)),"0")</f>
        <v>0</v>
      </c>
      <c r="H273" s="24" t="str">
        <f>$I$1&amp;Tb_Alinhamento[[#This Row],[SEI]]</f>
        <v>202621959/2025</v>
      </c>
      <c r="I273" s="24">
        <f>IFERROR(INDEX(Atualizações!$Q$1:$Q$1265,MATCH(H273,Atualizações!$P$1:$P$1265,0)),"0")</f>
        <v>1</v>
      </c>
      <c r="J27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4" spans="1:10" ht="30">
      <c r="A274" s="24" t="s">
        <v>934</v>
      </c>
      <c r="B274" s="5" t="str">
        <f>_xlfn.XLOOKUP(Tb_Alinhamento[[#This Row],[SEI]],Tb_Portfólio[SEI],Tb_Portfólio[PROJETO],"Não cadastrado")</f>
        <v>Programa Infância a Priori</v>
      </c>
      <c r="C274" s="2" t="s">
        <v>166</v>
      </c>
      <c r="D274" t="str">
        <f>$E$1&amp;Tb_Alinhamento[[#This Row],[SEI]]</f>
        <v>202421959/2025</v>
      </c>
      <c r="E274" s="24" t="str">
        <f>IFERROR(INDEX(Atualizações!$Q$1:$Q$1265,MATCH(D274,Atualizações!$P$1:$P$1265,0)),"0")</f>
        <v>0</v>
      </c>
      <c r="F274" t="str">
        <f>$G$1&amp;Tb_Alinhamento[[#This Row],[SEI]]</f>
        <v>202521959/2025</v>
      </c>
      <c r="G274" s="24" t="str">
        <f>IFERROR(INDEX(Atualizações!$Q$1:$Q$1265,MATCH(F274,Atualizações!$P$1:$P$1265,0)),"0")</f>
        <v>0</v>
      </c>
      <c r="H274" s="24" t="str">
        <f>$I$1&amp;Tb_Alinhamento[[#This Row],[SEI]]</f>
        <v>202621959/2025</v>
      </c>
      <c r="I274" s="24">
        <f>IFERROR(INDEX(Atualizações!$Q$1:$Q$1265,MATCH(H274,Atualizações!$P$1:$P$1265,0)),"0")</f>
        <v>1</v>
      </c>
      <c r="J27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5" spans="1:10" ht="30">
      <c r="A275" s="24" t="s">
        <v>951</v>
      </c>
      <c r="B275" s="5" t="str">
        <f>_xlfn.XLOOKUP(Tb_Alinhamento[[#This Row],[SEI]],Tb_Portfólio[SEI],Tb_Portfólio[PROJETO],"Não cadastrado")</f>
        <v>Programa “Por Toda Parte, Por Todas Elas” – Plano 2026 de Enfrentamento da Violência contra Mulheres e Meninas.</v>
      </c>
      <c r="C275" s="2" t="s">
        <v>166</v>
      </c>
      <c r="D275" t="str">
        <f>$E$1&amp;Tb_Alinhamento[[#This Row],[SEI]]</f>
        <v>202402797/2026</v>
      </c>
      <c r="E275" s="24" t="str">
        <f>IFERROR(INDEX(Atualizações!$Q$1:$Q$1265,MATCH(D275,Atualizações!$P$1:$P$1265,0)),"0")</f>
        <v>0</v>
      </c>
      <c r="F275" t="str">
        <f>$G$1&amp;Tb_Alinhamento[[#This Row],[SEI]]</f>
        <v>202502797/2026</v>
      </c>
      <c r="G275" s="24" t="str">
        <f>IFERROR(INDEX(Atualizações!$Q$1:$Q$1265,MATCH(F275,Atualizações!$P$1:$P$1265,0)),"0")</f>
        <v>0</v>
      </c>
      <c r="H275" s="24" t="str">
        <f>$I$1&amp;Tb_Alinhamento[[#This Row],[SEI]]</f>
        <v>202602797/2026</v>
      </c>
      <c r="I275" s="24">
        <f>IFERROR(INDEX(Atualizações!$Q$1:$Q$1265,MATCH(H275,Atualizações!$P$1:$P$1265,0)),"0")</f>
        <v>1</v>
      </c>
      <c r="J27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6" spans="1:10">
      <c r="A276" s="24" t="s">
        <v>978</v>
      </c>
      <c r="B276" s="5" t="str">
        <f>_xlfn.XLOOKUP(Tb_Alinhamento[[#This Row],[SEI]],Tb_Portfólio[SEI],Tb_Portfólio[PROJETO],"Não cadastrado")</f>
        <v>Evolução do Sistema Nacional de Adoção (SNA)</v>
      </c>
      <c r="C276" s="2" t="s">
        <v>120</v>
      </c>
      <c r="D276" t="str">
        <f>$E$1&amp;Tb_Alinhamento[[#This Row],[SEI]]</f>
        <v>202418150/2025</v>
      </c>
      <c r="E276" s="24" t="str">
        <f>IFERROR(INDEX(Atualizações!$Q$1:$Q$1265,MATCH(D276,Atualizações!$P$1:$P$1265,0)),"0")</f>
        <v>0</v>
      </c>
      <c r="F276" t="str">
        <f>$G$1&amp;Tb_Alinhamento[[#This Row],[SEI]]</f>
        <v>202518150/2025</v>
      </c>
      <c r="G276" s="24" t="str">
        <f>IFERROR(INDEX(Atualizações!$Q$1:$Q$1265,MATCH(F276,Atualizações!$P$1:$P$1265,0)),"0")</f>
        <v>0</v>
      </c>
      <c r="H276" s="24" t="str">
        <f>$I$1&amp;Tb_Alinhamento[[#This Row],[SEI]]</f>
        <v>202618150/2025</v>
      </c>
      <c r="I276" s="24">
        <f>IFERROR(INDEX(Atualizações!$Q$1:$Q$1265,MATCH(H276,Atualizações!$P$1:$P$1265,0)),"0")</f>
        <v>1</v>
      </c>
      <c r="J27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7" spans="1:10" ht="30">
      <c r="A277" s="24" t="s">
        <v>978</v>
      </c>
      <c r="B277" s="5" t="str">
        <f>_xlfn.XLOOKUP(Tb_Alinhamento[[#This Row],[SEI]],Tb_Portfólio[SEI],Tb_Portfólio[PROJETO],"Não cadastrado")</f>
        <v>Evolução do Sistema Nacional de Adoção (SNA)</v>
      </c>
      <c r="C277" s="2" t="s">
        <v>166</v>
      </c>
      <c r="D277" t="str">
        <f>$E$1&amp;Tb_Alinhamento[[#This Row],[SEI]]</f>
        <v>202418150/2025</v>
      </c>
      <c r="E277" s="24" t="str">
        <f>IFERROR(INDEX(Atualizações!$Q$1:$Q$1265,MATCH(D277,Atualizações!$P$1:$P$1265,0)),"0")</f>
        <v>0</v>
      </c>
      <c r="F277" t="str">
        <f>$G$1&amp;Tb_Alinhamento[[#This Row],[SEI]]</f>
        <v>202518150/2025</v>
      </c>
      <c r="G277" s="24" t="str">
        <f>IFERROR(INDEX(Atualizações!$Q$1:$Q$1265,MATCH(F277,Atualizações!$P$1:$P$1265,0)),"0")</f>
        <v>0</v>
      </c>
      <c r="H277" s="24" t="str">
        <f>$I$1&amp;Tb_Alinhamento[[#This Row],[SEI]]</f>
        <v>202618150/2025</v>
      </c>
      <c r="I277" s="24">
        <f>IFERROR(INDEX(Atualizações!$Q$1:$Q$1265,MATCH(H277,Atualizações!$P$1:$P$1265,0)),"0")</f>
        <v>1</v>
      </c>
      <c r="J27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8" spans="1:10">
      <c r="A278" s="151" t="s">
        <v>957</v>
      </c>
      <c r="B278" s="5" t="str">
        <f>_xlfn.XLOOKUP(Tb_Alinhamento[[#This Row],[SEI]],Tb_Portfólio[SEI],Tb_Portfólio[PROJETO],"Não cadastrado")</f>
        <v>Subprograma Registre-se Pop Rua</v>
      </c>
      <c r="C278" s="2" t="s">
        <v>120</v>
      </c>
      <c r="D278" t="str">
        <f>$E$1&amp;Tb_Alinhamento[[#This Row],[SEI]]</f>
        <v>202400037/2026</v>
      </c>
      <c r="E278" s="24" t="str">
        <f>IFERROR(INDEX(Atualizações!$Q$1:$Q$1265,MATCH(D278,Atualizações!$P$1:$P$1265,0)),"0")</f>
        <v>0</v>
      </c>
      <c r="F278" t="str">
        <f>$G$1&amp;Tb_Alinhamento[[#This Row],[SEI]]</f>
        <v>202500037/2026</v>
      </c>
      <c r="G278" s="24" t="str">
        <f>IFERROR(INDEX(Atualizações!$Q$1:$Q$1265,MATCH(F278,Atualizações!$P$1:$P$1265,0)),"0")</f>
        <v>0</v>
      </c>
      <c r="H278" s="24" t="str">
        <f>$I$1&amp;Tb_Alinhamento[[#This Row],[SEI]]</f>
        <v>202600037/2026</v>
      </c>
      <c r="I278" s="24">
        <f>IFERROR(INDEX(Atualizações!$Q$1:$Q$1265,MATCH(H278,Atualizações!$P$1:$P$1265,0)),"0")</f>
        <v>1</v>
      </c>
      <c r="J27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79" spans="1:10" ht="30">
      <c r="A279" s="151" t="s">
        <v>957</v>
      </c>
      <c r="B279" s="5" t="str">
        <f>_xlfn.XLOOKUP(Tb_Alinhamento[[#This Row],[SEI]],Tb_Portfólio[SEI],Tb_Portfólio[PROJETO],"Não cadastrado")</f>
        <v>Subprograma Registre-se Pop Rua</v>
      </c>
      <c r="C279" s="2" t="s">
        <v>166</v>
      </c>
      <c r="D279" t="str">
        <f>$E$1&amp;Tb_Alinhamento[[#This Row],[SEI]]</f>
        <v>202400037/2026</v>
      </c>
      <c r="E279" s="24" t="str">
        <f>IFERROR(INDEX(Atualizações!$Q$1:$Q$1265,MATCH(D279,Atualizações!$P$1:$P$1265,0)),"0")</f>
        <v>0</v>
      </c>
      <c r="F279" t="str">
        <f>$G$1&amp;Tb_Alinhamento[[#This Row],[SEI]]</f>
        <v>202500037/2026</v>
      </c>
      <c r="G279" s="24" t="str">
        <f>IFERROR(INDEX(Atualizações!$Q$1:$Q$1265,MATCH(F279,Atualizações!$P$1:$P$1265,0)),"0")</f>
        <v>0</v>
      </c>
      <c r="H279" s="24" t="str">
        <f>$I$1&amp;Tb_Alinhamento[[#This Row],[SEI]]</f>
        <v>202600037/2026</v>
      </c>
      <c r="I279" s="24">
        <f>IFERROR(INDEX(Atualizações!$Q$1:$Q$1265,MATCH(H279,Atualizações!$P$1:$P$1265,0)),"0")</f>
        <v>1</v>
      </c>
      <c r="J27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0" spans="1:10" hidden="1">
      <c r="A280" s="24" t="s">
        <v>599</v>
      </c>
      <c r="B280" s="5" t="s">
        <v>600</v>
      </c>
      <c r="C280" s="2" t="s">
        <v>76</v>
      </c>
      <c r="D280" t="str">
        <f>$E$1&amp;Tb_Alinhamento[[#This Row],[SEI]]</f>
        <v>202410965/2023</v>
      </c>
      <c r="E280" s="24">
        <f>IFERROR(INDEX(Atualizações!$Q$1:$Q$1265,MATCH(D280,Atualizações!$P$1:$P$1265,0)),"0")</f>
        <v>1</v>
      </c>
      <c r="F280" t="str">
        <f>$G$1&amp;Tb_Alinhamento[[#This Row],[SEI]]</f>
        <v>202510965/2023</v>
      </c>
      <c r="G280" s="24" t="str">
        <f>IFERROR(INDEX(Atualizações!$Q$1:$Q$1265,MATCH(F280,Atualizações!$P$1:$P$1265,0)),"0")</f>
        <v>0</v>
      </c>
      <c r="H280" t="str">
        <f>$I$1&amp;Tb_Alinhamento[[#This Row],[SEI]]</f>
        <v>202610965/2023</v>
      </c>
      <c r="I280" s="24" t="str">
        <f>IFERROR(INDEX(Atualizações!$Q$1:$Q$1265,MATCH(H280,Atualizações!$P$1:$P$1265,0)),"0")</f>
        <v>0</v>
      </c>
      <c r="J28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1" spans="1:10" hidden="1">
      <c r="A281" s="24" t="s">
        <v>781</v>
      </c>
      <c r="B281" s="5" t="s">
        <v>1646</v>
      </c>
      <c r="C281" s="2" t="s">
        <v>76</v>
      </c>
      <c r="D281" t="str">
        <f>$E$1&amp;Tb_Alinhamento[[#This Row],[SEI]]</f>
        <v>202417466/2024</v>
      </c>
      <c r="E281" s="24">
        <f>IFERROR(INDEX(Atualizações!$Q$1:$Q$1265,MATCH(D281,Atualizações!$P$1:$P$1265,0)),"0")</f>
        <v>1</v>
      </c>
      <c r="F281" t="str">
        <f>$G$1&amp;Tb_Alinhamento[[#This Row],[SEI]]</f>
        <v>202517466/2024</v>
      </c>
      <c r="G281" s="24" t="str">
        <f>IFERROR(INDEX(Atualizações!$Q$1:$Q$1265,MATCH(F281,Atualizações!$P$1:$P$1265,0)),"0")</f>
        <v>0</v>
      </c>
      <c r="H281" t="str">
        <f>$I$1&amp;Tb_Alinhamento[[#This Row],[SEI]]</f>
        <v>202617466/2024</v>
      </c>
      <c r="I281" s="24" t="str">
        <f>IFERROR(INDEX(Atualizações!$Q$1:$Q$1265,MATCH(H281,Atualizações!$P$1:$P$1265,0)),"0")</f>
        <v>0</v>
      </c>
      <c r="J28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2" spans="1:10" hidden="1">
      <c r="A282" s="24" t="s">
        <v>781</v>
      </c>
      <c r="B282" s="5" t="s">
        <v>1646</v>
      </c>
      <c r="C282" s="2" t="s">
        <v>120</v>
      </c>
      <c r="D282" t="str">
        <f>$E$1&amp;Tb_Alinhamento[[#This Row],[SEI]]</f>
        <v>202417466/2024</v>
      </c>
      <c r="E282" s="24">
        <f>IFERROR(INDEX(Atualizações!$Q$1:$Q$1265,MATCH(D282,Atualizações!$P$1:$P$1265,0)),"0")</f>
        <v>1</v>
      </c>
      <c r="F282" t="str">
        <f>$G$1&amp;Tb_Alinhamento[[#This Row],[SEI]]</f>
        <v>202517466/2024</v>
      </c>
      <c r="G282" s="24" t="str">
        <f>IFERROR(INDEX(Atualizações!$Q$1:$Q$1265,MATCH(F282,Atualizações!$P$1:$P$1265,0)),"0")</f>
        <v>0</v>
      </c>
      <c r="H282" t="str">
        <f>$I$1&amp;Tb_Alinhamento[[#This Row],[SEI]]</f>
        <v>202617466/2024</v>
      </c>
      <c r="I282" s="24" t="str">
        <f>IFERROR(INDEX(Atualizações!$Q$1:$Q$1265,MATCH(H282,Atualizações!$P$1:$P$1265,0)),"0")</f>
        <v>0</v>
      </c>
      <c r="J28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3" spans="1:10" hidden="1">
      <c r="A283" s="24" t="s">
        <v>792</v>
      </c>
      <c r="B283" s="5" t="s">
        <v>1647</v>
      </c>
      <c r="C283" s="2" t="s">
        <v>76</v>
      </c>
      <c r="D283" t="str">
        <f>$E$1&amp;Tb_Alinhamento[[#This Row],[SEI]]</f>
        <v>2024174661/2024</v>
      </c>
      <c r="E283" s="24">
        <f>IFERROR(INDEX(Atualizações!$Q$1:$Q$1265,MATCH(D283,Atualizações!$P$1:$P$1265,0)),"0")</f>
        <v>1</v>
      </c>
      <c r="F283" t="str">
        <f>$G$1&amp;Tb_Alinhamento[[#This Row],[SEI]]</f>
        <v>2025174661/2024</v>
      </c>
      <c r="G283" s="24" t="str">
        <f>IFERROR(INDEX(Atualizações!$Q$1:$Q$1265,MATCH(F283,Atualizações!$P$1:$P$1265,0)),"0")</f>
        <v>0</v>
      </c>
      <c r="H283" t="str">
        <f>$I$1&amp;Tb_Alinhamento[[#This Row],[SEI]]</f>
        <v>2026174661/2024</v>
      </c>
      <c r="I283" s="24" t="str">
        <f>IFERROR(INDEX(Atualizações!$Q$1:$Q$1265,MATCH(H283,Atualizações!$P$1:$P$1265,0)),"0")</f>
        <v>0</v>
      </c>
      <c r="J28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4" spans="1:10" hidden="1">
      <c r="A284" s="24" t="s">
        <v>792</v>
      </c>
      <c r="B284" s="5" t="s">
        <v>1647</v>
      </c>
      <c r="C284" s="2" t="s">
        <v>120</v>
      </c>
      <c r="D284" t="str">
        <f>$E$1&amp;Tb_Alinhamento[[#This Row],[SEI]]</f>
        <v>2024174661/2024</v>
      </c>
      <c r="E284" s="24">
        <f>IFERROR(INDEX(Atualizações!$Q$1:$Q$1265,MATCH(D284,Atualizações!$P$1:$P$1265,0)),"0")</f>
        <v>1</v>
      </c>
      <c r="F284" t="str">
        <f>$G$1&amp;Tb_Alinhamento[[#This Row],[SEI]]</f>
        <v>2025174661/2024</v>
      </c>
      <c r="G284" s="24" t="str">
        <f>IFERROR(INDEX(Atualizações!$Q$1:$Q$1265,MATCH(F284,Atualizações!$P$1:$P$1265,0)),"0")</f>
        <v>0</v>
      </c>
      <c r="H284" t="str">
        <f>$I$1&amp;Tb_Alinhamento[[#This Row],[SEI]]</f>
        <v>2026174661/2024</v>
      </c>
      <c r="I284" s="24" t="str">
        <f>IFERROR(INDEX(Atualizações!$Q$1:$Q$1265,MATCH(H284,Atualizações!$P$1:$P$1265,0)),"0")</f>
        <v>0</v>
      </c>
      <c r="J28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5" spans="1:10" hidden="1">
      <c r="A285" s="24" t="s">
        <v>839</v>
      </c>
      <c r="B285" s="5" t="s">
        <v>1648</v>
      </c>
      <c r="C285" s="2" t="s">
        <v>76</v>
      </c>
      <c r="D285" t="str">
        <f>$E$1&amp;Tb_Alinhamento[[#This Row],[SEI]]</f>
        <v>2024174662/2024</v>
      </c>
      <c r="E285" s="24">
        <f>IFERROR(INDEX(Atualizações!$Q$1:$Q$1265,MATCH(D285,Atualizações!$P$1:$P$1265,0)),"0")</f>
        <v>1</v>
      </c>
      <c r="F285" t="str">
        <f>$G$1&amp;Tb_Alinhamento[[#This Row],[SEI]]</f>
        <v>2025174662/2024</v>
      </c>
      <c r="G285" s="24" t="str">
        <f>IFERROR(INDEX(Atualizações!$Q$1:$Q$1265,MATCH(F285,Atualizações!$P$1:$P$1265,0)),"0")</f>
        <v>0</v>
      </c>
      <c r="H285" t="str">
        <f>$I$1&amp;Tb_Alinhamento[[#This Row],[SEI]]</f>
        <v>2026174662/2024</v>
      </c>
      <c r="I285" s="24" t="str">
        <f>IFERROR(INDEX(Atualizações!$Q$1:$Q$1265,MATCH(H285,Atualizações!$P$1:$P$1265,0)),"0")</f>
        <v>0</v>
      </c>
      <c r="J28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6" spans="1:10" hidden="1">
      <c r="A286" s="24" t="s">
        <v>839</v>
      </c>
      <c r="B286" s="5" t="s">
        <v>1648</v>
      </c>
      <c r="C286" s="2" t="s">
        <v>120</v>
      </c>
      <c r="D286" t="str">
        <f>$E$1&amp;Tb_Alinhamento[[#This Row],[SEI]]</f>
        <v>2024174662/2024</v>
      </c>
      <c r="E286" s="24">
        <f>IFERROR(INDEX(Atualizações!$Q$1:$Q$1265,MATCH(D286,Atualizações!$P$1:$P$1265,0)),"0")</f>
        <v>1</v>
      </c>
      <c r="F286" t="str">
        <f>$G$1&amp;Tb_Alinhamento[[#This Row],[SEI]]</f>
        <v>2025174662/2024</v>
      </c>
      <c r="G286" s="24" t="str">
        <f>IFERROR(INDEX(Atualizações!$Q$1:$Q$1265,MATCH(F286,Atualizações!$P$1:$P$1265,0)),"0")</f>
        <v>0</v>
      </c>
      <c r="H286" t="str">
        <f>$I$1&amp;Tb_Alinhamento[[#This Row],[SEI]]</f>
        <v>2026174662/2024</v>
      </c>
      <c r="I286" s="24" t="str">
        <f>IFERROR(INDEX(Atualizações!$Q$1:$Q$1265,MATCH(H286,Atualizações!$P$1:$P$1265,0)),"0")</f>
        <v>0</v>
      </c>
      <c r="J28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7" spans="1:10" hidden="1">
      <c r="A287" s="24" t="s">
        <v>888</v>
      </c>
      <c r="B287" s="5" t="s">
        <v>1649</v>
      </c>
      <c r="C287" s="2" t="s">
        <v>76</v>
      </c>
      <c r="D287" t="str">
        <f>$E$1&amp;Tb_Alinhamento[[#This Row],[SEI]]</f>
        <v>2024174663/2024</v>
      </c>
      <c r="E287" s="24">
        <f>IFERROR(INDEX(Atualizações!$Q$1:$Q$1265,MATCH(D287,Atualizações!$P$1:$P$1265,0)),"0")</f>
        <v>1</v>
      </c>
      <c r="F287" t="str">
        <f>$G$1&amp;Tb_Alinhamento[[#This Row],[SEI]]</f>
        <v>2025174663/2024</v>
      </c>
      <c r="G287" s="24">
        <f>IFERROR(INDEX(Atualizações!$Q$1:$Q$1265,MATCH(F287,Atualizações!$P$1:$P$1265,0)),"0")</f>
        <v>1</v>
      </c>
      <c r="H287" t="str">
        <f>$I$1&amp;Tb_Alinhamento[[#This Row],[SEI]]</f>
        <v>2026174663/2024</v>
      </c>
      <c r="I287" s="24" t="str">
        <f>IFERROR(INDEX(Atualizações!$Q$1:$Q$1265,MATCH(H287,Atualizações!$P$1:$P$1265,0)),"0")</f>
        <v>0</v>
      </c>
      <c r="J28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8" spans="1:10" hidden="1">
      <c r="A288" s="24" t="s">
        <v>888</v>
      </c>
      <c r="B288" s="5" t="s">
        <v>1649</v>
      </c>
      <c r="C288" s="2" t="s">
        <v>120</v>
      </c>
      <c r="D288" t="str">
        <f>$E$1&amp;Tb_Alinhamento[[#This Row],[SEI]]</f>
        <v>2024174663/2024</v>
      </c>
      <c r="E288" s="24">
        <f>IFERROR(INDEX(Atualizações!$Q$1:$Q$1265,MATCH(D288,Atualizações!$P$1:$P$1265,0)),"0")</f>
        <v>1</v>
      </c>
      <c r="F288" t="str">
        <f>$G$1&amp;Tb_Alinhamento[[#This Row],[SEI]]</f>
        <v>2025174663/2024</v>
      </c>
      <c r="G288" s="24">
        <f>IFERROR(INDEX(Atualizações!$Q$1:$Q$1265,MATCH(F288,Atualizações!$P$1:$P$1265,0)),"0")</f>
        <v>1</v>
      </c>
      <c r="H288" t="str">
        <f>$I$1&amp;Tb_Alinhamento[[#This Row],[SEI]]</f>
        <v>2026174663/2024</v>
      </c>
      <c r="I288" s="24" t="str">
        <f>IFERROR(INDEX(Atualizações!$Q$1:$Q$1265,MATCH(H288,Atualizações!$P$1:$P$1265,0)),"0")</f>
        <v>0</v>
      </c>
      <c r="J28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89" spans="1:10" hidden="1">
      <c r="A289" s="24" t="s">
        <v>893</v>
      </c>
      <c r="B289" s="5" t="s">
        <v>1650</v>
      </c>
      <c r="C289" s="2" t="s">
        <v>76</v>
      </c>
      <c r="D289" t="str">
        <f>$E$1&amp;Tb_Alinhamento[[#This Row],[SEI]]</f>
        <v>2024174664/2024</v>
      </c>
      <c r="E289" s="24">
        <f>IFERROR(INDEX(Atualizações!$Q$1:$Q$1265,MATCH(D289,Atualizações!$P$1:$P$1265,0)),"0")</f>
        <v>1</v>
      </c>
      <c r="F289" t="str">
        <f>$G$1&amp;Tb_Alinhamento[[#This Row],[SEI]]</f>
        <v>2025174664/2024</v>
      </c>
      <c r="G289" s="24">
        <f>IFERROR(INDEX(Atualizações!$Q$1:$Q$1265,MATCH(F289,Atualizações!$P$1:$P$1265,0)),"0")</f>
        <v>1</v>
      </c>
      <c r="H289" t="str">
        <f>$I$1&amp;Tb_Alinhamento[[#This Row],[SEI]]</f>
        <v>2026174664/2024</v>
      </c>
      <c r="I289" s="24" t="str">
        <f>IFERROR(INDEX(Atualizações!$Q$1:$Q$1265,MATCH(H289,Atualizações!$P$1:$P$1265,0)),"0")</f>
        <v>0</v>
      </c>
      <c r="J28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0" spans="1:10" hidden="1">
      <c r="A290" s="24" t="s">
        <v>893</v>
      </c>
      <c r="B290" s="5" t="s">
        <v>1650</v>
      </c>
      <c r="C290" s="2" t="s">
        <v>120</v>
      </c>
      <c r="D290" t="str">
        <f>$E$1&amp;Tb_Alinhamento[[#This Row],[SEI]]</f>
        <v>2024174664/2024</v>
      </c>
      <c r="E290" s="24">
        <f>IFERROR(INDEX(Atualizações!$Q$1:$Q$1265,MATCH(D290,Atualizações!$P$1:$P$1265,0)),"0")</f>
        <v>1</v>
      </c>
      <c r="F290" t="str">
        <f>$G$1&amp;Tb_Alinhamento[[#This Row],[SEI]]</f>
        <v>2025174664/2024</v>
      </c>
      <c r="G290" s="24">
        <f>IFERROR(INDEX(Atualizações!$Q$1:$Q$1265,MATCH(F290,Atualizações!$P$1:$P$1265,0)),"0")</f>
        <v>1</v>
      </c>
      <c r="H290" t="str">
        <f>$I$1&amp;Tb_Alinhamento[[#This Row],[SEI]]</f>
        <v>2026174664/2024</v>
      </c>
      <c r="I290" s="24" t="str">
        <f>IFERROR(INDEX(Atualizações!$Q$1:$Q$1265,MATCH(H290,Atualizações!$P$1:$P$1265,0)),"0")</f>
        <v>0</v>
      </c>
      <c r="J29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1" spans="1:10" hidden="1">
      <c r="A291" s="24" t="s">
        <v>897</v>
      </c>
      <c r="B291" s="5" t="s">
        <v>1651</v>
      </c>
      <c r="C291" s="2" t="s">
        <v>76</v>
      </c>
      <c r="D291" t="str">
        <f>$E$1&amp;Tb_Alinhamento[[#This Row],[SEI]]</f>
        <v>2024174665/2024</v>
      </c>
      <c r="E291" s="24">
        <f>IFERROR(INDEX(Atualizações!$Q$1:$Q$1265,MATCH(D291,Atualizações!$P$1:$P$1265,0)),"0")</f>
        <v>1</v>
      </c>
      <c r="F291" t="str">
        <f>$G$1&amp;Tb_Alinhamento[[#This Row],[SEI]]</f>
        <v>2025174665/2024</v>
      </c>
      <c r="G291" s="24" t="str">
        <f>IFERROR(INDEX(Atualizações!$Q$1:$Q$1265,MATCH(F291,Atualizações!$P$1:$P$1265,0)),"0")</f>
        <v>0</v>
      </c>
      <c r="H291" t="str">
        <f>$I$1&amp;Tb_Alinhamento[[#This Row],[SEI]]</f>
        <v>2026174665/2024</v>
      </c>
      <c r="I291" s="24" t="str">
        <f>IFERROR(INDEX(Atualizações!$Q$1:$Q$1265,MATCH(H291,Atualizações!$P$1:$P$1265,0)),"0")</f>
        <v>0</v>
      </c>
      <c r="J29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2" spans="1:10" hidden="1">
      <c r="A292" s="24" t="s">
        <v>897</v>
      </c>
      <c r="B292" s="5" t="s">
        <v>1651</v>
      </c>
      <c r="C292" s="2" t="s">
        <v>120</v>
      </c>
      <c r="D292" t="str">
        <f>$E$1&amp;Tb_Alinhamento[[#This Row],[SEI]]</f>
        <v>2024174665/2024</v>
      </c>
      <c r="E292" s="24">
        <f>IFERROR(INDEX(Atualizações!$Q$1:$Q$1265,MATCH(D292,Atualizações!$P$1:$P$1265,0)),"0")</f>
        <v>1</v>
      </c>
      <c r="F292" t="str">
        <f>$G$1&amp;Tb_Alinhamento[[#This Row],[SEI]]</f>
        <v>2025174665/2024</v>
      </c>
      <c r="G292" s="24" t="str">
        <f>IFERROR(INDEX(Atualizações!$Q$1:$Q$1265,MATCH(F292,Atualizações!$P$1:$P$1265,0)),"0")</f>
        <v>0</v>
      </c>
      <c r="H292" t="str">
        <f>$I$1&amp;Tb_Alinhamento[[#This Row],[SEI]]</f>
        <v>2026174665/2024</v>
      </c>
      <c r="I292" s="24" t="str">
        <f>IFERROR(INDEX(Atualizações!$Q$1:$Q$1265,MATCH(H292,Atualizações!$P$1:$P$1265,0)),"0")</f>
        <v>0</v>
      </c>
      <c r="J29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3" spans="1:10" ht="30">
      <c r="A293" s="51" t="s">
        <v>963</v>
      </c>
      <c r="B293" s="5" t="str">
        <f>_xlfn.XLOOKUP(Tb_Alinhamento[[#This Row],[SEI]],Tb_Portfólio[SEI],Tb_Portfólio[PROJETO],"Não cadastrado")</f>
        <v>Campanha “Maio da Auditoria Interna” – CNJ 2026</v>
      </c>
      <c r="C293" s="2" t="s">
        <v>146</v>
      </c>
      <c r="D293" t="str">
        <f>$E$1&amp;Tb_Alinhamento[[#This Row],[SEI]]</f>
        <v>202404050/2026</v>
      </c>
      <c r="E293" s="24" t="str">
        <f>IFERROR(INDEX(Atualizações!$Q$1:$Q$1265,MATCH(D293,Atualizações!$P$1:$P$1265,0)),"0")</f>
        <v>0</v>
      </c>
      <c r="F293" t="str">
        <f>$G$1&amp;Tb_Alinhamento[[#This Row],[SEI]]</f>
        <v>202504050/2026</v>
      </c>
      <c r="G293" s="24" t="str">
        <f>IFERROR(INDEX(Atualizações!$Q$1:$Q$1265,MATCH(F293,Atualizações!$P$1:$P$1265,0)),"0")</f>
        <v>0</v>
      </c>
      <c r="H293" s="24" t="str">
        <f>$I$1&amp;Tb_Alinhamento[[#This Row],[SEI]]</f>
        <v>202604050/2026</v>
      </c>
      <c r="I293" s="24">
        <f>IFERROR(INDEX(Atualizações!$Q$1:$Q$1265,MATCH(H293,Atualizações!$P$1:$P$1265,0)),"0")</f>
        <v>1</v>
      </c>
      <c r="J29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4" spans="1:10">
      <c r="A294" s="24" t="s">
        <v>944</v>
      </c>
      <c r="B294" s="5" t="str">
        <f>_xlfn.XLOOKUP(Tb_Alinhamento[[#This Row],[SEI]],Tb_Portfólio[SEI],Tb_Portfólio[PROJETO],"Não cadastrado")</f>
        <v>Subprograma Registre-se: Brasil Parente</v>
      </c>
      <c r="C294" s="2" t="s">
        <v>120</v>
      </c>
      <c r="D294" t="str">
        <f>$E$1&amp;Tb_Alinhamento[[#This Row],[SEI]]</f>
        <v>202401485/2026</v>
      </c>
      <c r="E294" s="24" t="str">
        <f>IFERROR(INDEX(Atualizações!$Q$1:$Q$1265,MATCH(D294,Atualizações!$P$1:$P$1265,0)),"0")</f>
        <v>0</v>
      </c>
      <c r="F294" t="str">
        <f>$G$1&amp;Tb_Alinhamento[[#This Row],[SEI]]</f>
        <v>202501485/2026</v>
      </c>
      <c r="G294" s="24" t="str">
        <f>IFERROR(INDEX(Atualizações!$Q$1:$Q$1265,MATCH(F294,Atualizações!$P$1:$P$1265,0)),"0")</f>
        <v>0</v>
      </c>
      <c r="H294" s="24" t="str">
        <f>$I$1&amp;Tb_Alinhamento[[#This Row],[SEI]]</f>
        <v>202601485/2026</v>
      </c>
      <c r="I294" s="24">
        <f>IFERROR(INDEX(Atualizações!$Q$1:$Q$1265,MATCH(H294,Atualizações!$P$1:$P$1265,0)),"0")</f>
        <v>1</v>
      </c>
      <c r="J29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5" spans="1:10" hidden="1">
      <c r="A295" s="24" t="s">
        <v>905</v>
      </c>
      <c r="B295" s="5" t="s">
        <v>1652</v>
      </c>
      <c r="C295" s="2" t="s">
        <v>76</v>
      </c>
      <c r="D295" t="str">
        <f>$E$1&amp;Tb_Alinhamento[[#This Row],[SEI]]</f>
        <v>2024174667/2024</v>
      </c>
      <c r="E295" s="24">
        <f>IFERROR(INDEX(Atualizações!$Q$1:$Q$1265,MATCH(D295,Atualizações!$P$1:$P$1265,0)),"0")</f>
        <v>1</v>
      </c>
      <c r="F295" t="str">
        <f>$G$1&amp;Tb_Alinhamento[[#This Row],[SEI]]</f>
        <v>2025174667/2024</v>
      </c>
      <c r="G295" s="24" t="str">
        <f>IFERROR(INDEX(Atualizações!$Q$1:$Q$1265,MATCH(F295,Atualizações!$P$1:$P$1265,0)),"0")</f>
        <v>0</v>
      </c>
      <c r="H295" t="str">
        <f>$I$1&amp;Tb_Alinhamento[[#This Row],[SEI]]</f>
        <v>2026174667/2024</v>
      </c>
      <c r="I295" s="24" t="str">
        <f>IFERROR(INDEX(Atualizações!$Q$1:$Q$1265,MATCH(H295,Atualizações!$P$1:$P$1265,0)),"0")</f>
        <v>0</v>
      </c>
      <c r="J29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6" spans="1:10" hidden="1">
      <c r="A296" s="24" t="s">
        <v>905</v>
      </c>
      <c r="B296" s="5" t="s">
        <v>1652</v>
      </c>
      <c r="C296" s="2" t="s">
        <v>120</v>
      </c>
      <c r="D296" t="str">
        <f>$E$1&amp;Tb_Alinhamento[[#This Row],[SEI]]</f>
        <v>2024174667/2024</v>
      </c>
      <c r="E296" s="24">
        <f>IFERROR(INDEX(Atualizações!$Q$1:$Q$1265,MATCH(D296,Atualizações!$P$1:$P$1265,0)),"0")</f>
        <v>1</v>
      </c>
      <c r="F296" t="str">
        <f>$G$1&amp;Tb_Alinhamento[[#This Row],[SEI]]</f>
        <v>2025174667/2024</v>
      </c>
      <c r="G296" s="24" t="str">
        <f>IFERROR(INDEX(Atualizações!$Q$1:$Q$1265,MATCH(F296,Atualizações!$P$1:$P$1265,0)),"0")</f>
        <v>0</v>
      </c>
      <c r="H296" t="str">
        <f>$I$1&amp;Tb_Alinhamento[[#This Row],[SEI]]</f>
        <v>2026174667/2024</v>
      </c>
      <c r="I296" s="24" t="str">
        <f>IFERROR(INDEX(Atualizações!$Q$1:$Q$1265,MATCH(H296,Atualizações!$P$1:$P$1265,0)),"0")</f>
        <v>0</v>
      </c>
      <c r="J29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7" spans="1:10" hidden="1">
      <c r="A297" s="24" t="s">
        <v>909</v>
      </c>
      <c r="B297" s="5" t="s">
        <v>1653</v>
      </c>
      <c r="C297" s="2" t="s">
        <v>76</v>
      </c>
      <c r="D297" t="str">
        <f>$E$1&amp;Tb_Alinhamento[[#This Row],[SEI]]</f>
        <v>2024174668/2024</v>
      </c>
      <c r="E297" s="24">
        <f>IFERROR(INDEX(Atualizações!$Q$1:$Q$1265,MATCH(D297,Atualizações!$P$1:$P$1265,0)),"0")</f>
        <v>1</v>
      </c>
      <c r="F297" t="str">
        <f>$G$1&amp;Tb_Alinhamento[[#This Row],[SEI]]</f>
        <v>2025174668/2024</v>
      </c>
      <c r="G297" s="24" t="str">
        <f>IFERROR(INDEX(Atualizações!$Q$1:$Q$1265,MATCH(F297,Atualizações!$P$1:$P$1265,0)),"0")</f>
        <v>0</v>
      </c>
      <c r="H297" t="str">
        <f>$I$1&amp;Tb_Alinhamento[[#This Row],[SEI]]</f>
        <v>2026174668/2024</v>
      </c>
      <c r="I297" s="24" t="str">
        <f>IFERROR(INDEX(Atualizações!$Q$1:$Q$1265,MATCH(H297,Atualizações!$P$1:$P$1265,0)),"0")</f>
        <v>0</v>
      </c>
      <c r="J29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8" spans="1:10" hidden="1">
      <c r="A298" s="24" t="s">
        <v>909</v>
      </c>
      <c r="B298" s="5" t="s">
        <v>1653</v>
      </c>
      <c r="C298" s="2" t="s">
        <v>120</v>
      </c>
      <c r="D298" t="str">
        <f>$E$1&amp;Tb_Alinhamento[[#This Row],[SEI]]</f>
        <v>2024174668/2024</v>
      </c>
      <c r="E298" s="24">
        <f>IFERROR(INDEX(Atualizações!$Q$1:$Q$1265,MATCH(D298,Atualizações!$P$1:$P$1265,0)),"0")</f>
        <v>1</v>
      </c>
      <c r="F298" t="str">
        <f>$G$1&amp;Tb_Alinhamento[[#This Row],[SEI]]</f>
        <v>2025174668/2024</v>
      </c>
      <c r="G298" s="24" t="str">
        <f>IFERROR(INDEX(Atualizações!$Q$1:$Q$1265,MATCH(F298,Atualizações!$P$1:$P$1265,0)),"0")</f>
        <v>0</v>
      </c>
      <c r="H298" t="str">
        <f>$I$1&amp;Tb_Alinhamento[[#This Row],[SEI]]</f>
        <v>2026174668/2024</v>
      </c>
      <c r="I298" s="24" t="str">
        <f>IFERROR(INDEX(Atualizações!$Q$1:$Q$1265,MATCH(H298,Atualizações!$P$1:$P$1265,0)),"0")</f>
        <v>0</v>
      </c>
      <c r="J29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299" spans="1:10" hidden="1">
      <c r="A299" s="24" t="s">
        <v>913</v>
      </c>
      <c r="B299" s="5" t="s">
        <v>1654</v>
      </c>
      <c r="C299" s="2" t="s">
        <v>76</v>
      </c>
      <c r="D299" t="str">
        <f>$E$1&amp;Tb_Alinhamento[[#This Row],[SEI]]</f>
        <v>2024174669/2024</v>
      </c>
      <c r="E299" s="24">
        <f>IFERROR(INDEX(Atualizações!$Q$1:$Q$1265,MATCH(D299,Atualizações!$P$1:$P$1265,0)),"0")</f>
        <v>1</v>
      </c>
      <c r="F299" t="str">
        <f>$G$1&amp;Tb_Alinhamento[[#This Row],[SEI]]</f>
        <v>2025174669/2024</v>
      </c>
      <c r="G299" s="24" t="str">
        <f>IFERROR(INDEX(Atualizações!$Q$1:$Q$1265,MATCH(F299,Atualizações!$P$1:$P$1265,0)),"0")</f>
        <v>0</v>
      </c>
      <c r="H299" t="str">
        <f>$I$1&amp;Tb_Alinhamento[[#This Row],[SEI]]</f>
        <v>2026174669/2024</v>
      </c>
      <c r="I299" s="24" t="str">
        <f>IFERROR(INDEX(Atualizações!$Q$1:$Q$1265,MATCH(H299,Atualizações!$P$1:$P$1265,0)),"0")</f>
        <v>0</v>
      </c>
      <c r="J29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0" spans="1:10" hidden="1">
      <c r="A300" s="24" t="s">
        <v>913</v>
      </c>
      <c r="B300" s="5" t="s">
        <v>1654</v>
      </c>
      <c r="C300" s="2" t="s">
        <v>120</v>
      </c>
      <c r="D300" t="str">
        <f>$E$1&amp;Tb_Alinhamento[[#This Row],[SEI]]</f>
        <v>2024174669/2024</v>
      </c>
      <c r="E300" s="24">
        <f>IFERROR(INDEX(Atualizações!$Q$1:$Q$1265,MATCH(D300,Atualizações!$P$1:$P$1265,0)),"0")</f>
        <v>1</v>
      </c>
      <c r="F300" t="str">
        <f>$G$1&amp;Tb_Alinhamento[[#This Row],[SEI]]</f>
        <v>2025174669/2024</v>
      </c>
      <c r="G300" s="24" t="str">
        <f>IFERROR(INDEX(Atualizações!$Q$1:$Q$1265,MATCH(F300,Atualizações!$P$1:$P$1265,0)),"0")</f>
        <v>0</v>
      </c>
      <c r="H300" t="str">
        <f>$I$1&amp;Tb_Alinhamento[[#This Row],[SEI]]</f>
        <v>2026174669/2024</v>
      </c>
      <c r="I300" s="24" t="str">
        <f>IFERROR(INDEX(Atualizações!$Q$1:$Q$1265,MATCH(H300,Atualizações!$P$1:$P$1265,0)),"0")</f>
        <v>0</v>
      </c>
      <c r="J30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1" spans="1:10" hidden="1">
      <c r="A301" s="24" t="s">
        <v>796</v>
      </c>
      <c r="B301" s="5" t="s">
        <v>1655</v>
      </c>
      <c r="C301" s="2" t="s">
        <v>76</v>
      </c>
      <c r="D301" t="str">
        <f>$E$1&amp;Tb_Alinhamento[[#This Row],[SEI]]</f>
        <v>20241746610/2024</v>
      </c>
      <c r="E301" s="24">
        <f>IFERROR(INDEX(Atualizações!$Q$1:$Q$1265,MATCH(D301,Atualizações!$P$1:$P$1265,0)),"0")</f>
        <v>1</v>
      </c>
      <c r="F301" t="str">
        <f>$G$1&amp;Tb_Alinhamento[[#This Row],[SEI]]</f>
        <v>20251746610/2024</v>
      </c>
      <c r="G301" s="24" t="str">
        <f>IFERROR(INDEX(Atualizações!$Q$1:$Q$1265,MATCH(F301,Atualizações!$P$1:$P$1265,0)),"0")</f>
        <v>0</v>
      </c>
      <c r="H301" t="str">
        <f>$I$1&amp;Tb_Alinhamento[[#This Row],[SEI]]</f>
        <v>20261746610/2024</v>
      </c>
      <c r="I301" s="24" t="str">
        <f>IFERROR(INDEX(Atualizações!$Q$1:$Q$1265,MATCH(H301,Atualizações!$P$1:$P$1265,0)),"0")</f>
        <v>0</v>
      </c>
      <c r="J30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2" spans="1:10" hidden="1">
      <c r="A302" s="24" t="s">
        <v>796</v>
      </c>
      <c r="B302" s="5" t="s">
        <v>1655</v>
      </c>
      <c r="C302" s="2" t="s">
        <v>120</v>
      </c>
      <c r="D302" t="str">
        <f>$E$1&amp;Tb_Alinhamento[[#This Row],[SEI]]</f>
        <v>20241746610/2024</v>
      </c>
      <c r="E302" s="24">
        <f>IFERROR(INDEX(Atualizações!$Q$1:$Q$1265,MATCH(D302,Atualizações!$P$1:$P$1265,0)),"0")</f>
        <v>1</v>
      </c>
      <c r="F302" t="str">
        <f>$G$1&amp;Tb_Alinhamento[[#This Row],[SEI]]</f>
        <v>20251746610/2024</v>
      </c>
      <c r="G302" s="24" t="str">
        <f>IFERROR(INDEX(Atualizações!$Q$1:$Q$1265,MATCH(F302,Atualizações!$P$1:$P$1265,0)),"0")</f>
        <v>0</v>
      </c>
      <c r="H302" t="str">
        <f>$I$1&amp;Tb_Alinhamento[[#This Row],[SEI]]</f>
        <v>20261746610/2024</v>
      </c>
      <c r="I302" s="24" t="str">
        <f>IFERROR(INDEX(Atualizações!$Q$1:$Q$1265,MATCH(H302,Atualizações!$P$1:$P$1265,0)),"0")</f>
        <v>0</v>
      </c>
      <c r="J30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3" spans="1:10" hidden="1">
      <c r="A303" s="24" t="s">
        <v>800</v>
      </c>
      <c r="B303" s="5" t="s">
        <v>1656</v>
      </c>
      <c r="C303" s="2" t="s">
        <v>76</v>
      </c>
      <c r="D303" t="str">
        <f>$E$1&amp;Tb_Alinhamento[[#This Row],[SEI]]</f>
        <v>20241746611/2024</v>
      </c>
      <c r="E303" s="24">
        <f>IFERROR(INDEX(Atualizações!$Q$1:$Q$1265,MATCH(D303,Atualizações!$P$1:$P$1265,0)),"0")</f>
        <v>1</v>
      </c>
      <c r="F303" t="str">
        <f>$G$1&amp;Tb_Alinhamento[[#This Row],[SEI]]</f>
        <v>20251746611/2024</v>
      </c>
      <c r="G303" s="24" t="str">
        <f>IFERROR(INDEX(Atualizações!$Q$1:$Q$1265,MATCH(F303,Atualizações!$P$1:$P$1265,0)),"0")</f>
        <v>0</v>
      </c>
      <c r="H303" t="str">
        <f>$I$1&amp;Tb_Alinhamento[[#This Row],[SEI]]</f>
        <v>20261746611/2024</v>
      </c>
      <c r="I303" s="24" t="str">
        <f>IFERROR(INDEX(Atualizações!$Q$1:$Q$1265,MATCH(H303,Atualizações!$P$1:$P$1265,0)),"0")</f>
        <v>0</v>
      </c>
      <c r="J30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4" spans="1:10" hidden="1">
      <c r="A304" s="24" t="s">
        <v>800</v>
      </c>
      <c r="B304" s="5" t="s">
        <v>1656</v>
      </c>
      <c r="C304" s="2" t="s">
        <v>120</v>
      </c>
      <c r="D304" t="str">
        <f>$E$1&amp;Tb_Alinhamento[[#This Row],[SEI]]</f>
        <v>20241746611/2024</v>
      </c>
      <c r="E304" s="24">
        <f>IFERROR(INDEX(Atualizações!$Q$1:$Q$1265,MATCH(D304,Atualizações!$P$1:$P$1265,0)),"0")</f>
        <v>1</v>
      </c>
      <c r="F304" t="str">
        <f>$G$1&amp;Tb_Alinhamento[[#This Row],[SEI]]</f>
        <v>20251746611/2024</v>
      </c>
      <c r="G304" s="24" t="str">
        <f>IFERROR(INDEX(Atualizações!$Q$1:$Q$1265,MATCH(F304,Atualizações!$P$1:$P$1265,0)),"0")</f>
        <v>0</v>
      </c>
      <c r="H304" t="str">
        <f>$I$1&amp;Tb_Alinhamento[[#This Row],[SEI]]</f>
        <v>20261746611/2024</v>
      </c>
      <c r="I304" s="24" t="str">
        <f>IFERROR(INDEX(Atualizações!$Q$1:$Q$1265,MATCH(H304,Atualizações!$P$1:$P$1265,0)),"0")</f>
        <v>0</v>
      </c>
      <c r="J30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5" spans="1:10" ht="30" hidden="1">
      <c r="A305" s="24" t="s">
        <v>805</v>
      </c>
      <c r="B305" s="5" t="s">
        <v>1657</v>
      </c>
      <c r="C305" s="2" t="s">
        <v>76</v>
      </c>
      <c r="D305" t="str">
        <f>$E$1&amp;Tb_Alinhamento[[#This Row],[SEI]]</f>
        <v>20241746612/2024</v>
      </c>
      <c r="E305" s="24">
        <f>IFERROR(INDEX(Atualizações!$Q$1:$Q$1265,MATCH(D305,Atualizações!$P$1:$P$1265,0)),"0")</f>
        <v>1</v>
      </c>
      <c r="F305" t="str">
        <f>$G$1&amp;Tb_Alinhamento[[#This Row],[SEI]]</f>
        <v>20251746612/2024</v>
      </c>
      <c r="G305" s="24" t="str">
        <f>IFERROR(INDEX(Atualizações!$Q$1:$Q$1265,MATCH(F305,Atualizações!$P$1:$P$1265,0)),"0")</f>
        <v>0</v>
      </c>
      <c r="H305" t="str">
        <f>$I$1&amp;Tb_Alinhamento[[#This Row],[SEI]]</f>
        <v>20261746612/2024</v>
      </c>
      <c r="I305" s="24" t="str">
        <f>IFERROR(INDEX(Atualizações!$Q$1:$Q$1265,MATCH(H305,Atualizações!$P$1:$P$1265,0)),"0")</f>
        <v>0</v>
      </c>
      <c r="J30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6" spans="1:10" ht="30" hidden="1">
      <c r="A306" s="24" t="s">
        <v>805</v>
      </c>
      <c r="B306" s="5" t="s">
        <v>1657</v>
      </c>
      <c r="C306" s="2" t="s">
        <v>120</v>
      </c>
      <c r="D306" t="str">
        <f>$E$1&amp;Tb_Alinhamento[[#This Row],[SEI]]</f>
        <v>20241746612/2024</v>
      </c>
      <c r="E306" s="24">
        <f>IFERROR(INDEX(Atualizações!$Q$1:$Q$1265,MATCH(D306,Atualizações!$P$1:$P$1265,0)),"0")</f>
        <v>1</v>
      </c>
      <c r="F306" t="str">
        <f>$G$1&amp;Tb_Alinhamento[[#This Row],[SEI]]</f>
        <v>20251746612/2024</v>
      </c>
      <c r="G306" s="24" t="str">
        <f>IFERROR(INDEX(Atualizações!$Q$1:$Q$1265,MATCH(F306,Atualizações!$P$1:$P$1265,0)),"0")</f>
        <v>0</v>
      </c>
      <c r="H306" t="str">
        <f>$I$1&amp;Tb_Alinhamento[[#This Row],[SEI]]</f>
        <v>20261746612/2024</v>
      </c>
      <c r="I306" s="24" t="str">
        <f>IFERROR(INDEX(Atualizações!$Q$1:$Q$1265,MATCH(H306,Atualizações!$P$1:$P$1265,0)),"0")</f>
        <v>0</v>
      </c>
      <c r="J30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7" spans="1:10" hidden="1">
      <c r="A307" s="24" t="s">
        <v>810</v>
      </c>
      <c r="B307" s="5" t="s">
        <v>1658</v>
      </c>
      <c r="C307" s="2" t="s">
        <v>76</v>
      </c>
      <c r="D307" t="str">
        <f>$E$1&amp;Tb_Alinhamento[[#This Row],[SEI]]</f>
        <v>20241746613/2024</v>
      </c>
      <c r="E307" s="24">
        <f>IFERROR(INDEX(Atualizações!$Q$1:$Q$1265,MATCH(D307,Atualizações!$P$1:$P$1265,0)),"0")</f>
        <v>1</v>
      </c>
      <c r="F307" t="str">
        <f>$G$1&amp;Tb_Alinhamento[[#This Row],[SEI]]</f>
        <v>20251746613/2024</v>
      </c>
      <c r="G307" s="24" t="str">
        <f>IFERROR(INDEX(Atualizações!$Q$1:$Q$1265,MATCH(F307,Atualizações!$P$1:$P$1265,0)),"0")</f>
        <v>0</v>
      </c>
      <c r="H307" t="str">
        <f>$I$1&amp;Tb_Alinhamento[[#This Row],[SEI]]</f>
        <v>20261746613/2024</v>
      </c>
      <c r="I307" s="24" t="str">
        <f>IFERROR(INDEX(Atualizações!$Q$1:$Q$1265,MATCH(H307,Atualizações!$P$1:$P$1265,0)),"0")</f>
        <v>0</v>
      </c>
      <c r="J30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8" spans="1:10" hidden="1">
      <c r="A308" s="24" t="s">
        <v>810</v>
      </c>
      <c r="B308" s="5" t="s">
        <v>1658</v>
      </c>
      <c r="C308" s="2" t="s">
        <v>120</v>
      </c>
      <c r="D308" t="str">
        <f>$E$1&amp;Tb_Alinhamento[[#This Row],[SEI]]</f>
        <v>20241746613/2024</v>
      </c>
      <c r="E308" s="24">
        <f>IFERROR(INDEX(Atualizações!$Q$1:$Q$1265,MATCH(D308,Atualizações!$P$1:$P$1265,0)),"0")</f>
        <v>1</v>
      </c>
      <c r="F308" t="str">
        <f>$G$1&amp;Tb_Alinhamento[[#This Row],[SEI]]</f>
        <v>20251746613/2024</v>
      </c>
      <c r="G308" s="24" t="str">
        <f>IFERROR(INDEX(Atualizações!$Q$1:$Q$1265,MATCH(F308,Atualizações!$P$1:$P$1265,0)),"0")</f>
        <v>0</v>
      </c>
      <c r="H308" t="str">
        <f>$I$1&amp;Tb_Alinhamento[[#This Row],[SEI]]</f>
        <v>20261746613/2024</v>
      </c>
      <c r="I308" s="24" t="str">
        <f>IFERROR(INDEX(Atualizações!$Q$1:$Q$1265,MATCH(H308,Atualizações!$P$1:$P$1265,0)),"0")</f>
        <v>0</v>
      </c>
      <c r="J30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09" spans="1:10" hidden="1">
      <c r="A309" s="24" t="s">
        <v>814</v>
      </c>
      <c r="B309" s="5" t="s">
        <v>1659</v>
      </c>
      <c r="C309" s="2" t="s">
        <v>76</v>
      </c>
      <c r="D309" t="str">
        <f>$E$1&amp;Tb_Alinhamento[[#This Row],[SEI]]</f>
        <v>20241746614/2024</v>
      </c>
      <c r="E309" s="24">
        <f>IFERROR(INDEX(Atualizações!$Q$1:$Q$1265,MATCH(D309,Atualizações!$P$1:$P$1265,0)),"0")</f>
        <v>1</v>
      </c>
      <c r="F309" t="str">
        <f>$G$1&amp;Tb_Alinhamento[[#This Row],[SEI]]</f>
        <v>20251746614/2024</v>
      </c>
      <c r="G309" s="24" t="str">
        <f>IFERROR(INDEX(Atualizações!$Q$1:$Q$1265,MATCH(F309,Atualizações!$P$1:$P$1265,0)),"0")</f>
        <v>0</v>
      </c>
      <c r="H309" t="str">
        <f>$I$1&amp;Tb_Alinhamento[[#This Row],[SEI]]</f>
        <v>20261746614/2024</v>
      </c>
      <c r="I309" s="24" t="str">
        <f>IFERROR(INDEX(Atualizações!$Q$1:$Q$1265,MATCH(H309,Atualizações!$P$1:$P$1265,0)),"0")</f>
        <v>0</v>
      </c>
      <c r="J30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0" spans="1:10" hidden="1">
      <c r="A310" s="24" t="s">
        <v>814</v>
      </c>
      <c r="B310" s="5" t="s">
        <v>1659</v>
      </c>
      <c r="C310" s="2" t="s">
        <v>120</v>
      </c>
      <c r="D310" t="str">
        <f>$E$1&amp;Tb_Alinhamento[[#This Row],[SEI]]</f>
        <v>20241746614/2024</v>
      </c>
      <c r="E310" s="24">
        <f>IFERROR(INDEX(Atualizações!$Q$1:$Q$1265,MATCH(D310,Atualizações!$P$1:$P$1265,0)),"0")</f>
        <v>1</v>
      </c>
      <c r="F310" t="str">
        <f>$G$1&amp;Tb_Alinhamento[[#This Row],[SEI]]</f>
        <v>20251746614/2024</v>
      </c>
      <c r="G310" s="24" t="str">
        <f>IFERROR(INDEX(Atualizações!$Q$1:$Q$1265,MATCH(F310,Atualizações!$P$1:$P$1265,0)),"0")</f>
        <v>0</v>
      </c>
      <c r="H310" t="str">
        <f>$I$1&amp;Tb_Alinhamento[[#This Row],[SEI]]</f>
        <v>20261746614/2024</v>
      </c>
      <c r="I310" s="24" t="str">
        <f>IFERROR(INDEX(Atualizações!$Q$1:$Q$1265,MATCH(H310,Atualizações!$P$1:$P$1265,0)),"0")</f>
        <v>0</v>
      </c>
      <c r="J31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1" spans="1:10" hidden="1">
      <c r="A311" s="24" t="s">
        <v>818</v>
      </c>
      <c r="B311" s="5" t="s">
        <v>1660</v>
      </c>
      <c r="C311" s="2" t="s">
        <v>76</v>
      </c>
      <c r="D311" t="str">
        <f>$E$1&amp;Tb_Alinhamento[[#This Row],[SEI]]</f>
        <v>20241746615/2024</v>
      </c>
      <c r="E311" s="24">
        <f>IFERROR(INDEX(Atualizações!$Q$1:$Q$1265,MATCH(D311,Atualizações!$P$1:$P$1265,0)),"0")</f>
        <v>1</v>
      </c>
      <c r="F311" t="str">
        <f>$G$1&amp;Tb_Alinhamento[[#This Row],[SEI]]</f>
        <v>20251746615/2024</v>
      </c>
      <c r="G311" s="24" t="str">
        <f>IFERROR(INDEX(Atualizações!$Q$1:$Q$1265,MATCH(F311,Atualizações!$P$1:$P$1265,0)),"0")</f>
        <v>0</v>
      </c>
      <c r="H311" t="str">
        <f>$I$1&amp;Tb_Alinhamento[[#This Row],[SEI]]</f>
        <v>20261746615/2024</v>
      </c>
      <c r="I311" s="24" t="str">
        <f>IFERROR(INDEX(Atualizações!$Q$1:$Q$1265,MATCH(H311,Atualizações!$P$1:$P$1265,0)),"0")</f>
        <v>0</v>
      </c>
      <c r="J31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2" spans="1:10" hidden="1">
      <c r="A312" s="24" t="s">
        <v>818</v>
      </c>
      <c r="B312" s="5" t="s">
        <v>1660</v>
      </c>
      <c r="C312" s="2" t="s">
        <v>120</v>
      </c>
      <c r="D312" t="str">
        <f>$E$1&amp;Tb_Alinhamento[[#This Row],[SEI]]</f>
        <v>20241746615/2024</v>
      </c>
      <c r="E312" s="24">
        <f>IFERROR(INDEX(Atualizações!$Q$1:$Q$1265,MATCH(D312,Atualizações!$P$1:$P$1265,0)),"0")</f>
        <v>1</v>
      </c>
      <c r="F312" t="str">
        <f>$G$1&amp;Tb_Alinhamento[[#This Row],[SEI]]</f>
        <v>20251746615/2024</v>
      </c>
      <c r="G312" s="24" t="str">
        <f>IFERROR(INDEX(Atualizações!$Q$1:$Q$1265,MATCH(F312,Atualizações!$P$1:$P$1265,0)),"0")</f>
        <v>0</v>
      </c>
      <c r="H312" t="str">
        <f>$I$1&amp;Tb_Alinhamento[[#This Row],[SEI]]</f>
        <v>20261746615/2024</v>
      </c>
      <c r="I312" s="24" t="str">
        <f>IFERROR(INDEX(Atualizações!$Q$1:$Q$1265,MATCH(H312,Atualizações!$P$1:$P$1265,0)),"0")</f>
        <v>0</v>
      </c>
      <c r="J31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3" spans="1:10" hidden="1">
      <c r="A313" s="24" t="s">
        <v>822</v>
      </c>
      <c r="B313" s="5" t="s">
        <v>1661</v>
      </c>
      <c r="C313" s="2" t="s">
        <v>76</v>
      </c>
      <c r="D313" t="str">
        <f>$E$1&amp;Tb_Alinhamento[[#This Row],[SEI]]</f>
        <v>20241746616/2024</v>
      </c>
      <c r="E313" s="24">
        <f>IFERROR(INDEX(Atualizações!$Q$1:$Q$1265,MATCH(D313,Atualizações!$P$1:$P$1265,0)),"0")</f>
        <v>1</v>
      </c>
      <c r="F313" t="str">
        <f>$G$1&amp;Tb_Alinhamento[[#This Row],[SEI]]</f>
        <v>20251746616/2024</v>
      </c>
      <c r="G313" s="24" t="str">
        <f>IFERROR(INDEX(Atualizações!$Q$1:$Q$1265,MATCH(F313,Atualizações!$P$1:$P$1265,0)),"0")</f>
        <v>0</v>
      </c>
      <c r="H313" t="str">
        <f>$I$1&amp;Tb_Alinhamento[[#This Row],[SEI]]</f>
        <v>20261746616/2024</v>
      </c>
      <c r="I313" s="24" t="str">
        <f>IFERROR(INDEX(Atualizações!$Q$1:$Q$1265,MATCH(H313,Atualizações!$P$1:$P$1265,0)),"0")</f>
        <v>0</v>
      </c>
      <c r="J31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4" spans="1:10" hidden="1">
      <c r="A314" s="24" t="s">
        <v>822</v>
      </c>
      <c r="B314" s="5" t="s">
        <v>1661</v>
      </c>
      <c r="C314" s="2" t="s">
        <v>120</v>
      </c>
      <c r="D314" t="str">
        <f>$E$1&amp;Tb_Alinhamento[[#This Row],[SEI]]</f>
        <v>20241746616/2024</v>
      </c>
      <c r="E314" s="24">
        <f>IFERROR(INDEX(Atualizações!$Q$1:$Q$1265,MATCH(D314,Atualizações!$P$1:$P$1265,0)),"0")</f>
        <v>1</v>
      </c>
      <c r="F314" t="str">
        <f>$G$1&amp;Tb_Alinhamento[[#This Row],[SEI]]</f>
        <v>20251746616/2024</v>
      </c>
      <c r="G314" s="24" t="str">
        <f>IFERROR(INDEX(Atualizações!$Q$1:$Q$1265,MATCH(F314,Atualizações!$P$1:$P$1265,0)),"0")</f>
        <v>0</v>
      </c>
      <c r="H314" t="str">
        <f>$I$1&amp;Tb_Alinhamento[[#This Row],[SEI]]</f>
        <v>20261746616/2024</v>
      </c>
      <c r="I314" s="24" t="str">
        <f>IFERROR(INDEX(Atualizações!$Q$1:$Q$1265,MATCH(H314,Atualizações!$P$1:$P$1265,0)),"0")</f>
        <v>0</v>
      </c>
      <c r="J31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5" spans="1:10" hidden="1">
      <c r="A315" s="24" t="s">
        <v>826</v>
      </c>
      <c r="B315" s="5" t="s">
        <v>1662</v>
      </c>
      <c r="C315" s="2" t="s">
        <v>76</v>
      </c>
      <c r="D315" t="str">
        <f>$E$1&amp;Tb_Alinhamento[[#This Row],[SEI]]</f>
        <v>20241746617/2024</v>
      </c>
      <c r="E315" s="24">
        <f>IFERROR(INDEX(Atualizações!$Q$1:$Q$1265,MATCH(D315,Atualizações!$P$1:$P$1265,0)),"0")</f>
        <v>1</v>
      </c>
      <c r="F315" t="str">
        <f>$G$1&amp;Tb_Alinhamento[[#This Row],[SEI]]</f>
        <v>20251746617/2024</v>
      </c>
      <c r="G315" s="24" t="str">
        <f>IFERROR(INDEX(Atualizações!$Q$1:$Q$1265,MATCH(F315,Atualizações!$P$1:$P$1265,0)),"0")</f>
        <v>0</v>
      </c>
      <c r="H315" t="str">
        <f>$I$1&amp;Tb_Alinhamento[[#This Row],[SEI]]</f>
        <v>20261746617/2024</v>
      </c>
      <c r="I315" s="24" t="str">
        <f>IFERROR(INDEX(Atualizações!$Q$1:$Q$1265,MATCH(H315,Atualizações!$P$1:$P$1265,0)),"0")</f>
        <v>0</v>
      </c>
      <c r="J31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6" spans="1:10" hidden="1">
      <c r="A316" s="24" t="s">
        <v>826</v>
      </c>
      <c r="B316" s="5" t="s">
        <v>1662</v>
      </c>
      <c r="C316" s="2" t="s">
        <v>120</v>
      </c>
      <c r="D316" t="str">
        <f>$E$1&amp;Tb_Alinhamento[[#This Row],[SEI]]</f>
        <v>20241746617/2024</v>
      </c>
      <c r="E316" s="24">
        <f>IFERROR(INDEX(Atualizações!$Q$1:$Q$1265,MATCH(D316,Atualizações!$P$1:$P$1265,0)),"0")</f>
        <v>1</v>
      </c>
      <c r="F316" t="str">
        <f>$G$1&amp;Tb_Alinhamento[[#This Row],[SEI]]</f>
        <v>20251746617/2024</v>
      </c>
      <c r="G316" s="24" t="str">
        <f>IFERROR(INDEX(Atualizações!$Q$1:$Q$1265,MATCH(F316,Atualizações!$P$1:$P$1265,0)),"0")</f>
        <v>0</v>
      </c>
      <c r="H316" t="str">
        <f>$I$1&amp;Tb_Alinhamento[[#This Row],[SEI]]</f>
        <v>20261746617/2024</v>
      </c>
      <c r="I316" s="24" t="str">
        <f>IFERROR(INDEX(Atualizações!$Q$1:$Q$1265,MATCH(H316,Atualizações!$P$1:$P$1265,0)),"0")</f>
        <v>0</v>
      </c>
      <c r="J31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7" spans="1:10" hidden="1">
      <c r="A317" s="24" t="s">
        <v>830</v>
      </c>
      <c r="B317" s="5" t="s">
        <v>1663</v>
      </c>
      <c r="C317" s="2" t="s">
        <v>76</v>
      </c>
      <c r="D317" t="str">
        <f>$E$1&amp;Tb_Alinhamento[[#This Row],[SEI]]</f>
        <v>20241746618/2024</v>
      </c>
      <c r="E317" s="24">
        <f>IFERROR(INDEX(Atualizações!$Q$1:$Q$1265,MATCH(D317,Atualizações!$P$1:$P$1265,0)),"0")</f>
        <v>1</v>
      </c>
      <c r="F317" t="str">
        <f>$G$1&amp;Tb_Alinhamento[[#This Row],[SEI]]</f>
        <v>20251746618/2024</v>
      </c>
      <c r="G317" s="24" t="str">
        <f>IFERROR(INDEX(Atualizações!$Q$1:$Q$1265,MATCH(F317,Atualizações!$P$1:$P$1265,0)),"0")</f>
        <v>0</v>
      </c>
      <c r="H317" t="str">
        <f>$I$1&amp;Tb_Alinhamento[[#This Row],[SEI]]</f>
        <v>20261746618/2024</v>
      </c>
      <c r="I317" s="24" t="str">
        <f>IFERROR(INDEX(Atualizações!$Q$1:$Q$1265,MATCH(H317,Atualizações!$P$1:$P$1265,0)),"0")</f>
        <v>0</v>
      </c>
      <c r="J31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8" spans="1:10" hidden="1">
      <c r="A318" s="24" t="s">
        <v>830</v>
      </c>
      <c r="B318" s="5" t="s">
        <v>1663</v>
      </c>
      <c r="C318" s="2" t="s">
        <v>120</v>
      </c>
      <c r="D318" t="str">
        <f>$E$1&amp;Tb_Alinhamento[[#This Row],[SEI]]</f>
        <v>20241746618/2024</v>
      </c>
      <c r="E318" s="24">
        <f>IFERROR(INDEX(Atualizações!$Q$1:$Q$1265,MATCH(D318,Atualizações!$P$1:$P$1265,0)),"0")</f>
        <v>1</v>
      </c>
      <c r="F318" t="str">
        <f>$G$1&amp;Tb_Alinhamento[[#This Row],[SEI]]</f>
        <v>20251746618/2024</v>
      </c>
      <c r="G318" s="24" t="str">
        <f>IFERROR(INDEX(Atualizações!$Q$1:$Q$1265,MATCH(F318,Atualizações!$P$1:$P$1265,0)),"0")</f>
        <v>0</v>
      </c>
      <c r="H318" t="str">
        <f>$I$1&amp;Tb_Alinhamento[[#This Row],[SEI]]</f>
        <v>20261746618/2024</v>
      </c>
      <c r="I318" s="24" t="str">
        <f>IFERROR(INDEX(Atualizações!$Q$1:$Q$1265,MATCH(H318,Atualizações!$P$1:$P$1265,0)),"0")</f>
        <v>0</v>
      </c>
      <c r="J31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19" spans="1:10" hidden="1">
      <c r="A319" s="24" t="s">
        <v>834</v>
      </c>
      <c r="B319" s="5" t="s">
        <v>835</v>
      </c>
      <c r="C319" s="2" t="s">
        <v>76</v>
      </c>
      <c r="D319" t="str">
        <f>$E$1&amp;Tb_Alinhamento[[#This Row],[SEI]]</f>
        <v>20241746619/2024</v>
      </c>
      <c r="E319" s="24">
        <f>IFERROR(INDEX(Atualizações!$Q$1:$Q$1265,MATCH(D319,Atualizações!$P$1:$P$1265,0)),"0")</f>
        <v>1</v>
      </c>
      <c r="F319" t="str">
        <f>$G$1&amp;Tb_Alinhamento[[#This Row],[SEI]]</f>
        <v>20251746619/2024</v>
      </c>
      <c r="G319" s="24">
        <f>IFERROR(INDEX(Atualizações!$Q$1:$Q$1265,MATCH(F319,Atualizações!$P$1:$P$1265,0)),"0")</f>
        <v>1</v>
      </c>
      <c r="H319" t="str">
        <f>$I$1&amp;Tb_Alinhamento[[#This Row],[SEI]]</f>
        <v>20261746619/2024</v>
      </c>
      <c r="I319" s="24" t="str">
        <f>IFERROR(INDEX(Atualizações!$Q$1:$Q$1265,MATCH(H319,Atualizações!$P$1:$P$1265,0)),"0")</f>
        <v>0</v>
      </c>
      <c r="J31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0" spans="1:10" hidden="1">
      <c r="A320" s="24" t="s">
        <v>834</v>
      </c>
      <c r="B320" s="5" t="s">
        <v>835</v>
      </c>
      <c r="C320" s="2" t="s">
        <v>120</v>
      </c>
      <c r="D320" t="str">
        <f>$E$1&amp;Tb_Alinhamento[[#This Row],[SEI]]</f>
        <v>20241746619/2024</v>
      </c>
      <c r="E320" s="24">
        <f>IFERROR(INDEX(Atualizações!$Q$1:$Q$1265,MATCH(D320,Atualizações!$P$1:$P$1265,0)),"0")</f>
        <v>1</v>
      </c>
      <c r="F320" t="str">
        <f>$G$1&amp;Tb_Alinhamento[[#This Row],[SEI]]</f>
        <v>20251746619/2024</v>
      </c>
      <c r="G320" s="24">
        <f>IFERROR(INDEX(Atualizações!$Q$1:$Q$1265,MATCH(F320,Atualizações!$P$1:$P$1265,0)),"0")</f>
        <v>1</v>
      </c>
      <c r="H320" t="str">
        <f>$I$1&amp;Tb_Alinhamento[[#This Row],[SEI]]</f>
        <v>20261746619/2024</v>
      </c>
      <c r="I320" s="24" t="str">
        <f>IFERROR(INDEX(Atualizações!$Q$1:$Q$1265,MATCH(H320,Atualizações!$P$1:$P$1265,0)),"0")</f>
        <v>0</v>
      </c>
      <c r="J32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1" spans="1:10" ht="30">
      <c r="A321" s="24" t="s">
        <v>944</v>
      </c>
      <c r="B321" s="5" t="str">
        <f>_xlfn.XLOOKUP(Tb_Alinhamento[[#This Row],[SEI]],Tb_Portfólio[SEI],Tb_Portfólio[PROJETO],"Não cadastrado")</f>
        <v>Subprograma Registre-se: Brasil Parente</v>
      </c>
      <c r="C321" s="2" t="s">
        <v>166</v>
      </c>
      <c r="D321" t="str">
        <f>$E$1&amp;Tb_Alinhamento[[#This Row],[SEI]]</f>
        <v>202401485/2026</v>
      </c>
      <c r="E321" s="24" t="str">
        <f>IFERROR(INDEX(Atualizações!$Q$1:$Q$1265,MATCH(D321,Atualizações!$P$1:$P$1265,0)),"0")</f>
        <v>0</v>
      </c>
      <c r="F321" t="str">
        <f>$G$1&amp;Tb_Alinhamento[[#This Row],[SEI]]</f>
        <v>202501485/2026</v>
      </c>
      <c r="G321" s="24" t="str">
        <f>IFERROR(INDEX(Atualizações!$Q$1:$Q$1265,MATCH(F321,Atualizações!$P$1:$P$1265,0)),"0")</f>
        <v>0</v>
      </c>
      <c r="H321" s="24" t="str">
        <f>$I$1&amp;Tb_Alinhamento[[#This Row],[SEI]]</f>
        <v>202601485/2026</v>
      </c>
      <c r="I321" s="24">
        <f>IFERROR(INDEX(Atualizações!$Q$1:$Q$1265,MATCH(H321,Atualizações!$P$1:$P$1265,0)),"0")</f>
        <v>1</v>
      </c>
      <c r="J32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2" spans="1:10" ht="30">
      <c r="A322" s="24" t="s">
        <v>971</v>
      </c>
      <c r="B322" s="5" t="str">
        <f>_xlfn.XLOOKUP(Tb_Alinhamento[[#This Row],[SEI]],Tb_Portfólio[SEI],Tb_Portfólio[PROJETO],"Não cadastrado")</f>
        <v>Conexão Auditoria</v>
      </c>
      <c r="C322" s="2" t="s">
        <v>146</v>
      </c>
      <c r="D322" t="str">
        <f>$E$1&amp;Tb_Alinhamento[[#This Row],[SEI]]</f>
        <v>202404235/2026</v>
      </c>
      <c r="E322" s="24" t="str">
        <f>IFERROR(INDEX(Atualizações!$Q$1:$Q$1265,MATCH(D322,Atualizações!$P$1:$P$1265,0)),"0")</f>
        <v>0</v>
      </c>
      <c r="F322" t="str">
        <f>$G$1&amp;Tb_Alinhamento[[#This Row],[SEI]]</f>
        <v>202504235/2026</v>
      </c>
      <c r="G322" s="24" t="str">
        <f>IFERROR(INDEX(Atualizações!$Q$1:$Q$1265,MATCH(F322,Atualizações!$P$1:$P$1265,0)),"0")</f>
        <v>0</v>
      </c>
      <c r="H322" s="24" t="str">
        <f>$I$1&amp;Tb_Alinhamento[[#This Row],[SEI]]</f>
        <v>202604235/2026</v>
      </c>
      <c r="I322" s="24">
        <f>IFERROR(INDEX(Atualizações!$Q$1:$Q$1265,MATCH(H322,Atualizações!$P$1:$P$1265,0)),"0")</f>
        <v>1</v>
      </c>
      <c r="J32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3" spans="1:10" hidden="1">
      <c r="A323" s="24" t="s">
        <v>849</v>
      </c>
      <c r="B323" s="5" t="s">
        <v>850</v>
      </c>
      <c r="C323" s="2" t="s">
        <v>76</v>
      </c>
      <c r="D323" t="str">
        <f>$E$1&amp;Tb_Alinhamento[[#This Row],[SEI]]</f>
        <v>20241746621/2024</v>
      </c>
      <c r="E323" s="24">
        <f>IFERROR(INDEX(Atualizações!$Q$1:$Q$1265,MATCH(D323,Atualizações!$P$1:$P$1265,0)),"0")</f>
        <v>1</v>
      </c>
      <c r="F323" t="str">
        <f>$G$1&amp;Tb_Alinhamento[[#This Row],[SEI]]</f>
        <v>20251746621/2024</v>
      </c>
      <c r="G323" s="24" t="str">
        <f>IFERROR(INDEX(Atualizações!$Q$1:$Q$1265,MATCH(F323,Atualizações!$P$1:$P$1265,0)),"0")</f>
        <v>0</v>
      </c>
      <c r="H323" t="str">
        <f>$I$1&amp;Tb_Alinhamento[[#This Row],[SEI]]</f>
        <v>20261746621/2024</v>
      </c>
      <c r="I323" s="24" t="str">
        <f>IFERROR(INDEX(Atualizações!$Q$1:$Q$1265,MATCH(H323,Atualizações!$P$1:$P$1265,0)),"0")</f>
        <v>0</v>
      </c>
      <c r="J32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4" spans="1:10" hidden="1">
      <c r="A324" s="24" t="s">
        <v>849</v>
      </c>
      <c r="B324" s="5" t="s">
        <v>850</v>
      </c>
      <c r="C324" s="2" t="s">
        <v>120</v>
      </c>
      <c r="D324" t="str">
        <f>$E$1&amp;Tb_Alinhamento[[#This Row],[SEI]]</f>
        <v>20241746621/2024</v>
      </c>
      <c r="E324" s="24">
        <f>IFERROR(INDEX(Atualizações!$Q$1:$Q$1265,MATCH(D324,Atualizações!$P$1:$P$1265,0)),"0")</f>
        <v>1</v>
      </c>
      <c r="F324" t="str">
        <f>$G$1&amp;Tb_Alinhamento[[#This Row],[SEI]]</f>
        <v>20251746621/2024</v>
      </c>
      <c r="G324" s="24" t="str">
        <f>IFERROR(INDEX(Atualizações!$Q$1:$Q$1265,MATCH(F324,Atualizações!$P$1:$P$1265,0)),"0")</f>
        <v>0</v>
      </c>
      <c r="H324" t="str">
        <f>$I$1&amp;Tb_Alinhamento[[#This Row],[SEI]]</f>
        <v>20261746621/2024</v>
      </c>
      <c r="I324" s="24" t="str">
        <f>IFERROR(INDEX(Atualizações!$Q$1:$Q$1265,MATCH(H324,Atualizações!$P$1:$P$1265,0)),"0")</f>
        <v>0</v>
      </c>
      <c r="J32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5" spans="1:10" hidden="1">
      <c r="A325" s="24" t="s">
        <v>853</v>
      </c>
      <c r="B325" s="5" t="s">
        <v>854</v>
      </c>
      <c r="C325" s="2" t="s">
        <v>76</v>
      </c>
      <c r="D325" t="str">
        <f>$E$1&amp;Tb_Alinhamento[[#This Row],[SEI]]</f>
        <v>20241746622/2024</v>
      </c>
      <c r="E325" s="24">
        <f>IFERROR(INDEX(Atualizações!$Q$1:$Q$1265,MATCH(D325,Atualizações!$P$1:$P$1265,0)),"0")</f>
        <v>1</v>
      </c>
      <c r="F325" t="str">
        <f>$G$1&amp;Tb_Alinhamento[[#This Row],[SEI]]</f>
        <v>20251746622/2024</v>
      </c>
      <c r="G325" s="24" t="str">
        <f>IFERROR(INDEX(Atualizações!$Q$1:$Q$1265,MATCH(F325,Atualizações!$P$1:$P$1265,0)),"0")</f>
        <v>0</v>
      </c>
      <c r="H325" t="str">
        <f>$I$1&amp;Tb_Alinhamento[[#This Row],[SEI]]</f>
        <v>20261746622/2024</v>
      </c>
      <c r="I325" s="24" t="str">
        <f>IFERROR(INDEX(Atualizações!$Q$1:$Q$1265,MATCH(H325,Atualizações!$P$1:$P$1265,0)),"0")</f>
        <v>0</v>
      </c>
      <c r="J32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6" spans="1:10" hidden="1">
      <c r="A326" s="24" t="s">
        <v>853</v>
      </c>
      <c r="B326" s="5" t="s">
        <v>854</v>
      </c>
      <c r="C326" s="2" t="s">
        <v>120</v>
      </c>
      <c r="D326" t="str">
        <f>$E$1&amp;Tb_Alinhamento[[#This Row],[SEI]]</f>
        <v>20241746622/2024</v>
      </c>
      <c r="E326" s="24">
        <f>IFERROR(INDEX(Atualizações!$Q$1:$Q$1265,MATCH(D326,Atualizações!$P$1:$P$1265,0)),"0")</f>
        <v>1</v>
      </c>
      <c r="F326" t="str">
        <f>$G$1&amp;Tb_Alinhamento[[#This Row],[SEI]]</f>
        <v>20251746622/2024</v>
      </c>
      <c r="G326" s="24" t="str">
        <f>IFERROR(INDEX(Atualizações!$Q$1:$Q$1265,MATCH(F326,Atualizações!$P$1:$P$1265,0)),"0")</f>
        <v>0</v>
      </c>
      <c r="H326" t="str">
        <f>$I$1&amp;Tb_Alinhamento[[#This Row],[SEI]]</f>
        <v>20261746622/2024</v>
      </c>
      <c r="I326" s="24" t="str">
        <f>IFERROR(INDEX(Atualizações!$Q$1:$Q$1265,MATCH(H326,Atualizações!$P$1:$P$1265,0)),"0")</f>
        <v>0</v>
      </c>
      <c r="J32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7" spans="1:10" hidden="1">
      <c r="A327" s="24" t="s">
        <v>857</v>
      </c>
      <c r="B327" s="5" t="s">
        <v>858</v>
      </c>
      <c r="C327" s="2" t="s">
        <v>76</v>
      </c>
      <c r="D327" t="str">
        <f>$E$1&amp;Tb_Alinhamento[[#This Row],[SEI]]</f>
        <v>20241746623/2024</v>
      </c>
      <c r="E327" s="24">
        <f>IFERROR(INDEX(Atualizações!$Q$1:$Q$1265,MATCH(D327,Atualizações!$P$1:$P$1265,0)),"0")</f>
        <v>1</v>
      </c>
      <c r="F327" t="str">
        <f>$G$1&amp;Tb_Alinhamento[[#This Row],[SEI]]</f>
        <v>20251746623/2024</v>
      </c>
      <c r="G327" s="24" t="str">
        <f>IFERROR(INDEX(Atualizações!$Q$1:$Q$1265,MATCH(F327,Atualizações!$P$1:$P$1265,0)),"0")</f>
        <v>0</v>
      </c>
      <c r="H327" t="str">
        <f>$I$1&amp;Tb_Alinhamento[[#This Row],[SEI]]</f>
        <v>20261746623/2024</v>
      </c>
      <c r="I327" s="24" t="str">
        <f>IFERROR(INDEX(Atualizações!$Q$1:$Q$1265,MATCH(H327,Atualizações!$P$1:$P$1265,0)),"0")</f>
        <v>0</v>
      </c>
      <c r="J32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8" spans="1:10" hidden="1">
      <c r="A328" s="24" t="s">
        <v>857</v>
      </c>
      <c r="B328" s="5" t="s">
        <v>858</v>
      </c>
      <c r="C328" s="2" t="s">
        <v>120</v>
      </c>
      <c r="D328" t="str">
        <f>$E$1&amp;Tb_Alinhamento[[#This Row],[SEI]]</f>
        <v>20241746623/2024</v>
      </c>
      <c r="E328" s="24">
        <f>IFERROR(INDEX(Atualizações!$Q$1:$Q$1265,MATCH(D328,Atualizações!$P$1:$P$1265,0)),"0")</f>
        <v>1</v>
      </c>
      <c r="F328" t="str">
        <f>$G$1&amp;Tb_Alinhamento[[#This Row],[SEI]]</f>
        <v>20251746623/2024</v>
      </c>
      <c r="G328" s="24" t="str">
        <f>IFERROR(INDEX(Atualizações!$Q$1:$Q$1265,MATCH(F328,Atualizações!$P$1:$P$1265,0)),"0")</f>
        <v>0</v>
      </c>
      <c r="H328" t="str">
        <f>$I$1&amp;Tb_Alinhamento[[#This Row],[SEI]]</f>
        <v>20261746623/2024</v>
      </c>
      <c r="I328" s="24" t="str">
        <f>IFERROR(INDEX(Atualizações!$Q$1:$Q$1265,MATCH(H328,Atualizações!$P$1:$P$1265,0)),"0")</f>
        <v>0</v>
      </c>
      <c r="J32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29" spans="1:10" hidden="1">
      <c r="A329" s="24" t="s">
        <v>861</v>
      </c>
      <c r="B329" s="5" t="s">
        <v>862</v>
      </c>
      <c r="C329" s="2" t="s">
        <v>76</v>
      </c>
      <c r="D329" t="str">
        <f>$E$1&amp;Tb_Alinhamento[[#This Row],[SEI]]</f>
        <v>20241746624/2024</v>
      </c>
      <c r="E329" s="24">
        <f>IFERROR(INDEX(Atualizações!$Q$1:$Q$1265,MATCH(D329,Atualizações!$P$1:$P$1265,0)),"0")</f>
        <v>1</v>
      </c>
      <c r="F329" t="str">
        <f>$G$1&amp;Tb_Alinhamento[[#This Row],[SEI]]</f>
        <v>20251746624/2024</v>
      </c>
      <c r="G329" s="24" t="str">
        <f>IFERROR(INDEX(Atualizações!$Q$1:$Q$1265,MATCH(F329,Atualizações!$P$1:$P$1265,0)),"0")</f>
        <v>0</v>
      </c>
      <c r="H329" t="str">
        <f>$I$1&amp;Tb_Alinhamento[[#This Row],[SEI]]</f>
        <v>20261746624/2024</v>
      </c>
      <c r="I329" s="24" t="str">
        <f>IFERROR(INDEX(Atualizações!$Q$1:$Q$1265,MATCH(H329,Atualizações!$P$1:$P$1265,0)),"0")</f>
        <v>0</v>
      </c>
      <c r="J32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0" spans="1:10" hidden="1">
      <c r="A330" s="24" t="s">
        <v>861</v>
      </c>
      <c r="B330" s="5" t="s">
        <v>862</v>
      </c>
      <c r="C330" s="2" t="s">
        <v>120</v>
      </c>
      <c r="D330" t="str">
        <f>$E$1&amp;Tb_Alinhamento[[#This Row],[SEI]]</f>
        <v>20241746624/2024</v>
      </c>
      <c r="E330" s="24">
        <f>IFERROR(INDEX(Atualizações!$Q$1:$Q$1265,MATCH(D330,Atualizações!$P$1:$P$1265,0)),"0")</f>
        <v>1</v>
      </c>
      <c r="F330" t="str">
        <f>$G$1&amp;Tb_Alinhamento[[#This Row],[SEI]]</f>
        <v>20251746624/2024</v>
      </c>
      <c r="G330" s="24" t="str">
        <f>IFERROR(INDEX(Atualizações!$Q$1:$Q$1265,MATCH(F330,Atualizações!$P$1:$P$1265,0)),"0")</f>
        <v>0</v>
      </c>
      <c r="H330" t="str">
        <f>$I$1&amp;Tb_Alinhamento[[#This Row],[SEI]]</f>
        <v>20261746624/2024</v>
      </c>
      <c r="I330" s="24" t="str">
        <f>IFERROR(INDEX(Atualizações!$Q$1:$Q$1265,MATCH(H330,Atualizações!$P$1:$P$1265,0)),"0")</f>
        <v>0</v>
      </c>
      <c r="J33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1" spans="1:10">
      <c r="A331" s="24" t="s">
        <v>985</v>
      </c>
      <c r="B331" s="5" t="str">
        <f>_xlfn.XLOOKUP(Tb_Alinhamento[[#This Row],[SEI]],Tb_Portfólio[SEI],Tb_Portfólio[PROJETO],"Não cadastrado")</f>
        <v>Concilia + Saúde</v>
      </c>
      <c r="C331" s="2" t="s">
        <v>105</v>
      </c>
      <c r="D331" t="str">
        <f>$E$1&amp;Tb_Alinhamento[[#This Row],[SEI]]</f>
        <v>202405947/2026</v>
      </c>
      <c r="E331" s="24" t="str">
        <f>IFERROR(INDEX(Atualizações!$Q$1:$Q$1265,MATCH(D331,Atualizações!$P$1:$P$1265,0)),"0")</f>
        <v>0</v>
      </c>
      <c r="F331" t="str">
        <f>$G$1&amp;Tb_Alinhamento[[#This Row],[SEI]]</f>
        <v>202505947/2026</v>
      </c>
      <c r="G331" s="24" t="str">
        <f>IFERROR(INDEX(Atualizações!$Q$1:$Q$1265,MATCH(F331,Atualizações!$P$1:$P$1265,0)),"0")</f>
        <v>0</v>
      </c>
      <c r="H331" s="24" t="str">
        <f>$I$1&amp;Tb_Alinhamento[[#This Row],[SEI]]</f>
        <v>202605947/2026</v>
      </c>
      <c r="I331" s="24">
        <f>IFERROR(INDEX(Atualizações!$Q$1:$Q$1265,MATCH(H331,Atualizações!$P$1:$P$1265,0)),"0")</f>
        <v>1</v>
      </c>
      <c r="J33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2" spans="1:10" ht="30">
      <c r="A332" s="24" t="s">
        <v>985</v>
      </c>
      <c r="B332" s="5" t="str">
        <f>_xlfn.XLOOKUP(Tb_Alinhamento[[#This Row],[SEI]],Tb_Portfólio[SEI],Tb_Portfólio[PROJETO],"Não cadastrado")</f>
        <v>Concilia + Saúde</v>
      </c>
      <c r="C332" s="2" t="s">
        <v>89</v>
      </c>
      <c r="D332" t="str">
        <f>$E$1&amp;Tb_Alinhamento[[#This Row],[SEI]]</f>
        <v>202405947/2026</v>
      </c>
      <c r="E332" s="24" t="str">
        <f>IFERROR(INDEX(Atualizações!$Q$1:$Q$1265,MATCH(D332,Atualizações!$P$1:$P$1265,0)),"0")</f>
        <v>0</v>
      </c>
      <c r="F332" t="str">
        <f>$G$1&amp;Tb_Alinhamento[[#This Row],[SEI]]</f>
        <v>202505947/2026</v>
      </c>
      <c r="G332" s="24" t="str">
        <f>IFERROR(INDEX(Atualizações!$Q$1:$Q$1265,MATCH(F332,Atualizações!$P$1:$P$1265,0)),"0")</f>
        <v>0</v>
      </c>
      <c r="H332" s="24" t="str">
        <f>$I$1&amp;Tb_Alinhamento[[#This Row],[SEI]]</f>
        <v>202605947/2026</v>
      </c>
      <c r="I332" s="24">
        <f>IFERROR(INDEX(Atualizações!$Q$1:$Q$1265,MATCH(H332,Atualizações!$P$1:$P$1265,0)),"0")</f>
        <v>1</v>
      </c>
      <c r="J33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3" spans="1:10" hidden="1">
      <c r="A333" s="24" t="s">
        <v>870</v>
      </c>
      <c r="B333" s="5" t="s">
        <v>871</v>
      </c>
      <c r="C333" s="2" t="s">
        <v>76</v>
      </c>
      <c r="D333" t="str">
        <f>$E$1&amp;Tb_Alinhamento[[#This Row],[SEI]]</f>
        <v>20241746626/2024</v>
      </c>
      <c r="E333" s="24">
        <f>IFERROR(INDEX(Atualizações!$Q$1:$Q$1265,MATCH(D333,Atualizações!$P$1:$P$1265,0)),"0")</f>
        <v>1</v>
      </c>
      <c r="F333" t="str">
        <f>$G$1&amp;Tb_Alinhamento[[#This Row],[SEI]]</f>
        <v>20251746626/2024</v>
      </c>
      <c r="G333" s="24" t="str">
        <f>IFERROR(INDEX(Atualizações!$Q$1:$Q$1265,MATCH(F333,Atualizações!$P$1:$P$1265,0)),"0")</f>
        <v>0</v>
      </c>
      <c r="H333" t="str">
        <f>$I$1&amp;Tb_Alinhamento[[#This Row],[SEI]]</f>
        <v>20261746626/2024</v>
      </c>
      <c r="I333" s="24" t="str">
        <f>IFERROR(INDEX(Atualizações!$Q$1:$Q$1265,MATCH(H333,Atualizações!$P$1:$P$1265,0)),"0")</f>
        <v>0</v>
      </c>
      <c r="J33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4" spans="1:10" hidden="1">
      <c r="A334" s="24" t="s">
        <v>870</v>
      </c>
      <c r="B334" s="5" t="s">
        <v>871</v>
      </c>
      <c r="C334" s="2" t="s">
        <v>120</v>
      </c>
      <c r="D334" t="str">
        <f>$E$1&amp;Tb_Alinhamento[[#This Row],[SEI]]</f>
        <v>20241746626/2024</v>
      </c>
      <c r="E334" s="24">
        <f>IFERROR(INDEX(Atualizações!$Q$1:$Q$1265,MATCH(D334,Atualizações!$P$1:$P$1265,0)),"0")</f>
        <v>1</v>
      </c>
      <c r="F334" t="str">
        <f>$G$1&amp;Tb_Alinhamento[[#This Row],[SEI]]</f>
        <v>20251746626/2024</v>
      </c>
      <c r="G334" s="24" t="str">
        <f>IFERROR(INDEX(Atualizações!$Q$1:$Q$1265,MATCH(F334,Atualizações!$P$1:$P$1265,0)),"0")</f>
        <v>0</v>
      </c>
      <c r="H334" t="str">
        <f>$I$1&amp;Tb_Alinhamento[[#This Row],[SEI]]</f>
        <v>20261746626/2024</v>
      </c>
      <c r="I334" s="24" t="str">
        <f>IFERROR(INDEX(Atualizações!$Q$1:$Q$1265,MATCH(H334,Atualizações!$P$1:$P$1265,0)),"0")</f>
        <v>0</v>
      </c>
      <c r="J33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5" spans="1:10" hidden="1">
      <c r="A335" s="24" t="s">
        <v>874</v>
      </c>
      <c r="B335" s="5" t="s">
        <v>875</v>
      </c>
      <c r="C335" s="2" t="s">
        <v>76</v>
      </c>
      <c r="D335" t="str">
        <f>$E$1&amp;Tb_Alinhamento[[#This Row],[SEI]]</f>
        <v>20241746627/2024</v>
      </c>
      <c r="E335" s="24">
        <f>IFERROR(INDEX(Atualizações!$Q$1:$Q$1265,MATCH(D335,Atualizações!$P$1:$P$1265,0)),"0")</f>
        <v>1</v>
      </c>
      <c r="F335" t="str">
        <f>$G$1&amp;Tb_Alinhamento[[#This Row],[SEI]]</f>
        <v>20251746627/2024</v>
      </c>
      <c r="G335" s="24" t="str">
        <f>IFERROR(INDEX(Atualizações!$Q$1:$Q$1265,MATCH(F335,Atualizações!$P$1:$P$1265,0)),"0")</f>
        <v>0</v>
      </c>
      <c r="H335" t="str">
        <f>$I$1&amp;Tb_Alinhamento[[#This Row],[SEI]]</f>
        <v>20261746627/2024</v>
      </c>
      <c r="I335" s="24" t="str">
        <f>IFERROR(INDEX(Atualizações!$Q$1:$Q$1265,MATCH(H335,Atualizações!$P$1:$P$1265,0)),"0")</f>
        <v>0</v>
      </c>
      <c r="J33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6" spans="1:10" hidden="1">
      <c r="A336" s="24" t="s">
        <v>874</v>
      </c>
      <c r="B336" s="5" t="s">
        <v>875</v>
      </c>
      <c r="C336" s="2" t="s">
        <v>120</v>
      </c>
      <c r="D336" t="str">
        <f>$E$1&amp;Tb_Alinhamento[[#This Row],[SEI]]</f>
        <v>20241746627/2024</v>
      </c>
      <c r="E336" s="24">
        <f>IFERROR(INDEX(Atualizações!$Q$1:$Q$1265,MATCH(D336,Atualizações!$P$1:$P$1265,0)),"0")</f>
        <v>1</v>
      </c>
      <c r="F336" t="str">
        <f>$G$1&amp;Tb_Alinhamento[[#This Row],[SEI]]</f>
        <v>20251746627/2024</v>
      </c>
      <c r="G336" s="24" t="str">
        <f>IFERROR(INDEX(Atualizações!$Q$1:$Q$1265,MATCH(F336,Atualizações!$P$1:$P$1265,0)),"0")</f>
        <v>0</v>
      </c>
      <c r="H336" t="str">
        <f>$I$1&amp;Tb_Alinhamento[[#This Row],[SEI]]</f>
        <v>20261746627/2024</v>
      </c>
      <c r="I336" s="24" t="str">
        <f>IFERROR(INDEX(Atualizações!$Q$1:$Q$1265,MATCH(H336,Atualizações!$P$1:$P$1265,0)),"0")</f>
        <v>0</v>
      </c>
      <c r="J33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7" spans="1:10" hidden="1">
      <c r="A337" s="24" t="s">
        <v>878</v>
      </c>
      <c r="B337" s="5" t="s">
        <v>879</v>
      </c>
      <c r="C337" s="2" t="s">
        <v>76</v>
      </c>
      <c r="D337" t="str">
        <f>$E$1&amp;Tb_Alinhamento[[#This Row],[SEI]]</f>
        <v>20241746628/2024</v>
      </c>
      <c r="E337" s="24">
        <f>IFERROR(INDEX(Atualizações!$Q$1:$Q$1265,MATCH(D337,Atualizações!$P$1:$P$1265,0)),"0")</f>
        <v>1</v>
      </c>
      <c r="F337" t="str">
        <f>$G$1&amp;Tb_Alinhamento[[#This Row],[SEI]]</f>
        <v>20251746628/2024</v>
      </c>
      <c r="G337" s="24">
        <f>IFERROR(INDEX(Atualizações!$Q$1:$Q$1265,MATCH(F337,Atualizações!$P$1:$P$1265,0)),"0")</f>
        <v>1</v>
      </c>
      <c r="H337" t="str">
        <f>$I$1&amp;Tb_Alinhamento[[#This Row],[SEI]]</f>
        <v>20261746628/2024</v>
      </c>
      <c r="I337" s="24" t="str">
        <f>IFERROR(INDEX(Atualizações!$Q$1:$Q$1265,MATCH(H337,Atualizações!$P$1:$P$1265,0)),"0")</f>
        <v>0</v>
      </c>
      <c r="J33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8" spans="1:10" hidden="1">
      <c r="A338" s="24" t="s">
        <v>878</v>
      </c>
      <c r="B338" s="5" t="s">
        <v>879</v>
      </c>
      <c r="C338" s="2" t="s">
        <v>120</v>
      </c>
      <c r="D338" t="str">
        <f>$E$1&amp;Tb_Alinhamento[[#This Row],[SEI]]</f>
        <v>20241746628/2024</v>
      </c>
      <c r="E338" s="24">
        <f>IFERROR(INDEX(Atualizações!$Q$1:$Q$1265,MATCH(D338,Atualizações!$P$1:$P$1265,0)),"0")</f>
        <v>1</v>
      </c>
      <c r="F338" t="str">
        <f>$G$1&amp;Tb_Alinhamento[[#This Row],[SEI]]</f>
        <v>20251746628/2024</v>
      </c>
      <c r="G338" s="24">
        <f>IFERROR(INDEX(Atualizações!$Q$1:$Q$1265,MATCH(F338,Atualizações!$P$1:$P$1265,0)),"0")</f>
        <v>1</v>
      </c>
      <c r="H338" t="str">
        <f>$I$1&amp;Tb_Alinhamento[[#This Row],[SEI]]</f>
        <v>20261746628/2024</v>
      </c>
      <c r="I338" s="24" t="str">
        <f>IFERROR(INDEX(Atualizações!$Q$1:$Q$1265,MATCH(H338,Atualizações!$P$1:$P$1265,0)),"0")</f>
        <v>0</v>
      </c>
      <c r="J33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39" spans="1:10" ht="30">
      <c r="A339" s="24" t="s">
        <v>994</v>
      </c>
      <c r="B339" s="5" t="str">
        <f>_xlfn.XLOOKUP(Tb_Alinhamento[[#This Row],[SEI]],Tb_Portfólio[SEI],Tb_Portfólio[PROJETO],"Não cadastrado")</f>
        <v>Cadastro Nacional de Intérpretes e Tradutores de língua Indígenas do Poder Judiciário (CNITI)</v>
      </c>
      <c r="C339" s="2" t="s">
        <v>120</v>
      </c>
      <c r="D339" t="str">
        <f>$E$1&amp;Tb_Alinhamento[[#This Row],[SEI]]</f>
        <v>202418801/2025</v>
      </c>
      <c r="E339" s="24" t="str">
        <f>IFERROR(INDEX(Atualizações!$Q$1:$Q$1265,MATCH(D339,Atualizações!$P$1:$P$1265,0)),"0")</f>
        <v>0</v>
      </c>
      <c r="F339" t="str">
        <f>$G$1&amp;Tb_Alinhamento[[#This Row],[SEI]]</f>
        <v>202518801/2025</v>
      </c>
      <c r="G339" s="24" t="str">
        <f>IFERROR(INDEX(Atualizações!$Q$1:$Q$1265,MATCH(F339,Atualizações!$P$1:$P$1265,0)),"0")</f>
        <v>0</v>
      </c>
      <c r="H339" s="24" t="str">
        <f>$I$1&amp;Tb_Alinhamento[[#This Row],[SEI]]</f>
        <v>202618801/2025</v>
      </c>
      <c r="I339" s="24">
        <f>IFERROR(INDEX(Atualizações!$Q$1:$Q$1265,MATCH(H339,Atualizações!$P$1:$P$1265,0)),"0")</f>
        <v>1</v>
      </c>
      <c r="J33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40" spans="1:10" ht="30">
      <c r="A340" s="24" t="s">
        <v>994</v>
      </c>
      <c r="B340" s="5" t="str">
        <f>_xlfn.XLOOKUP(Tb_Alinhamento[[#This Row],[SEI]],Tb_Portfólio[SEI],Tb_Portfólio[PROJETO],"Não cadastrado")</f>
        <v>Cadastro Nacional de Intérpretes e Tradutores de língua Indígenas do Poder Judiciário (CNITI)</v>
      </c>
      <c r="C340" s="2" t="s">
        <v>166</v>
      </c>
      <c r="D340" t="str">
        <f>$E$1&amp;Tb_Alinhamento[[#This Row],[SEI]]</f>
        <v>202418801/2025</v>
      </c>
      <c r="E340" s="24" t="str">
        <f>IFERROR(INDEX(Atualizações!$Q$1:$Q$1265,MATCH(D340,Atualizações!$P$1:$P$1265,0)),"0")</f>
        <v>0</v>
      </c>
      <c r="F340" t="str">
        <f>$G$1&amp;Tb_Alinhamento[[#This Row],[SEI]]</f>
        <v>202518801/2025</v>
      </c>
      <c r="G340" s="24" t="str">
        <f>IFERROR(INDEX(Atualizações!$Q$1:$Q$1265,MATCH(F340,Atualizações!$P$1:$P$1265,0)),"0")</f>
        <v>0</v>
      </c>
      <c r="H340" s="24" t="str">
        <f>$I$1&amp;Tb_Alinhamento[[#This Row],[SEI]]</f>
        <v>202618801/2025</v>
      </c>
      <c r="I340" s="24">
        <f>IFERROR(INDEX(Atualizações!$Q$1:$Q$1265,MATCH(H340,Atualizações!$P$1:$P$1265,0)),"0")</f>
        <v>1</v>
      </c>
      <c r="J34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41" spans="1:10">
      <c r="A341" s="19" t="s">
        <v>229</v>
      </c>
      <c r="B341" s="79" t="s">
        <v>230</v>
      </c>
      <c r="C341" s="7" t="s">
        <v>104</v>
      </c>
      <c r="D341" t="str">
        <f>$E$1&amp;Tb_Alinhamento[[#This Row],[SEI]]</f>
        <v>202402080/2023</v>
      </c>
      <c r="E341" s="24">
        <f>IFERROR(INDEX(Atualizações!$Q$1:$Q$1265,MATCH(D341,Atualizações!$P$1:$P$1265,0)),"0")</f>
        <v>1</v>
      </c>
      <c r="F341" t="str">
        <f>$G$1&amp;Tb_Alinhamento[[#This Row],[SEI]]</f>
        <v>202502080/2023</v>
      </c>
      <c r="G341" s="24">
        <f>IFERROR(INDEX(Atualizações!$Q$1:$Q$1265,MATCH(F341,Atualizações!$P$1:$P$1265,0)),"0")</f>
        <v>1</v>
      </c>
      <c r="H341" t="str">
        <f>$I$1&amp;Tb_Alinhamento[[#This Row],[SEI]]</f>
        <v>202602080/2023</v>
      </c>
      <c r="I341" s="24">
        <f>IFERROR(INDEX(Atualizações!$Q$1:$Q$1265,MATCH(H341,Atualizações!$P$1:$P$1265,0)),"0")</f>
        <v>1</v>
      </c>
      <c r="J34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2" spans="1:10" ht="75" hidden="1">
      <c r="A342" s="24" t="s">
        <v>112</v>
      </c>
      <c r="B342" s="5" t="str">
        <f>_xlfn.XLOOKUP(Tb_Alinhamento[[#This Row],[SEI]],Tb_Portfólio[SEI],Tb_Portfólio[PROJETO],"Não cadastrado")</f>
        <v>Programa Nacional de Promoção da Equidade Racial no Poder Judiciário - 2024</v>
      </c>
      <c r="C342" s="7" t="s">
        <v>75</v>
      </c>
      <c r="D342" t="str">
        <f>$E$1&amp;Tb_Alinhamento[[#This Row],[SEI]]</f>
        <v>202400600/2023</v>
      </c>
      <c r="E342" s="24">
        <f>IFERROR(INDEX(Atualizações!$Q$1:$Q$1265,MATCH(D342,Atualizações!$P$1:$P$1265,0)),"0")</f>
        <v>1</v>
      </c>
      <c r="F342" t="str">
        <f>$G$1&amp;Tb_Alinhamento[[#This Row],[SEI]]</f>
        <v>202500600/2023</v>
      </c>
      <c r="G342" s="24">
        <f>IFERROR(INDEX(Atualizações!$Q$1:$Q$1265,MATCH(F342,Atualizações!$P$1:$P$1265,0)),"0")</f>
        <v>1</v>
      </c>
      <c r="H342" t="str">
        <f>$I$1&amp;Tb_Alinhamento[[#This Row],[SEI]]</f>
        <v>202600600/2023</v>
      </c>
      <c r="I342" s="24" t="str">
        <f>IFERROR(INDEX(Atualizações!$Q$1:$Q$1265,MATCH(H342,Atualizações!$P$1:$P$1265,0)),"0")</f>
        <v>0</v>
      </c>
      <c r="J34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3" spans="1:10" ht="30" hidden="1">
      <c r="A343" s="24" t="s">
        <v>112</v>
      </c>
      <c r="B343" s="5" t="str">
        <f>_xlfn.XLOOKUP(Tb_Alinhamento[[#This Row],[SEI]],Tb_Portfólio[SEI],Tb_Portfólio[PROJETO],"Não cadastrado")</f>
        <v>Programa Nacional de Promoção da Equidade Racial no Poder Judiciário - 2024</v>
      </c>
      <c r="C343" s="7" t="s">
        <v>240</v>
      </c>
      <c r="D343" t="str">
        <f>$E$1&amp;Tb_Alinhamento[[#This Row],[SEI]]</f>
        <v>202400600/2023</v>
      </c>
      <c r="E343" s="24">
        <f>IFERROR(INDEX(Atualizações!$Q$1:$Q$1265,MATCH(D343,Atualizações!$P$1:$P$1265,0)),"0")</f>
        <v>1</v>
      </c>
      <c r="F343" t="str">
        <f>$G$1&amp;Tb_Alinhamento[[#This Row],[SEI]]</f>
        <v>202500600/2023</v>
      </c>
      <c r="G343" s="24">
        <f>IFERROR(INDEX(Atualizações!$Q$1:$Q$1265,MATCH(F343,Atualizações!$P$1:$P$1265,0)),"0")</f>
        <v>1</v>
      </c>
      <c r="H343" t="str">
        <f>$I$1&amp;Tb_Alinhamento[[#This Row],[SEI]]</f>
        <v>202600600/2023</v>
      </c>
      <c r="I343" s="24" t="str">
        <f>IFERROR(INDEX(Atualizações!$Q$1:$Q$1265,MATCH(H343,Atualizações!$P$1:$P$1265,0)),"0")</f>
        <v>0</v>
      </c>
      <c r="J34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4" spans="1:10" ht="30" hidden="1">
      <c r="A344" s="24" t="s">
        <v>112</v>
      </c>
      <c r="B344" s="5" t="str">
        <f>_xlfn.XLOOKUP(Tb_Alinhamento[[#This Row],[SEI]],Tb_Portfólio[SEI],Tb_Portfólio[PROJETO],"Não cadastrado")</f>
        <v>Programa Nacional de Promoção da Equidade Racial no Poder Judiciário - 2024</v>
      </c>
      <c r="C344" s="2" t="s">
        <v>120</v>
      </c>
      <c r="D344" t="str">
        <f>$E$1&amp;Tb_Alinhamento[[#This Row],[SEI]]</f>
        <v>202400600/2023</v>
      </c>
      <c r="E344" s="24">
        <f>IFERROR(INDEX(Atualizações!$Q$1:$Q$1265,MATCH(D344,Atualizações!$P$1:$P$1265,0)),"0")</f>
        <v>1</v>
      </c>
      <c r="F344" t="str">
        <f>$G$1&amp;Tb_Alinhamento[[#This Row],[SEI]]</f>
        <v>202500600/2023</v>
      </c>
      <c r="G344" s="24">
        <f>IFERROR(INDEX(Atualizações!$Q$1:$Q$1265,MATCH(F344,Atualizações!$P$1:$P$1265,0)),"0")</f>
        <v>1</v>
      </c>
      <c r="H344" t="str">
        <f>$I$1&amp;Tb_Alinhamento[[#This Row],[SEI]]</f>
        <v>202600600/2023</v>
      </c>
      <c r="I344" s="24" t="str">
        <f>IFERROR(INDEX(Atualizações!$Q$1:$Q$1265,MATCH(H344,Atualizações!$P$1:$P$1265,0)),"0")</f>
        <v>0</v>
      </c>
      <c r="J34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45" spans="1:10" ht="30">
      <c r="A345" s="19" t="s">
        <v>229</v>
      </c>
      <c r="B345" s="79" t="s">
        <v>230</v>
      </c>
      <c r="C345" s="97" t="s">
        <v>62</v>
      </c>
      <c r="D345" t="str">
        <f>$E$1&amp;Tb_Alinhamento[[#This Row],[SEI]]</f>
        <v>202402080/2023</v>
      </c>
      <c r="E345" s="24">
        <f>IFERROR(INDEX(Atualizações!$Q$1:$Q$1265,MATCH(D345,Atualizações!$P$1:$P$1265,0)),"0")</f>
        <v>1</v>
      </c>
      <c r="F345" t="str">
        <f>$G$1&amp;Tb_Alinhamento[[#This Row],[SEI]]</f>
        <v>202502080/2023</v>
      </c>
      <c r="G345" s="24">
        <f>IFERROR(INDEX(Atualizações!$Q$1:$Q$1265,MATCH(F345,Atualizações!$P$1:$P$1265,0)),"0")</f>
        <v>1</v>
      </c>
      <c r="H345" t="str">
        <f>$I$1&amp;Tb_Alinhamento[[#This Row],[SEI]]</f>
        <v>202602080/2023</v>
      </c>
      <c r="I345" s="24">
        <f>IFERROR(INDEX(Atualizações!$Q$1:$Q$1265,MATCH(H345,Atualizações!$P$1:$P$1265,0)),"0")</f>
        <v>1</v>
      </c>
      <c r="J34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6" spans="1:10" ht="45">
      <c r="A346" s="19" t="s">
        <v>182</v>
      </c>
      <c r="B346" s="79" t="s">
        <v>183</v>
      </c>
      <c r="C346" s="2" t="s">
        <v>165</v>
      </c>
      <c r="D346" t="str">
        <f>$E$1&amp;Tb_Alinhamento[[#This Row],[SEI]]</f>
        <v>202401764/2020</v>
      </c>
      <c r="E346" s="24">
        <f>IFERROR(INDEX(Atualizações!$Q$1:$Q$1265,MATCH(D346,Atualizações!$P$1:$P$1265,0)),"0")</f>
        <v>1</v>
      </c>
      <c r="F346" t="str">
        <f>$G$1&amp;Tb_Alinhamento[[#This Row],[SEI]]</f>
        <v>202501764/2020</v>
      </c>
      <c r="G346" s="24">
        <f>IFERROR(INDEX(Atualizações!$Q$1:$Q$1265,MATCH(F346,Atualizações!$P$1:$P$1265,0)),"0")</f>
        <v>1</v>
      </c>
      <c r="H346" t="str">
        <f>$I$1&amp;Tb_Alinhamento[[#This Row],[SEI]]</f>
        <v>202601764/2020</v>
      </c>
      <c r="I346" s="24">
        <f>IFERROR(INDEX(Atualizações!$Q$1:$Q$1265,MATCH(H346,Atualizações!$P$1:$P$1265,0)),"0")</f>
        <v>1</v>
      </c>
      <c r="J34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7" spans="1:10" ht="30">
      <c r="A347" s="19" t="s">
        <v>350</v>
      </c>
      <c r="B347" s="79" t="s">
        <v>1255</v>
      </c>
      <c r="C347" s="2" t="s">
        <v>88</v>
      </c>
      <c r="D347" t="str">
        <f>$E$1&amp;Tb_Alinhamento[[#This Row],[SEI]]</f>
        <v>202403545/2021</v>
      </c>
      <c r="E347" s="24">
        <f>IFERROR(INDEX(Atualizações!$Q$1:$Q$1265,MATCH(D347,Atualizações!$P$1:$P$1265,0)),"0")</f>
        <v>1</v>
      </c>
      <c r="F347" t="str">
        <f>$G$1&amp;Tb_Alinhamento[[#This Row],[SEI]]</f>
        <v>202503545/2021</v>
      </c>
      <c r="G347" s="24">
        <f>IFERROR(INDEX(Atualizações!$Q$1:$Q$1265,MATCH(F347,Atualizações!$P$1:$P$1265,0)),"0")</f>
        <v>1</v>
      </c>
      <c r="H347" t="str">
        <f>$I$1&amp;Tb_Alinhamento[[#This Row],[SEI]]</f>
        <v>202603545/2021</v>
      </c>
      <c r="I347" s="24">
        <f>IFERROR(INDEX(Atualizações!$Q$1:$Q$1265,MATCH(H347,Atualizações!$P$1:$P$1265,0)),"0")</f>
        <v>1</v>
      </c>
      <c r="J34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8" spans="1:10" ht="75">
      <c r="A348" s="19" t="s">
        <v>350</v>
      </c>
      <c r="B348" s="79" t="s">
        <v>1255</v>
      </c>
      <c r="C348" s="97" t="s">
        <v>75</v>
      </c>
      <c r="D348" t="str">
        <f>$E$1&amp;Tb_Alinhamento[[#This Row],[SEI]]</f>
        <v>202403545/2021</v>
      </c>
      <c r="E348" s="24">
        <f>IFERROR(INDEX(Atualizações!$Q$1:$Q$1265,MATCH(D348,Atualizações!$P$1:$P$1265,0)),"0")</f>
        <v>1</v>
      </c>
      <c r="F348" t="str">
        <f>$G$1&amp;Tb_Alinhamento[[#This Row],[SEI]]</f>
        <v>202503545/2021</v>
      </c>
      <c r="G348" s="24">
        <f>IFERROR(INDEX(Atualizações!$Q$1:$Q$1265,MATCH(F348,Atualizações!$P$1:$P$1265,0)),"0")</f>
        <v>1</v>
      </c>
      <c r="H348" t="str">
        <f>$I$1&amp;Tb_Alinhamento[[#This Row],[SEI]]</f>
        <v>202603545/2021</v>
      </c>
      <c r="I348" s="24">
        <f>IFERROR(INDEX(Atualizações!$Q$1:$Q$1265,MATCH(H348,Atualizações!$P$1:$P$1265,0)),"0")</f>
        <v>1</v>
      </c>
      <c r="J34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49" spans="1:10" ht="30">
      <c r="A349" s="19" t="s">
        <v>350</v>
      </c>
      <c r="B349" s="79" t="s">
        <v>1255</v>
      </c>
      <c r="C349" s="8" t="s">
        <v>390</v>
      </c>
      <c r="D349" t="str">
        <f>$E$1&amp;Tb_Alinhamento[[#This Row],[SEI]]</f>
        <v>202403545/2021</v>
      </c>
      <c r="E349" s="24">
        <f>IFERROR(INDEX(Atualizações!$Q$1:$Q$1265,MATCH(D349,Atualizações!$P$1:$P$1265,0)),"0")</f>
        <v>1</v>
      </c>
      <c r="F349" t="str">
        <f>$G$1&amp;Tb_Alinhamento[[#This Row],[SEI]]</f>
        <v>202503545/2021</v>
      </c>
      <c r="G349" s="24">
        <f>IFERROR(INDEX(Atualizações!$Q$1:$Q$1265,MATCH(F349,Atualizações!$P$1:$P$1265,0)),"0")</f>
        <v>1</v>
      </c>
      <c r="H349" t="str">
        <f>$I$1&amp;Tb_Alinhamento[[#This Row],[SEI]]</f>
        <v>202603545/2021</v>
      </c>
      <c r="I349" s="24">
        <f>IFERROR(INDEX(Atualizações!$Q$1:$Q$1265,MATCH(H349,Atualizações!$P$1:$P$1265,0)),"0")</f>
        <v>1</v>
      </c>
      <c r="J34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0" spans="1:10" ht="30">
      <c r="A350" s="19" t="s">
        <v>350</v>
      </c>
      <c r="B350" s="79" t="s">
        <v>1255</v>
      </c>
      <c r="C350" s="73" t="s">
        <v>672</v>
      </c>
      <c r="D350" t="str">
        <f>$E$1&amp;Tb_Alinhamento[[#This Row],[SEI]]</f>
        <v>202403545/2021</v>
      </c>
      <c r="E350" s="24">
        <f>IFERROR(INDEX(Atualizações!$Q$1:$Q$1265,MATCH(D350,Atualizações!$P$1:$P$1265,0)),"0")</f>
        <v>1</v>
      </c>
      <c r="F350" t="str">
        <f>$G$1&amp;Tb_Alinhamento[[#This Row],[SEI]]</f>
        <v>202503545/2021</v>
      </c>
      <c r="G350" s="24">
        <f>IFERROR(INDEX(Atualizações!$Q$1:$Q$1265,MATCH(F350,Atualizações!$P$1:$P$1265,0)),"0")</f>
        <v>1</v>
      </c>
      <c r="H350" t="str">
        <f>$I$1&amp;Tb_Alinhamento[[#This Row],[SEI]]</f>
        <v>202603545/2021</v>
      </c>
      <c r="I350" s="24">
        <f>IFERROR(INDEX(Atualizações!$Q$1:$Q$1265,MATCH(H350,Atualizações!$P$1:$P$1265,0)),"0")</f>
        <v>1</v>
      </c>
      <c r="J35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1" spans="1:10" ht="45" hidden="1">
      <c r="A351" s="192" t="s">
        <v>509</v>
      </c>
      <c r="B351" s="5" t="str">
        <f>_xlfn.XLOOKUP(Tb_Alinhamento[[#This Row],[SEI]],Tb_Portfólio[SEI],Tb_Portfólio[PROJETO],"Não cadastrado")</f>
        <v>IA para Gestão de Precedentes Qualificados</v>
      </c>
      <c r="C351" s="7" t="s">
        <v>165</v>
      </c>
      <c r="D351" t="str">
        <f>$E$1&amp;Tb_Alinhamento[[#This Row],[SEI]]</f>
        <v>202409173/2024</v>
      </c>
      <c r="E351" s="24" t="str">
        <f>IFERROR(INDEX(Atualizações!$Q$1:$Q$1265,MATCH(D351,Atualizações!$P$1:$P$1265,0)),"0")</f>
        <v>0</v>
      </c>
      <c r="F351" t="str">
        <f>$G$1&amp;Tb_Alinhamento[[#This Row],[SEI]]</f>
        <v>202509173/2024</v>
      </c>
      <c r="G351" s="24">
        <f>IFERROR(INDEX(Atualizações!$Q$1:$Q$1265,MATCH(F351,Atualizações!$P$1:$P$1265,0)),"0")</f>
        <v>1</v>
      </c>
      <c r="H351" t="str">
        <f>$I$1&amp;Tb_Alinhamento[[#This Row],[SEI]]</f>
        <v>202609173/2024</v>
      </c>
      <c r="I351" s="24" t="str">
        <f>IFERROR(INDEX(Atualizações!$Q$1:$Q$1265,MATCH(H351,Atualizações!$P$1:$P$1265,0)),"0")</f>
        <v>0</v>
      </c>
      <c r="J35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2" spans="1:10" ht="30" hidden="1">
      <c r="A352" s="192" t="s">
        <v>509</v>
      </c>
      <c r="B352" s="5" t="str">
        <f>_xlfn.XLOOKUP(Tb_Alinhamento[[#This Row],[SEI]],Tb_Portfólio[SEI],Tb_Portfólio[PROJETO],"Não cadastrado")</f>
        <v>IA para Gestão de Precedentes Qualificados</v>
      </c>
      <c r="C352" s="2" t="s">
        <v>176</v>
      </c>
      <c r="D352" t="str">
        <f>$E$1&amp;Tb_Alinhamento[[#This Row],[SEI]]</f>
        <v>202409173/2024</v>
      </c>
      <c r="E352" s="24" t="str">
        <f>IFERROR(INDEX(Atualizações!$Q$1:$Q$1265,MATCH(D352,Atualizações!$P$1:$P$1265,0)),"0")</f>
        <v>0</v>
      </c>
      <c r="F352" t="str">
        <f>$G$1&amp;Tb_Alinhamento[[#This Row],[SEI]]</f>
        <v>202509173/2024</v>
      </c>
      <c r="G352" s="24">
        <f>IFERROR(INDEX(Atualizações!$Q$1:$Q$1265,MATCH(F352,Atualizações!$P$1:$P$1265,0)),"0")</f>
        <v>1</v>
      </c>
      <c r="H352" t="str">
        <f>$I$1&amp;Tb_Alinhamento[[#This Row],[SEI]]</f>
        <v>202609173/2024</v>
      </c>
      <c r="I352" s="24" t="str">
        <f>IFERROR(INDEX(Atualizações!$Q$1:$Q$1265,MATCH(H352,Atualizações!$P$1:$P$1265,0)),"0")</f>
        <v>0</v>
      </c>
      <c r="J35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53" spans="1:10" ht="30" hidden="1">
      <c r="A353" s="192" t="s">
        <v>509</v>
      </c>
      <c r="B353" s="5" t="str">
        <f>_xlfn.XLOOKUP(Tb_Alinhamento[[#This Row],[SEI]],Tb_Portfólio[SEI],Tb_Portfólio[PROJETO],"Não cadastrado")</f>
        <v>IA para Gestão de Precedentes Qualificados</v>
      </c>
      <c r="C353" s="2" t="s">
        <v>146</v>
      </c>
      <c r="D353" t="str">
        <f>$E$1&amp;Tb_Alinhamento[[#This Row],[SEI]]</f>
        <v>202409173/2024</v>
      </c>
      <c r="E353" s="24" t="str">
        <f>IFERROR(INDEX(Atualizações!$Q$1:$Q$1265,MATCH(D353,Atualizações!$P$1:$P$1265,0)),"0")</f>
        <v>0</v>
      </c>
      <c r="F353" t="str">
        <f>$G$1&amp;Tb_Alinhamento[[#This Row],[SEI]]</f>
        <v>202509173/2024</v>
      </c>
      <c r="G353" s="24">
        <f>IFERROR(INDEX(Atualizações!$Q$1:$Q$1265,MATCH(F353,Atualizações!$P$1:$P$1265,0)),"0")</f>
        <v>1</v>
      </c>
      <c r="H353" t="str">
        <f>$I$1&amp;Tb_Alinhamento[[#This Row],[SEI]]</f>
        <v>202609173/2024</v>
      </c>
      <c r="I353" s="24" t="str">
        <f>IFERROR(INDEX(Atualizações!$Q$1:$Q$1265,MATCH(H353,Atualizações!$P$1:$P$1265,0)),"0")</f>
        <v>0</v>
      </c>
      <c r="J35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54" spans="1:10" ht="30">
      <c r="A354" s="19" t="s">
        <v>350</v>
      </c>
      <c r="B354" s="79" t="s">
        <v>1255</v>
      </c>
      <c r="C354" s="97" t="s">
        <v>346</v>
      </c>
      <c r="D354" t="str">
        <f>$E$1&amp;Tb_Alinhamento[[#This Row],[SEI]]</f>
        <v>202403545/2021</v>
      </c>
      <c r="E354" s="24">
        <f>IFERROR(INDEX(Atualizações!$Q$1:$Q$1265,MATCH(D354,Atualizações!$P$1:$P$1265,0)),"0")</f>
        <v>1</v>
      </c>
      <c r="F354" t="str">
        <f>$G$1&amp;Tb_Alinhamento[[#This Row],[SEI]]</f>
        <v>202503545/2021</v>
      </c>
      <c r="G354" s="24">
        <f>IFERROR(INDEX(Atualizações!$Q$1:$Q$1265,MATCH(F354,Atualizações!$P$1:$P$1265,0)),"0")</f>
        <v>1</v>
      </c>
      <c r="H354" t="str">
        <f>$I$1&amp;Tb_Alinhamento[[#This Row],[SEI]]</f>
        <v>202603545/2021</v>
      </c>
      <c r="I354" s="24">
        <f>IFERROR(INDEX(Atualizações!$Q$1:$Q$1265,MATCH(H354,Atualizações!$P$1:$P$1265,0)),"0")</f>
        <v>1</v>
      </c>
      <c r="J35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5" spans="1:10" ht="30">
      <c r="A355" s="19" t="s">
        <v>350</v>
      </c>
      <c r="B355" s="79" t="s">
        <v>1255</v>
      </c>
      <c r="C355" s="73" t="s">
        <v>1620</v>
      </c>
      <c r="D355" t="str">
        <f>$E$1&amp;Tb_Alinhamento[[#This Row],[SEI]]</f>
        <v>202403545/2021</v>
      </c>
      <c r="E355" s="24">
        <f>IFERROR(INDEX(Atualizações!$Q$1:$Q$1265,MATCH(D355,Atualizações!$P$1:$P$1265,0)),"0")</f>
        <v>1</v>
      </c>
      <c r="F355" t="str">
        <f>$G$1&amp;Tb_Alinhamento[[#This Row],[SEI]]</f>
        <v>202503545/2021</v>
      </c>
      <c r="G355" s="24">
        <f>IFERROR(INDEX(Atualizações!$Q$1:$Q$1265,MATCH(F355,Atualizações!$P$1:$P$1265,0)),"0")</f>
        <v>1</v>
      </c>
      <c r="H355" t="str">
        <f>$I$1&amp;Tb_Alinhamento[[#This Row],[SEI]]</f>
        <v>202603545/2021</v>
      </c>
      <c r="I355" s="24">
        <f>IFERROR(INDEX(Atualizações!$Q$1:$Q$1265,MATCH(H355,Atualizações!$P$1:$P$1265,0)),"0")</f>
        <v>1</v>
      </c>
      <c r="J35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6" spans="1:10" ht="30">
      <c r="A356" s="23" t="s">
        <v>358</v>
      </c>
      <c r="B356" s="79" t="s">
        <v>1638</v>
      </c>
      <c r="C356" s="2" t="s">
        <v>240</v>
      </c>
      <c r="D356" t="str">
        <f>$E$1&amp;Tb_Alinhamento[[#This Row],[SEI]]</f>
        <v>202403558/2021</v>
      </c>
      <c r="E356" s="24">
        <f>IFERROR(INDEX(Atualizações!$Q$1:$Q$1265,MATCH(D356,Atualizações!$P$1:$P$1265,0)),"0")</f>
        <v>1</v>
      </c>
      <c r="F356" t="str">
        <f>$G$1&amp;Tb_Alinhamento[[#This Row],[SEI]]</f>
        <v>202503558/2021</v>
      </c>
      <c r="G356" s="24">
        <f>IFERROR(INDEX(Atualizações!$Q$1:$Q$1265,MATCH(F356,Atualizações!$P$1:$P$1265,0)),"0")</f>
        <v>1</v>
      </c>
      <c r="H356" t="str">
        <f>$I$1&amp;Tb_Alinhamento[[#This Row],[SEI]]</f>
        <v>202603558/2021</v>
      </c>
      <c r="I356" s="24">
        <f>IFERROR(INDEX(Atualizações!$Q$1:$Q$1265,MATCH(H356,Atualizações!$P$1:$P$1265,0)),"0")</f>
        <v>1</v>
      </c>
      <c r="J35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7" spans="1:10" ht="30" hidden="1">
      <c r="A357" s="24" t="s">
        <v>675</v>
      </c>
      <c r="B357" s="5" t="str">
        <f>_xlfn.XLOOKUP(Tb_Alinhamento[[#This Row],[SEI]],Tb_Portfólio[SEI],Tb_Portfólio[PROJETO],"Não cadastrado")</f>
        <v>Pesquisa IA 2024 - Mapeamento dos projetos de Inteligência Artificial em desenvolvimento pelos tribunais brasileiros</v>
      </c>
      <c r="C357" s="7" t="s">
        <v>88</v>
      </c>
      <c r="D357" t="str">
        <f>$E$1&amp;Tb_Alinhamento[[#This Row],[SEI]]</f>
        <v>202411988/2024</v>
      </c>
      <c r="E357" s="24" t="str">
        <f>IFERROR(INDEX(Atualizações!$Q$1:$Q$1265,MATCH(D357,Atualizações!$P$1:$P$1265,0)),"0")</f>
        <v>0</v>
      </c>
      <c r="F357" t="str">
        <f>$G$1&amp;Tb_Alinhamento[[#This Row],[SEI]]</f>
        <v>202511988/2024</v>
      </c>
      <c r="G357" s="24">
        <f>IFERROR(INDEX(Atualizações!$Q$1:$Q$1265,MATCH(F357,Atualizações!$P$1:$P$1265,0)),"0")</f>
        <v>1</v>
      </c>
      <c r="H357" t="str">
        <f>$I$1&amp;Tb_Alinhamento[[#This Row],[SEI]]</f>
        <v>202611988/2024</v>
      </c>
      <c r="I357" s="24" t="str">
        <f>IFERROR(INDEX(Atualizações!$Q$1:$Q$1265,MATCH(H357,Atualizações!$P$1:$P$1265,0)),"0")</f>
        <v>0</v>
      </c>
      <c r="J35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8" spans="1:10" ht="75" hidden="1">
      <c r="A358" s="24" t="s">
        <v>675</v>
      </c>
      <c r="B358" s="5" t="str">
        <f>_xlfn.XLOOKUP(Tb_Alinhamento[[#This Row],[SEI]],Tb_Portfólio[SEI],Tb_Portfólio[PROJETO],"Não cadastrado")</f>
        <v>Pesquisa IA 2024 - Mapeamento dos projetos de Inteligência Artificial em desenvolvimento pelos tribunais brasileiros</v>
      </c>
      <c r="C358" s="2" t="s">
        <v>75</v>
      </c>
      <c r="D358" t="str">
        <f>$E$1&amp;Tb_Alinhamento[[#This Row],[SEI]]</f>
        <v>202411988/2024</v>
      </c>
      <c r="E358" s="24" t="str">
        <f>IFERROR(INDEX(Atualizações!$Q$1:$Q$1265,MATCH(D358,Atualizações!$P$1:$P$1265,0)),"0")</f>
        <v>0</v>
      </c>
      <c r="F358" t="str">
        <f>$G$1&amp;Tb_Alinhamento[[#This Row],[SEI]]</f>
        <v>202511988/2024</v>
      </c>
      <c r="G358" s="24">
        <f>IFERROR(INDEX(Atualizações!$Q$1:$Q$1265,MATCH(F358,Atualizações!$P$1:$P$1265,0)),"0")</f>
        <v>1</v>
      </c>
      <c r="H358" t="str">
        <f>$I$1&amp;Tb_Alinhamento[[#This Row],[SEI]]</f>
        <v>202611988/2024</v>
      </c>
      <c r="I358" s="24" t="str">
        <f>IFERROR(INDEX(Atualizações!$Q$1:$Q$1265,MATCH(H358,Atualizações!$P$1:$P$1265,0)),"0")</f>
        <v>0</v>
      </c>
      <c r="J35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59" spans="1:10" ht="30" hidden="1">
      <c r="A359" s="24" t="s">
        <v>675</v>
      </c>
      <c r="B359" s="5" t="str">
        <f>_xlfn.XLOOKUP(Tb_Alinhamento[[#This Row],[SEI]],Tb_Portfólio[SEI],Tb_Portfólio[PROJETO],"Não cadastrado")</f>
        <v>Pesquisa IA 2024 - Mapeamento dos projetos de Inteligência Artificial em desenvolvimento pelos tribunais brasileiros</v>
      </c>
      <c r="C359" s="2" t="s">
        <v>176</v>
      </c>
      <c r="D359" t="str">
        <f>$E$1&amp;Tb_Alinhamento[[#This Row],[SEI]]</f>
        <v>202411988/2024</v>
      </c>
      <c r="E359" s="24" t="str">
        <f>IFERROR(INDEX(Atualizações!$Q$1:$Q$1265,MATCH(D359,Atualizações!$P$1:$P$1265,0)),"0")</f>
        <v>0</v>
      </c>
      <c r="F359" t="str">
        <f>$G$1&amp;Tb_Alinhamento[[#This Row],[SEI]]</f>
        <v>202511988/2024</v>
      </c>
      <c r="G359" s="24">
        <f>IFERROR(INDEX(Atualizações!$Q$1:$Q$1265,MATCH(F359,Atualizações!$P$1:$P$1265,0)),"0")</f>
        <v>1</v>
      </c>
      <c r="H359" t="str">
        <f>$I$1&amp;Tb_Alinhamento[[#This Row],[SEI]]</f>
        <v>202611988/2024</v>
      </c>
      <c r="I359" s="24" t="str">
        <f>IFERROR(INDEX(Atualizações!$Q$1:$Q$1265,MATCH(H359,Atualizações!$P$1:$P$1265,0)),"0")</f>
        <v>0</v>
      </c>
      <c r="J35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60" spans="1:10" ht="30" hidden="1">
      <c r="A360" s="24" t="s">
        <v>675</v>
      </c>
      <c r="B360" s="5" t="str">
        <f>_xlfn.XLOOKUP(Tb_Alinhamento[[#This Row],[SEI]],Tb_Portfólio[SEI],Tb_Portfólio[PROJETO],"Não cadastrado")</f>
        <v>Pesquisa IA 2024 - Mapeamento dos projetos de Inteligência Artificial em desenvolvimento pelos tribunais brasileiros</v>
      </c>
      <c r="C360" s="2" t="s">
        <v>146</v>
      </c>
      <c r="D360" t="str">
        <f>$E$1&amp;Tb_Alinhamento[[#This Row],[SEI]]</f>
        <v>202411988/2024</v>
      </c>
      <c r="E360" s="24" t="str">
        <f>IFERROR(INDEX(Atualizações!$Q$1:$Q$1265,MATCH(D360,Atualizações!$P$1:$P$1265,0)),"0")</f>
        <v>0</v>
      </c>
      <c r="F360" t="str">
        <f>$G$1&amp;Tb_Alinhamento[[#This Row],[SEI]]</f>
        <v>202511988/2024</v>
      </c>
      <c r="G360" s="24">
        <f>IFERROR(INDEX(Atualizações!$Q$1:$Q$1265,MATCH(F360,Atualizações!$P$1:$P$1265,0)),"0")</f>
        <v>1</v>
      </c>
      <c r="H360" t="str">
        <f>$I$1&amp;Tb_Alinhamento[[#This Row],[SEI]]</f>
        <v>202611988/2024</v>
      </c>
      <c r="I360" s="24" t="str">
        <f>IFERROR(INDEX(Atualizações!$Q$1:$Q$1265,MATCH(H360,Atualizações!$P$1:$P$1265,0)),"0")</f>
        <v>0</v>
      </c>
      <c r="J36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61" spans="1:10" ht="45">
      <c r="A361" s="23" t="s">
        <v>358</v>
      </c>
      <c r="B361" s="79" t="s">
        <v>1638</v>
      </c>
      <c r="C361" s="97" t="s">
        <v>165</v>
      </c>
      <c r="D361" t="str">
        <f>$E$1&amp;Tb_Alinhamento[[#This Row],[SEI]]</f>
        <v>202403558/2021</v>
      </c>
      <c r="E361" s="24">
        <f>IFERROR(INDEX(Atualizações!$Q$1:$Q$1265,MATCH(D361,Atualizações!$P$1:$P$1265,0)),"0")</f>
        <v>1</v>
      </c>
      <c r="F361" t="str">
        <f>$G$1&amp;Tb_Alinhamento[[#This Row],[SEI]]</f>
        <v>202503558/2021</v>
      </c>
      <c r="G361" s="24">
        <f>IFERROR(INDEX(Atualizações!$Q$1:$Q$1265,MATCH(F361,Atualizações!$P$1:$P$1265,0)),"0")</f>
        <v>1</v>
      </c>
      <c r="H361" t="str">
        <f>$I$1&amp;Tb_Alinhamento[[#This Row],[SEI]]</f>
        <v>202603558/2021</v>
      </c>
      <c r="I361" s="24">
        <f>IFERROR(INDEX(Atualizações!$Q$1:$Q$1265,MATCH(H361,Atualizações!$P$1:$P$1265,0)),"0")</f>
        <v>1</v>
      </c>
      <c r="J36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2" spans="1:10" ht="75">
      <c r="A362" s="19" t="s">
        <v>70</v>
      </c>
      <c r="B362" s="79" t="str">
        <f>IFERROR(INDEX(Projetos!$B$3:$B$129,MATCH(A362,Projetos!$A$3:$A$129,0))," ")</f>
        <v>Mapa Nacional do Tribunal do Júri</v>
      </c>
      <c r="C362" s="73" t="s">
        <v>75</v>
      </c>
      <c r="D362" t="str">
        <f>$E$1&amp;Tb_Alinhamento[[#This Row],[SEI]]</f>
        <v>202400139/2024</v>
      </c>
      <c r="E362" s="24">
        <f>IFERROR(INDEX(Atualizações!$Q$1:$Q$1265,MATCH(D362,Atualizações!$P$1:$P$1265,0)),"0")</f>
        <v>1</v>
      </c>
      <c r="F362" t="str">
        <f>$G$1&amp;Tb_Alinhamento[[#This Row],[SEI]]</f>
        <v>202500139/2024</v>
      </c>
      <c r="G362" s="24">
        <f>IFERROR(INDEX(Atualizações!$Q$1:$Q$1265,MATCH(F362,Atualizações!$P$1:$P$1265,0)),"0")</f>
        <v>1</v>
      </c>
      <c r="H362" t="str">
        <f>$I$1&amp;Tb_Alinhamento[[#This Row],[SEI]]</f>
        <v>202600139/2024</v>
      </c>
      <c r="I362" s="24">
        <f>IFERROR(INDEX(Atualizações!$Q$1:$Q$1265,MATCH(H362,Atualizações!$P$1:$P$1265,0)),"0")</f>
        <v>1</v>
      </c>
      <c r="J36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3" spans="1:10" ht="30">
      <c r="A363" s="24" t="s">
        <v>384</v>
      </c>
      <c r="B363" s="5" t="s">
        <v>1640</v>
      </c>
      <c r="C363" s="8" t="s">
        <v>390</v>
      </c>
      <c r="D363" t="str">
        <f>$E$1&amp;Tb_Alinhamento[[#This Row],[SEI]]</f>
        <v>202404137/2024</v>
      </c>
      <c r="E363" s="24">
        <f>IFERROR(INDEX(Atualizações!$Q$1:$Q$1265,MATCH(D363,Atualizações!$P$1:$P$1265,0)),"0")</f>
        <v>1</v>
      </c>
      <c r="F363" t="str">
        <f>$G$1&amp;Tb_Alinhamento[[#This Row],[SEI]]</f>
        <v>202504137/2024</v>
      </c>
      <c r="G363" s="24">
        <f>IFERROR(INDEX(Atualizações!$Q$1:$Q$1265,MATCH(F363,Atualizações!$P$1:$P$1265,0)),"0")</f>
        <v>1</v>
      </c>
      <c r="H363" t="str">
        <f>$I$1&amp;Tb_Alinhamento[[#This Row],[SEI]]</f>
        <v>202604137/2024</v>
      </c>
      <c r="I363" s="24">
        <f>IFERROR(INDEX(Atualizações!$Q$1:$Q$1265,MATCH(H363,Atualizações!$P$1:$P$1265,0)),"0")</f>
        <v>1</v>
      </c>
      <c r="J36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4" spans="1:10" ht="45">
      <c r="A364" s="23" t="s">
        <v>416</v>
      </c>
      <c r="B364" s="79" t="s">
        <v>1641</v>
      </c>
      <c r="C364" s="19" t="s">
        <v>165</v>
      </c>
      <c r="D364" t="str">
        <f>$E$1&amp;Tb_Alinhamento[[#This Row],[SEI]]</f>
        <v>202405578/2024</v>
      </c>
      <c r="E364" s="24">
        <f>IFERROR(INDEX(Atualizações!$Q$1:$Q$1265,MATCH(D364,Atualizações!$P$1:$P$1265,0)),"0")</f>
        <v>1</v>
      </c>
      <c r="F364" t="str">
        <f>$G$1&amp;Tb_Alinhamento[[#This Row],[SEI]]</f>
        <v>202505578/2024</v>
      </c>
      <c r="G364" s="24">
        <f>IFERROR(INDEX(Atualizações!$Q$1:$Q$1265,MATCH(F364,Atualizações!$P$1:$P$1265,0)),"0")</f>
        <v>1</v>
      </c>
      <c r="H364" t="str">
        <f>$I$1&amp;Tb_Alinhamento[[#This Row],[SEI]]</f>
        <v>202605578/2024</v>
      </c>
      <c r="I364" s="24">
        <f>IFERROR(INDEX(Atualizações!$Q$1:$Q$1265,MATCH(H364,Atualizações!$P$1:$P$1265,0)),"0")</f>
        <v>1</v>
      </c>
      <c r="J36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5" spans="1:10" ht="30">
      <c r="A365" s="23" t="s">
        <v>416</v>
      </c>
      <c r="B365" s="79" t="s">
        <v>1641</v>
      </c>
      <c r="C365" s="2" t="s">
        <v>88</v>
      </c>
      <c r="D365" t="str">
        <f>$E$1&amp;Tb_Alinhamento[[#This Row],[SEI]]</f>
        <v>202405578/2024</v>
      </c>
      <c r="E365" s="24">
        <f>IFERROR(INDEX(Atualizações!$Q$1:$Q$1265,MATCH(D365,Atualizações!$P$1:$P$1265,0)),"0")</f>
        <v>1</v>
      </c>
      <c r="F365" t="str">
        <f>$G$1&amp;Tb_Alinhamento[[#This Row],[SEI]]</f>
        <v>202505578/2024</v>
      </c>
      <c r="G365" s="24">
        <f>IFERROR(INDEX(Atualizações!$Q$1:$Q$1265,MATCH(F365,Atualizações!$P$1:$P$1265,0)),"0")</f>
        <v>1</v>
      </c>
      <c r="H365" t="str">
        <f>$I$1&amp;Tb_Alinhamento[[#This Row],[SEI]]</f>
        <v>202605578/2024</v>
      </c>
      <c r="I365" s="24">
        <f>IFERROR(INDEX(Atualizações!$Q$1:$Q$1265,MATCH(H365,Atualizações!$P$1:$P$1265,0)),"0")</f>
        <v>1</v>
      </c>
      <c r="J36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6" spans="1:10" ht="30">
      <c r="A366" s="23" t="s">
        <v>416</v>
      </c>
      <c r="B366" s="79" t="s">
        <v>1641</v>
      </c>
      <c r="C366" s="2" t="s">
        <v>62</v>
      </c>
      <c r="D366" t="str">
        <f>$E$1&amp;Tb_Alinhamento[[#This Row],[SEI]]</f>
        <v>202405578/2024</v>
      </c>
      <c r="E366" s="24">
        <f>IFERROR(INDEX(Atualizações!$Q$1:$Q$1265,MATCH(D366,Atualizações!$P$1:$P$1265,0)),"0")</f>
        <v>1</v>
      </c>
      <c r="F366" t="str">
        <f>$G$1&amp;Tb_Alinhamento[[#This Row],[SEI]]</f>
        <v>202505578/2024</v>
      </c>
      <c r="G366" s="24">
        <f>IFERROR(INDEX(Atualizações!$Q$1:$Q$1265,MATCH(F366,Atualizações!$P$1:$P$1265,0)),"0")</f>
        <v>1</v>
      </c>
      <c r="H366" t="str">
        <f>$I$1&amp;Tb_Alinhamento[[#This Row],[SEI]]</f>
        <v>202605578/2024</v>
      </c>
      <c r="I366" s="24">
        <f>IFERROR(INDEX(Atualizações!$Q$1:$Q$1265,MATCH(H366,Atualizações!$P$1:$P$1265,0)),"0")</f>
        <v>1</v>
      </c>
      <c r="J36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7" spans="1:10" ht="30">
      <c r="A367" s="23" t="s">
        <v>416</v>
      </c>
      <c r="B367" s="79" t="s">
        <v>1641</v>
      </c>
      <c r="C367" s="2" t="s">
        <v>346</v>
      </c>
      <c r="D367" t="str">
        <f>$E$1&amp;Tb_Alinhamento[[#This Row],[SEI]]</f>
        <v>202405578/2024</v>
      </c>
      <c r="E367" s="24">
        <f>IFERROR(INDEX(Atualizações!$Q$1:$Q$1265,MATCH(D367,Atualizações!$P$1:$P$1265,0)),"0")</f>
        <v>1</v>
      </c>
      <c r="F367" t="str">
        <f>$G$1&amp;Tb_Alinhamento[[#This Row],[SEI]]</f>
        <v>202505578/2024</v>
      </c>
      <c r="G367" s="24">
        <f>IFERROR(INDEX(Atualizações!$Q$1:$Q$1265,MATCH(F367,Atualizações!$P$1:$P$1265,0)),"0")</f>
        <v>1</v>
      </c>
      <c r="H367" t="str">
        <f>$I$1&amp;Tb_Alinhamento[[#This Row],[SEI]]</f>
        <v>202605578/2024</v>
      </c>
      <c r="I367" s="24">
        <f>IFERROR(INDEX(Atualizações!$Q$1:$Q$1265,MATCH(H367,Atualizações!$P$1:$P$1265,0)),"0")</f>
        <v>1</v>
      </c>
      <c r="J36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8" spans="1:10">
      <c r="A368" s="23" t="s">
        <v>416</v>
      </c>
      <c r="B368" s="79" t="s">
        <v>1641</v>
      </c>
      <c r="C368" s="7" t="s">
        <v>104</v>
      </c>
      <c r="D368" t="str">
        <f>$E$1&amp;Tb_Alinhamento[[#This Row],[SEI]]</f>
        <v>202405578/2024</v>
      </c>
      <c r="E368" s="24">
        <f>IFERROR(INDEX(Atualizações!$Q$1:$Q$1265,MATCH(D368,Atualizações!$P$1:$P$1265,0)),"0")</f>
        <v>1</v>
      </c>
      <c r="F368" t="str">
        <f>$G$1&amp;Tb_Alinhamento[[#This Row],[SEI]]</f>
        <v>202505578/2024</v>
      </c>
      <c r="G368" s="24">
        <f>IFERROR(INDEX(Atualizações!$Q$1:$Q$1265,MATCH(F368,Atualizações!$P$1:$P$1265,0)),"0")</f>
        <v>1</v>
      </c>
      <c r="H368" t="str">
        <f>$I$1&amp;Tb_Alinhamento[[#This Row],[SEI]]</f>
        <v>202605578/2024</v>
      </c>
      <c r="I368" s="24">
        <f>IFERROR(INDEX(Atualizações!$Q$1:$Q$1265,MATCH(H368,Atualizações!$P$1:$P$1265,0)),"0")</f>
        <v>1</v>
      </c>
      <c r="J36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69" spans="1:10" ht="30">
      <c r="A369" s="533" t="s">
        <v>257</v>
      </c>
      <c r="B369" s="79" t="s">
        <v>258</v>
      </c>
      <c r="C369" s="115" t="s">
        <v>240</v>
      </c>
      <c r="D369" t="str">
        <f>$E$1&amp;Tb_Alinhamento[[#This Row],[SEI]]</f>
        <v>202402465/2024</v>
      </c>
      <c r="E369" s="24">
        <f>IFERROR(INDEX(Atualizações!$Q$1:$Q$1265,MATCH(D369,Atualizações!$P$1:$P$1265,0)),"0")</f>
        <v>1</v>
      </c>
      <c r="F369" t="str">
        <f>$G$1&amp;Tb_Alinhamento[[#This Row],[SEI]]</f>
        <v>202502465/2024</v>
      </c>
      <c r="G369" s="24">
        <f>IFERROR(INDEX(Atualizações!$Q$1:$Q$1265,MATCH(F369,Atualizações!$P$1:$P$1265,0)),"0")</f>
        <v>1</v>
      </c>
      <c r="H369" t="str">
        <f>$I$1&amp;Tb_Alinhamento[[#This Row],[SEI]]</f>
        <v>202602465/2024</v>
      </c>
      <c r="I369" s="24">
        <f>IFERROR(INDEX(Atualizações!$Q$1:$Q$1265,MATCH(H369,Atualizações!$P$1:$P$1265,0)),"0")</f>
        <v>1</v>
      </c>
      <c r="J36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0" spans="1:10" ht="45">
      <c r="A370" s="533" t="s">
        <v>257</v>
      </c>
      <c r="B370" s="79" t="s">
        <v>258</v>
      </c>
      <c r="C370" s="2" t="s">
        <v>165</v>
      </c>
      <c r="D370" t="str">
        <f>$E$1&amp;Tb_Alinhamento[[#This Row],[SEI]]</f>
        <v>202402465/2024</v>
      </c>
      <c r="E370" s="24">
        <f>IFERROR(INDEX(Atualizações!$Q$1:$Q$1265,MATCH(D370,Atualizações!$P$1:$P$1265,0)),"0")</f>
        <v>1</v>
      </c>
      <c r="F370" t="str">
        <f>$G$1&amp;Tb_Alinhamento[[#This Row],[SEI]]</f>
        <v>202502465/2024</v>
      </c>
      <c r="G370" s="24">
        <f>IFERROR(INDEX(Atualizações!$Q$1:$Q$1265,MATCH(F370,Atualizações!$P$1:$P$1265,0)),"0")</f>
        <v>1</v>
      </c>
      <c r="H370" t="str">
        <f>$I$1&amp;Tb_Alinhamento[[#This Row],[SEI]]</f>
        <v>202602465/2024</v>
      </c>
      <c r="I370" s="24">
        <f>IFERROR(INDEX(Atualizações!$Q$1:$Q$1265,MATCH(H370,Atualizações!$P$1:$P$1265,0)),"0")</f>
        <v>1</v>
      </c>
      <c r="J37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1" spans="1:10">
      <c r="A371" s="533" t="s">
        <v>257</v>
      </c>
      <c r="B371" s="79" t="s">
        <v>258</v>
      </c>
      <c r="C371" s="2" t="s">
        <v>104</v>
      </c>
      <c r="D371" t="str">
        <f>$E$1&amp;Tb_Alinhamento[[#This Row],[SEI]]</f>
        <v>202402465/2024</v>
      </c>
      <c r="E371" s="24">
        <f>IFERROR(INDEX(Atualizações!$Q$1:$Q$1265,MATCH(D371,Atualizações!$P$1:$P$1265,0)),"0")</f>
        <v>1</v>
      </c>
      <c r="F371" t="str">
        <f>$G$1&amp;Tb_Alinhamento[[#This Row],[SEI]]</f>
        <v>202502465/2024</v>
      </c>
      <c r="G371" s="24">
        <f>IFERROR(INDEX(Atualizações!$Q$1:$Q$1265,MATCH(F371,Atualizações!$P$1:$P$1265,0)),"0")</f>
        <v>1</v>
      </c>
      <c r="H371" t="str">
        <f>$I$1&amp;Tb_Alinhamento[[#This Row],[SEI]]</f>
        <v>202602465/2024</v>
      </c>
      <c r="I371" s="24">
        <f>IFERROR(INDEX(Atualizações!$Q$1:$Q$1265,MATCH(H371,Atualizações!$P$1:$P$1265,0)),"0")</f>
        <v>1</v>
      </c>
      <c r="J37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2" spans="1:10" ht="30">
      <c r="A372" s="533" t="s">
        <v>559</v>
      </c>
      <c r="B372" s="141" t="s">
        <v>560</v>
      </c>
      <c r="C372" s="115" t="s">
        <v>240</v>
      </c>
      <c r="D372" t="str">
        <f>$E$1&amp;Tb_Alinhamento[[#This Row],[SEI]]</f>
        <v>202410101/2024</v>
      </c>
      <c r="E372" s="24">
        <f>IFERROR(INDEX(Atualizações!$Q$1:$Q$1265,MATCH(D372,Atualizações!$P$1:$P$1265,0)),"0")</f>
        <v>1</v>
      </c>
      <c r="F372" t="str">
        <f>$G$1&amp;Tb_Alinhamento[[#This Row],[SEI]]</f>
        <v>202510101/2024</v>
      </c>
      <c r="G372" s="24">
        <f>IFERROR(INDEX(Atualizações!$Q$1:$Q$1265,MATCH(F372,Atualizações!$P$1:$P$1265,0)),"0")</f>
        <v>1</v>
      </c>
      <c r="H372" t="str">
        <f>$I$1&amp;Tb_Alinhamento[[#This Row],[SEI]]</f>
        <v>202610101/2024</v>
      </c>
      <c r="I372" s="24">
        <f>IFERROR(INDEX(Atualizações!$Q$1:$Q$1265,MATCH(H372,Atualizações!$P$1:$P$1265,0)),"0")</f>
        <v>1</v>
      </c>
      <c r="J37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3" spans="1:10" ht="75">
      <c r="A373" s="533" t="s">
        <v>559</v>
      </c>
      <c r="B373" s="141" t="s">
        <v>560</v>
      </c>
      <c r="C373" s="2" t="s">
        <v>75</v>
      </c>
      <c r="D373" t="str">
        <f>$E$1&amp;Tb_Alinhamento[[#This Row],[SEI]]</f>
        <v>202410101/2024</v>
      </c>
      <c r="E373" s="24">
        <f>IFERROR(INDEX(Atualizações!$Q$1:$Q$1265,MATCH(D373,Atualizações!$P$1:$P$1265,0)),"0")</f>
        <v>1</v>
      </c>
      <c r="F373" t="str">
        <f>$G$1&amp;Tb_Alinhamento[[#This Row],[SEI]]</f>
        <v>202510101/2024</v>
      </c>
      <c r="G373" s="24">
        <f>IFERROR(INDEX(Atualizações!$Q$1:$Q$1265,MATCH(F373,Atualizações!$P$1:$P$1265,0)),"0")</f>
        <v>1</v>
      </c>
      <c r="H373" t="str">
        <f>$I$1&amp;Tb_Alinhamento[[#This Row],[SEI]]</f>
        <v>202610101/2024</v>
      </c>
      <c r="I373" s="24">
        <f>IFERROR(INDEX(Atualizações!$Q$1:$Q$1265,MATCH(H373,Atualizações!$P$1:$P$1265,0)),"0")</f>
        <v>1</v>
      </c>
      <c r="J37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4" spans="1:10" ht="75">
      <c r="A374" s="533" t="s">
        <v>684</v>
      </c>
      <c r="B374" s="144" t="s">
        <v>685</v>
      </c>
      <c r="C374" s="2" t="s">
        <v>75</v>
      </c>
      <c r="D374" t="str">
        <f>$E$1&amp;Tb_Alinhamento[[#This Row],[SEI]]</f>
        <v>202412135/2022</v>
      </c>
      <c r="E374" s="24">
        <f>IFERROR(INDEX(Atualizações!$Q$1:$Q$1265,MATCH(D374,Atualizações!$P$1:$P$1265,0)),"0")</f>
        <v>1</v>
      </c>
      <c r="F374" t="str">
        <f>$G$1&amp;Tb_Alinhamento[[#This Row],[SEI]]</f>
        <v>202512135/2022</v>
      </c>
      <c r="G374" s="24">
        <f>IFERROR(INDEX(Atualizações!$Q$1:$Q$1265,MATCH(F374,Atualizações!$P$1:$P$1265,0)),"0")</f>
        <v>1</v>
      </c>
      <c r="H374" t="str">
        <f>$I$1&amp;Tb_Alinhamento[[#This Row],[SEI]]</f>
        <v>202612135/2022</v>
      </c>
      <c r="I374" s="24">
        <f>IFERROR(INDEX(Atualizações!$Q$1:$Q$1265,MATCH(H374,Atualizações!$P$1:$P$1265,0)),"0")</f>
        <v>1</v>
      </c>
      <c r="J37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5" spans="1:10" ht="30">
      <c r="A375" s="533" t="s">
        <v>684</v>
      </c>
      <c r="B375" s="144" t="s">
        <v>685</v>
      </c>
      <c r="C375" s="2" t="s">
        <v>88</v>
      </c>
      <c r="D375" t="str">
        <f>$E$1&amp;Tb_Alinhamento[[#This Row],[SEI]]</f>
        <v>202412135/2022</v>
      </c>
      <c r="E375" s="24">
        <f>IFERROR(INDEX(Atualizações!$Q$1:$Q$1265,MATCH(D375,Atualizações!$P$1:$P$1265,0)),"0")</f>
        <v>1</v>
      </c>
      <c r="F375" t="str">
        <f>$G$1&amp;Tb_Alinhamento[[#This Row],[SEI]]</f>
        <v>202512135/2022</v>
      </c>
      <c r="G375" s="24">
        <f>IFERROR(INDEX(Atualizações!$Q$1:$Q$1265,MATCH(F375,Atualizações!$P$1:$P$1265,0)),"0")</f>
        <v>1</v>
      </c>
      <c r="H375" t="str">
        <f>$I$1&amp;Tb_Alinhamento[[#This Row],[SEI]]</f>
        <v>202612135/2022</v>
      </c>
      <c r="I375" s="24">
        <f>IFERROR(INDEX(Atualizações!$Q$1:$Q$1265,MATCH(H375,Atualizações!$P$1:$P$1265,0)),"0")</f>
        <v>1</v>
      </c>
      <c r="J37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6" spans="1:10" ht="30">
      <c r="A376" s="533" t="s">
        <v>684</v>
      </c>
      <c r="B376" s="144" t="s">
        <v>685</v>
      </c>
      <c r="C376" s="7" t="s">
        <v>672</v>
      </c>
      <c r="D376" t="str">
        <f>$E$1&amp;Tb_Alinhamento[[#This Row],[SEI]]</f>
        <v>202412135/2022</v>
      </c>
      <c r="E376" s="24">
        <f>IFERROR(INDEX(Atualizações!$Q$1:$Q$1265,MATCH(D376,Atualizações!$P$1:$P$1265,0)),"0")</f>
        <v>1</v>
      </c>
      <c r="F376" t="str">
        <f>$G$1&amp;Tb_Alinhamento[[#This Row],[SEI]]</f>
        <v>202512135/2022</v>
      </c>
      <c r="G376" s="24">
        <f>IFERROR(INDEX(Atualizações!$Q$1:$Q$1265,MATCH(F376,Atualizações!$P$1:$P$1265,0)),"0")</f>
        <v>1</v>
      </c>
      <c r="H376" t="str">
        <f>$I$1&amp;Tb_Alinhamento[[#This Row],[SEI]]</f>
        <v>202612135/2022</v>
      </c>
      <c r="I376" s="24">
        <f>IFERROR(INDEX(Atualizações!$Q$1:$Q$1265,MATCH(H376,Atualizações!$P$1:$P$1265,0)),"0")</f>
        <v>1</v>
      </c>
      <c r="J37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7" spans="1:10">
      <c r="A377" s="151" t="s">
        <v>431</v>
      </c>
      <c r="B377" s="79" t="s">
        <v>432</v>
      </c>
      <c r="C377" s="2" t="s">
        <v>104</v>
      </c>
      <c r="D377" t="str">
        <f>$E$1&amp;Tb_Alinhamento[[#This Row],[SEI]]</f>
        <v>202406826/2024</v>
      </c>
      <c r="E377" s="24">
        <f>IFERROR(INDEX(Atualizações!$Q$1:$Q$1265,MATCH(D377,Atualizações!$P$1:$P$1265,0)),"0")</f>
        <v>1</v>
      </c>
      <c r="F377" t="str">
        <f>$G$1&amp;Tb_Alinhamento[[#This Row],[SEI]]</f>
        <v>202506826/2024</v>
      </c>
      <c r="G377" s="24">
        <f>IFERROR(INDEX(Atualizações!$Q$1:$Q$1265,MATCH(F377,Atualizações!$P$1:$P$1265,0)),"0")</f>
        <v>1</v>
      </c>
      <c r="H377" t="str">
        <f>$I$1&amp;Tb_Alinhamento[[#This Row],[SEI]]</f>
        <v>202606826/2024</v>
      </c>
      <c r="I377" s="24">
        <f>IFERROR(INDEX(Atualizações!$Q$1:$Q$1265,MATCH(H377,Atualizações!$P$1:$P$1265,0)),"0")</f>
        <v>1</v>
      </c>
      <c r="J37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8" spans="1:10" ht="75">
      <c r="A378" s="151" t="s">
        <v>431</v>
      </c>
      <c r="B378" s="79" t="s">
        <v>432</v>
      </c>
      <c r="C378" s="7" t="s">
        <v>75</v>
      </c>
      <c r="D378" t="str">
        <f>$E$1&amp;Tb_Alinhamento[[#This Row],[SEI]]</f>
        <v>202406826/2024</v>
      </c>
      <c r="E378" s="24">
        <f>IFERROR(INDEX(Atualizações!$Q$1:$Q$1265,MATCH(D378,Atualizações!$P$1:$P$1265,0)),"0")</f>
        <v>1</v>
      </c>
      <c r="F378" t="str">
        <f>$G$1&amp;Tb_Alinhamento[[#This Row],[SEI]]</f>
        <v>202506826/2024</v>
      </c>
      <c r="G378" s="24">
        <f>IFERROR(INDEX(Atualizações!$Q$1:$Q$1265,MATCH(F378,Atualizações!$P$1:$P$1265,0)),"0")</f>
        <v>1</v>
      </c>
      <c r="H378" t="str">
        <f>$I$1&amp;Tb_Alinhamento[[#This Row],[SEI]]</f>
        <v>202606826/2024</v>
      </c>
      <c r="I378" s="24">
        <f>IFERROR(INDEX(Atualizações!$Q$1:$Q$1265,MATCH(H378,Atualizações!$P$1:$P$1265,0)),"0")</f>
        <v>1</v>
      </c>
      <c r="J37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79" spans="1:10">
      <c r="A379" s="151" t="s">
        <v>549</v>
      </c>
      <c r="B379" s="79" t="s">
        <v>1582</v>
      </c>
      <c r="C379" s="7" t="s">
        <v>104</v>
      </c>
      <c r="D379" t="str">
        <f>$E$1&amp;Tb_Alinhamento[[#This Row],[SEI]]</f>
        <v>202409796/2024</v>
      </c>
      <c r="E379" s="24">
        <f>IFERROR(INDEX(Atualizações!$Q$1:$Q$1265,MATCH(D379,Atualizações!$P$1:$P$1265,0)),"0")</f>
        <v>1</v>
      </c>
      <c r="F379" t="str">
        <f>$G$1&amp;Tb_Alinhamento[[#This Row],[SEI]]</f>
        <v>202509796/2024</v>
      </c>
      <c r="G379" s="24">
        <f>IFERROR(INDEX(Atualizações!$Q$1:$Q$1265,MATCH(F379,Atualizações!$P$1:$P$1265,0)),"0")</f>
        <v>1</v>
      </c>
      <c r="H379" t="str">
        <f>$I$1&amp;Tb_Alinhamento[[#This Row],[SEI]]</f>
        <v>202609796/2024</v>
      </c>
      <c r="I379" s="24">
        <f>IFERROR(INDEX(Atualizações!$Q$1:$Q$1265,MATCH(H379,Atualizações!$P$1:$P$1265,0)),"0")</f>
        <v>1</v>
      </c>
      <c r="J37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80" spans="1:10" ht="75">
      <c r="A380" s="151" t="s">
        <v>549</v>
      </c>
      <c r="B380" s="79" t="s">
        <v>1582</v>
      </c>
      <c r="C380" s="7" t="s">
        <v>75</v>
      </c>
      <c r="D380" t="str">
        <f>$E$1&amp;Tb_Alinhamento[[#This Row],[SEI]]</f>
        <v>202409796/2024</v>
      </c>
      <c r="E380" s="24">
        <f>IFERROR(INDEX(Atualizações!$Q$1:$Q$1265,MATCH(D380,Atualizações!$P$1:$P$1265,0)),"0")</f>
        <v>1</v>
      </c>
      <c r="F380" t="str">
        <f>$G$1&amp;Tb_Alinhamento[[#This Row],[SEI]]</f>
        <v>202509796/2024</v>
      </c>
      <c r="G380" s="24">
        <f>IFERROR(INDEX(Atualizações!$Q$1:$Q$1265,MATCH(F380,Atualizações!$P$1:$P$1265,0)),"0")</f>
        <v>1</v>
      </c>
      <c r="H380" t="str">
        <f>$I$1&amp;Tb_Alinhamento[[#This Row],[SEI]]</f>
        <v>202609796/2024</v>
      </c>
      <c r="I380" s="24">
        <f>IFERROR(INDEX(Atualizações!$Q$1:$Q$1265,MATCH(H380,Atualizações!$P$1:$P$1265,0)),"0")</f>
        <v>1</v>
      </c>
      <c r="J38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81" spans="1:10">
      <c r="A381" s="151" t="s">
        <v>644</v>
      </c>
      <c r="B381" s="79" t="s">
        <v>645</v>
      </c>
      <c r="C381" s="2" t="s">
        <v>104</v>
      </c>
      <c r="D381" t="str">
        <f>$E$1&amp;Tb_Alinhamento[[#This Row],[SEI]]</f>
        <v>202411645/2022</v>
      </c>
      <c r="E381" s="24">
        <f>IFERROR(INDEX(Atualizações!$Q$1:$Q$1265,MATCH(D381,Atualizações!$P$1:$P$1265,0)),"0")</f>
        <v>1</v>
      </c>
      <c r="F381" t="str">
        <f>$G$1&amp;Tb_Alinhamento[[#This Row],[SEI]]</f>
        <v>202511645/2022</v>
      </c>
      <c r="G381" s="24">
        <f>IFERROR(INDEX(Atualizações!$Q$1:$Q$1265,MATCH(F381,Atualizações!$P$1:$P$1265,0)),"0")</f>
        <v>1</v>
      </c>
      <c r="H381" t="str">
        <f>$I$1&amp;Tb_Alinhamento[[#This Row],[SEI]]</f>
        <v>202611645/2022</v>
      </c>
      <c r="I381" s="24">
        <f>IFERROR(INDEX(Atualizações!$Q$1:$Q$1265,MATCH(H381,Atualizações!$P$1:$P$1265,0)),"0")</f>
        <v>1</v>
      </c>
      <c r="J38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82" spans="1:10" ht="45">
      <c r="A382" s="151" t="s">
        <v>644</v>
      </c>
      <c r="B382" s="79" t="s">
        <v>645</v>
      </c>
      <c r="C382" s="7" t="s">
        <v>165</v>
      </c>
      <c r="D382" t="str">
        <f>$E$1&amp;Tb_Alinhamento[[#This Row],[SEI]]</f>
        <v>202411645/2022</v>
      </c>
      <c r="E382" s="24">
        <f>IFERROR(INDEX(Atualizações!$Q$1:$Q$1265,MATCH(D382,Atualizações!$P$1:$P$1265,0)),"0")</f>
        <v>1</v>
      </c>
      <c r="F382" t="str">
        <f>$G$1&amp;Tb_Alinhamento[[#This Row],[SEI]]</f>
        <v>202511645/2022</v>
      </c>
      <c r="G382" s="24">
        <f>IFERROR(INDEX(Atualizações!$Q$1:$Q$1265,MATCH(F382,Atualizações!$P$1:$P$1265,0)),"0")</f>
        <v>1</v>
      </c>
      <c r="H382" t="str">
        <f>$I$1&amp;Tb_Alinhamento[[#This Row],[SEI]]</f>
        <v>202611645/2022</v>
      </c>
      <c r="I382" s="24">
        <f>IFERROR(INDEX(Atualizações!$Q$1:$Q$1265,MATCH(H382,Atualizações!$P$1:$P$1265,0)),"0")</f>
        <v>1</v>
      </c>
      <c r="J38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83" spans="1:10" ht="30" hidden="1">
      <c r="A383" s="24" t="s">
        <v>129</v>
      </c>
      <c r="B383" s="5" t="str">
        <f>_xlfn.XLOOKUP(Tb_Alinhamento[[#This Row],[SEI]],Tb_Portfólio[SEI],Tb_Portfólio[PROJETO],"Não cadastrado")</f>
        <v>Data Lake - Melhorias Evolutivas e Corretivas</v>
      </c>
      <c r="C383" s="7" t="s">
        <v>88</v>
      </c>
      <c r="D383" t="str">
        <f>$E$1&amp;Tb_Alinhamento[[#This Row],[SEI]]</f>
        <v>202401167/2025</v>
      </c>
      <c r="E383" s="24" t="str">
        <f>IFERROR(INDEX(Atualizações!$Q$1:$Q$1265,MATCH(D383,Atualizações!$P$1:$P$1265,0)),"0")</f>
        <v>0</v>
      </c>
      <c r="F383" t="str">
        <f>$G$1&amp;Tb_Alinhamento[[#This Row],[SEI]]</f>
        <v>202501167/2025</v>
      </c>
      <c r="G383" s="24">
        <f>IFERROR(INDEX(Atualizações!$Q$1:$Q$1265,MATCH(F383,Atualizações!$P$1:$P$1265,0)),"0")</f>
        <v>1</v>
      </c>
      <c r="H383" t="str">
        <f>$I$1&amp;Tb_Alinhamento[[#This Row],[SEI]]</f>
        <v>202601167/2025</v>
      </c>
      <c r="I383" s="24">
        <f>IFERROR(INDEX(Atualizações!$Q$1:$Q$1265,MATCH(H383,Atualizações!$P$1:$P$1265,0)),"0")</f>
        <v>0</v>
      </c>
      <c r="J38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84" spans="1:10" ht="30" hidden="1">
      <c r="A384" s="24" t="s">
        <v>129</v>
      </c>
      <c r="B384" s="5" t="str">
        <f>_xlfn.XLOOKUP(Tb_Alinhamento[[#This Row],[SEI]],Tb_Portfólio[SEI],Tb_Portfólio[PROJETO],"Não cadastrado")</f>
        <v>Data Lake - Melhorias Evolutivas e Corretivas</v>
      </c>
      <c r="C384" s="7" t="s">
        <v>176</v>
      </c>
      <c r="D384" t="str">
        <f>$E$1&amp;Tb_Alinhamento[[#This Row],[SEI]]</f>
        <v>202401167/2025</v>
      </c>
      <c r="E384" s="24" t="str">
        <f>IFERROR(INDEX(Atualizações!$Q$1:$Q$1265,MATCH(D384,Atualizações!$P$1:$P$1265,0)),"0")</f>
        <v>0</v>
      </c>
      <c r="F384" t="str">
        <f>$G$1&amp;Tb_Alinhamento[[#This Row],[SEI]]</f>
        <v>202501167/2025</v>
      </c>
      <c r="G384" s="24">
        <f>IFERROR(INDEX(Atualizações!$Q$1:$Q$1265,MATCH(F384,Atualizações!$P$1:$P$1265,0)),"0")</f>
        <v>1</v>
      </c>
      <c r="H384" t="str">
        <f>$I$1&amp;Tb_Alinhamento[[#This Row],[SEI]]</f>
        <v>202601167/2025</v>
      </c>
      <c r="I384" s="24">
        <f>IFERROR(INDEX(Atualizações!$Q$1:$Q$1265,MATCH(H384,Atualizações!$P$1:$P$1265,0)),"0")</f>
        <v>0</v>
      </c>
      <c r="J38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85" spans="1:10" ht="30" hidden="1">
      <c r="A385" s="24" t="s">
        <v>129</v>
      </c>
      <c r="B385" s="5" t="str">
        <f>_xlfn.XLOOKUP(Tb_Alinhamento[[#This Row],[SEI]],Tb_Portfólio[SEI],Tb_Portfólio[PROJETO],"Não cadastrado")</f>
        <v>Data Lake - Melhorias Evolutivas e Corretivas</v>
      </c>
      <c r="C385" s="2" t="s">
        <v>146</v>
      </c>
      <c r="D385" t="str">
        <f>$E$1&amp;Tb_Alinhamento[[#This Row],[SEI]]</f>
        <v>202401167/2025</v>
      </c>
      <c r="E385" s="24" t="str">
        <f>IFERROR(INDEX(Atualizações!$Q$1:$Q$1265,MATCH(D385,Atualizações!$P$1:$P$1265,0)),"0")</f>
        <v>0</v>
      </c>
      <c r="F385" t="str">
        <f>$G$1&amp;Tb_Alinhamento[[#This Row],[SEI]]</f>
        <v>202501167/2025</v>
      </c>
      <c r="G385" s="24">
        <f>IFERROR(INDEX(Atualizações!$Q$1:$Q$1265,MATCH(F385,Atualizações!$P$1:$P$1265,0)),"0")</f>
        <v>1</v>
      </c>
      <c r="H385" t="str">
        <f>$I$1&amp;Tb_Alinhamento[[#This Row],[SEI]]</f>
        <v>202601167/2025</v>
      </c>
      <c r="I385" s="24">
        <f>IFERROR(INDEX(Atualizações!$Q$1:$Q$1265,MATCH(H385,Atualizações!$P$1:$P$1265,0)),"0")</f>
        <v>0</v>
      </c>
      <c r="J38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86" spans="1:10" hidden="1">
      <c r="A386" s="24" t="s">
        <v>129</v>
      </c>
      <c r="B386" s="5" t="str">
        <f>_xlfn.XLOOKUP(Tb_Alinhamento[[#This Row],[SEI]],Tb_Portfólio[SEI],Tb_Portfólio[PROJETO],"Não cadastrado")</f>
        <v>Data Lake - Melhorias Evolutivas e Corretivas</v>
      </c>
      <c r="C386" s="2" t="s">
        <v>105</v>
      </c>
      <c r="D386" t="str">
        <f>$E$1&amp;Tb_Alinhamento[[#This Row],[SEI]]</f>
        <v>202401167/2025</v>
      </c>
      <c r="E386" s="24" t="str">
        <f>IFERROR(INDEX(Atualizações!$Q$1:$Q$1265,MATCH(D386,Atualizações!$P$1:$P$1265,0)),"0")</f>
        <v>0</v>
      </c>
      <c r="F386" t="str">
        <f>$G$1&amp;Tb_Alinhamento[[#This Row],[SEI]]</f>
        <v>202501167/2025</v>
      </c>
      <c r="G386" s="24">
        <f>IFERROR(INDEX(Atualizações!$Q$1:$Q$1265,MATCH(F386,Atualizações!$P$1:$P$1265,0)),"0")</f>
        <v>1</v>
      </c>
      <c r="H386" t="str">
        <f>$I$1&amp;Tb_Alinhamento[[#This Row],[SEI]]</f>
        <v>202601167/2025</v>
      </c>
      <c r="I386" s="24">
        <f>IFERROR(INDEX(Atualizações!$Q$1:$Q$1265,MATCH(H386,Atualizações!$P$1:$P$1265,0)),"0")</f>
        <v>0</v>
      </c>
      <c r="J38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87" spans="1:10" ht="30" hidden="1">
      <c r="A387" s="24" t="s">
        <v>290</v>
      </c>
      <c r="B387" s="5" t="str">
        <f>_xlfn.XLOOKUP(Tb_Alinhamento[[#This Row],[SEI]],Tb_Portfólio[SEI],Tb_Portfólio[PROJETO],"Não cadastrado")</f>
        <v>Itinerância Cooperativa na Amazônia Legal – Edição de 2025 – Boca do Acre (AM) e Xapuri (AC)</v>
      </c>
      <c r="C387" s="7" t="s">
        <v>240</v>
      </c>
      <c r="D387" t="str">
        <f>$E$1&amp;Tb_Alinhamento[[#This Row],[SEI]]</f>
        <v>202402633/2025</v>
      </c>
      <c r="E387" s="24" t="str">
        <f>IFERROR(INDEX(Atualizações!$Q$1:$Q$1265,MATCH(D387,Atualizações!$P$1:$P$1265,0)),"0")</f>
        <v>0</v>
      </c>
      <c r="F387" t="str">
        <f>$G$1&amp;Tb_Alinhamento[[#This Row],[SEI]]</f>
        <v>202502633/2025</v>
      </c>
      <c r="G387" s="24">
        <f>IFERROR(INDEX(Atualizações!$Q$1:$Q$1265,MATCH(F387,Atualizações!$P$1:$P$1265,0)),"0")</f>
        <v>1</v>
      </c>
      <c r="H387" t="str">
        <f>$I$1&amp;Tb_Alinhamento[[#This Row],[SEI]]</f>
        <v>202602633/2025</v>
      </c>
      <c r="I387" s="24" t="str">
        <f>IFERROR(INDEX(Atualizações!$Q$1:$Q$1265,MATCH(H387,Atualizações!$P$1:$P$1265,0)),"0")</f>
        <v>0</v>
      </c>
      <c r="J38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88" spans="1:10" ht="30" hidden="1">
      <c r="A388" s="24" t="s">
        <v>290</v>
      </c>
      <c r="B388" s="5" t="str">
        <f>_xlfn.XLOOKUP(Tb_Alinhamento[[#This Row],[SEI]],Tb_Portfólio[SEI],Tb_Portfólio[PROJETO],"Não cadastrado")</f>
        <v>Itinerância Cooperativa na Amazônia Legal – Edição de 2025 – Boca do Acre (AM) e Xapuri (AC)</v>
      </c>
      <c r="C388" s="2" t="s">
        <v>120</v>
      </c>
      <c r="D388" t="str">
        <f>$E$1&amp;Tb_Alinhamento[[#This Row],[SEI]]</f>
        <v>202402633/2025</v>
      </c>
      <c r="E388" s="24" t="str">
        <f>IFERROR(INDEX(Atualizações!$Q$1:$Q$1265,MATCH(D388,Atualizações!$P$1:$P$1265,0)),"0")</f>
        <v>0</v>
      </c>
      <c r="F388" t="str">
        <f>$G$1&amp;Tb_Alinhamento[[#This Row],[SEI]]</f>
        <v>202502633/2025</v>
      </c>
      <c r="G388" s="24">
        <f>IFERROR(INDEX(Atualizações!$Q$1:$Q$1265,MATCH(F388,Atualizações!$P$1:$P$1265,0)),"0")</f>
        <v>1</v>
      </c>
      <c r="H388" t="str">
        <f>$I$1&amp;Tb_Alinhamento[[#This Row],[SEI]]</f>
        <v>202602633/2025</v>
      </c>
      <c r="I388" s="24" t="str">
        <f>IFERROR(INDEX(Atualizações!$Q$1:$Q$1265,MATCH(H388,Atualizações!$P$1:$P$1265,0)),"0")</f>
        <v>0</v>
      </c>
      <c r="J38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89" spans="1:10" ht="30" hidden="1">
      <c r="A389" s="24" t="s">
        <v>290</v>
      </c>
      <c r="B389" s="5" t="str">
        <f>_xlfn.XLOOKUP(Tb_Alinhamento[[#This Row],[SEI]],Tb_Portfólio[SEI],Tb_Portfólio[PROJETO],"Não cadastrado")</f>
        <v>Itinerância Cooperativa na Amazônia Legal – Edição de 2025 – Boca do Acre (AM) e Xapuri (AC)</v>
      </c>
      <c r="C389" s="7" t="s">
        <v>166</v>
      </c>
      <c r="D389" t="str">
        <f>$E$1&amp;Tb_Alinhamento[[#This Row],[SEI]]</f>
        <v>202402633/2025</v>
      </c>
      <c r="E389" s="24" t="str">
        <f>IFERROR(INDEX(Atualizações!$Q$1:$Q$1265,MATCH(D389,Atualizações!$P$1:$P$1265,0)),"0")</f>
        <v>0</v>
      </c>
      <c r="F389" t="str">
        <f>$G$1&amp;Tb_Alinhamento[[#This Row],[SEI]]</f>
        <v>202502633/2025</v>
      </c>
      <c r="G389" s="24">
        <f>IFERROR(INDEX(Atualizações!$Q$1:$Q$1265,MATCH(F389,Atualizações!$P$1:$P$1265,0)),"0")</f>
        <v>1</v>
      </c>
      <c r="H389" t="str">
        <f>$I$1&amp;Tb_Alinhamento[[#This Row],[SEI]]</f>
        <v>202602633/2025</v>
      </c>
      <c r="I389" s="24" t="str">
        <f>IFERROR(INDEX(Atualizações!$Q$1:$Q$1265,MATCH(H389,Atualizações!$P$1:$P$1265,0)),"0")</f>
        <v>0</v>
      </c>
      <c r="J38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390" spans="1:10" ht="75">
      <c r="A390" s="151" t="s">
        <v>629</v>
      </c>
      <c r="B390" s="79" t="s">
        <v>630</v>
      </c>
      <c r="C390" s="2" t="s">
        <v>75</v>
      </c>
      <c r="D390" t="str">
        <f>$E$1&amp;Tb_Alinhamento[[#This Row],[SEI]]</f>
        <v>202411449/2024</v>
      </c>
      <c r="E390" s="24">
        <f>IFERROR(INDEX(Atualizações!$Q$1:$Q$1265,MATCH(D390,Atualizações!$P$1:$P$1265,0)),"0")</f>
        <v>1</v>
      </c>
      <c r="F390" t="str">
        <f>$G$1&amp;Tb_Alinhamento[[#This Row],[SEI]]</f>
        <v>202511449/2024</v>
      </c>
      <c r="G390" s="24">
        <f>IFERROR(INDEX(Atualizações!$Q$1:$Q$1265,MATCH(F390,Atualizações!$P$1:$P$1265,0)),"0")</f>
        <v>1</v>
      </c>
      <c r="H390" t="str">
        <f>$I$1&amp;Tb_Alinhamento[[#This Row],[SEI]]</f>
        <v>202611449/2024</v>
      </c>
      <c r="I390" s="24">
        <f>IFERROR(INDEX(Atualizações!$Q$1:$Q$1265,MATCH(H390,Atualizações!$P$1:$P$1265,0)),"0")</f>
        <v>1</v>
      </c>
      <c r="J39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1" spans="1:10" ht="30">
      <c r="A391" s="151" t="s">
        <v>629</v>
      </c>
      <c r="B391" s="79" t="s">
        <v>630</v>
      </c>
      <c r="C391" s="2" t="s">
        <v>240</v>
      </c>
      <c r="D391" t="str">
        <f>$E$1&amp;Tb_Alinhamento[[#This Row],[SEI]]</f>
        <v>202411449/2024</v>
      </c>
      <c r="E391" s="24">
        <f>IFERROR(INDEX(Atualizações!$Q$1:$Q$1265,MATCH(D391,Atualizações!$P$1:$P$1265,0)),"0")</f>
        <v>1</v>
      </c>
      <c r="F391" t="str">
        <f>$G$1&amp;Tb_Alinhamento[[#This Row],[SEI]]</f>
        <v>202511449/2024</v>
      </c>
      <c r="G391" s="24">
        <f>IFERROR(INDEX(Atualizações!$Q$1:$Q$1265,MATCH(F391,Atualizações!$P$1:$P$1265,0)),"0")</f>
        <v>1</v>
      </c>
      <c r="H391" t="str">
        <f>$I$1&amp;Tb_Alinhamento[[#This Row],[SEI]]</f>
        <v>202611449/2024</v>
      </c>
      <c r="I391" s="24">
        <f>IFERROR(INDEX(Atualizações!$Q$1:$Q$1265,MATCH(H391,Atualizações!$P$1:$P$1265,0)),"0")</f>
        <v>1</v>
      </c>
      <c r="J39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2" spans="1:10" ht="30">
      <c r="A392" s="151" t="s">
        <v>533</v>
      </c>
      <c r="B392" s="79" t="s">
        <v>534</v>
      </c>
      <c r="C392" s="7" t="s">
        <v>88</v>
      </c>
      <c r="D392" t="str">
        <f>$E$1&amp;Tb_Alinhamento[[#This Row],[SEI]]</f>
        <v>202409613/2024</v>
      </c>
      <c r="E392" s="24">
        <f>IFERROR(INDEX(Atualizações!$Q$1:$Q$1265,MATCH(D392,Atualizações!$P$1:$P$1265,0)),"0")</f>
        <v>1</v>
      </c>
      <c r="F392" t="str">
        <f>$G$1&amp;Tb_Alinhamento[[#This Row],[SEI]]</f>
        <v>202509613/2024</v>
      </c>
      <c r="G392" s="24">
        <f>IFERROR(INDEX(Atualizações!$Q$1:$Q$1265,MATCH(F392,Atualizações!$P$1:$P$1265,0)),"0")</f>
        <v>1</v>
      </c>
      <c r="H392" t="str">
        <f>$I$1&amp;Tb_Alinhamento[[#This Row],[SEI]]</f>
        <v>202609613/2024</v>
      </c>
      <c r="I392" s="24">
        <f>IFERROR(INDEX(Atualizações!$Q$1:$Q$1265,MATCH(H392,Atualizações!$P$1:$P$1265,0)),"0")</f>
        <v>1</v>
      </c>
      <c r="J39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3" spans="1:10">
      <c r="A393" s="133" t="s">
        <v>698</v>
      </c>
      <c r="B393" s="139" t="s">
        <v>699</v>
      </c>
      <c r="C393" s="7" t="s">
        <v>213</v>
      </c>
      <c r="D393" t="str">
        <f>$E$1&amp;Tb_Alinhamento[[#This Row],[SEI]]</f>
        <v>202413898/2024</v>
      </c>
      <c r="E393" s="24">
        <f>IFERROR(INDEX(Atualizações!$Q$1:$Q$1265,MATCH(D393,Atualizações!$P$1:$P$1265,0)),"0")</f>
        <v>1</v>
      </c>
      <c r="F393" t="str">
        <f>$G$1&amp;Tb_Alinhamento[[#This Row],[SEI]]</f>
        <v>202513898/2024</v>
      </c>
      <c r="G393" s="24">
        <f>IFERROR(INDEX(Atualizações!$Q$1:$Q$1265,MATCH(F393,Atualizações!$P$1:$P$1265,0)),"0")</f>
        <v>1</v>
      </c>
      <c r="H393" t="str">
        <f>$I$1&amp;Tb_Alinhamento[[#This Row],[SEI]]</f>
        <v>202613898/2024</v>
      </c>
      <c r="I393" s="24">
        <f>IFERROR(INDEX(Atualizações!$Q$1:$Q$1265,MATCH(H393,Atualizações!$P$1:$P$1265,0)),"0")</f>
        <v>1</v>
      </c>
      <c r="J39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4" spans="1:10" ht="75">
      <c r="A394" s="151" t="s">
        <v>310</v>
      </c>
      <c r="B394" s="79" t="s">
        <v>311</v>
      </c>
      <c r="C394" s="2" t="s">
        <v>75</v>
      </c>
      <c r="D394" t="str">
        <f>$E$1&amp;Tb_Alinhamento[[#This Row],[SEI]]</f>
        <v>202402887/2024</v>
      </c>
      <c r="E394" s="24">
        <f>IFERROR(INDEX(Atualizações!$Q$1:$Q$1265,MATCH(D394,Atualizações!$P$1:$P$1265,0)),"0")</f>
        <v>1</v>
      </c>
      <c r="F394" t="str">
        <f>$G$1&amp;Tb_Alinhamento[[#This Row],[SEI]]</f>
        <v>202502887/2024</v>
      </c>
      <c r="G394" s="24">
        <f>IFERROR(INDEX(Atualizações!$Q$1:$Q$1265,MATCH(F394,Atualizações!$P$1:$P$1265,0)),"0")</f>
        <v>1</v>
      </c>
      <c r="H394" t="str">
        <f>$I$1&amp;Tb_Alinhamento[[#This Row],[SEI]]</f>
        <v>202602887/2024</v>
      </c>
      <c r="I394" s="24">
        <f>IFERROR(INDEX(Atualizações!$Q$1:$Q$1265,MATCH(H394,Atualizações!$P$1:$P$1265,0)),"0")</f>
        <v>1</v>
      </c>
      <c r="J39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5" spans="1:10" ht="45">
      <c r="A395" s="151" t="s">
        <v>310</v>
      </c>
      <c r="B395" s="79" t="s">
        <v>311</v>
      </c>
      <c r="C395" s="7" t="s">
        <v>165</v>
      </c>
      <c r="D395" t="str">
        <f>$E$1&amp;Tb_Alinhamento[[#This Row],[SEI]]</f>
        <v>202402887/2024</v>
      </c>
      <c r="E395" s="24">
        <f>IFERROR(INDEX(Atualizações!$Q$1:$Q$1265,MATCH(D395,Atualizações!$P$1:$P$1265,0)),"0")</f>
        <v>1</v>
      </c>
      <c r="F395" t="str">
        <f>$G$1&amp;Tb_Alinhamento[[#This Row],[SEI]]</f>
        <v>202502887/2024</v>
      </c>
      <c r="G395" s="24">
        <f>IFERROR(INDEX(Atualizações!$Q$1:$Q$1265,MATCH(F395,Atualizações!$P$1:$P$1265,0)),"0")</f>
        <v>1</v>
      </c>
      <c r="H395" t="str">
        <f>$I$1&amp;Tb_Alinhamento[[#This Row],[SEI]]</f>
        <v>202602887/2024</v>
      </c>
      <c r="I395" s="24">
        <f>IFERROR(INDEX(Atualizações!$Q$1:$Q$1265,MATCH(H395,Atualizações!$P$1:$P$1265,0)),"0")</f>
        <v>1</v>
      </c>
      <c r="J39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6" spans="1:10" ht="30">
      <c r="A396" s="151" t="s">
        <v>310</v>
      </c>
      <c r="B396" s="79" t="s">
        <v>311</v>
      </c>
      <c r="C396" s="7" t="s">
        <v>62</v>
      </c>
      <c r="D396" t="str">
        <f>$E$1&amp;Tb_Alinhamento[[#This Row],[SEI]]</f>
        <v>202402887/2024</v>
      </c>
      <c r="E396" s="24">
        <f>IFERROR(INDEX(Atualizações!$Q$1:$Q$1265,MATCH(D396,Atualizações!$P$1:$P$1265,0)),"0")</f>
        <v>1</v>
      </c>
      <c r="F396" t="str">
        <f>$G$1&amp;Tb_Alinhamento[[#This Row],[SEI]]</f>
        <v>202502887/2024</v>
      </c>
      <c r="G396" s="24">
        <f>IFERROR(INDEX(Atualizações!$Q$1:$Q$1265,MATCH(F396,Atualizações!$P$1:$P$1265,0)),"0")</f>
        <v>1</v>
      </c>
      <c r="H396" t="str">
        <f>$I$1&amp;Tb_Alinhamento[[#This Row],[SEI]]</f>
        <v>202602887/2024</v>
      </c>
      <c r="I396" s="24">
        <f>IFERROR(INDEX(Atualizações!$Q$1:$Q$1265,MATCH(H396,Atualizações!$P$1:$P$1265,0)),"0")</f>
        <v>1</v>
      </c>
      <c r="J39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7" spans="1:10" ht="30">
      <c r="A397" s="133" t="s">
        <v>690</v>
      </c>
      <c r="B397" s="18" t="s">
        <v>691</v>
      </c>
      <c r="C397" s="2" t="s">
        <v>390</v>
      </c>
      <c r="D397" t="str">
        <f>$E$1&amp;Tb_Alinhamento[[#This Row],[SEI]]</f>
        <v>202412215/2023</v>
      </c>
      <c r="E397" s="24">
        <f>IFERROR(INDEX(Atualizações!$Q$1:$Q$1265,MATCH(D397,Atualizações!$P$1:$P$1265,0)),"0")</f>
        <v>1</v>
      </c>
      <c r="F397" t="str">
        <f>$G$1&amp;Tb_Alinhamento[[#This Row],[SEI]]</f>
        <v>202512215/2023</v>
      </c>
      <c r="G397" s="24">
        <f>IFERROR(INDEX(Atualizações!$Q$1:$Q$1265,MATCH(F397,Atualizações!$P$1:$P$1265,0)),"0")</f>
        <v>1</v>
      </c>
      <c r="H397" t="str">
        <f>$I$1&amp;Tb_Alinhamento[[#This Row],[SEI]]</f>
        <v>202612215/2023</v>
      </c>
      <c r="I397" s="24">
        <f>IFERROR(INDEX(Atualizações!$Q$1:$Q$1265,MATCH(H397,Atualizações!$P$1:$P$1265,0)),"0")</f>
        <v>1</v>
      </c>
      <c r="J39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8" spans="1:10" ht="30">
      <c r="A398" s="133" t="s">
        <v>690</v>
      </c>
      <c r="B398" s="79" t="s">
        <v>691</v>
      </c>
      <c r="C398" s="2" t="s">
        <v>88</v>
      </c>
      <c r="D398" t="str">
        <f>$E$1&amp;Tb_Alinhamento[[#This Row],[SEI]]</f>
        <v>202412215/2023</v>
      </c>
      <c r="E398" s="24">
        <f>IFERROR(INDEX(Atualizações!$Q$1:$Q$1265,MATCH(D398,Atualizações!$P$1:$P$1265,0)),"0")</f>
        <v>1</v>
      </c>
      <c r="F398" t="str">
        <f>$G$1&amp;Tb_Alinhamento[[#This Row],[SEI]]</f>
        <v>202512215/2023</v>
      </c>
      <c r="G398" s="24">
        <f>IFERROR(INDEX(Atualizações!$Q$1:$Q$1265,MATCH(F398,Atualizações!$P$1:$P$1265,0)),"0")</f>
        <v>1</v>
      </c>
      <c r="H398" t="str">
        <f>$I$1&amp;Tb_Alinhamento[[#This Row],[SEI]]</f>
        <v>202612215/2023</v>
      </c>
      <c r="I398" s="24">
        <f>IFERROR(INDEX(Atualizações!$Q$1:$Q$1265,MATCH(H398,Atualizações!$P$1:$P$1265,0)),"0")</f>
        <v>1</v>
      </c>
      <c r="J39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399" spans="1:10" ht="30">
      <c r="A399" s="133" t="s">
        <v>690</v>
      </c>
      <c r="B399" s="79" t="s">
        <v>691</v>
      </c>
      <c r="C399" s="2" t="s">
        <v>240</v>
      </c>
      <c r="D399" t="str">
        <f>$E$1&amp;Tb_Alinhamento[[#This Row],[SEI]]</f>
        <v>202412215/2023</v>
      </c>
      <c r="E399" s="24">
        <f>IFERROR(INDEX(Atualizações!$Q$1:$Q$1265,MATCH(D399,Atualizações!$P$1:$P$1265,0)),"0")</f>
        <v>1</v>
      </c>
      <c r="F399" t="str">
        <f>$G$1&amp;Tb_Alinhamento[[#This Row],[SEI]]</f>
        <v>202512215/2023</v>
      </c>
      <c r="G399" s="24">
        <f>IFERROR(INDEX(Atualizações!$Q$1:$Q$1265,MATCH(F399,Atualizações!$P$1:$P$1265,0)),"0")</f>
        <v>1</v>
      </c>
      <c r="H399" t="str">
        <f>$I$1&amp;Tb_Alinhamento[[#This Row],[SEI]]</f>
        <v>202612215/2023</v>
      </c>
      <c r="I399" s="24">
        <f>IFERROR(INDEX(Atualizações!$Q$1:$Q$1265,MATCH(H399,Atualizações!$P$1:$P$1265,0)),"0")</f>
        <v>1</v>
      </c>
      <c r="J39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0" spans="1:10" ht="45">
      <c r="A400" s="24" t="s">
        <v>458</v>
      </c>
      <c r="B400" s="5" t="s">
        <v>459</v>
      </c>
      <c r="C400" s="7" t="s">
        <v>165</v>
      </c>
      <c r="D400" t="str">
        <f>$E$1&amp;Tb_Alinhamento[[#This Row],[SEI]]</f>
        <v>202408370/2024</v>
      </c>
      <c r="E400" s="24">
        <f>IFERROR(INDEX(Atualizações!$Q$1:$Q$1265,MATCH(D400,Atualizações!$P$1:$P$1265,0)),"0")</f>
        <v>1</v>
      </c>
      <c r="F400" t="str">
        <f>$G$1&amp;Tb_Alinhamento[[#This Row],[SEI]]</f>
        <v>202508370/2024</v>
      </c>
      <c r="G400" s="24">
        <f>IFERROR(INDEX(Atualizações!$Q$1:$Q$1265,MATCH(F400,Atualizações!$P$1:$P$1265,0)),"0")</f>
        <v>1</v>
      </c>
      <c r="H400" t="str">
        <f>$I$1&amp;Tb_Alinhamento[[#This Row],[SEI]]</f>
        <v>202608370/2024</v>
      </c>
      <c r="I400" s="24">
        <f>IFERROR(INDEX(Atualizações!$Q$1:$Q$1265,MATCH(H400,Atualizações!$P$1:$P$1265,0)),"0")</f>
        <v>1</v>
      </c>
      <c r="J40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1" spans="1:10" ht="30">
      <c r="A401" s="151" t="s">
        <v>83</v>
      </c>
      <c r="B401" s="210" t="s">
        <v>84</v>
      </c>
      <c r="C401" s="7" t="s">
        <v>88</v>
      </c>
      <c r="D401" t="str">
        <f>$E$1&amp;Tb_Alinhamento[[#This Row],[SEI]]</f>
        <v>202400484/2024</v>
      </c>
      <c r="E401" s="24">
        <f>IFERROR(INDEX(Atualizações!$Q$1:$Q$1265,MATCH(D401,Atualizações!$P$1:$P$1265,0)),"0")</f>
        <v>1</v>
      </c>
      <c r="F401" t="str">
        <f>$G$1&amp;Tb_Alinhamento[[#This Row],[SEI]]</f>
        <v>202500484/2024</v>
      </c>
      <c r="G401" s="24">
        <f>IFERROR(INDEX(Atualizações!$Q$1:$Q$1265,MATCH(F401,Atualizações!$P$1:$P$1265,0)),"0")</f>
        <v>1</v>
      </c>
      <c r="H401" t="str">
        <f>$I$1&amp;Tb_Alinhamento[[#This Row],[SEI]]</f>
        <v>202600484/2024</v>
      </c>
      <c r="I401" s="24">
        <f>IFERROR(INDEX(Atualizações!$Q$1:$Q$1265,MATCH(H401,Atualizações!$P$1:$P$1265,0)),"0")</f>
        <v>1</v>
      </c>
      <c r="J40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2" spans="1:10" ht="30">
      <c r="A402" s="151" t="s">
        <v>83</v>
      </c>
      <c r="B402" s="210" t="s">
        <v>84</v>
      </c>
      <c r="C402" s="19" t="s">
        <v>455</v>
      </c>
      <c r="D402" t="str">
        <f>$E$1&amp;Tb_Alinhamento[[#This Row],[SEI]]</f>
        <v>202400484/2024</v>
      </c>
      <c r="E402" s="24">
        <f>IFERROR(INDEX(Atualizações!$Q$1:$Q$1265,MATCH(D402,Atualizações!$P$1:$P$1265,0)),"0")</f>
        <v>1</v>
      </c>
      <c r="F402" t="str">
        <f>$G$1&amp;Tb_Alinhamento[[#This Row],[SEI]]</f>
        <v>202500484/2024</v>
      </c>
      <c r="G402" s="24">
        <f>IFERROR(INDEX(Atualizações!$Q$1:$Q$1265,MATCH(F402,Atualizações!$P$1:$P$1265,0)),"0")</f>
        <v>1</v>
      </c>
      <c r="H402" t="str">
        <f>$I$1&amp;Tb_Alinhamento[[#This Row],[SEI]]</f>
        <v>202600484/2024</v>
      </c>
      <c r="I402" s="24">
        <f>IFERROR(INDEX(Atualizações!$Q$1:$Q$1265,MATCH(H402,Atualizações!$P$1:$P$1265,0)),"0")</f>
        <v>1</v>
      </c>
      <c r="J40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3" spans="1:10" ht="30">
      <c r="A403" s="23" t="s">
        <v>638</v>
      </c>
      <c r="B403" s="5" t="s">
        <v>639</v>
      </c>
      <c r="C403" s="2" t="s">
        <v>240</v>
      </c>
      <c r="D403" t="str">
        <f>$E$1&amp;Tb_Alinhamento[[#This Row],[SEI]]</f>
        <v>202411644/2022</v>
      </c>
      <c r="E403" s="24">
        <f>IFERROR(INDEX(Atualizações!$Q$1:$Q$1265,MATCH(D403,Atualizações!$P$1:$P$1265,0)),"0")</f>
        <v>1</v>
      </c>
      <c r="F403" t="str">
        <f>$G$1&amp;Tb_Alinhamento[[#This Row],[SEI]]</f>
        <v>202511644/2022</v>
      </c>
      <c r="G403" s="24">
        <f>IFERROR(INDEX(Atualizações!$Q$1:$Q$1265,MATCH(F403,Atualizações!$P$1:$P$1265,0)),"0")</f>
        <v>1</v>
      </c>
      <c r="H403" t="str">
        <f>$I$1&amp;Tb_Alinhamento[[#This Row],[SEI]]</f>
        <v>202611644/2022</v>
      </c>
      <c r="I403" s="24">
        <f>IFERROR(INDEX(Atualizações!$Q$1:$Q$1265,MATCH(H403,Atualizações!$P$1:$P$1265,0)),"0")</f>
        <v>1</v>
      </c>
      <c r="J40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4" spans="1:10" ht="45">
      <c r="A404" s="664" t="s">
        <v>638</v>
      </c>
      <c r="B404" s="5" t="s">
        <v>639</v>
      </c>
      <c r="C404" s="7" t="s">
        <v>165</v>
      </c>
      <c r="D404" t="str">
        <f>$E$1&amp;Tb_Alinhamento[[#This Row],[SEI]]</f>
        <v>202411644/2022</v>
      </c>
      <c r="E404" s="24">
        <f>IFERROR(INDEX(Atualizações!$Q$1:$Q$1265,MATCH(D404,Atualizações!$P$1:$P$1265,0)),"0")</f>
        <v>1</v>
      </c>
      <c r="F404" t="str">
        <f>$G$1&amp;Tb_Alinhamento[[#This Row],[SEI]]</f>
        <v>202511644/2022</v>
      </c>
      <c r="G404" s="24">
        <f>IFERROR(INDEX(Atualizações!$Q$1:$Q$1265,MATCH(F404,Atualizações!$P$1:$P$1265,0)),"0")</f>
        <v>1</v>
      </c>
      <c r="H404" t="str">
        <f>$I$1&amp;Tb_Alinhamento[[#This Row],[SEI]]</f>
        <v>202611644/2022</v>
      </c>
      <c r="I404" s="24">
        <f>IFERROR(INDEX(Atualizações!$Q$1:$Q$1265,MATCH(H404,Atualizações!$P$1:$P$1265,0)),"0")</f>
        <v>1</v>
      </c>
      <c r="J40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5" spans="1:10" ht="75">
      <c r="A405" s="51" t="s">
        <v>247</v>
      </c>
      <c r="B405" s="5" t="str">
        <f>IFERROR(INDEX(Projetos!$B$3:$B$129,MATCH(Tb_Alinhamento[[#This Row],[SEI]],Projetos!$A$3:$A$129,0))," ")</f>
        <v>Portal de Serviços</v>
      </c>
      <c r="C405" s="7" t="s">
        <v>75</v>
      </c>
      <c r="D405" t="str">
        <f>$E$1&amp;Tb_Alinhamento[[#This Row],[SEI]]</f>
        <v>202402394/2024</v>
      </c>
      <c r="E405" s="24">
        <f>IFERROR(INDEX(Atualizações!$Q$1:$Q$1265,MATCH(D405,Atualizações!$P$1:$P$1265,0)),"0")</f>
        <v>1</v>
      </c>
      <c r="F405" t="str">
        <f>$G$1&amp;Tb_Alinhamento[[#This Row],[SEI]]</f>
        <v>202502394/2024</v>
      </c>
      <c r="G405" s="24">
        <f>IFERROR(INDEX(Atualizações!$Q$1:$Q$1265,MATCH(F405,Atualizações!$P$1:$P$1265,0)),"0")</f>
        <v>1</v>
      </c>
      <c r="H405" t="str">
        <f>$I$1&amp;Tb_Alinhamento[[#This Row],[SEI]]</f>
        <v>202602394/2024</v>
      </c>
      <c r="I405" s="24">
        <f>IFERROR(INDEX(Atualizações!$Q$1:$Q$1265,MATCH(H405,Atualizações!$P$1:$P$1265,0)),"0")</f>
        <v>1</v>
      </c>
      <c r="J40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6" spans="1:10" ht="30">
      <c r="A406" s="51" t="s">
        <v>247</v>
      </c>
      <c r="B406" s="5" t="str">
        <f>IFERROR(INDEX(Projetos!$B$3:$B$129,MATCH(Tb_Alinhamento[[#This Row],[SEI]],Projetos!$A$3:$A$129,0))," ")</f>
        <v>Portal de Serviços</v>
      </c>
      <c r="C406" s="2" t="s">
        <v>240</v>
      </c>
      <c r="D406" t="str">
        <f>$E$1&amp;Tb_Alinhamento[[#This Row],[SEI]]</f>
        <v>202402394/2024</v>
      </c>
      <c r="E406" s="24">
        <f>IFERROR(INDEX(Atualizações!$Q$1:$Q$1265,MATCH(D406,Atualizações!$P$1:$P$1265,0)),"0")</f>
        <v>1</v>
      </c>
      <c r="F406" t="str">
        <f>$G$1&amp;Tb_Alinhamento[[#This Row],[SEI]]</f>
        <v>202502394/2024</v>
      </c>
      <c r="G406" s="24">
        <f>IFERROR(INDEX(Atualizações!$Q$1:$Q$1265,MATCH(F406,Atualizações!$P$1:$P$1265,0)),"0")</f>
        <v>1</v>
      </c>
      <c r="H406" t="str">
        <f>$I$1&amp;Tb_Alinhamento[[#This Row],[SEI]]</f>
        <v>202602394/2024</v>
      </c>
      <c r="I406" s="24">
        <f>IFERROR(INDEX(Atualizações!$Q$1:$Q$1265,MATCH(H406,Atualizações!$P$1:$P$1265,0)),"0")</f>
        <v>1</v>
      </c>
      <c r="J40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7" spans="1:10">
      <c r="A407" s="51" t="s">
        <v>247</v>
      </c>
      <c r="B407" s="5" t="str">
        <f>IFERROR(INDEX(Projetos!$B$3:$B$129,MATCH(Tb_Alinhamento[[#This Row],[SEI]],Projetos!$A$3:$A$129,0))," ")</f>
        <v>Portal de Serviços</v>
      </c>
      <c r="C407" s="7" t="s">
        <v>104</v>
      </c>
      <c r="D407" t="str">
        <f>$E$1&amp;Tb_Alinhamento[[#This Row],[SEI]]</f>
        <v>202402394/2024</v>
      </c>
      <c r="E407" s="24">
        <f>IFERROR(INDEX(Atualizações!$Q$1:$Q$1265,MATCH(D407,Atualizações!$P$1:$P$1265,0)),"0")</f>
        <v>1</v>
      </c>
      <c r="F407" t="str">
        <f>$G$1&amp;Tb_Alinhamento[[#This Row],[SEI]]</f>
        <v>202502394/2024</v>
      </c>
      <c r="G407" s="24">
        <f>IFERROR(INDEX(Atualizações!$Q$1:$Q$1265,MATCH(F407,Atualizações!$P$1:$P$1265,0)),"0")</f>
        <v>1</v>
      </c>
      <c r="H407" t="str">
        <f>$I$1&amp;Tb_Alinhamento[[#This Row],[SEI]]</f>
        <v>202602394/2024</v>
      </c>
      <c r="I407" s="24">
        <f>IFERROR(INDEX(Atualizações!$Q$1:$Q$1265,MATCH(H407,Atualizações!$P$1:$P$1265,0)),"0")</f>
        <v>1</v>
      </c>
      <c r="J40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8" spans="1:10" ht="75">
      <c r="A408" s="24" t="s">
        <v>539</v>
      </c>
      <c r="B408" s="5" t="str">
        <f>IFERROR(INDEX(Projetos!$B$3:$B$129,MATCH(Tb_Alinhamento[[#This Row],[SEI]],Projetos!$A$3:$A$129,0))," ")</f>
        <v>Desenvolvimento do módulo de Sessão de Julgamento (PDPJ-Br)</v>
      </c>
      <c r="C408" s="7" t="s">
        <v>75</v>
      </c>
      <c r="D408" t="str">
        <f>$E$1&amp;Tb_Alinhamento[[#This Row],[SEI]]</f>
        <v>202409630/2024</v>
      </c>
      <c r="E408" s="24">
        <f>IFERROR(INDEX(Atualizações!$Q$1:$Q$1265,MATCH(D408,Atualizações!$P$1:$P$1265,0)),"0")</f>
        <v>1</v>
      </c>
      <c r="F408" t="str">
        <f>$G$1&amp;Tb_Alinhamento[[#This Row],[SEI]]</f>
        <v>202509630/2024</v>
      </c>
      <c r="G408" s="24">
        <f>IFERROR(INDEX(Atualizações!$Q$1:$Q$1265,MATCH(F408,Atualizações!$P$1:$P$1265,0)),"0")</f>
        <v>1</v>
      </c>
      <c r="H408" t="str">
        <f>$I$1&amp;Tb_Alinhamento[[#This Row],[SEI]]</f>
        <v>202609630/2024</v>
      </c>
      <c r="I408" s="24">
        <f>IFERROR(INDEX(Atualizações!$Q$1:$Q$1265,MATCH(H408,Atualizações!$P$1:$P$1265,0)),"0")</f>
        <v>1</v>
      </c>
      <c r="J40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09" spans="1:10" ht="45">
      <c r="A409" s="24" t="s">
        <v>539</v>
      </c>
      <c r="B409" s="5" t="str">
        <f>IFERROR(INDEX(Projetos!$B$3:$B$129,MATCH(Tb_Alinhamento[[#This Row],[SEI]],Projetos!$A$3:$A$129,0))," ")</f>
        <v>Desenvolvimento do módulo de Sessão de Julgamento (PDPJ-Br)</v>
      </c>
      <c r="C409" s="2" t="s">
        <v>165</v>
      </c>
      <c r="D409" t="str">
        <f>$E$1&amp;Tb_Alinhamento[[#This Row],[SEI]]</f>
        <v>202409630/2024</v>
      </c>
      <c r="E409" s="24">
        <f>IFERROR(INDEX(Atualizações!$Q$1:$Q$1265,MATCH(D409,Atualizações!$P$1:$P$1265,0)),"0")</f>
        <v>1</v>
      </c>
      <c r="F409" t="str">
        <f>$G$1&amp;Tb_Alinhamento[[#This Row],[SEI]]</f>
        <v>202509630/2024</v>
      </c>
      <c r="G409" s="24">
        <f>IFERROR(INDEX(Atualizações!$Q$1:$Q$1265,MATCH(F409,Atualizações!$P$1:$P$1265,0)),"0")</f>
        <v>1</v>
      </c>
      <c r="H409" t="str">
        <f>$I$1&amp;Tb_Alinhamento[[#This Row],[SEI]]</f>
        <v>202609630/2024</v>
      </c>
      <c r="I409" s="24">
        <f>IFERROR(INDEX(Atualizações!$Q$1:$Q$1265,MATCH(H409,Atualizações!$P$1:$P$1265,0)),"0")</f>
        <v>1</v>
      </c>
      <c r="J40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0" spans="1:10">
      <c r="A410" s="24" t="s">
        <v>539</v>
      </c>
      <c r="B410" s="5" t="str">
        <f>IFERROR(INDEX(Projetos!$B$3:$B$129,MATCH(Tb_Alinhamento[[#This Row],[SEI]],Projetos!$A$3:$A$129,0))," ")</f>
        <v>Desenvolvimento do módulo de Sessão de Julgamento (PDPJ-Br)</v>
      </c>
      <c r="C410" s="2" t="s">
        <v>104</v>
      </c>
      <c r="D410" t="str">
        <f>$E$1&amp;Tb_Alinhamento[[#This Row],[SEI]]</f>
        <v>202409630/2024</v>
      </c>
      <c r="E410" s="24">
        <f>IFERROR(INDEX(Atualizações!$Q$1:$Q$1265,MATCH(D410,Atualizações!$P$1:$P$1265,0)),"0")</f>
        <v>1</v>
      </c>
      <c r="F410" t="str">
        <f>$G$1&amp;Tb_Alinhamento[[#This Row],[SEI]]</f>
        <v>202509630/2024</v>
      </c>
      <c r="G410" s="24">
        <f>IFERROR(INDEX(Atualizações!$Q$1:$Q$1265,MATCH(F410,Atualizações!$P$1:$P$1265,0)),"0")</f>
        <v>1</v>
      </c>
      <c r="H410" t="str">
        <f>$I$1&amp;Tb_Alinhamento[[#This Row],[SEI]]</f>
        <v>202609630/2024</v>
      </c>
      <c r="I410" s="24">
        <f>IFERROR(INDEX(Atualizações!$Q$1:$Q$1265,MATCH(H410,Atualizações!$P$1:$P$1265,0)),"0")</f>
        <v>1</v>
      </c>
      <c r="J41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1" spans="1:10" ht="30">
      <c r="A411" s="24" t="s">
        <v>901</v>
      </c>
      <c r="B411" s="5" t="str">
        <f>IFERROR(INDEX(Projetos!$B$3:$B$129,MATCH(Tb_Alinhamento[[#This Row],[SEI]],Projetos!$A$3:$A$129,0))," ")</f>
        <v>Plano Nacional de Fomento ao Esporte e Lazer (sistema penal)</v>
      </c>
      <c r="C411" s="7" t="s">
        <v>240</v>
      </c>
      <c r="D411" t="str">
        <f>$E$1&amp;Tb_Alinhamento[[#This Row],[SEI]]</f>
        <v>2024174666/2024</v>
      </c>
      <c r="E411" s="24">
        <f>IFERROR(INDEX(Atualizações!$Q$1:$Q$1265,MATCH(D411,Atualizações!$P$1:$P$1265,0)),"0")</f>
        <v>1</v>
      </c>
      <c r="F411" t="str">
        <f>$G$1&amp;Tb_Alinhamento[[#This Row],[SEI]]</f>
        <v>2025174666/2024</v>
      </c>
      <c r="G411" s="24">
        <f>IFERROR(INDEX(Atualizações!$Q$1:$Q$1265,MATCH(F411,Atualizações!$P$1:$P$1265,0)),"0")</f>
        <v>1</v>
      </c>
      <c r="H411" t="str">
        <f>$I$1&amp;Tb_Alinhamento[[#This Row],[SEI]]</f>
        <v>2026174666/2024</v>
      </c>
      <c r="I411" s="24">
        <f>IFERROR(INDEX(Atualizações!$Q$1:$Q$1265,MATCH(H411,Atualizações!$P$1:$P$1265,0)),"0")</f>
        <v>1</v>
      </c>
      <c r="J41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2" spans="1:10" ht="75">
      <c r="A412" s="24" t="s">
        <v>901</v>
      </c>
      <c r="B412" s="5" t="str">
        <f>IFERROR(INDEX(Projetos!$B$3:$B$129,MATCH(Tb_Alinhamento[[#This Row],[SEI]],Projetos!$A$3:$A$129,0))," ")</f>
        <v>Plano Nacional de Fomento ao Esporte e Lazer (sistema penal)</v>
      </c>
      <c r="C412" s="7" t="s">
        <v>75</v>
      </c>
      <c r="D412" t="str">
        <f>$E$1&amp;Tb_Alinhamento[[#This Row],[SEI]]</f>
        <v>2024174666/2024</v>
      </c>
      <c r="E412" s="24">
        <f>IFERROR(INDEX(Atualizações!$Q$1:$Q$1265,MATCH(D412,Atualizações!$P$1:$P$1265,0)),"0")</f>
        <v>1</v>
      </c>
      <c r="F412" t="str">
        <f>$G$1&amp;Tb_Alinhamento[[#This Row],[SEI]]</f>
        <v>2025174666/2024</v>
      </c>
      <c r="G412" s="24">
        <f>IFERROR(INDEX(Atualizações!$Q$1:$Q$1265,MATCH(F412,Atualizações!$P$1:$P$1265,0)),"0")</f>
        <v>1</v>
      </c>
      <c r="H412" t="str">
        <f>$I$1&amp;Tb_Alinhamento[[#This Row],[SEI]]</f>
        <v>2026174666/2024</v>
      </c>
      <c r="I412" s="24">
        <f>IFERROR(INDEX(Atualizações!$Q$1:$Q$1265,MATCH(H412,Atualizações!$P$1:$P$1265,0)),"0")</f>
        <v>1</v>
      </c>
      <c r="J41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3" spans="1:10" ht="30">
      <c r="A413" s="24" t="s">
        <v>844</v>
      </c>
      <c r="B413" s="5" t="str">
        <f>IFERROR(INDEX(Projetos!$B$3:$B$129,MATCH(Tb_Alinhamento[[#This Row],[SEI]],Projetos!$A$3:$A$129,0))," ")</f>
        <v>Enfrentamento da Tortura</v>
      </c>
      <c r="C413" s="7" t="s">
        <v>240</v>
      </c>
      <c r="D413" t="str">
        <f>$E$1&amp;Tb_Alinhamento[[#This Row],[SEI]]</f>
        <v>20241746620/2024</v>
      </c>
      <c r="E413" s="24">
        <f>IFERROR(INDEX(Atualizações!$Q$1:$Q$1265,MATCH(D413,Atualizações!$P$1:$P$1265,0)),"0")</f>
        <v>1</v>
      </c>
      <c r="F413" t="str">
        <f>$G$1&amp;Tb_Alinhamento[[#This Row],[SEI]]</f>
        <v>20251746620/2024</v>
      </c>
      <c r="G413" s="24">
        <f>IFERROR(INDEX(Atualizações!$Q$1:$Q$1265,MATCH(F413,Atualizações!$P$1:$P$1265,0)),"0")</f>
        <v>1</v>
      </c>
      <c r="H413" t="str">
        <f>$I$1&amp;Tb_Alinhamento[[#This Row],[SEI]]</f>
        <v>20261746620/2024</v>
      </c>
      <c r="I413" s="24">
        <f>IFERROR(INDEX(Atualizações!$Q$1:$Q$1265,MATCH(H413,Atualizações!$P$1:$P$1265,0)),"0")</f>
        <v>1</v>
      </c>
      <c r="J41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4" spans="1:10" ht="75">
      <c r="A414" s="24" t="s">
        <v>844</v>
      </c>
      <c r="B414" s="5" t="str">
        <f>IFERROR(INDEX(Projetos!$B$3:$B$129,MATCH(Tb_Alinhamento[[#This Row],[SEI]],Projetos!$A$3:$A$129,0))," ")</f>
        <v>Enfrentamento da Tortura</v>
      </c>
      <c r="C414" s="2" t="s">
        <v>75</v>
      </c>
      <c r="D414" t="str">
        <f>$E$1&amp;Tb_Alinhamento[[#This Row],[SEI]]</f>
        <v>20241746620/2024</v>
      </c>
      <c r="E414" s="24">
        <f>IFERROR(INDEX(Atualizações!$Q$1:$Q$1265,MATCH(D414,Atualizações!$P$1:$P$1265,0)),"0")</f>
        <v>1</v>
      </c>
      <c r="F414" t="str">
        <f>$G$1&amp;Tb_Alinhamento[[#This Row],[SEI]]</f>
        <v>20251746620/2024</v>
      </c>
      <c r="G414" s="24">
        <f>IFERROR(INDEX(Atualizações!$Q$1:$Q$1265,MATCH(F414,Atualizações!$P$1:$P$1265,0)),"0")</f>
        <v>1</v>
      </c>
      <c r="H414" t="str">
        <f>$I$1&amp;Tb_Alinhamento[[#This Row],[SEI]]</f>
        <v>20261746620/2024</v>
      </c>
      <c r="I414" s="24">
        <f>IFERROR(INDEX(Atualizações!$Q$1:$Q$1265,MATCH(H414,Atualizações!$P$1:$P$1265,0)),"0")</f>
        <v>1</v>
      </c>
      <c r="J41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5" spans="1:10" ht="30">
      <c r="A415" s="24" t="s">
        <v>865</v>
      </c>
      <c r="B415" s="5" t="str">
        <f>IFERROR(INDEX(Projetos!$B$3:$B$129,MATCH(Tb_Alinhamento[[#This Row],[SEI]],Projetos!$A$3:$A$129,0))," ")</f>
        <v>Articulação Internacional e Proteção dos Direitos Humanos</v>
      </c>
      <c r="C415" s="2" t="s">
        <v>240</v>
      </c>
      <c r="D415" t="str">
        <f>$E$1&amp;Tb_Alinhamento[[#This Row],[SEI]]</f>
        <v>20241746625/2024</v>
      </c>
      <c r="E415" s="24">
        <f>IFERROR(INDEX(Atualizações!$Q$1:$Q$1265,MATCH(D415,Atualizações!$P$1:$P$1265,0)),"0")</f>
        <v>1</v>
      </c>
      <c r="F415" t="str">
        <f>$G$1&amp;Tb_Alinhamento[[#This Row],[SEI]]</f>
        <v>20251746625/2024</v>
      </c>
      <c r="G415" s="24">
        <f>IFERROR(INDEX(Atualizações!$Q$1:$Q$1265,MATCH(F415,Atualizações!$P$1:$P$1265,0)),"0")</f>
        <v>1</v>
      </c>
      <c r="H415" t="str">
        <f>$I$1&amp;Tb_Alinhamento[[#This Row],[SEI]]</f>
        <v>20261746625/2024</v>
      </c>
      <c r="I415" s="24">
        <f>IFERROR(INDEX(Atualizações!$Q$1:$Q$1265,MATCH(H415,Atualizações!$P$1:$P$1265,0)),"0")</f>
        <v>1</v>
      </c>
      <c r="J41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6" spans="1:10" ht="75">
      <c r="A416" s="24" t="s">
        <v>865</v>
      </c>
      <c r="B416" s="5" t="str">
        <f>IFERROR(INDEX(Projetos!$B$3:$B$129,MATCH(Tb_Alinhamento[[#This Row],[SEI]],Projetos!$A$3:$A$129,0))," ")</f>
        <v>Articulação Internacional e Proteção dos Direitos Humanos</v>
      </c>
      <c r="C416" s="2" t="s">
        <v>75</v>
      </c>
      <c r="D416" t="str">
        <f>$E$1&amp;Tb_Alinhamento[[#This Row],[SEI]]</f>
        <v>20241746625/2024</v>
      </c>
      <c r="E416" s="24">
        <f>IFERROR(INDEX(Atualizações!$Q$1:$Q$1265,MATCH(D416,Atualizações!$P$1:$P$1265,0)),"0")</f>
        <v>1</v>
      </c>
      <c r="F416" t="str">
        <f>$G$1&amp;Tb_Alinhamento[[#This Row],[SEI]]</f>
        <v>20251746625/2024</v>
      </c>
      <c r="G416" s="24">
        <f>IFERROR(INDEX(Atualizações!$Q$1:$Q$1265,MATCH(F416,Atualizações!$P$1:$P$1265,0)),"0")</f>
        <v>1</v>
      </c>
      <c r="H416" t="str">
        <f>$I$1&amp;Tb_Alinhamento[[#This Row],[SEI]]</f>
        <v>20261746625/2024</v>
      </c>
      <c r="I416" s="24">
        <f>IFERROR(INDEX(Atualizações!$Q$1:$Q$1265,MATCH(H416,Atualizações!$P$1:$P$1265,0)),"0")</f>
        <v>1</v>
      </c>
      <c r="J41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7" spans="1:10" ht="30">
      <c r="A417" s="51" t="s">
        <v>728</v>
      </c>
      <c r="B417" s="5" t="str">
        <f>IFERROR(INDEX(Projetos!$B$3:$B$129,MATCH(Tb_Alinhamento[[#This Row],[SEI]],Projetos!$A$3:$A$129,0))," ")</f>
        <v>Programa de Acessibilidade e Inclusão do Conselho Nacional de Justiça (CNJ)</v>
      </c>
      <c r="C417" s="2" t="s">
        <v>305</v>
      </c>
      <c r="D417" t="str">
        <f>$E$1&amp;Tb_Alinhamento[[#This Row],[SEI]]</f>
        <v>202415844/2024</v>
      </c>
      <c r="E417" s="24" t="str">
        <f>IFERROR(INDEX(Atualizações!$Q$1:$Q$1265,MATCH(D417,Atualizações!$P$1:$P$1265,0)),"0")</f>
        <v>0</v>
      </c>
      <c r="F417" t="str">
        <f>$G$1&amp;Tb_Alinhamento[[#This Row],[SEI]]</f>
        <v>202515844/2024</v>
      </c>
      <c r="G417" s="24">
        <f>IFERROR(INDEX(Atualizações!$Q$1:$Q$1265,MATCH(F417,Atualizações!$P$1:$P$1265,0)),"0")</f>
        <v>1</v>
      </c>
      <c r="H417" t="str">
        <f>$I$1&amp;Tb_Alinhamento[[#This Row],[SEI]]</f>
        <v>202615844/2024</v>
      </c>
      <c r="I417" s="24">
        <f>IFERROR(INDEX(Atualizações!$Q$1:$Q$1265,MATCH(H417,Atualizações!$P$1:$P$1265,0)),"0")</f>
        <v>1</v>
      </c>
      <c r="J41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8" spans="1:10" ht="30">
      <c r="A418" s="24" t="s">
        <v>714</v>
      </c>
      <c r="B418" s="5" t="str">
        <f>IFERROR(INDEX(Projetos!$B$3:$B$129,MATCH(Tb_Alinhamento[[#This Row],[SEI]],Projetos!$A$3:$A$129,0))," ")</f>
        <v>Programa Novos Caminhos</v>
      </c>
      <c r="C418" s="2" t="s">
        <v>240</v>
      </c>
      <c r="D418" t="str">
        <f>$E$1&amp;Tb_Alinhamento[[#This Row],[SEI]]</f>
        <v>202414204/2024</v>
      </c>
      <c r="E418" s="24">
        <f>IFERROR(INDEX(Atualizações!$Q$1:$Q$1265,MATCH(D418,Atualizações!$P$1:$P$1265,0)),"0")</f>
        <v>1</v>
      </c>
      <c r="F418" t="str">
        <f>$G$1&amp;Tb_Alinhamento[[#This Row],[SEI]]</f>
        <v>202514204/2024</v>
      </c>
      <c r="G418" s="24">
        <f>IFERROR(INDEX(Atualizações!$Q$1:$Q$1265,MATCH(F418,Atualizações!$P$1:$P$1265,0)),"0")</f>
        <v>1</v>
      </c>
      <c r="H418" t="str">
        <f>$I$1&amp;Tb_Alinhamento[[#This Row],[SEI]]</f>
        <v>202614204/2024</v>
      </c>
      <c r="I418" s="24">
        <f>IFERROR(INDEX(Atualizações!$Q$1:$Q$1265,MATCH(H418,Atualizações!$P$1:$P$1265,0)),"0")</f>
        <v>1</v>
      </c>
      <c r="J41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19" spans="1:10" ht="45">
      <c r="A419" s="24" t="s">
        <v>722</v>
      </c>
      <c r="B419" s="5" t="str">
        <f>_xlfn.XLOOKUP(Tb_Alinhamento[[#This Row],[SEI]],Tb_Portfólio[SEI],Tb_Portfólio[PROJETO],"Não cadastrado")</f>
        <v>Serviços Estruturantes - Melhorias Evolutivas e Corretivas</v>
      </c>
      <c r="C419" s="7" t="s">
        <v>165</v>
      </c>
      <c r="D419" t="str">
        <f>$E$1&amp;Tb_Alinhamento[[#This Row],[SEI]]</f>
        <v>202414965/2024</v>
      </c>
      <c r="E419" s="24" t="str">
        <f>IFERROR(INDEX(Atualizações!$Q$1:$Q$1265,MATCH(D419,Atualizações!$P$1:$P$1265,0)),"0")</f>
        <v>0</v>
      </c>
      <c r="F419" t="str">
        <f>$G$1&amp;Tb_Alinhamento[[#This Row],[SEI]]</f>
        <v>202514965/2024</v>
      </c>
      <c r="G419" s="24">
        <f>IFERROR(INDEX(Atualizações!$Q$1:$Q$1265,MATCH(F419,Atualizações!$P$1:$P$1265,0)),"0")</f>
        <v>1</v>
      </c>
      <c r="H419" t="str">
        <f>$I$1&amp;Tb_Alinhamento[[#This Row],[SEI]]</f>
        <v>202614965/2024</v>
      </c>
      <c r="I419" s="24">
        <f>IFERROR(INDEX(Atualizações!$Q$1:$Q$1265,MATCH(H419,Atualizações!$P$1:$P$1265,0)),"0")</f>
        <v>1</v>
      </c>
      <c r="J41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0" spans="1:10" ht="30">
      <c r="A420" s="24" t="s">
        <v>58</v>
      </c>
      <c r="B420" s="5" t="str">
        <f>_xlfn.XLOOKUP(Tb_Alinhamento[[#This Row],[SEI]],Tb_Portfólio[SEI],Tb_Portfólio[PROJETO],"Não cadastrado")</f>
        <v>Phase-out: Transição Projetos X Operação</v>
      </c>
      <c r="C420" s="2" t="s">
        <v>62</v>
      </c>
      <c r="D420" t="str">
        <f>$E$1&amp;Tb_Alinhamento[[#This Row],[SEI]]</f>
        <v>202400030/2025</v>
      </c>
      <c r="E420" s="24" t="str">
        <f>IFERROR(INDEX(Atualizações!$Q$1:$Q$1265,MATCH(D420,Atualizações!$P$1:$P$1265,0)),"0")</f>
        <v>0</v>
      </c>
      <c r="F420" t="str">
        <f>$G$1&amp;Tb_Alinhamento[[#This Row],[SEI]]</f>
        <v>202500030/2025</v>
      </c>
      <c r="G420" s="24">
        <f>IFERROR(INDEX(Atualizações!$Q$1:$Q$1265,MATCH(F420,Atualizações!$P$1:$P$1265,0)),"0")</f>
        <v>1</v>
      </c>
      <c r="H420" t="str">
        <f>$I$1&amp;Tb_Alinhamento[[#This Row],[SEI]]</f>
        <v>202600030/2025</v>
      </c>
      <c r="I420" s="24">
        <f>IFERROR(INDEX(Atualizações!$Q$1:$Q$1265,MATCH(H420,Atualizações!$P$1:$P$1265,0)),"0")</f>
        <v>1</v>
      </c>
      <c r="J42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1" spans="1:10" ht="45">
      <c r="A421" s="24" t="s">
        <v>517</v>
      </c>
      <c r="B421" s="5" t="str">
        <f>_xlfn.XLOOKUP(Tb_Alinhamento[[#This Row],[SEI]],Tb_Portfólio[SEI],Tb_Portfólio[PROJETO],"Não cadastrado")</f>
        <v>Domicílio Judicial Eletrônico - Melhorias Evolutivas</v>
      </c>
      <c r="C421" s="7" t="s">
        <v>165</v>
      </c>
      <c r="D421" t="str">
        <f>$E$1&amp;Tb_Alinhamento[[#This Row],[SEI]]</f>
        <v>202409445/2023</v>
      </c>
      <c r="E421" s="24" t="str">
        <f>IFERROR(INDEX(Atualizações!$Q$1:$Q$1265,MATCH(D421,Atualizações!$P$1:$P$1265,0)),"0")</f>
        <v>0</v>
      </c>
      <c r="F421" t="str">
        <f>$G$1&amp;Tb_Alinhamento[[#This Row],[SEI]]</f>
        <v>202509445/2023</v>
      </c>
      <c r="G421" s="24">
        <f>IFERROR(INDEX(Atualizações!$Q$1:$Q$1265,MATCH(F421,Atualizações!$P$1:$P$1265,0)),"0")</f>
        <v>1</v>
      </c>
      <c r="H421" t="str">
        <f>$I$1&amp;Tb_Alinhamento[[#This Row],[SEI]]</f>
        <v>202609445/2023</v>
      </c>
      <c r="I421" s="24">
        <f>IFERROR(INDEX(Atualizações!$Q$1:$Q$1265,MATCH(H421,Atualizações!$P$1:$P$1265,0)),"0")</f>
        <v>1</v>
      </c>
      <c r="J42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2" spans="1:10" ht="45">
      <c r="A422" s="24" t="s">
        <v>396</v>
      </c>
      <c r="B422" s="5" t="str">
        <f>_xlfn.XLOOKUP(Tb_Alinhamento[[#This Row],[SEI]],Tb_Portfólio[SEI],Tb_Portfólio[PROJETO],"Não cadastrado")</f>
        <v>CODEX - Melhorias Evolutivas e Corretivas</v>
      </c>
      <c r="C422" s="19" t="s">
        <v>165</v>
      </c>
      <c r="D422" t="str">
        <f>$E$1&amp;Tb_Alinhamento[[#This Row],[SEI]]</f>
        <v>202404751/2022</v>
      </c>
      <c r="E422" s="24" t="str">
        <f>IFERROR(INDEX(Atualizações!$Q$1:$Q$1265,MATCH(D422,Atualizações!$P$1:$P$1265,0)),"0")</f>
        <v>0</v>
      </c>
      <c r="F422" t="str">
        <f>$G$1&amp;Tb_Alinhamento[[#This Row],[SEI]]</f>
        <v>202504751/2022</v>
      </c>
      <c r="G422" s="24">
        <f>IFERROR(INDEX(Atualizações!$Q$1:$Q$1265,MATCH(F422,Atualizações!$P$1:$P$1265,0)),"0")</f>
        <v>1</v>
      </c>
      <c r="H422" t="str">
        <f>$I$1&amp;Tb_Alinhamento[[#This Row],[SEI]]</f>
        <v>202604751/2022</v>
      </c>
      <c r="I422" s="24">
        <f>IFERROR(INDEX(Atualizações!$Q$1:$Q$1265,MATCH(H422,Atualizações!$P$1:$P$1265,0)),"0")</f>
        <v>1</v>
      </c>
      <c r="J42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3" spans="1:10" ht="30">
      <c r="A423" s="24" t="s">
        <v>580</v>
      </c>
      <c r="B423" s="5" t="str">
        <f>_xlfn.XLOOKUP(Tb_Alinhamento[[#This Row],[SEI]],Tb_Portfólio[SEI],Tb_Portfólio[PROJETO],"Não cadastrado")</f>
        <v>SireneJud 2.0 - Evoluções</v>
      </c>
      <c r="C423" s="8" t="s">
        <v>390</v>
      </c>
      <c r="D423" t="str">
        <f>$E$1&amp;Tb_Alinhamento[[#This Row],[SEI]]</f>
        <v>202410698/2024</v>
      </c>
      <c r="E423" s="24" t="str">
        <f>IFERROR(INDEX(Atualizações!$Q$1:$Q$1265,MATCH(D423,Atualizações!$P$1:$P$1265,0)),"0")</f>
        <v>0</v>
      </c>
      <c r="F423" t="str">
        <f>$G$1&amp;Tb_Alinhamento[[#This Row],[SEI]]</f>
        <v>202510698/2024</v>
      </c>
      <c r="G423" s="24">
        <f>IFERROR(INDEX(Atualizações!$Q$1:$Q$1265,MATCH(F423,Atualizações!$P$1:$P$1265,0)),"0")</f>
        <v>1</v>
      </c>
      <c r="H423" t="str">
        <f>$I$1&amp;Tb_Alinhamento[[#This Row],[SEI]]</f>
        <v>202610698/2024</v>
      </c>
      <c r="I423" s="24">
        <f>IFERROR(INDEX(Atualizações!$Q$1:$Q$1265,MATCH(H423,Atualizações!$P$1:$P$1265,0)),"0")</f>
        <v>1</v>
      </c>
      <c r="J42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4" spans="1:10" ht="30">
      <c r="A424" s="24" t="s">
        <v>580</v>
      </c>
      <c r="B424" s="5" t="str">
        <f>_xlfn.XLOOKUP(Tb_Alinhamento[[#This Row],[SEI]],Tb_Portfólio[SEI],Tb_Portfólio[PROJETO],"Não cadastrado")</f>
        <v>SireneJud 2.0 - Evoluções</v>
      </c>
      <c r="C424" s="7" t="s">
        <v>305</v>
      </c>
      <c r="D424" t="str">
        <f>$E$1&amp;Tb_Alinhamento[[#This Row],[SEI]]</f>
        <v>202410698/2024</v>
      </c>
      <c r="E424" s="24" t="str">
        <f>IFERROR(INDEX(Atualizações!$Q$1:$Q$1265,MATCH(D424,Atualizações!$P$1:$P$1265,0)),"0")</f>
        <v>0</v>
      </c>
      <c r="F424" t="str">
        <f>$G$1&amp;Tb_Alinhamento[[#This Row],[SEI]]</f>
        <v>202510698/2024</v>
      </c>
      <c r="G424" s="24">
        <f>IFERROR(INDEX(Atualizações!$Q$1:$Q$1265,MATCH(F424,Atualizações!$P$1:$P$1265,0)),"0")</f>
        <v>1</v>
      </c>
      <c r="H424" t="str">
        <f>$I$1&amp;Tb_Alinhamento[[#This Row],[SEI]]</f>
        <v>202610698/2024</v>
      </c>
      <c r="I424" s="24">
        <f>IFERROR(INDEX(Atualizações!$Q$1:$Q$1265,MATCH(H424,Atualizações!$P$1:$P$1265,0)),"0")</f>
        <v>1</v>
      </c>
      <c r="J42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5" spans="1:10" ht="30">
      <c r="A425" s="24" t="s">
        <v>773</v>
      </c>
      <c r="B425" s="5" t="str">
        <f>_xlfn.XLOOKUP(Tb_Alinhamento[[#This Row],[SEI]],Tb_Portfólio[SEI],Tb_Portfólio[PROJETO],"Não cadastrado")</f>
        <v>API de Pessoas</v>
      </c>
      <c r="C425" s="7" t="s">
        <v>88</v>
      </c>
      <c r="D425" t="str">
        <f>$E$1&amp;Tb_Alinhamento[[#This Row],[SEI]]</f>
        <v xml:space="preserve">202417372/2024 </v>
      </c>
      <c r="E425" s="24" t="str">
        <f>IFERROR(INDEX(Atualizações!$Q$1:$Q$1265,MATCH(D425,Atualizações!$P$1:$P$1265,0)),"0")</f>
        <v>0</v>
      </c>
      <c r="F425" t="str">
        <f>$G$1&amp;Tb_Alinhamento[[#This Row],[SEI]]</f>
        <v xml:space="preserve">202517372/2024 </v>
      </c>
      <c r="G425" s="24">
        <f>IFERROR(INDEX(Atualizações!$Q$1:$Q$1265,MATCH(F425,Atualizações!$P$1:$P$1265,0)),"0")</f>
        <v>1</v>
      </c>
      <c r="H425" t="str">
        <f>$I$1&amp;Tb_Alinhamento[[#This Row],[SEI]]</f>
        <v xml:space="preserve">202617372/2024 </v>
      </c>
      <c r="I425" s="24">
        <f>IFERROR(INDEX(Atualizações!$Q$1:$Q$1265,MATCH(H425,Atualizações!$P$1:$P$1265,0)),"0")</f>
        <v>1</v>
      </c>
      <c r="J42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6" spans="1:10" ht="45">
      <c r="A426" s="24" t="s">
        <v>773</v>
      </c>
      <c r="B426" s="5" t="str">
        <f>_xlfn.XLOOKUP(Tb_Alinhamento[[#This Row],[SEI]],Tb_Portfólio[SEI],Tb_Portfólio[PROJETO],"Não cadastrado")</f>
        <v>API de Pessoas</v>
      </c>
      <c r="C426" s="2" t="s">
        <v>165</v>
      </c>
      <c r="D426" t="str">
        <f>$E$1&amp;Tb_Alinhamento[[#This Row],[SEI]]</f>
        <v xml:space="preserve">202417372/2024 </v>
      </c>
      <c r="E426" s="24" t="str">
        <f>IFERROR(INDEX(Atualizações!$Q$1:$Q$1265,MATCH(D426,Atualizações!$P$1:$P$1265,0)),"0")</f>
        <v>0</v>
      </c>
      <c r="F426" t="str">
        <f>$G$1&amp;Tb_Alinhamento[[#This Row],[SEI]]</f>
        <v xml:space="preserve">202517372/2024 </v>
      </c>
      <c r="G426" s="24">
        <f>IFERROR(INDEX(Atualizações!$Q$1:$Q$1265,MATCH(F426,Atualizações!$P$1:$P$1265,0)),"0")</f>
        <v>1</v>
      </c>
      <c r="H426" t="str">
        <f>$I$1&amp;Tb_Alinhamento[[#This Row],[SEI]]</f>
        <v xml:space="preserve">202617372/2024 </v>
      </c>
      <c r="I426" s="24">
        <f>IFERROR(INDEX(Atualizações!$Q$1:$Q$1265,MATCH(H426,Atualizações!$P$1:$P$1265,0)),"0")</f>
        <v>1</v>
      </c>
      <c r="J42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7" spans="1:10" ht="60">
      <c r="A427" s="24" t="s">
        <v>219</v>
      </c>
      <c r="B427" s="5" t="str">
        <f>_xlfn.XLOOKUP(Tb_Alinhamento[[#This Row],[SEI]],Tb_Portfólio[SEI],Tb_Portfólio[PROJETO],"Não cadastrado")</f>
        <v xml:space="preserve">Aperfeiçoamento funcional em temáticas prioritárias para o CNJ e para Justiça Federal 
(cursos, capacitações, metodologias e ferramentas avançados) – Ciclo Avançado </v>
      </c>
      <c r="C427" s="2" t="s">
        <v>88</v>
      </c>
      <c r="D427" t="str">
        <f>$E$1&amp;Tb_Alinhamento[[#This Row],[SEI]]</f>
        <v>202402024/2024</v>
      </c>
      <c r="E427" s="24" t="str">
        <f>IFERROR(INDEX(Atualizações!$Q$1:$Q$1265,MATCH(D427,Atualizações!$P$1:$P$1265,0)),"0")</f>
        <v>0</v>
      </c>
      <c r="F427" t="str">
        <f>$G$1&amp;Tb_Alinhamento[[#This Row],[SEI]]</f>
        <v>202502024/2024</v>
      </c>
      <c r="G427" s="24">
        <f>IFERROR(INDEX(Atualizações!$Q$1:$Q$1265,MATCH(F427,Atualizações!$P$1:$P$1265,0)),"0")</f>
        <v>1</v>
      </c>
      <c r="H427" t="str">
        <f>$I$1&amp;Tb_Alinhamento[[#This Row],[SEI]]</f>
        <v>202602024/2024</v>
      </c>
      <c r="I427" s="24">
        <f>IFERROR(INDEX(Atualizações!$Q$1:$Q$1265,MATCH(H427,Atualizações!$P$1:$P$1265,0)),"0")</f>
        <v>1</v>
      </c>
      <c r="J42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8" spans="1:10" ht="60">
      <c r="A428" s="24" t="s">
        <v>219</v>
      </c>
      <c r="B428" s="5" t="str">
        <f>_xlfn.XLOOKUP(Tb_Alinhamento[[#This Row],[SEI]],Tb_Portfólio[SEI],Tb_Portfólio[PROJETO],"Não cadastrado")</f>
        <v xml:space="preserve">Aperfeiçoamento funcional em temáticas prioritárias para o CNJ e para Justiça Federal 
(cursos, capacitações, metodologias e ferramentas avançados) – Ciclo Avançado </v>
      </c>
      <c r="C428" s="19" t="s">
        <v>213</v>
      </c>
      <c r="D428" t="str">
        <f>$E$1&amp;Tb_Alinhamento[[#This Row],[SEI]]</f>
        <v>202402024/2024</v>
      </c>
      <c r="E428" s="24" t="str">
        <f>IFERROR(INDEX(Atualizações!$Q$1:$Q$1265,MATCH(D428,Atualizações!$P$1:$P$1265,0)),"0")</f>
        <v>0</v>
      </c>
      <c r="F428" t="str">
        <f>$G$1&amp;Tb_Alinhamento[[#This Row],[SEI]]</f>
        <v>202502024/2024</v>
      </c>
      <c r="G428" s="24">
        <f>IFERROR(INDEX(Atualizações!$Q$1:$Q$1265,MATCH(F428,Atualizações!$P$1:$P$1265,0)),"0")</f>
        <v>1</v>
      </c>
      <c r="H428" t="str">
        <f>$I$1&amp;Tb_Alinhamento[[#This Row],[SEI]]</f>
        <v>202602024/2024</v>
      </c>
      <c r="I428" s="24">
        <f>IFERROR(INDEX(Atualizações!$Q$1:$Q$1265,MATCH(H428,Atualizações!$P$1:$P$1265,0)),"0")</f>
        <v>1</v>
      </c>
      <c r="J42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29" spans="1:10" ht="30">
      <c r="A429" s="24" t="s">
        <v>661</v>
      </c>
      <c r="B429" s="5" t="str">
        <f>_xlfn.XLOOKUP(Tb_Alinhamento[[#This Row],[SEI]],Tb_Portfólio[SEI],Tb_Portfólio[PROJETO],"Não cadastrado")</f>
        <v>BNMP – Banco Nacional de Medidas Penais e Prisões – Melhorias Evolutivas</v>
      </c>
      <c r="C429" s="7" t="s">
        <v>240</v>
      </c>
      <c r="D429" t="str">
        <f>$E$1&amp;Tb_Alinhamento[[#This Row],[SEI]]</f>
        <v>202411776/2024</v>
      </c>
      <c r="E429" s="24" t="str">
        <f>IFERROR(INDEX(Atualizações!$Q$1:$Q$1265,MATCH(D429,Atualizações!$P$1:$P$1265,0)),"0")</f>
        <v>0</v>
      </c>
      <c r="F429" t="str">
        <f>$G$1&amp;Tb_Alinhamento[[#This Row],[SEI]]</f>
        <v>202511776/2024</v>
      </c>
      <c r="G429" s="24">
        <f>IFERROR(INDEX(Atualizações!$Q$1:$Q$1265,MATCH(F429,Atualizações!$P$1:$P$1265,0)),"0")</f>
        <v>1</v>
      </c>
      <c r="H429" t="str">
        <f>$I$1&amp;Tb_Alinhamento[[#This Row],[SEI]]</f>
        <v>202611776/2024</v>
      </c>
      <c r="I429" s="24">
        <f>IFERROR(INDEX(Atualizações!$Q$1:$Q$1265,MATCH(H429,Atualizações!$P$1:$P$1265,0)),"0")</f>
        <v>1</v>
      </c>
      <c r="J42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0" spans="1:10" ht="30">
      <c r="A430" s="24" t="s">
        <v>152</v>
      </c>
      <c r="B430" s="5" t="str">
        <f>_xlfn.XLOOKUP(Tb_Alinhamento[[#This Row],[SEI]],Tb_Portfólio[SEI],Tb_Portfólio[PROJETO],"Não cadastrado")</f>
        <v>Painel da Fazenda Nacional.</v>
      </c>
      <c r="C430" s="7" t="s">
        <v>88</v>
      </c>
      <c r="D430" t="str">
        <f>$E$1&amp;Tb_Alinhamento[[#This Row],[SEI]]</f>
        <v>202401247/2025</v>
      </c>
      <c r="E430" s="24" t="str">
        <f>IFERROR(INDEX(Atualizações!$Q$1:$Q$1265,MATCH(D430,Atualizações!$P$1:$P$1265,0)),"0")</f>
        <v>0</v>
      </c>
      <c r="F430" t="str">
        <f>$G$1&amp;Tb_Alinhamento[[#This Row],[SEI]]</f>
        <v>202501247/2025</v>
      </c>
      <c r="G430" s="24">
        <f>IFERROR(INDEX(Atualizações!$Q$1:$Q$1265,MATCH(F430,Atualizações!$P$1:$P$1265,0)),"0")</f>
        <v>1</v>
      </c>
      <c r="H430" t="str">
        <f>$I$1&amp;Tb_Alinhamento[[#This Row],[SEI]]</f>
        <v>202601247/2025</v>
      </c>
      <c r="I430" s="24">
        <f>IFERROR(INDEX(Atualizações!$Q$1:$Q$1265,MATCH(H430,Atualizações!$P$1:$P$1265,0)),"0")</f>
        <v>1</v>
      </c>
      <c r="J43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1" spans="1:10" ht="30">
      <c r="A431" s="24" t="s">
        <v>152</v>
      </c>
      <c r="B431" s="5" t="str">
        <f>_xlfn.XLOOKUP(Tb_Alinhamento[[#This Row],[SEI]],Tb_Portfólio[SEI],Tb_Portfólio[PROJETO],"Não cadastrado")</f>
        <v>Painel da Fazenda Nacional.</v>
      </c>
      <c r="C431" s="2" t="s">
        <v>672</v>
      </c>
      <c r="D431" t="str">
        <f>$E$1&amp;Tb_Alinhamento[[#This Row],[SEI]]</f>
        <v>202401247/2025</v>
      </c>
      <c r="E431" s="24" t="str">
        <f>IFERROR(INDEX(Atualizações!$Q$1:$Q$1265,MATCH(D431,Atualizações!$P$1:$P$1265,0)),"0")</f>
        <v>0</v>
      </c>
      <c r="F431" t="str">
        <f>$G$1&amp;Tb_Alinhamento[[#This Row],[SEI]]</f>
        <v>202501247/2025</v>
      </c>
      <c r="G431" s="24">
        <f>IFERROR(INDEX(Atualizações!$Q$1:$Q$1265,MATCH(F431,Atualizações!$P$1:$P$1265,0)),"0")</f>
        <v>1</v>
      </c>
      <c r="H431" t="str">
        <f>$I$1&amp;Tb_Alinhamento[[#This Row],[SEI]]</f>
        <v>202601247/2025</v>
      </c>
      <c r="I431" s="24">
        <f>IFERROR(INDEX(Atualizações!$Q$1:$Q$1265,MATCH(H431,Atualizações!$P$1:$P$1265,0)),"0")</f>
        <v>1</v>
      </c>
      <c r="J43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2" spans="1:10">
      <c r="A432" s="24" t="s">
        <v>152</v>
      </c>
      <c r="B432" s="5" t="str">
        <f>_xlfn.XLOOKUP(Tb_Alinhamento[[#This Row],[SEI]],Tb_Portfólio[SEI],Tb_Portfólio[PROJETO],"Não cadastrado")</f>
        <v>Painel da Fazenda Nacional.</v>
      </c>
      <c r="C432" s="7" t="s">
        <v>104</v>
      </c>
      <c r="D432" t="str">
        <f>$E$1&amp;Tb_Alinhamento[[#This Row],[SEI]]</f>
        <v>202401247/2025</v>
      </c>
      <c r="E432" s="24" t="str">
        <f>IFERROR(INDEX(Atualizações!$Q$1:$Q$1265,MATCH(D432,Atualizações!$P$1:$P$1265,0)),"0")</f>
        <v>0</v>
      </c>
      <c r="F432" t="str">
        <f>$G$1&amp;Tb_Alinhamento[[#This Row],[SEI]]</f>
        <v>202501247/2025</v>
      </c>
      <c r="G432" s="24">
        <f>IFERROR(INDEX(Atualizações!$Q$1:$Q$1265,MATCH(F432,Atualizações!$P$1:$P$1265,0)),"0")</f>
        <v>1</v>
      </c>
      <c r="H432" t="str">
        <f>$I$1&amp;Tb_Alinhamento[[#This Row],[SEI]]</f>
        <v>202601247/2025</v>
      </c>
      <c r="I432" s="24">
        <f>IFERROR(INDEX(Atualizações!$Q$1:$Q$1265,MATCH(H432,Atualizações!$P$1:$P$1265,0)),"0")</f>
        <v>1</v>
      </c>
      <c r="J43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3" spans="1:10" ht="30">
      <c r="A433" s="24" t="s">
        <v>652</v>
      </c>
      <c r="B433" s="5" t="str">
        <f>_xlfn.XLOOKUP(Tb_Alinhamento[[#This Row],[SEI]],Tb_Portfólio[SEI],Tb_Portfólio[PROJETO],"Não cadastrado")</f>
        <v>Projeto Piloto – Rede de Apoio para Avaliação Externa, com base no IA-CM</v>
      </c>
      <c r="C433" s="19" t="s">
        <v>346</v>
      </c>
      <c r="D433" t="str">
        <f>$E$1&amp;Tb_Alinhamento[[#This Row],[SEI]]</f>
        <v>202411729/2025</v>
      </c>
      <c r="E433" s="24" t="str">
        <f>IFERROR(INDEX(Atualizações!$Q$1:$Q$1265,MATCH(D433,Atualizações!$P$1:$P$1265,0)),"0")</f>
        <v>0</v>
      </c>
      <c r="F433" t="str">
        <f>$G$1&amp;Tb_Alinhamento[[#This Row],[SEI]]</f>
        <v>202511729/2025</v>
      </c>
      <c r="G433" s="24">
        <f>IFERROR(INDEX(Atualizações!$Q$1:$Q$1265,MATCH(F433,Atualizações!$P$1:$P$1265,0)),"0")</f>
        <v>1</v>
      </c>
      <c r="H433" t="str">
        <f>$I$1&amp;Tb_Alinhamento[[#This Row],[SEI]]</f>
        <v>202611729/2025</v>
      </c>
      <c r="I433" s="24">
        <f>IFERROR(INDEX(Atualizações!$Q$1:$Q$1265,MATCH(H433,Atualizações!$P$1:$P$1265,0)),"0")</f>
        <v>1</v>
      </c>
      <c r="J43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4" spans="1:10" ht="45">
      <c r="A434" s="133" t="s">
        <v>189</v>
      </c>
      <c r="B434" s="5" t="str">
        <f>_xlfn.XLOOKUP(Tb_Alinhamento[[#This Row],[SEI]],Tb_Portfólio[SEI],Tb_Portfólio[PROJETO],"Não cadastrado")</f>
        <v>Gestão de Clientes</v>
      </c>
      <c r="C434" s="2" t="s">
        <v>165</v>
      </c>
      <c r="D434" t="str">
        <f>$E$1&amp;Tb_Alinhamento[[#This Row],[SEI]]</f>
        <v>202401809/2025</v>
      </c>
      <c r="E434" s="24" t="str">
        <f>IFERROR(INDEX(Atualizações!$Q$1:$Q$1265,MATCH(D434,Atualizações!$P$1:$P$1265,0)),"0")</f>
        <v>0</v>
      </c>
      <c r="F434" t="str">
        <f>$G$1&amp;Tb_Alinhamento[[#This Row],[SEI]]</f>
        <v>202501809/2025</v>
      </c>
      <c r="G434" s="24">
        <f>IFERROR(INDEX(Atualizações!$Q$1:$Q$1265,MATCH(F434,Atualizações!$P$1:$P$1265,0)),"0")</f>
        <v>1</v>
      </c>
      <c r="H434" t="str">
        <f>$I$1&amp;Tb_Alinhamento[[#This Row],[SEI]]</f>
        <v>202601809/2025</v>
      </c>
      <c r="I434" s="24">
        <f>IFERROR(INDEX(Atualizações!$Q$1:$Q$1265,MATCH(H434,Atualizações!$P$1:$P$1265,0)),"0")</f>
        <v>1</v>
      </c>
      <c r="J43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5" spans="1:10" ht="30">
      <c r="A435" s="24" t="s">
        <v>198</v>
      </c>
      <c r="B435" s="5" t="str">
        <f>_xlfn.XLOOKUP(Tb_Alinhamento[[#This Row],[SEI]],Tb_Portfólio[SEI],Tb_Portfólio[PROJETO],"Não cadastrado")</f>
        <v>Desenvolvimento de um Conjunto de Solução em Gestão de Dados para a Corregedoria Nacional de Justiça</v>
      </c>
      <c r="C435" s="2" t="s">
        <v>204</v>
      </c>
      <c r="D435" t="str">
        <f>$E$1&amp;Tb_Alinhamento[[#This Row],[SEI]]</f>
        <v>202401913/2025</v>
      </c>
      <c r="E435" s="24" t="str">
        <f>IFERROR(INDEX(Atualizações!$Q$1:$Q$1265,MATCH(D435,Atualizações!$P$1:$P$1265,0)),"0")</f>
        <v>0</v>
      </c>
      <c r="F435" t="str">
        <f>$G$1&amp;Tb_Alinhamento[[#This Row],[SEI]]</f>
        <v>202501913/2025</v>
      </c>
      <c r="G435" s="24">
        <f>IFERROR(INDEX(Atualizações!$Q$1:$Q$1265,MATCH(F435,Atualizações!$P$1:$P$1265,0)),"0")</f>
        <v>1</v>
      </c>
      <c r="H435" t="str">
        <f>$I$1&amp;Tb_Alinhamento[[#This Row],[SEI]]</f>
        <v>202601913/2025</v>
      </c>
      <c r="I435" s="24">
        <f>IFERROR(INDEX(Atualizações!$Q$1:$Q$1265,MATCH(H435,Atualizações!$P$1:$P$1265,0)),"0")</f>
        <v>1</v>
      </c>
      <c r="J43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6" spans="1:10" ht="45">
      <c r="A436" s="24" t="s">
        <v>738</v>
      </c>
      <c r="B436" s="5" t="str">
        <f>_xlfn.XLOOKUP(Tb_Alinhamento[[#This Row],[SEI]],Tb_Portfólio[SEI],Tb_Portfólio[PROJETO],"Não cadastrado")</f>
        <v>FONAR - Formulário Nacional de Avaliação de Risco e Formulário Rogéria</v>
      </c>
      <c r="C436" s="19" t="s">
        <v>165</v>
      </c>
      <c r="D436" t="str">
        <f>$E$1&amp;Tb_Alinhamento[[#This Row],[SEI]]</f>
        <v>202416319/2024</v>
      </c>
      <c r="E436" s="24" t="str">
        <f>IFERROR(INDEX(Atualizações!$Q$1:$Q$1265,MATCH(D436,Atualizações!$P$1:$P$1265,0)),"0")</f>
        <v>0</v>
      </c>
      <c r="F436" t="str">
        <f>$G$1&amp;Tb_Alinhamento[[#This Row],[SEI]]</f>
        <v>202516319/2024</v>
      </c>
      <c r="G436" s="24">
        <f>IFERROR(INDEX(Atualizações!$Q$1:$Q$1265,MATCH(F436,Atualizações!$P$1:$P$1265,0)),"0")</f>
        <v>1</v>
      </c>
      <c r="H436" t="str">
        <f>$I$1&amp;Tb_Alinhamento[[#This Row],[SEI]]</f>
        <v>202616319/2024</v>
      </c>
      <c r="I436" s="24">
        <f>IFERROR(INDEX(Atualizações!$Q$1:$Q$1265,MATCH(H436,Atualizações!$P$1:$P$1265,0)),"0")</f>
        <v>1</v>
      </c>
      <c r="J43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7" spans="1:10" ht="30">
      <c r="A437" s="24" t="s">
        <v>738</v>
      </c>
      <c r="B437" s="5" t="str">
        <f>_xlfn.XLOOKUP(Tb_Alinhamento[[#This Row],[SEI]],Tb_Portfólio[SEI],Tb_Portfólio[PROJETO],"Não cadastrado")</f>
        <v>FONAR - Formulário Nacional de Avaliação de Risco e Formulário Rogéria</v>
      </c>
      <c r="C437" s="2" t="s">
        <v>240</v>
      </c>
      <c r="D437" t="str">
        <f>$E$1&amp;Tb_Alinhamento[[#This Row],[SEI]]</f>
        <v>202416319/2024</v>
      </c>
      <c r="E437" s="24" t="str">
        <f>IFERROR(INDEX(Atualizações!$Q$1:$Q$1265,MATCH(D437,Atualizações!$P$1:$P$1265,0)),"0")</f>
        <v>0</v>
      </c>
      <c r="F437" t="str">
        <f>$G$1&amp;Tb_Alinhamento[[#This Row],[SEI]]</f>
        <v>202516319/2024</v>
      </c>
      <c r="G437" s="24">
        <f>IFERROR(INDEX(Atualizações!$Q$1:$Q$1265,MATCH(F437,Atualizações!$P$1:$P$1265,0)),"0")</f>
        <v>1</v>
      </c>
      <c r="H437" t="str">
        <f>$I$1&amp;Tb_Alinhamento[[#This Row],[SEI]]</f>
        <v>202616319/2024</v>
      </c>
      <c r="I437" s="24">
        <f>IFERROR(INDEX(Atualizações!$Q$1:$Q$1265,MATCH(H437,Atualizações!$P$1:$P$1265,0)),"0")</f>
        <v>1</v>
      </c>
      <c r="J43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8" spans="1:10" ht="30">
      <c r="A438" s="24" t="s">
        <v>738</v>
      </c>
      <c r="B438" s="5" t="str">
        <f>_xlfn.XLOOKUP(Tb_Alinhamento[[#This Row],[SEI]],Tb_Portfólio[SEI],Tb_Portfólio[PROJETO],"Não cadastrado")</f>
        <v>FONAR - Formulário Nacional de Avaliação de Risco e Formulário Rogéria</v>
      </c>
      <c r="C438" s="115" t="s">
        <v>390</v>
      </c>
      <c r="D438" t="str">
        <f>$E$1&amp;Tb_Alinhamento[[#This Row],[SEI]]</f>
        <v>202416319/2024</v>
      </c>
      <c r="E438" s="24" t="str">
        <f>IFERROR(INDEX(Atualizações!$Q$1:$Q$1265,MATCH(D438,Atualizações!$P$1:$P$1265,0)),"0")</f>
        <v>0</v>
      </c>
      <c r="F438" t="str">
        <f>$G$1&amp;Tb_Alinhamento[[#This Row],[SEI]]</f>
        <v>202516319/2024</v>
      </c>
      <c r="G438" s="24">
        <f>IFERROR(INDEX(Atualizações!$Q$1:$Q$1265,MATCH(F438,Atualizações!$P$1:$P$1265,0)),"0")</f>
        <v>1</v>
      </c>
      <c r="H438" t="str">
        <f>$I$1&amp;Tb_Alinhamento[[#This Row],[SEI]]</f>
        <v>202616319/2024</v>
      </c>
      <c r="I438" s="24">
        <f>IFERROR(INDEX(Atualizações!$Q$1:$Q$1265,MATCH(H438,Atualizações!$P$1:$P$1265,0)),"0")</f>
        <v>1</v>
      </c>
      <c r="J43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39" spans="1:10" ht="45">
      <c r="A439" s="24" t="s">
        <v>281</v>
      </c>
      <c r="B439" s="5" t="str">
        <f>_xlfn.XLOOKUP(Tb_Alinhamento[[#This Row],[SEI]],Tb_Portfólio[SEI],Tb_Portfólio[PROJETO],"Não cadastrado")</f>
        <v>Fortalecimento da Segurança Cibernética e da Transparência para Governança e Efetividade da Atuação do Poder Judiciário (Projeto BRA/24/021)</v>
      </c>
      <c r="C439" s="7" t="s">
        <v>165</v>
      </c>
      <c r="D439" t="str">
        <f>$E$1&amp;Tb_Alinhamento[[#This Row],[SEI]]</f>
        <v>202402626/2025</v>
      </c>
      <c r="E439" s="24" t="str">
        <f>IFERROR(INDEX(Atualizações!$Q$1:$Q$1265,MATCH(D439,Atualizações!$P$1:$P$1265,0)),"0")</f>
        <v>0</v>
      </c>
      <c r="F439" t="str">
        <f>$G$1&amp;Tb_Alinhamento[[#This Row],[SEI]]</f>
        <v>202502626/2025</v>
      </c>
      <c r="G439" s="24">
        <f>IFERROR(INDEX(Atualizações!$Q$1:$Q$1265,MATCH(F439,Atualizações!$P$1:$P$1265,0)),"0")</f>
        <v>1</v>
      </c>
      <c r="H439" t="str">
        <f>$I$1&amp;Tb_Alinhamento[[#This Row],[SEI]]</f>
        <v>202602626/2025</v>
      </c>
      <c r="I439" s="24">
        <f>IFERROR(INDEX(Atualizações!$Q$1:$Q$1265,MATCH(H439,Atualizações!$P$1:$P$1265,0)),"0")</f>
        <v>1</v>
      </c>
      <c r="J43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0" spans="1:10" ht="45">
      <c r="A440" s="24" t="s">
        <v>281</v>
      </c>
      <c r="B440" s="5" t="str">
        <f>_xlfn.XLOOKUP(Tb_Alinhamento[[#This Row],[SEI]],Tb_Portfólio[SEI],Tb_Portfólio[PROJETO],"Não cadastrado")</f>
        <v>Fortalecimento da Segurança Cibernética e da Transparência para Governança e Efetividade da Atuação do Poder Judiciário (Projeto BRA/24/021)</v>
      </c>
      <c r="C440" s="7" t="s">
        <v>104</v>
      </c>
      <c r="D440" t="str">
        <f>$E$1&amp;Tb_Alinhamento[[#This Row],[SEI]]</f>
        <v>202402626/2025</v>
      </c>
      <c r="E440" s="24" t="str">
        <f>IFERROR(INDEX(Atualizações!$Q$1:$Q$1265,MATCH(D440,Atualizações!$P$1:$P$1265,0)),"0")</f>
        <v>0</v>
      </c>
      <c r="F440" t="str">
        <f>$G$1&amp;Tb_Alinhamento[[#This Row],[SEI]]</f>
        <v>202502626/2025</v>
      </c>
      <c r="G440" s="24">
        <f>IFERROR(INDEX(Atualizações!$Q$1:$Q$1265,MATCH(F440,Atualizações!$P$1:$P$1265,0)),"0")</f>
        <v>1</v>
      </c>
      <c r="H440" t="str">
        <f>$I$1&amp;Tb_Alinhamento[[#This Row],[SEI]]</f>
        <v>202602626/2025</v>
      </c>
      <c r="I440" s="24">
        <f>IFERROR(INDEX(Atualizações!$Q$1:$Q$1265,MATCH(H440,Atualizações!$P$1:$P$1265,0)),"0")</f>
        <v>1</v>
      </c>
      <c r="J44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1" spans="1:10" ht="30">
      <c r="A441" s="24" t="s">
        <v>917</v>
      </c>
      <c r="B441" s="5" t="str">
        <f>_xlfn.XLOOKUP(Tb_Alinhamento[[#This Row],[SEI]],Tb_Portfólio[SEI],Tb_Portfólio[PROJETO],"Não cadastrado")</f>
        <v>e-NatJus 4.0</v>
      </c>
      <c r="C441" s="2" t="s">
        <v>240</v>
      </c>
      <c r="D441" t="str">
        <f>$E$1&amp;Tb_Alinhamento[[#This Row],[SEI]]</f>
        <v>202417529/2024</v>
      </c>
      <c r="E441" s="24" t="str">
        <f>IFERROR(INDEX(Atualizações!$Q$1:$Q$1265,MATCH(D441,Atualizações!$P$1:$P$1265,0)),"0")</f>
        <v>0</v>
      </c>
      <c r="F441" t="str">
        <f>$G$1&amp;Tb_Alinhamento[[#This Row],[SEI]]</f>
        <v>202517529/2024</v>
      </c>
      <c r="G441" s="24">
        <f>IFERROR(INDEX(Atualizações!$Q$1:$Q$1265,MATCH(F441,Atualizações!$P$1:$P$1265,0)),"0")</f>
        <v>1</v>
      </c>
      <c r="H441" t="str">
        <f>$I$1&amp;Tb_Alinhamento[[#This Row],[SEI]]</f>
        <v>202617529/2024</v>
      </c>
      <c r="I441" s="24">
        <f>IFERROR(INDEX(Atualizações!$Q$1:$Q$1265,MATCH(H441,Atualizações!$P$1:$P$1265,0)),"0")</f>
        <v>1</v>
      </c>
      <c r="J44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2" spans="1:10" ht="45">
      <c r="A442" s="24" t="s">
        <v>917</v>
      </c>
      <c r="B442" s="5" t="str">
        <f>_xlfn.XLOOKUP(Tb_Alinhamento[[#This Row],[SEI]],Tb_Portfólio[SEI],Tb_Portfólio[PROJETO],"Não cadastrado")</f>
        <v>e-NatJus 4.0</v>
      </c>
      <c r="C442" s="2" t="s">
        <v>165</v>
      </c>
      <c r="D442" t="str">
        <f>$E$1&amp;Tb_Alinhamento[[#This Row],[SEI]]</f>
        <v>202417529/2024</v>
      </c>
      <c r="E442" s="24" t="str">
        <f>IFERROR(INDEX(Atualizações!$Q$1:$Q$1265,MATCH(D442,Atualizações!$P$1:$P$1265,0)),"0")</f>
        <v>0</v>
      </c>
      <c r="F442" t="str">
        <f>$G$1&amp;Tb_Alinhamento[[#This Row],[SEI]]</f>
        <v>202517529/2024</v>
      </c>
      <c r="G442" s="24">
        <f>IFERROR(INDEX(Atualizações!$Q$1:$Q$1265,MATCH(F442,Atualizações!$P$1:$P$1265,0)),"0")</f>
        <v>1</v>
      </c>
      <c r="H442" t="str">
        <f>$I$1&amp;Tb_Alinhamento[[#This Row],[SEI]]</f>
        <v>202617529/2024</v>
      </c>
      <c r="I442" s="24">
        <f>IFERROR(INDEX(Atualizações!$Q$1:$Q$1265,MATCH(H442,Atualizações!$P$1:$P$1265,0)),"0")</f>
        <v>1</v>
      </c>
      <c r="J44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3" spans="1:10" ht="75">
      <c r="A443" s="24" t="s">
        <v>766</v>
      </c>
      <c r="B443" s="5" t="s">
        <v>1644</v>
      </c>
      <c r="C443" s="7" t="s">
        <v>75</v>
      </c>
      <c r="D443" t="str">
        <f>$E$1&amp;Tb_Alinhamento[[#This Row],[SEI]]</f>
        <v>202417085/2025</v>
      </c>
      <c r="E443" s="24" t="str">
        <f>IFERROR(INDEX(Atualizações!$Q$1:$Q$1265,MATCH(D443,Atualizações!$P$1:$P$1265,0)),"0")</f>
        <v>0</v>
      </c>
      <c r="F443" t="str">
        <f>$G$1&amp;Tb_Alinhamento[[#This Row],[SEI]]</f>
        <v>202517085/2025</v>
      </c>
      <c r="G443" s="24">
        <f>IFERROR(INDEX(Atualizações!$Q$1:$Q$1265,MATCH(F443,Atualizações!$P$1:$P$1265,0)),"0")</f>
        <v>1</v>
      </c>
      <c r="H443" t="str">
        <f>$I$1&amp;Tb_Alinhamento[[#This Row],[SEI]]</f>
        <v>202617085/2025</v>
      </c>
      <c r="I443" s="24">
        <f>IFERROR(INDEX(Atualizações!$Q$1:$Q$1265,MATCH(H443,Atualizações!$P$1:$P$1265,0)),"0")</f>
        <v>1</v>
      </c>
      <c r="J44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4" spans="1:10" ht="30">
      <c r="A444" s="24" t="s">
        <v>766</v>
      </c>
      <c r="B444" s="5" t="s">
        <v>1644</v>
      </c>
      <c r="C444" s="2" t="s">
        <v>88</v>
      </c>
      <c r="D444" t="str">
        <f>$E$1&amp;Tb_Alinhamento[[#This Row],[SEI]]</f>
        <v>202417085/2025</v>
      </c>
      <c r="E444" s="24" t="str">
        <f>IFERROR(INDEX(Atualizações!$Q$1:$Q$1265,MATCH(D444,Atualizações!$P$1:$P$1265,0)),"0")</f>
        <v>0</v>
      </c>
      <c r="F444" t="str">
        <f>$G$1&amp;Tb_Alinhamento[[#This Row],[SEI]]</f>
        <v>202517085/2025</v>
      </c>
      <c r="G444" s="24">
        <f>IFERROR(INDEX(Atualizações!$Q$1:$Q$1265,MATCH(F444,Atualizações!$P$1:$P$1265,0)),"0")</f>
        <v>1</v>
      </c>
      <c r="H444" t="str">
        <f>$I$1&amp;Tb_Alinhamento[[#This Row],[SEI]]</f>
        <v>202617085/2025</v>
      </c>
      <c r="I444" s="24">
        <f>IFERROR(INDEX(Atualizações!$Q$1:$Q$1265,MATCH(H444,Atualizações!$P$1:$P$1265,0)),"0")</f>
        <v>1</v>
      </c>
      <c r="J44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5" spans="1:10" ht="75">
      <c r="A445" s="24" t="s">
        <v>747</v>
      </c>
      <c r="B445" s="5" t="s">
        <v>1645</v>
      </c>
      <c r="C445" s="7" t="s">
        <v>75</v>
      </c>
      <c r="D445" t="str">
        <f>$E$1&amp;Tb_Alinhamento[[#This Row],[SEI]]</f>
        <v>202416689/2025</v>
      </c>
      <c r="E445" s="24" t="str">
        <f>IFERROR(INDEX(Atualizações!$Q$1:$Q$1265,MATCH(D445,Atualizações!$P$1:$P$1265,0)),"0")</f>
        <v>0</v>
      </c>
      <c r="F445" t="str">
        <f>$G$1&amp;Tb_Alinhamento[[#This Row],[SEI]]</f>
        <v>202516689/2025</v>
      </c>
      <c r="G445" s="24">
        <f>IFERROR(INDEX(Atualizações!$Q$1:$Q$1265,MATCH(F445,Atualizações!$P$1:$P$1265,0)),"0")</f>
        <v>1</v>
      </c>
      <c r="H445" t="str">
        <f>$I$1&amp;Tb_Alinhamento[[#This Row],[SEI]]</f>
        <v>202616689/2025</v>
      </c>
      <c r="I445" s="24">
        <f>IFERROR(INDEX(Atualizações!$Q$1:$Q$1265,MATCH(H445,Atualizações!$P$1:$P$1265,0)),"0")</f>
        <v>1</v>
      </c>
      <c r="J44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6" spans="1:10" ht="30">
      <c r="A446" s="24" t="s">
        <v>747</v>
      </c>
      <c r="B446" s="5" t="s">
        <v>1645</v>
      </c>
      <c r="C446" s="2" t="s">
        <v>240</v>
      </c>
      <c r="D446" t="str">
        <f>$E$1&amp;Tb_Alinhamento[[#This Row],[SEI]]</f>
        <v>202416689/2025</v>
      </c>
      <c r="E446" s="24" t="str">
        <f>IFERROR(INDEX(Atualizações!$Q$1:$Q$1265,MATCH(D446,Atualizações!$P$1:$P$1265,0)),"0")</f>
        <v>0</v>
      </c>
      <c r="F446" t="str">
        <f>$G$1&amp;Tb_Alinhamento[[#This Row],[SEI]]</f>
        <v>202516689/2025</v>
      </c>
      <c r="G446" s="24">
        <f>IFERROR(INDEX(Atualizações!$Q$1:$Q$1265,MATCH(F446,Atualizações!$P$1:$P$1265,0)),"0")</f>
        <v>1</v>
      </c>
      <c r="H446" t="str">
        <f>$I$1&amp;Tb_Alinhamento[[#This Row],[SEI]]</f>
        <v>202616689/2025</v>
      </c>
      <c r="I446" s="24">
        <f>IFERROR(INDEX(Atualizações!$Q$1:$Q$1265,MATCH(H446,Atualizações!$P$1:$P$1265,0)),"0")</f>
        <v>1</v>
      </c>
      <c r="J44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7" spans="1:10" ht="30">
      <c r="A447" s="24" t="s">
        <v>925</v>
      </c>
      <c r="B447" s="5" t="s">
        <v>926</v>
      </c>
      <c r="C447" s="387" t="s">
        <v>240</v>
      </c>
      <c r="D447" t="str">
        <f>$E$1&amp;Tb_Alinhamento[[#This Row],[SEI]]</f>
        <v>202419706/2025</v>
      </c>
      <c r="E447" s="24" t="str">
        <f>IFERROR(INDEX(Atualizações!$Q$1:$Q$1265,MATCH(D447,Atualizações!$P$1:$P$1265,0)),"0")</f>
        <v>0</v>
      </c>
      <c r="F447" t="str">
        <f>$G$1&amp;Tb_Alinhamento[[#This Row],[SEI]]</f>
        <v>202519706/2025</v>
      </c>
      <c r="G447" s="24">
        <f>IFERROR(INDEX(Atualizações!$Q$1:$Q$1265,MATCH(F447,Atualizações!$P$1:$P$1265,0)),"0")</f>
        <v>1</v>
      </c>
      <c r="H447" t="str">
        <f>$I$1&amp;Tb_Alinhamento[[#This Row],[SEI]]</f>
        <v>202619706/2025</v>
      </c>
      <c r="I447" s="24">
        <f>IFERROR(INDEX(Atualizações!$Q$1:$Q$1265,MATCH(H447,Atualizações!$P$1:$P$1265,0)),"0")</f>
        <v>1</v>
      </c>
      <c r="J44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8" spans="1:10" ht="30">
      <c r="A448" s="24" t="s">
        <v>756</v>
      </c>
      <c r="B448" s="5" t="str">
        <f>_xlfn.XLOOKUP(Tb_Alinhamento[[#This Row],[SEI]],Tb_Portfólio[SEI],Tb_Portfólio[PROJETO],"Não cadastrado")</f>
        <v>Módulo de Pessoal e Estrutura Judiciária Mensal (MPM) V.2</v>
      </c>
      <c r="C448" s="2" t="s">
        <v>88</v>
      </c>
      <c r="D448" t="str">
        <f>$E$1&amp;Tb_Alinhamento[[#This Row],[SEI]]</f>
        <v>202416882/2025</v>
      </c>
      <c r="E448" s="24" t="str">
        <f>IFERROR(INDEX(Atualizações!$Q$1:$Q$1265,MATCH(D448,Atualizações!$P$1:$P$1265,0)),"0")</f>
        <v>0</v>
      </c>
      <c r="F448" t="str">
        <f>$G$1&amp;Tb_Alinhamento[[#This Row],[SEI]]</f>
        <v>202516882/2025</v>
      </c>
      <c r="G448" s="24" t="str">
        <f>IFERROR(INDEX(Atualizações!$Q$1:$Q$1265,MATCH(F448,Atualizações!$P$1:$P$1265,0)),"0")</f>
        <v>0</v>
      </c>
      <c r="H448" s="24" t="str">
        <f>$I$1&amp;Tb_Alinhamento[[#This Row],[SEI]]</f>
        <v>202616882/2025</v>
      </c>
      <c r="I448" s="24">
        <f>IFERROR(INDEX(Atualizações!$Q$1:$Q$1265,MATCH(H448,Atualizações!$P$1:$P$1265,0)),"0")</f>
        <v>1</v>
      </c>
      <c r="J44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49" spans="1:10" ht="30">
      <c r="A449" s="531" t="s">
        <v>756</v>
      </c>
      <c r="B449" s="5" t="str">
        <f>_xlfn.XLOOKUP(Tb_Alinhamento[[#This Row],[SEI]],Tb_Portfólio[SEI],Tb_Portfólio[PROJETO],"Não cadastrado")</f>
        <v>Módulo de Pessoal e Estrutura Judiciária Mensal (MPM) V.2</v>
      </c>
      <c r="C449" s="115" t="s">
        <v>390</v>
      </c>
      <c r="D449" t="str">
        <f>$E$1&amp;Tb_Alinhamento[[#This Row],[SEI]]</f>
        <v>202416882/2025</v>
      </c>
      <c r="E449" s="24" t="str">
        <f>IFERROR(INDEX(Atualizações!$Q$1:$Q$1265,MATCH(D449,Atualizações!$P$1:$P$1265,0)),"0")</f>
        <v>0</v>
      </c>
      <c r="F449" t="str">
        <f>$G$1&amp;Tb_Alinhamento[[#This Row],[SEI]]</f>
        <v>202516882/2025</v>
      </c>
      <c r="G449" s="24" t="str">
        <f>IFERROR(INDEX(Atualizações!$Q$1:$Q$1265,MATCH(F449,Atualizações!$P$1:$P$1265,0)),"0")</f>
        <v>0</v>
      </c>
      <c r="H449" s="24" t="str">
        <f>$I$1&amp;Tb_Alinhamento[[#This Row],[SEI]]</f>
        <v>202616882/2025</v>
      </c>
      <c r="I449" s="24">
        <f>IFERROR(INDEX(Atualizações!$Q$1:$Q$1265,MATCH(H449,Atualizações!$P$1:$P$1265,0)),"0")</f>
        <v>1</v>
      </c>
      <c r="J44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0" spans="1:10" ht="45">
      <c r="A450" s="531" t="s">
        <v>706</v>
      </c>
      <c r="B450" s="5" t="str">
        <f>_xlfn.XLOOKUP(Tb_Alinhamento[[#This Row],[SEI]],Tb_Portfólio[SEI],Tb_Portfólio[PROJETO],"Não cadastrado")</f>
        <v>Sistema de Detecção e Prevenção de Nepotismo no Poder Judiciário</v>
      </c>
      <c r="C450" s="2" t="s">
        <v>165</v>
      </c>
      <c r="D450" t="str">
        <f>$E$1&amp;Tb_Alinhamento[[#This Row],[SEI]]</f>
        <v>202413961/2025</v>
      </c>
      <c r="E450" s="24" t="str">
        <f>IFERROR(INDEX(Atualizações!$Q$1:$Q$1265,MATCH(D450,Atualizações!$P$1:$P$1265,0)),"0")</f>
        <v>0</v>
      </c>
      <c r="F450" t="str">
        <f>$G$1&amp;Tb_Alinhamento[[#This Row],[SEI]]</f>
        <v>202513961/2025</v>
      </c>
      <c r="G450" s="24" t="str">
        <f>IFERROR(INDEX(Atualizações!$Q$1:$Q$1265,MATCH(F450,Atualizações!$P$1:$P$1265,0)),"0")</f>
        <v>0</v>
      </c>
      <c r="H450" s="24" t="str">
        <f>$I$1&amp;Tb_Alinhamento[[#This Row],[SEI]]</f>
        <v>202613961/2025</v>
      </c>
      <c r="I450" s="24">
        <f>IFERROR(INDEX(Atualizações!$Q$1:$Q$1265,MATCH(H450,Atualizações!$P$1:$P$1265,0)),"0")</f>
        <v>1</v>
      </c>
      <c r="J45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1" spans="1:10">
      <c r="A451" s="531" t="s">
        <v>706</v>
      </c>
      <c r="B451" s="5" t="str">
        <f>_xlfn.XLOOKUP(Tb_Alinhamento[[#This Row],[SEI]],Tb_Portfólio[SEI],Tb_Portfólio[PROJETO],"Não cadastrado")</f>
        <v>Sistema de Detecção e Prevenção de Nepotismo no Poder Judiciário</v>
      </c>
      <c r="C451" s="2" t="s">
        <v>104</v>
      </c>
      <c r="D451" t="str">
        <f>$E$1&amp;Tb_Alinhamento[[#This Row],[SEI]]</f>
        <v>202413961/2025</v>
      </c>
      <c r="E451" s="24" t="str">
        <f>IFERROR(INDEX(Atualizações!$Q$1:$Q$1265,MATCH(D451,Atualizações!$P$1:$P$1265,0)),"0")</f>
        <v>0</v>
      </c>
      <c r="F451" t="str">
        <f>$G$1&amp;Tb_Alinhamento[[#This Row],[SEI]]</f>
        <v>202513961/2025</v>
      </c>
      <c r="G451" s="24" t="str">
        <f>IFERROR(INDEX(Atualizações!$Q$1:$Q$1265,MATCH(F451,Atualizações!$P$1:$P$1265,0)),"0")</f>
        <v>0</v>
      </c>
      <c r="H451" s="24" t="str">
        <f>$I$1&amp;Tb_Alinhamento[[#This Row],[SEI]]</f>
        <v>202613961/2025</v>
      </c>
      <c r="I451" s="24">
        <f>IFERROR(INDEX(Atualizações!$Q$1:$Q$1265,MATCH(H451,Atualizações!$P$1:$P$1265,0)),"0")</f>
        <v>1</v>
      </c>
      <c r="J45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2" spans="1:10">
      <c r="A452" s="532" t="s">
        <v>882</v>
      </c>
      <c r="B452" s="5" t="str">
        <f>_xlfn.XLOOKUP(Tb_Alinhamento[[#This Row],[SEI]],Tb_Portfólio[SEI],Tb_Portfólio[PROJETO],"Não cadastrado")</f>
        <v>Programa Fazendo Justiça - Projeto BRA/23/017</v>
      </c>
      <c r="C452" s="387" t="s">
        <v>240</v>
      </c>
      <c r="D452" t="str">
        <f>$E$1&amp;Tb_Alinhamento[[#This Row],[SEI]]</f>
        <v>20241746629/2024</v>
      </c>
      <c r="E452" s="24" t="str">
        <f>IFERROR(INDEX(Atualizações!$Q$1:$Q$1265,MATCH(D452,Atualizações!$P$1:$P$1265,0)),"0")</f>
        <v>0</v>
      </c>
      <c r="F452" t="str">
        <f>$G$1&amp;Tb_Alinhamento[[#This Row],[SEI]]</f>
        <v>20251746629/2024</v>
      </c>
      <c r="G452" s="24" t="str">
        <f>IFERROR(INDEX(Atualizações!$Q$1:$Q$1265,MATCH(F452,Atualizações!$P$1:$P$1265,0)),"0")</f>
        <v>0</v>
      </c>
      <c r="H452" s="24" t="str">
        <f>$I$1&amp;Tb_Alinhamento[[#This Row],[SEI]]</f>
        <v>20261746629/2024</v>
      </c>
      <c r="I452" s="24">
        <f>IFERROR(INDEX(Atualizações!$Q$1:$Q$1265,MATCH(H452,Atualizações!$P$1:$P$1265,0)),"0")</f>
        <v>1</v>
      </c>
      <c r="J45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3" spans="1:10">
      <c r="A453" s="532" t="s">
        <v>236</v>
      </c>
      <c r="B453" s="5" t="str">
        <f>_xlfn.XLOOKUP(Tb_Alinhamento[[#This Row],[SEI]],Tb_Portfólio[SEI],Tb_Portfólio[PROJETO],"Não cadastrado")</f>
        <v>SEEU - Reescrita</v>
      </c>
      <c r="C453" s="387" t="s">
        <v>240</v>
      </c>
      <c r="D453" t="str">
        <f>$E$1&amp;Tb_Alinhamento[[#This Row],[SEI]]</f>
        <v>202402245/2025</v>
      </c>
      <c r="E453" s="24" t="str">
        <f>IFERROR(INDEX(Atualizações!$Q$1:$Q$1265,MATCH(D453,Atualizações!$P$1:$P$1265,0)),"0")</f>
        <v>0</v>
      </c>
      <c r="F453" t="str">
        <f>$G$1&amp;Tb_Alinhamento[[#This Row],[SEI]]</f>
        <v>202502245/2025</v>
      </c>
      <c r="G453" s="24" t="str">
        <f>IFERROR(INDEX(Atualizações!$Q$1:$Q$1265,MATCH(F453,Atualizações!$P$1:$P$1265,0)),"0")</f>
        <v>0</v>
      </c>
      <c r="H453" s="24" t="str">
        <f>$I$1&amp;Tb_Alinhamento[[#This Row],[SEI]]</f>
        <v>202602245/2025</v>
      </c>
      <c r="I453" s="24">
        <f>IFERROR(INDEX(Atualizações!$Q$1:$Q$1265,MATCH(H453,Atualizações!$P$1:$P$1265,0)),"0")</f>
        <v>1</v>
      </c>
      <c r="J45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4" spans="1:10" ht="30">
      <c r="A454" s="24" t="s">
        <v>934</v>
      </c>
      <c r="B454" s="5" t="str">
        <f>_xlfn.XLOOKUP(Tb_Alinhamento[[#This Row],[SEI]],Tb_Portfólio[SEI],Tb_Portfólio[PROJETO],"Não cadastrado")</f>
        <v>Programa Infância a Priori</v>
      </c>
      <c r="C454" s="7" t="s">
        <v>390</v>
      </c>
      <c r="D454" t="str">
        <f>$E$1&amp;Tb_Alinhamento[[#This Row],[SEI]]</f>
        <v>202421959/2025</v>
      </c>
      <c r="E454" s="24" t="str">
        <f>IFERROR(INDEX(Atualizações!$Q$1:$Q$1265,MATCH(D454,Atualizações!$P$1:$P$1265,0)),"0")</f>
        <v>0</v>
      </c>
      <c r="F454" t="str">
        <f>$G$1&amp;Tb_Alinhamento[[#This Row],[SEI]]</f>
        <v>202521959/2025</v>
      </c>
      <c r="G454" s="24" t="str">
        <f>IFERROR(INDEX(Atualizações!$Q$1:$Q$1265,MATCH(F454,Atualizações!$P$1:$P$1265,0)),"0")</f>
        <v>0</v>
      </c>
      <c r="H454" s="24" t="str">
        <f>$I$1&amp;Tb_Alinhamento[[#This Row],[SEI]]</f>
        <v>202621959/2025</v>
      </c>
      <c r="I454" s="24">
        <f>IFERROR(INDEX(Atualizações!$Q$1:$Q$1265,MATCH(H454,Atualizações!$P$1:$P$1265,0)),"0")</f>
        <v>1</v>
      </c>
      <c r="J45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5" spans="1:10">
      <c r="A455" s="24" t="s">
        <v>934</v>
      </c>
      <c r="B455" s="5" t="str">
        <f>_xlfn.XLOOKUP(Tb_Alinhamento[[#This Row],[SEI]],Tb_Portfólio[SEI],Tb_Portfólio[PROJETO],"Não cadastrado")</f>
        <v>Programa Infância a Priori</v>
      </c>
      <c r="C455" s="387" t="s">
        <v>240</v>
      </c>
      <c r="D455" t="str">
        <f>$E$1&amp;Tb_Alinhamento[[#This Row],[SEI]]</f>
        <v>202421959/2025</v>
      </c>
      <c r="E455" s="24" t="str">
        <f>IFERROR(INDEX(Atualizações!$Q$1:$Q$1265,MATCH(D455,Atualizações!$P$1:$P$1265,0)),"0")</f>
        <v>0</v>
      </c>
      <c r="F455" t="str">
        <f>$G$1&amp;Tb_Alinhamento[[#This Row],[SEI]]</f>
        <v>202521959/2025</v>
      </c>
      <c r="G455" s="24" t="str">
        <f>IFERROR(INDEX(Atualizações!$Q$1:$Q$1265,MATCH(F455,Atualizações!$P$1:$P$1265,0)),"0")</f>
        <v>0</v>
      </c>
      <c r="H455" s="24" t="str">
        <f>$I$1&amp;Tb_Alinhamento[[#This Row],[SEI]]</f>
        <v>202621959/2025</v>
      </c>
      <c r="I455" s="24">
        <f>IFERROR(INDEX(Atualizações!$Q$1:$Q$1265,MATCH(H455,Atualizações!$P$1:$P$1265,0)),"0")</f>
        <v>1</v>
      </c>
      <c r="J45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6" spans="1:10" ht="30">
      <c r="A456" s="24" t="s">
        <v>951</v>
      </c>
      <c r="B456" s="5" t="str">
        <f>_xlfn.XLOOKUP(Tb_Alinhamento[[#This Row],[SEI]],Tb_Portfólio[SEI],Tb_Portfólio[PROJETO],"Não cadastrado")</f>
        <v>Programa “Por Toda Parte, Por Todas Elas” – Plano 2026 de Enfrentamento da Violência contra Mulheres e Meninas.</v>
      </c>
      <c r="C456" s="387" t="s">
        <v>240</v>
      </c>
      <c r="D456" t="str">
        <f>$E$1&amp;Tb_Alinhamento[[#This Row],[SEI]]</f>
        <v>202402797/2026</v>
      </c>
      <c r="E456" s="24" t="str">
        <f>IFERROR(INDEX(Atualizações!$Q$1:$Q$1265,MATCH(D456,Atualizações!$P$1:$P$1265,0)),"0")</f>
        <v>0</v>
      </c>
      <c r="F456" t="str">
        <f>$G$1&amp;Tb_Alinhamento[[#This Row],[SEI]]</f>
        <v>202502797/2026</v>
      </c>
      <c r="G456" s="24" t="str">
        <f>IFERROR(INDEX(Atualizações!$Q$1:$Q$1265,MATCH(F456,Atualizações!$P$1:$P$1265,0)),"0")</f>
        <v>0</v>
      </c>
      <c r="H456" s="24" t="str">
        <f>$I$1&amp;Tb_Alinhamento[[#This Row],[SEI]]</f>
        <v>202602797/2026</v>
      </c>
      <c r="I456" s="24">
        <f>IFERROR(INDEX(Atualizações!$Q$1:$Q$1265,MATCH(H456,Atualizações!$P$1:$P$1265,0)),"0")</f>
        <v>1</v>
      </c>
      <c r="J45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7" spans="1:10">
      <c r="A457" s="24" t="s">
        <v>978</v>
      </c>
      <c r="B457" s="5" t="str">
        <f>_xlfn.XLOOKUP(Tb_Alinhamento[[#This Row],[SEI]],Tb_Portfólio[SEI],Tb_Portfólio[PROJETO],"Não cadastrado")</f>
        <v>Evolução do Sistema Nacional de Adoção (SNA)</v>
      </c>
      <c r="C457" s="387" t="s">
        <v>240</v>
      </c>
      <c r="D457" t="str">
        <f>$E$1&amp;Tb_Alinhamento[[#This Row],[SEI]]</f>
        <v>202418150/2025</v>
      </c>
      <c r="E457" s="24" t="str">
        <f>IFERROR(INDEX(Atualizações!$Q$1:$Q$1265,MATCH(D457,Atualizações!$P$1:$P$1265,0)),"0")</f>
        <v>0</v>
      </c>
      <c r="F457" t="str">
        <f>$G$1&amp;Tb_Alinhamento[[#This Row],[SEI]]</f>
        <v>202518150/2025</v>
      </c>
      <c r="G457" s="24" t="str">
        <f>IFERROR(INDEX(Atualizações!$Q$1:$Q$1265,MATCH(F457,Atualizações!$P$1:$P$1265,0)),"0")</f>
        <v>0</v>
      </c>
      <c r="H457" s="24" t="str">
        <f>$I$1&amp;Tb_Alinhamento[[#This Row],[SEI]]</f>
        <v>202618150/2025</v>
      </c>
      <c r="I457" s="24">
        <f>IFERROR(INDEX(Atualizações!$Q$1:$Q$1265,MATCH(H457,Atualizações!$P$1:$P$1265,0)),"0")</f>
        <v>1</v>
      </c>
      <c r="J45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8" spans="1:10" ht="45">
      <c r="A458" s="24" t="s">
        <v>978</v>
      </c>
      <c r="B458" s="5" t="str">
        <f>_xlfn.XLOOKUP(Tb_Alinhamento[[#This Row],[SEI]],Tb_Portfólio[SEI],Tb_Portfólio[PROJETO],"Não cadastrado")</f>
        <v>Evolução do Sistema Nacional de Adoção (SNA)</v>
      </c>
      <c r="C458" s="2" t="s">
        <v>165</v>
      </c>
      <c r="D458" t="str">
        <f>$E$1&amp;Tb_Alinhamento[[#This Row],[SEI]]</f>
        <v>202418150/2025</v>
      </c>
      <c r="E458" s="24" t="str">
        <f>IFERROR(INDEX(Atualizações!$Q$1:$Q$1265,MATCH(D458,Atualizações!$P$1:$P$1265,0)),"0")</f>
        <v>0</v>
      </c>
      <c r="F458" t="str">
        <f>$G$1&amp;Tb_Alinhamento[[#This Row],[SEI]]</f>
        <v>202518150/2025</v>
      </c>
      <c r="G458" s="24" t="str">
        <f>IFERROR(INDEX(Atualizações!$Q$1:$Q$1265,MATCH(F458,Atualizações!$P$1:$P$1265,0)),"0")</f>
        <v>0</v>
      </c>
      <c r="H458" s="24" t="str">
        <f>$I$1&amp;Tb_Alinhamento[[#This Row],[SEI]]</f>
        <v>202618150/2025</v>
      </c>
      <c r="I458" s="24">
        <f>IFERROR(INDEX(Atualizações!$Q$1:$Q$1265,MATCH(H458,Atualizações!$P$1:$P$1265,0)),"0")</f>
        <v>1</v>
      </c>
      <c r="J45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59" spans="1:10">
      <c r="A459" s="151" t="s">
        <v>957</v>
      </c>
      <c r="B459" s="5" t="str">
        <f>_xlfn.XLOOKUP(Tb_Alinhamento[[#This Row],[SEI]],Tb_Portfólio[SEI],Tb_Portfólio[PROJETO],"Não cadastrado")</f>
        <v>Subprograma Registre-se Pop Rua</v>
      </c>
      <c r="C459" s="387" t="s">
        <v>240</v>
      </c>
      <c r="D459" t="str">
        <f>$E$1&amp;Tb_Alinhamento[[#This Row],[SEI]]</f>
        <v>202400037/2026</v>
      </c>
      <c r="E459" s="24" t="str">
        <f>IFERROR(INDEX(Atualizações!$Q$1:$Q$1265,MATCH(D459,Atualizações!$P$1:$P$1265,0)),"0")</f>
        <v>0</v>
      </c>
      <c r="F459" t="str">
        <f>$G$1&amp;Tb_Alinhamento[[#This Row],[SEI]]</f>
        <v>202500037/2026</v>
      </c>
      <c r="G459" s="24" t="str">
        <f>IFERROR(INDEX(Atualizações!$Q$1:$Q$1265,MATCH(F459,Atualizações!$P$1:$P$1265,0)),"0")</f>
        <v>0</v>
      </c>
      <c r="H459" s="24" t="str">
        <f>$I$1&amp;Tb_Alinhamento[[#This Row],[SEI]]</f>
        <v>202600037/2026</v>
      </c>
      <c r="I459" s="24">
        <f>IFERROR(INDEX(Atualizações!$Q$1:$Q$1265,MATCH(H459,Atualizações!$P$1:$P$1265,0)),"0")</f>
        <v>1</v>
      </c>
      <c r="J45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0" spans="1:10" ht="30">
      <c r="A460" s="51" t="s">
        <v>963</v>
      </c>
      <c r="B460" s="5" t="str">
        <f>_xlfn.XLOOKUP(Tb_Alinhamento[[#This Row],[SEI]],Tb_Portfólio[SEI],Tb_Portfólio[PROJETO],"Não cadastrado")</f>
        <v>Campanha “Maio da Auditoria Interna” – CNJ 2026</v>
      </c>
      <c r="C460" s="7" t="s">
        <v>346</v>
      </c>
      <c r="D460" t="str">
        <f>$E$1&amp;Tb_Alinhamento[[#This Row],[SEI]]</f>
        <v>202404050/2026</v>
      </c>
      <c r="E460" s="24" t="str">
        <f>IFERROR(INDEX(Atualizações!$Q$1:$Q$1265,MATCH(D460,Atualizações!$P$1:$P$1265,0)),"0")</f>
        <v>0</v>
      </c>
      <c r="F460" t="str">
        <f>$G$1&amp;Tb_Alinhamento[[#This Row],[SEI]]</f>
        <v>202504050/2026</v>
      </c>
      <c r="G460" s="24" t="str">
        <f>IFERROR(INDEX(Atualizações!$Q$1:$Q$1265,MATCH(F460,Atualizações!$P$1:$P$1265,0)),"0")</f>
        <v>0</v>
      </c>
      <c r="H460" s="24" t="str">
        <f>$I$1&amp;Tb_Alinhamento[[#This Row],[SEI]]</f>
        <v>202604050/2026</v>
      </c>
      <c r="I460" s="24">
        <f>IFERROR(INDEX(Atualizações!$Q$1:$Q$1265,MATCH(H460,Atualizações!$P$1:$P$1265,0)),"0")</f>
        <v>1</v>
      </c>
      <c r="J46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1" spans="1:10">
      <c r="A461" s="24" t="s">
        <v>944</v>
      </c>
      <c r="B461" s="5" t="str">
        <f>_xlfn.XLOOKUP(Tb_Alinhamento[[#This Row],[SEI]],Tb_Portfólio[SEI],Tb_Portfólio[PROJETO],"Não cadastrado")</f>
        <v>Subprograma Registre-se: Brasil Parente</v>
      </c>
      <c r="C461" s="387" t="s">
        <v>240</v>
      </c>
      <c r="D461" t="str">
        <f>$E$1&amp;Tb_Alinhamento[[#This Row],[SEI]]</f>
        <v>202401485/2026</v>
      </c>
      <c r="E461" s="24" t="str">
        <f>IFERROR(INDEX(Atualizações!$Q$1:$Q$1265,MATCH(D461,Atualizações!$P$1:$P$1265,0)),"0")</f>
        <v>0</v>
      </c>
      <c r="F461" t="str">
        <f>$G$1&amp;Tb_Alinhamento[[#This Row],[SEI]]</f>
        <v>202501485/2026</v>
      </c>
      <c r="G461" s="24" t="str">
        <f>IFERROR(INDEX(Atualizações!$Q$1:$Q$1265,MATCH(F461,Atualizações!$P$1:$P$1265,0)),"0")</f>
        <v>0</v>
      </c>
      <c r="H461" s="24" t="str">
        <f>$I$1&amp;Tb_Alinhamento[[#This Row],[SEI]]</f>
        <v>202601485/2026</v>
      </c>
      <c r="I461" s="24">
        <f>IFERROR(INDEX(Atualizações!$Q$1:$Q$1265,MATCH(H461,Atualizações!$P$1:$P$1265,0)),"0")</f>
        <v>1</v>
      </c>
      <c r="J46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2" spans="1:10" ht="30">
      <c r="A462" s="24" t="s">
        <v>971</v>
      </c>
      <c r="B462" s="5" t="str">
        <f>_xlfn.XLOOKUP(Tb_Alinhamento[[#This Row],[SEI]],Tb_Portfólio[SEI],Tb_Portfólio[PROJETO],"Não cadastrado")</f>
        <v>Conexão Auditoria</v>
      </c>
      <c r="C462" s="7" t="s">
        <v>346</v>
      </c>
      <c r="D462" t="str">
        <f>$E$1&amp;Tb_Alinhamento[[#This Row],[SEI]]</f>
        <v>202404235/2026</v>
      </c>
      <c r="E462" s="24" t="str">
        <f>IFERROR(INDEX(Atualizações!$Q$1:$Q$1265,MATCH(D462,Atualizações!$P$1:$P$1265,0)),"0")</f>
        <v>0</v>
      </c>
      <c r="F462" t="str">
        <f>$G$1&amp;Tb_Alinhamento[[#This Row],[SEI]]</f>
        <v>202504235/2026</v>
      </c>
      <c r="G462" s="24" t="str">
        <f>IFERROR(INDEX(Atualizações!$Q$1:$Q$1265,MATCH(F462,Atualizações!$P$1:$P$1265,0)),"0")</f>
        <v>0</v>
      </c>
      <c r="H462" s="24" t="str">
        <f>$I$1&amp;Tb_Alinhamento[[#This Row],[SEI]]</f>
        <v>202604235/2026</v>
      </c>
      <c r="I462" s="24">
        <f>IFERROR(INDEX(Atualizações!$Q$1:$Q$1265,MATCH(H462,Atualizações!$P$1:$P$1265,0)),"0")</f>
        <v>1</v>
      </c>
      <c r="J46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3" spans="1:10" ht="30">
      <c r="A463" s="24" t="s">
        <v>985</v>
      </c>
      <c r="B463" s="5" t="str">
        <f>_xlfn.XLOOKUP(Tb_Alinhamento[[#This Row],[SEI]],Tb_Portfólio[SEI],Tb_Portfólio[PROJETO],"Não cadastrado")</f>
        <v>Concilia + Saúde</v>
      </c>
      <c r="C463" s="2" t="s">
        <v>240</v>
      </c>
      <c r="D463" t="str">
        <f>$E$1&amp;Tb_Alinhamento[[#This Row],[SEI]]</f>
        <v>202405947/2026</v>
      </c>
      <c r="E463" s="24" t="str">
        <f>IFERROR(INDEX(Atualizações!$Q$1:$Q$1265,MATCH(D463,Atualizações!$P$1:$P$1265,0)),"0")</f>
        <v>0</v>
      </c>
      <c r="F463" t="str">
        <f>$G$1&amp;Tb_Alinhamento[[#This Row],[SEI]]</f>
        <v>202505947/2026</v>
      </c>
      <c r="G463" s="24" t="str">
        <f>IFERROR(INDEX(Atualizações!$Q$1:$Q$1265,MATCH(F463,Atualizações!$P$1:$P$1265,0)),"0")</f>
        <v>0</v>
      </c>
      <c r="H463" s="24" t="str">
        <f>$I$1&amp;Tb_Alinhamento[[#This Row],[SEI]]</f>
        <v>202605947/2026</v>
      </c>
      <c r="I463" s="24">
        <f>IFERROR(INDEX(Atualizações!$Q$1:$Q$1265,MATCH(H463,Atualizações!$P$1:$P$1265,0)),"0")</f>
        <v>1</v>
      </c>
      <c r="J46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4" spans="1:10" ht="30">
      <c r="A464" s="24" t="s">
        <v>985</v>
      </c>
      <c r="B464" s="5" t="str">
        <f>_xlfn.XLOOKUP(Tb_Alinhamento[[#This Row],[SEI]],Tb_Portfólio[SEI],Tb_Portfólio[PROJETO],"Não cadastrado")</f>
        <v>Concilia + Saúde</v>
      </c>
      <c r="C464" s="2" t="s">
        <v>455</v>
      </c>
      <c r="D464" t="str">
        <f>$E$1&amp;Tb_Alinhamento[[#This Row],[SEI]]</f>
        <v>202405947/2026</v>
      </c>
      <c r="E464" s="24" t="str">
        <f>IFERROR(INDEX(Atualizações!$Q$1:$Q$1265,MATCH(D464,Atualizações!$P$1:$P$1265,0)),"0")</f>
        <v>0</v>
      </c>
      <c r="F464" t="str">
        <f>$G$1&amp;Tb_Alinhamento[[#This Row],[SEI]]</f>
        <v>202505947/2026</v>
      </c>
      <c r="G464" s="24" t="str">
        <f>IFERROR(INDEX(Atualizações!$Q$1:$Q$1265,MATCH(F464,Atualizações!$P$1:$P$1265,0)),"0")</f>
        <v>0</v>
      </c>
      <c r="H464" s="24" t="str">
        <f>$I$1&amp;Tb_Alinhamento[[#This Row],[SEI]]</f>
        <v>202605947/2026</v>
      </c>
      <c r="I464" s="24">
        <f>IFERROR(INDEX(Atualizações!$Q$1:$Q$1265,MATCH(H464,Atualizações!$P$1:$P$1265,0)),"0")</f>
        <v>1</v>
      </c>
      <c r="J46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5" spans="1:10" ht="30">
      <c r="A465" s="24" t="s">
        <v>994</v>
      </c>
      <c r="B465" s="5" t="str">
        <f>_xlfn.XLOOKUP(Tb_Alinhamento[[#This Row],[SEI]],Tb_Portfólio[SEI],Tb_Portfólio[PROJETO],"Não cadastrado")</f>
        <v>Cadastro Nacional de Intérpretes e Tradutores de língua Indígenas do Poder Judiciário (CNITI)</v>
      </c>
      <c r="C465" s="2" t="s">
        <v>240</v>
      </c>
      <c r="D465" t="str">
        <f>$E$1&amp;Tb_Alinhamento[[#This Row],[SEI]]</f>
        <v>202418801/2025</v>
      </c>
      <c r="E465" s="24" t="str">
        <f>IFERROR(INDEX(Atualizações!$Q$1:$Q$1265,MATCH(D465,Atualizações!$P$1:$P$1265,0)),"0")</f>
        <v>0</v>
      </c>
      <c r="F465" t="str">
        <f>$G$1&amp;Tb_Alinhamento[[#This Row],[SEI]]</f>
        <v>202518801/2025</v>
      </c>
      <c r="G465" s="24" t="str">
        <f>IFERROR(INDEX(Atualizações!$Q$1:$Q$1265,MATCH(F465,Atualizações!$P$1:$P$1265,0)),"0")</f>
        <v>0</v>
      </c>
      <c r="H465" s="24" t="str">
        <f>$I$1&amp;Tb_Alinhamento[[#This Row],[SEI]]</f>
        <v>202618801/2025</v>
      </c>
      <c r="I465" s="24">
        <f>IFERROR(INDEX(Atualizações!$Q$1:$Q$1265,MATCH(H465,Atualizações!$P$1:$P$1265,0)),"0")</f>
        <v>1</v>
      </c>
      <c r="J46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6" spans="1:10" ht="30">
      <c r="A466" s="24" t="s">
        <v>994</v>
      </c>
      <c r="B466" s="5" t="str">
        <f>_xlfn.XLOOKUP(Tb_Alinhamento[[#This Row],[SEI]],Tb_Portfólio[SEI],Tb_Portfólio[PROJETO],"Não cadastrado")</f>
        <v>Cadastro Nacional de Intérpretes e Tradutores de língua Indígenas do Poder Judiciário (CNITI)</v>
      </c>
      <c r="C466" s="2" t="s">
        <v>305</v>
      </c>
      <c r="D466" t="str">
        <f>$E$1&amp;Tb_Alinhamento[[#This Row],[SEI]]</f>
        <v>202418801/2025</v>
      </c>
      <c r="E466" s="24" t="str">
        <f>IFERROR(INDEX(Atualizações!$Q$1:$Q$1265,MATCH(D466,Atualizações!$P$1:$P$1265,0)),"0")</f>
        <v>0</v>
      </c>
      <c r="F466" t="str">
        <f>$G$1&amp;Tb_Alinhamento[[#This Row],[SEI]]</f>
        <v>202518801/2025</v>
      </c>
      <c r="G466" s="24" t="str">
        <f>IFERROR(INDEX(Atualizações!$Q$1:$Q$1265,MATCH(F466,Atualizações!$P$1:$P$1265,0)),"0")</f>
        <v>0</v>
      </c>
      <c r="H466" s="24" t="str">
        <f>$I$1&amp;Tb_Alinhamento[[#This Row],[SEI]]</f>
        <v>202618801/2025</v>
      </c>
      <c r="I466" s="24">
        <f>IFERROR(INDEX(Atualizações!$Q$1:$Q$1265,MATCH(H466,Atualizações!$P$1:$P$1265,0)),"0")</f>
        <v>1</v>
      </c>
      <c r="J46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7" spans="1:10" ht="30">
      <c r="A467" s="24" t="s">
        <v>1004</v>
      </c>
      <c r="B467" s="5" t="str">
        <f>_xlfn.XLOOKUP(Tb_Alinhamento[[#This Row],[SEI]],Tb_Portfólio[SEI],Tb_Portfólio[PROJETO],"Não cadastrado")</f>
        <v>Justiça Itinerante Cooperativa na Amazônia Legal - Edição 2026</v>
      </c>
      <c r="C467" s="2" t="s">
        <v>240</v>
      </c>
      <c r="D467" t="str">
        <f>$E$1&amp;Tb_Alinhamento[[#This Row],[SEI]]</f>
        <v>202400050/2026</v>
      </c>
      <c r="E467" s="24" t="str">
        <f>IFERROR(INDEX(Atualizações!$Q$1:$Q$1265,MATCH(D467,Atualizações!$P$1:$P$1265,0)),"0")</f>
        <v>0</v>
      </c>
      <c r="F467" t="str">
        <f>$G$1&amp;Tb_Alinhamento[[#This Row],[SEI]]</f>
        <v>202500050/2026</v>
      </c>
      <c r="G467" s="24" t="str">
        <f>IFERROR(INDEX(Atualizações!$Q$1:$Q$1265,MATCH(F467,Atualizações!$P$1:$P$1265,0)),"0")</f>
        <v>0</v>
      </c>
      <c r="H467" s="24" t="str">
        <f>$I$1&amp;Tb_Alinhamento[[#This Row],[SEI]]</f>
        <v>202600050/2026</v>
      </c>
      <c r="I467" s="24">
        <f>IFERROR(INDEX(Atualizações!$Q$1:$Q$1265,MATCH(H467,Atualizações!$P$1:$P$1265,0)),"0")</f>
        <v>1</v>
      </c>
      <c r="J46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68" spans="1:10">
      <c r="A468" s="24" t="s">
        <v>1004</v>
      </c>
      <c r="B468" s="5" t="str">
        <f>_xlfn.XLOOKUP(Tb_Alinhamento[[#This Row],[SEI]],Tb_Portfólio[SEI],Tb_Portfólio[PROJETO],"Não cadastrado")</f>
        <v>Justiça Itinerante Cooperativa na Amazônia Legal - Edição 2026</v>
      </c>
      <c r="C468" s="2" t="s">
        <v>120</v>
      </c>
      <c r="D468" t="str">
        <f>$E$1&amp;Tb_Alinhamento[[#This Row],[SEI]]</f>
        <v>202400050/2026</v>
      </c>
      <c r="E468" s="24" t="str">
        <f>IFERROR(INDEX(Atualizações!$Q$1:$Q$1265,MATCH(D468,Atualizações!$P$1:$P$1265,0)),"0")</f>
        <v>0</v>
      </c>
      <c r="F468" t="str">
        <f>$G$1&amp;Tb_Alinhamento[[#This Row],[SEI]]</f>
        <v>202500050/2026</v>
      </c>
      <c r="G468" s="24" t="str">
        <f>IFERROR(INDEX(Atualizações!$Q$1:$Q$1265,MATCH(F468,Atualizações!$P$1:$P$1265,0)),"0")</f>
        <v>0</v>
      </c>
      <c r="H468" s="24" t="str">
        <f>$I$1&amp;Tb_Alinhamento[[#This Row],[SEI]]</f>
        <v>202600050/2026</v>
      </c>
      <c r="I468" s="24">
        <f>IFERROR(INDEX(Atualizações!$Q$1:$Q$1265,MATCH(H468,Atualizações!$P$1:$P$1265,0)),"0")</f>
        <v>1</v>
      </c>
      <c r="J46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69" spans="1:10" ht="30">
      <c r="A469" s="24" t="s">
        <v>1004</v>
      </c>
      <c r="B469" s="5" t="str">
        <f>_xlfn.XLOOKUP(Tb_Alinhamento[[#This Row],[SEI]],Tb_Portfólio[SEI],Tb_Portfólio[PROJETO],"Não cadastrado")</f>
        <v>Justiça Itinerante Cooperativa na Amazônia Legal - Edição 2026</v>
      </c>
      <c r="C469" s="2" t="s">
        <v>166</v>
      </c>
      <c r="D469" t="str">
        <f>$E$1&amp;Tb_Alinhamento[[#This Row],[SEI]]</f>
        <v>202400050/2026</v>
      </c>
      <c r="E469" s="24" t="str">
        <f>IFERROR(INDEX(Atualizações!$Q$1:$Q$1265,MATCH(D469,Atualizações!$P$1:$P$1265,0)),"0")</f>
        <v>0</v>
      </c>
      <c r="F469" t="str">
        <f>$G$1&amp;Tb_Alinhamento[[#This Row],[SEI]]</f>
        <v>202500050/2026</v>
      </c>
      <c r="G469" s="24" t="str">
        <f>IFERROR(INDEX(Atualizações!$Q$1:$Q$1265,MATCH(F469,Atualizações!$P$1:$P$1265,0)),"0")</f>
        <v>0</v>
      </c>
      <c r="H469" s="24" t="str">
        <f>$I$1&amp;Tb_Alinhamento[[#This Row],[SEI]]</f>
        <v>202600050/2026</v>
      </c>
      <c r="I469" s="24">
        <f>IFERROR(INDEX(Atualizações!$Q$1:$Q$1265,MATCH(H469,Atualizações!$P$1:$P$1265,0)),"0")</f>
        <v>1</v>
      </c>
      <c r="J46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70" spans="1:10" ht="30">
      <c r="A470" s="24" t="s">
        <v>1010</v>
      </c>
      <c r="B470" s="5" t="str">
        <f>_xlfn.XLOOKUP(Tb_Alinhamento[[#This Row],[SEI]],Tb_Portfólio[SEI],Tb_Portfólio[PROJETO],"Não cadastrado")</f>
        <v>Aliança Lilás</v>
      </c>
      <c r="C470" s="2" t="s">
        <v>240</v>
      </c>
      <c r="D470" t="str">
        <f>$E$1&amp;Tb_Alinhamento[[#This Row],[SEI]]</f>
        <v>202403868/2026</v>
      </c>
      <c r="E470" s="24" t="str">
        <f>IFERROR(INDEX(Atualizações!$Q$1:$Q$1265,MATCH(D470,Atualizações!$P$1:$P$1265,0)),"0")</f>
        <v>0</v>
      </c>
      <c r="F470" t="str">
        <f>$G$1&amp;Tb_Alinhamento[[#This Row],[SEI]]</f>
        <v>202503868/2026</v>
      </c>
      <c r="G470" s="24" t="str">
        <f>IFERROR(INDEX(Atualizações!$Q$1:$Q$1265,MATCH(F470,Atualizações!$P$1:$P$1265,0)),"0")</f>
        <v>0</v>
      </c>
      <c r="H470" s="24" t="str">
        <f>$I$1&amp;Tb_Alinhamento[[#This Row],[SEI]]</f>
        <v>202603868/2026</v>
      </c>
      <c r="I470" s="24">
        <f>IFERROR(INDEX(Atualizações!$Q$1:$Q$1265,MATCH(H470,Atualizações!$P$1:$P$1265,0)),"0")</f>
        <v>1</v>
      </c>
      <c r="J47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71" spans="1:10">
      <c r="A471" s="24" t="s">
        <v>1010</v>
      </c>
      <c r="B471" s="5" t="str">
        <f>_xlfn.XLOOKUP(Tb_Alinhamento[[#This Row],[SEI]],Tb_Portfólio[SEI],Tb_Portfólio[PROJETO],"Não cadastrado")</f>
        <v>Aliança Lilás</v>
      </c>
      <c r="C471" s="2" t="s">
        <v>104</v>
      </c>
      <c r="D471" t="str">
        <f>$E$1&amp;Tb_Alinhamento[[#This Row],[SEI]]</f>
        <v>202403868/2026</v>
      </c>
      <c r="E471" s="24" t="str">
        <f>IFERROR(INDEX(Atualizações!$Q$1:$Q$1265,MATCH(D471,Atualizações!$P$1:$P$1265,0)),"0")</f>
        <v>0</v>
      </c>
      <c r="F471" t="str">
        <f>$G$1&amp;Tb_Alinhamento[[#This Row],[SEI]]</f>
        <v>202503868/2026</v>
      </c>
      <c r="G471" s="24" t="str">
        <f>IFERROR(INDEX(Atualizações!$Q$1:$Q$1265,MATCH(F471,Atualizações!$P$1:$P$1265,0)),"0")</f>
        <v>0</v>
      </c>
      <c r="H471" s="24" t="str">
        <f>$I$1&amp;Tb_Alinhamento[[#This Row],[SEI]]</f>
        <v>202603868/2026</v>
      </c>
      <c r="I471" s="24">
        <f>IFERROR(INDEX(Atualizações!$Q$1:$Q$1265,MATCH(H471,Atualizações!$P$1:$P$1265,0)),"0")</f>
        <v>1</v>
      </c>
      <c r="J471"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72" spans="1:10">
      <c r="A472" s="24" t="s">
        <v>1010</v>
      </c>
      <c r="B472" s="5" t="str">
        <f>_xlfn.XLOOKUP(Tb_Alinhamento[[#This Row],[SEI]],Tb_Portfólio[SEI],Tb_Portfólio[PROJETO],"Não cadastrado")</f>
        <v>Aliança Lilás</v>
      </c>
      <c r="C472" s="2" t="s">
        <v>120</v>
      </c>
      <c r="D472" t="str">
        <f>$E$1&amp;Tb_Alinhamento[[#This Row],[SEI]]</f>
        <v>202403868/2026</v>
      </c>
      <c r="E472" s="24" t="str">
        <f>IFERROR(INDEX(Atualizações!$Q$1:$Q$1265,MATCH(D472,Atualizações!$P$1:$P$1265,0)),"0")</f>
        <v>0</v>
      </c>
      <c r="F472" t="str">
        <f>$G$1&amp;Tb_Alinhamento[[#This Row],[SEI]]</f>
        <v>202503868/2026</v>
      </c>
      <c r="G472" s="24" t="str">
        <f>IFERROR(INDEX(Atualizações!$Q$1:$Q$1265,MATCH(F472,Atualizações!$P$1:$P$1265,0)),"0")</f>
        <v>0</v>
      </c>
      <c r="H472" s="24" t="str">
        <f>$I$1&amp;Tb_Alinhamento[[#This Row],[SEI]]</f>
        <v>202603868/2026</v>
      </c>
      <c r="I472" s="24">
        <f>IFERROR(INDEX(Atualizações!$Q$1:$Q$1265,MATCH(H472,Atualizações!$P$1:$P$1265,0)),"0")</f>
        <v>1</v>
      </c>
      <c r="J472"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73" spans="1:10">
      <c r="A473" s="24" t="s">
        <v>1010</v>
      </c>
      <c r="B473" s="5" t="str">
        <f>_xlfn.XLOOKUP(Tb_Alinhamento[[#This Row],[SEI]],Tb_Portfólio[SEI],Tb_Portfólio[PROJETO],"Não cadastrado")</f>
        <v>Aliança Lilás</v>
      </c>
      <c r="C473" s="2" t="s">
        <v>76</v>
      </c>
      <c r="D473" t="str">
        <f>$E$1&amp;Tb_Alinhamento[[#This Row],[SEI]]</f>
        <v>202403868/2026</v>
      </c>
      <c r="E473" s="24" t="str">
        <f>IFERROR(INDEX(Atualizações!$Q$1:$Q$1265,MATCH(D473,Atualizações!$P$1:$P$1265,0)),"0")</f>
        <v>0</v>
      </c>
      <c r="F473" t="str">
        <f>$G$1&amp;Tb_Alinhamento[[#This Row],[SEI]]</f>
        <v>202503868/2026</v>
      </c>
      <c r="G473" s="24" t="str">
        <f>IFERROR(INDEX(Atualizações!$Q$1:$Q$1265,MATCH(F473,Atualizações!$P$1:$P$1265,0)),"0")</f>
        <v>0</v>
      </c>
      <c r="H473" s="24" t="str">
        <f>$I$1&amp;Tb_Alinhamento[[#This Row],[SEI]]</f>
        <v>202603868/2026</v>
      </c>
      <c r="I473" s="24">
        <f>IFERROR(INDEX(Atualizações!$Q$1:$Q$1265,MATCH(H473,Atualizações!$P$1:$P$1265,0)),"0")</f>
        <v>1</v>
      </c>
      <c r="J473"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74" spans="1:10" ht="30">
      <c r="A474" s="24" t="s">
        <v>1021</v>
      </c>
      <c r="B474" s="5" t="str">
        <f>_xlfn.XLOOKUP(Tb_Alinhamento[[#This Row],[SEI]],Tb_Portfólio[SEI],Tb_Portfólio[PROJETO],"Não cadastrado")</f>
        <v>Programa Justiça Carbono Zero no âmbito do CNJ</v>
      </c>
      <c r="C474" s="2" t="s">
        <v>166</v>
      </c>
      <c r="D474" t="str">
        <f>$E$1&amp;Tb_Alinhamento[[#This Row],[SEI]]</f>
        <v>202420137/2025</v>
      </c>
      <c r="E474" s="24" t="str">
        <f>IFERROR(INDEX(Atualizações!$Q$1:$Q$1265,MATCH(D474,Atualizações!$P$1:$P$1265,0)),"0")</f>
        <v>0</v>
      </c>
      <c r="F474" t="str">
        <f>$G$1&amp;Tb_Alinhamento[[#This Row],[SEI]]</f>
        <v>202520137/2025</v>
      </c>
      <c r="G474" s="24" t="str">
        <f>IFERROR(INDEX(Atualizações!$Q$1:$Q$1265,MATCH(F474,Atualizações!$P$1:$P$1265,0)),"0")</f>
        <v>0</v>
      </c>
      <c r="H474" s="24" t="str">
        <f>$I$1&amp;Tb_Alinhamento[[#This Row],[SEI]]</f>
        <v>202620137/2025</v>
      </c>
      <c r="I474" s="24">
        <f>IFERROR(INDEX(Atualizações!$Q$1:$Q$1265,MATCH(H474,Atualizações!$P$1:$P$1265,0)),"0")</f>
        <v>1</v>
      </c>
      <c r="J474"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75" spans="1:10">
      <c r="A475" s="24" t="s">
        <v>1021</v>
      </c>
      <c r="B475" s="5" t="str">
        <f>_xlfn.XLOOKUP(Tb_Alinhamento[[#This Row],[SEI]],Tb_Portfólio[SEI],Tb_Portfólio[PROJETO],"Não cadastrado")</f>
        <v>Programa Justiça Carbono Zero no âmbito do CNJ</v>
      </c>
      <c r="C475" s="2" t="s">
        <v>1624</v>
      </c>
      <c r="D475" t="str">
        <f>$E$1&amp;Tb_Alinhamento[[#This Row],[SEI]]</f>
        <v>202420137/2025</v>
      </c>
      <c r="E475" s="24" t="str">
        <f>IFERROR(INDEX(Atualizações!$Q$1:$Q$1265,MATCH(D475,Atualizações!$P$1:$P$1265,0)),"0")</f>
        <v>0</v>
      </c>
      <c r="F475" t="str">
        <f>$G$1&amp;Tb_Alinhamento[[#This Row],[SEI]]</f>
        <v>202520137/2025</v>
      </c>
      <c r="G475" s="24" t="str">
        <f>IFERROR(INDEX(Atualizações!$Q$1:$Q$1265,MATCH(F475,Atualizações!$P$1:$P$1265,0)),"0")</f>
        <v>0</v>
      </c>
      <c r="H475" s="24" t="str">
        <f>$I$1&amp;Tb_Alinhamento[[#This Row],[SEI]]</f>
        <v>202620137/2025</v>
      </c>
      <c r="I475" s="24">
        <f>IFERROR(INDEX(Atualizações!$Q$1:$Q$1265,MATCH(H475,Atualizações!$P$1:$P$1265,0)),"0")</f>
        <v>1</v>
      </c>
      <c r="J475"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76" spans="1:10" ht="30">
      <c r="A476" s="24" t="s">
        <v>1021</v>
      </c>
      <c r="B476" s="5" t="str">
        <f>_xlfn.XLOOKUP(Tb_Alinhamento[[#This Row],[SEI]],Tb_Portfólio[SEI],Tb_Portfólio[PROJETO],"Não cadastrado")</f>
        <v>Programa Justiça Carbono Zero no âmbito do CNJ</v>
      </c>
      <c r="C476" s="2" t="s">
        <v>305</v>
      </c>
      <c r="D476" t="str">
        <f>$E$1&amp;Tb_Alinhamento[[#This Row],[SEI]]</f>
        <v>202420137/2025</v>
      </c>
      <c r="E476" s="24" t="str">
        <f>IFERROR(INDEX(Atualizações!$Q$1:$Q$1265,MATCH(D476,Atualizações!$P$1:$P$1265,0)),"0")</f>
        <v>0</v>
      </c>
      <c r="F476" t="str">
        <f>$G$1&amp;Tb_Alinhamento[[#This Row],[SEI]]</f>
        <v>202520137/2025</v>
      </c>
      <c r="G476" s="24" t="str">
        <f>IFERROR(INDEX(Atualizações!$Q$1:$Q$1265,MATCH(F476,Atualizações!$P$1:$P$1265,0)),"0")</f>
        <v>0</v>
      </c>
      <c r="H476" s="24" t="str">
        <f>$I$1&amp;Tb_Alinhamento[[#This Row],[SEI]]</f>
        <v>202620137/2025</v>
      </c>
      <c r="I476" s="24">
        <f>IFERROR(INDEX(Atualizações!$Q$1:$Q$1265,MATCH(H476,Atualizações!$P$1:$P$1265,0)),"0")</f>
        <v>1</v>
      </c>
      <c r="J476"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77" spans="1:10" ht="75">
      <c r="A477" s="24" t="s">
        <v>1031</v>
      </c>
      <c r="B477" s="5" t="str">
        <f>_xlfn.XLOOKUP(Tb_Alinhamento[[#This Row],[SEI]],Tb_Portfólio[SEI],Tb_Portfólio[PROJETO],"Não cadastrado")</f>
        <v>8ª Edição da Série Justiça Pesquisa</v>
      </c>
      <c r="C477" s="7" t="s">
        <v>75</v>
      </c>
      <c r="D477" t="str">
        <f>$E$1&amp;Tb_Alinhamento[[#This Row],[SEI]]</f>
        <v>202420362/2025</v>
      </c>
      <c r="E477" s="24" t="str">
        <f>IFERROR(INDEX(Atualizações!$Q$1:$Q$1265,MATCH(D477,Atualizações!$P$1:$P$1265,0)),"0")</f>
        <v>0</v>
      </c>
      <c r="F477" t="str">
        <f>$G$1&amp;Tb_Alinhamento[[#This Row],[SEI]]</f>
        <v>202520362/2025</v>
      </c>
      <c r="G477" s="24" t="str">
        <f>IFERROR(INDEX(Atualizações!$Q$1:$Q$1265,MATCH(F477,Atualizações!$P$1:$P$1265,0)),"0")</f>
        <v>0</v>
      </c>
      <c r="H477" s="24" t="str">
        <f>$I$1&amp;Tb_Alinhamento[[#This Row],[SEI]]</f>
        <v>202620362/2025</v>
      </c>
      <c r="I477" s="24">
        <f>IFERROR(INDEX(Atualizações!$Q$1:$Q$1265,MATCH(H477,Atualizações!$P$1:$P$1265,0)),"0")</f>
        <v>1</v>
      </c>
      <c r="J477"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78" spans="1:10" ht="30">
      <c r="A478" s="24" t="s">
        <v>1031</v>
      </c>
      <c r="B478" s="5" t="str">
        <f>_xlfn.XLOOKUP(Tb_Alinhamento[[#This Row],[SEI]],Tb_Portfólio[SEI],Tb_Portfólio[PROJETO],"Não cadastrado")</f>
        <v>8ª Edição da Série Justiça Pesquisa</v>
      </c>
      <c r="C478" s="7" t="s">
        <v>390</v>
      </c>
      <c r="D478" t="str">
        <f>$E$1&amp;Tb_Alinhamento[[#This Row],[SEI]]</f>
        <v>202420362/2025</v>
      </c>
      <c r="E478" s="24" t="str">
        <f>IFERROR(INDEX(Atualizações!$Q$1:$Q$1265,MATCH(D478,Atualizações!$P$1:$P$1265,0)),"0")</f>
        <v>0</v>
      </c>
      <c r="F478" t="str">
        <f>$G$1&amp;Tb_Alinhamento[[#This Row],[SEI]]</f>
        <v>202520362/2025</v>
      </c>
      <c r="G478" s="24" t="str">
        <f>IFERROR(INDEX(Atualizações!$Q$1:$Q$1265,MATCH(F478,Atualizações!$P$1:$P$1265,0)),"0")</f>
        <v>0</v>
      </c>
      <c r="H478" s="24" t="str">
        <f>$I$1&amp;Tb_Alinhamento[[#This Row],[SEI]]</f>
        <v>202620362/2025</v>
      </c>
      <c r="I478" s="24">
        <f>IFERROR(INDEX(Atualizações!$Q$1:$Q$1265,MATCH(H478,Atualizações!$P$1:$P$1265,0)),"0")</f>
        <v>1</v>
      </c>
      <c r="J478"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Objetivo Estratégico</v>
      </c>
    </row>
    <row r="479" spans="1:10">
      <c r="A479" s="24" t="s">
        <v>1031</v>
      </c>
      <c r="B479" s="5" t="str">
        <f>_xlfn.XLOOKUP(Tb_Alinhamento[[#This Row],[SEI]],Tb_Portfólio[SEI],Tb_Portfólio[PROJETO],"Não cadastrado")</f>
        <v>8ª Edição da Série Justiça Pesquisa</v>
      </c>
      <c r="C479" s="2" t="s">
        <v>120</v>
      </c>
      <c r="D479" t="str">
        <f>$E$1&amp;Tb_Alinhamento[[#This Row],[SEI]]</f>
        <v>202420362/2025</v>
      </c>
      <c r="E479" s="24" t="str">
        <f>IFERROR(INDEX(Atualizações!$Q$1:$Q$1265,MATCH(D479,Atualizações!$P$1:$P$1265,0)),"0")</f>
        <v>0</v>
      </c>
      <c r="F479" t="str">
        <f>$G$1&amp;Tb_Alinhamento[[#This Row],[SEI]]</f>
        <v>202520362/2025</v>
      </c>
      <c r="G479" s="24" t="str">
        <f>IFERROR(INDEX(Atualizações!$Q$1:$Q$1265,MATCH(F479,Atualizações!$P$1:$P$1265,0)),"0")</f>
        <v>0</v>
      </c>
      <c r="H479" s="24" t="str">
        <f>$I$1&amp;Tb_Alinhamento[[#This Row],[SEI]]</f>
        <v>202620362/2025</v>
      </c>
      <c r="I479" s="24">
        <f>IFERROR(INDEX(Atualizações!$Q$1:$Q$1265,MATCH(H479,Atualizações!$P$1:$P$1265,0)),"0")</f>
        <v>1</v>
      </c>
      <c r="J479"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row r="480" spans="1:10" ht="30">
      <c r="A480" s="24" t="s">
        <v>1031</v>
      </c>
      <c r="B480" s="5" t="str">
        <f>_xlfn.XLOOKUP(Tb_Alinhamento[[#This Row],[SEI]],Tb_Portfólio[SEI],Tb_Portfólio[PROJETO],"Não cadastrado")</f>
        <v>8ª Edição da Série Justiça Pesquisa</v>
      </c>
      <c r="C480" s="2" t="s">
        <v>166</v>
      </c>
      <c r="D480" t="str">
        <f>$E$1&amp;Tb_Alinhamento[[#This Row],[SEI]]</f>
        <v>202420362/2025</v>
      </c>
      <c r="E480" s="24" t="str">
        <f>IFERROR(INDEX(Atualizações!$Q$1:$Q$1265,MATCH(D480,Atualizações!$P$1:$P$1265,0)),"0")</f>
        <v>0</v>
      </c>
      <c r="F480" t="str">
        <f>$G$1&amp;Tb_Alinhamento[[#This Row],[SEI]]</f>
        <v>202520362/2025</v>
      </c>
      <c r="G480" s="24" t="str">
        <f>IFERROR(INDEX(Atualizações!$Q$1:$Q$1265,MATCH(F480,Atualizações!$P$1:$P$1265,0)),"0")</f>
        <v>0</v>
      </c>
      <c r="H480" s="24" t="str">
        <f>$I$1&amp;Tb_Alinhamento[[#This Row],[SEI]]</f>
        <v>202620362/2025</v>
      </c>
      <c r="I480" s="24">
        <f>IFERROR(INDEX(Atualizações!$Q$1:$Q$1265,MATCH(H480,Atualizações!$P$1:$P$1265,0)),"0")</f>
        <v>1</v>
      </c>
      <c r="J480" t="str">
        <f>_xlfn.XLOOKUP(Tb_Alinhamento[[#This Row],[ALINHAMENTO ESTRATÉGICO]],TB_ObjetivosEstrat[Objetivos Estratégicos do CNJ],TB_ObjetivosEstrat[Rótulo],_xlfn.XLOOKUP(Tb_Alinhamento[[#This Row],[ALINHAMENTO ESTRATÉGICO]],Tb_Macro[Alinhamento Estratégia Nacional  do Poder Judiciário 2021 a 2026:],Tb_Macro[Rótulo],"Não Cadastrado"))</f>
        <v>Macrodesafio</v>
      </c>
    </row>
  </sheetData>
  <phoneticPr fontId="14" type="noConversion"/>
  <conditionalFormatting sqref="A104">
    <cfRule type="duplicateValues" dxfId="167" priority="2"/>
  </conditionalFormatting>
  <conditionalFormatting sqref="A105">
    <cfRule type="duplicateValues" dxfId="166" priority="1"/>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sheetPr>
  <dimension ref="B1:CQ140"/>
  <sheetViews>
    <sheetView zoomScaleNormal="100" workbookViewId="0">
      <selection activeCell="M3" sqref="M3"/>
    </sheetView>
  </sheetViews>
  <sheetFormatPr defaultColWidth="9.140625" defaultRowHeight="15"/>
  <cols>
    <col min="1" max="1" width="9.140625" style="35"/>
    <col min="2" max="2" width="30.5703125" style="24" customWidth="1"/>
    <col min="3" max="3" width="20" style="24" hidden="1" customWidth="1"/>
    <col min="4" max="4" width="30.5703125" style="24" hidden="1" customWidth="1"/>
    <col min="5" max="5" width="36" style="36" customWidth="1"/>
    <col min="6" max="6" width="37.85546875" style="23" customWidth="1"/>
    <col min="7" max="7" width="24.5703125" style="35" customWidth="1"/>
    <col min="8" max="8" width="20.140625" style="35" customWidth="1"/>
    <col min="9" max="9" width="21.85546875" style="35" customWidth="1"/>
    <col min="10" max="10" width="26.42578125" style="35" customWidth="1"/>
    <col min="11" max="11" width="20.5703125" style="35" customWidth="1"/>
    <col min="12" max="12" width="18.85546875" style="35" customWidth="1"/>
    <col min="13" max="13" width="18" style="127" customWidth="1"/>
    <col min="14" max="14" width="11" style="35" hidden="1" customWidth="1"/>
    <col min="15" max="15" width="11" style="23" hidden="1" customWidth="1"/>
    <col min="16" max="16" width="8.7109375" style="36" hidden="1" customWidth="1"/>
    <col min="17" max="17" width="5.28515625" style="36" hidden="1" customWidth="1"/>
    <col min="18" max="23" width="7.5703125" style="36" hidden="1" customWidth="1"/>
    <col min="24" max="24" width="8.7109375" style="36" hidden="1" customWidth="1"/>
    <col min="25" max="25" width="7.5703125" style="36" hidden="1" customWidth="1"/>
    <col min="26" max="26" width="8.7109375" style="36" hidden="1" customWidth="1"/>
    <col min="27" max="27" width="7.5703125" style="35" hidden="1" customWidth="1"/>
    <col min="28" max="29" width="8.7109375" style="35" hidden="1" customWidth="1"/>
    <col min="30" max="32" width="7.5703125" style="35" hidden="1" customWidth="1"/>
    <col min="33" max="35" width="8.7109375" style="35" hidden="1" customWidth="1"/>
    <col min="36" max="36" width="7.5703125" style="35" hidden="1" customWidth="1"/>
    <col min="37" max="38" width="8.7109375" style="35" hidden="1" customWidth="1"/>
    <col min="39" max="39" width="8.7109375" style="35" customWidth="1"/>
    <col min="40" max="40" width="11.7109375" style="35" customWidth="1"/>
    <col min="41" max="41" width="11" style="35" bestFit="1" customWidth="1"/>
    <col min="42" max="43" width="11.42578125" style="35" bestFit="1" customWidth="1"/>
    <col min="44" max="57" width="11.42578125" style="35" customWidth="1"/>
    <col min="58" max="59" width="9.140625" style="35" customWidth="1"/>
    <col min="60" max="61" width="10.5703125" style="35" bestFit="1" customWidth="1"/>
    <col min="62" max="62" width="14.85546875" style="35" customWidth="1"/>
    <col min="63" max="63" width="15.42578125" style="35" customWidth="1"/>
    <col min="64" max="64" width="11.140625" style="35" bestFit="1" customWidth="1"/>
    <col min="65" max="65" width="10.5703125" style="35" bestFit="1" customWidth="1"/>
    <col min="66" max="66" width="10" style="35" bestFit="1" customWidth="1"/>
    <col min="67" max="67" width="11.5703125" style="35" bestFit="1" customWidth="1"/>
    <col min="68" max="68" width="10.5703125" style="35" bestFit="1" customWidth="1"/>
    <col min="69" max="69" width="11" style="35" bestFit="1" customWidth="1"/>
    <col min="70" max="71" width="11.42578125" style="35" bestFit="1" customWidth="1"/>
    <col min="72" max="73" width="10.5703125" style="35" bestFit="1" customWidth="1"/>
    <col min="74" max="74" width="11.42578125" style="35" bestFit="1" customWidth="1"/>
    <col min="75" max="75" width="11" style="35" bestFit="1" customWidth="1"/>
    <col min="76" max="76" width="11.140625" style="35" bestFit="1" customWidth="1"/>
    <col min="77" max="77" width="10.5703125" style="35" bestFit="1" customWidth="1"/>
    <col min="78" max="78" width="10" style="35" bestFit="1" customWidth="1"/>
    <col min="79" max="79" width="11.5703125" style="35" bestFit="1" customWidth="1"/>
    <col min="80" max="80" width="10.5703125" style="35" bestFit="1" customWidth="1"/>
    <col min="81" max="81" width="11" style="35" bestFit="1" customWidth="1"/>
    <col min="82" max="82" width="11.140625" style="35" bestFit="1" customWidth="1"/>
    <col min="83" max="83" width="11.42578125" style="35" bestFit="1" customWidth="1"/>
    <col min="84" max="85" width="10.5703125" style="35" bestFit="1" customWidth="1"/>
    <col min="86" max="86" width="11.42578125" style="35" bestFit="1" customWidth="1"/>
    <col min="87" max="87" width="9.140625" style="35"/>
    <col min="88" max="88" width="11.140625" style="35" bestFit="1" customWidth="1"/>
    <col min="89" max="90" width="9.140625" style="35"/>
    <col min="91" max="91" width="11.5703125" style="35" bestFit="1" customWidth="1"/>
    <col min="92" max="92" width="9.140625" style="35"/>
    <col min="93" max="93" width="11" style="35" bestFit="1" customWidth="1"/>
    <col min="94" max="95" width="11.42578125" style="35" bestFit="1" customWidth="1"/>
    <col min="96" max="16384" width="9.140625" style="35"/>
  </cols>
  <sheetData>
    <row r="1" spans="2:95">
      <c r="I1" s="39">
        <f ca="1">TODAY()</f>
        <v>46176</v>
      </c>
      <c r="J1" s="39"/>
      <c r="M1" s="126"/>
    </row>
    <row r="2" spans="2:95">
      <c r="I2" s="39"/>
      <c r="J2" s="39"/>
      <c r="M2" s="126"/>
    </row>
    <row r="3" spans="2:95" ht="41.25" customHeight="1">
      <c r="B3" s="155" t="s">
        <v>1</v>
      </c>
      <c r="C3" s="155" t="s">
        <v>1664</v>
      </c>
      <c r="D3" s="155" t="s">
        <v>1665</v>
      </c>
      <c r="E3" s="155" t="s">
        <v>2</v>
      </c>
      <c r="F3" s="155" t="s">
        <v>1666</v>
      </c>
      <c r="G3" s="155" t="s">
        <v>1667</v>
      </c>
      <c r="H3" s="155" t="s">
        <v>1668</v>
      </c>
      <c r="I3" s="155" t="s">
        <v>1669</v>
      </c>
      <c r="J3" s="155" t="s">
        <v>1670</v>
      </c>
      <c r="K3" s="155" t="s">
        <v>14</v>
      </c>
      <c r="L3" s="155" t="s">
        <v>15</v>
      </c>
      <c r="M3" s="155" t="s">
        <v>1671</v>
      </c>
      <c r="N3" s="156" t="s">
        <v>1672</v>
      </c>
      <c r="O3" s="156" t="s">
        <v>1673</v>
      </c>
      <c r="P3" s="157" t="s">
        <v>1674</v>
      </c>
      <c r="Q3" s="157" t="s">
        <v>1675</v>
      </c>
      <c r="R3" s="157" t="s">
        <v>1676</v>
      </c>
      <c r="S3" s="157" t="s">
        <v>1677</v>
      </c>
      <c r="T3" s="157" t="s">
        <v>1678</v>
      </c>
      <c r="U3" s="157" t="s">
        <v>1679</v>
      </c>
      <c r="V3" s="157" t="s">
        <v>1680</v>
      </c>
      <c r="W3" s="157" t="s">
        <v>1681</v>
      </c>
      <c r="X3" s="157" t="s">
        <v>1682</v>
      </c>
      <c r="Y3" s="157" t="s">
        <v>1683</v>
      </c>
      <c r="Z3" s="157" t="s">
        <v>1684</v>
      </c>
      <c r="AA3" s="157" t="s">
        <v>1685</v>
      </c>
      <c r="AB3" s="157" t="s">
        <v>1686</v>
      </c>
      <c r="AC3" s="157" t="s">
        <v>1687</v>
      </c>
      <c r="AD3" s="157" t="s">
        <v>1688</v>
      </c>
      <c r="AE3" s="157" t="s">
        <v>1689</v>
      </c>
      <c r="AF3" s="157" t="s">
        <v>1690</v>
      </c>
      <c r="AG3" s="157" t="s">
        <v>1691</v>
      </c>
      <c r="AH3" s="157" t="s">
        <v>1692</v>
      </c>
      <c r="AI3" s="157" t="s">
        <v>1693</v>
      </c>
      <c r="AJ3" s="157" t="s">
        <v>1694</v>
      </c>
      <c r="AK3" s="191" t="s">
        <v>1695</v>
      </c>
      <c r="AL3" s="191" t="s">
        <v>1696</v>
      </c>
      <c r="AM3" s="191" t="s">
        <v>1697</v>
      </c>
      <c r="AN3" s="191" t="s">
        <v>1698</v>
      </c>
      <c r="AO3" s="191" t="s">
        <v>1699</v>
      </c>
      <c r="AP3" s="191" t="s">
        <v>1700</v>
      </c>
      <c r="AQ3" s="191" t="s">
        <v>1701</v>
      </c>
      <c r="AR3" s="191" t="s">
        <v>1702</v>
      </c>
      <c r="AS3" s="191" t="s">
        <v>1703</v>
      </c>
      <c r="AT3" s="191" t="s">
        <v>1704</v>
      </c>
      <c r="AU3" s="191" t="s">
        <v>1705</v>
      </c>
      <c r="AV3" s="191" t="s">
        <v>1706</v>
      </c>
      <c r="AW3" s="191" t="s">
        <v>1707</v>
      </c>
      <c r="AX3" s="191" t="s">
        <v>1708</v>
      </c>
      <c r="BF3" s="174"/>
      <c r="BG3" s="174" t="s">
        <v>1709</v>
      </c>
      <c r="BH3" s="174">
        <v>45292</v>
      </c>
      <c r="BI3" s="174">
        <v>45323</v>
      </c>
      <c r="BJ3" s="174">
        <v>45352</v>
      </c>
      <c r="BK3" s="174">
        <v>45383</v>
      </c>
      <c r="BL3" s="174">
        <v>45413</v>
      </c>
      <c r="BM3" s="174">
        <v>45444</v>
      </c>
      <c r="BN3" s="174">
        <v>45474</v>
      </c>
      <c r="BO3" s="174">
        <v>45505</v>
      </c>
      <c r="BP3" s="174">
        <v>45536</v>
      </c>
      <c r="BQ3" s="174">
        <v>45566</v>
      </c>
      <c r="BR3" s="174">
        <v>45597</v>
      </c>
      <c r="BS3" s="174">
        <v>45627</v>
      </c>
      <c r="BT3" s="174">
        <v>45658</v>
      </c>
      <c r="BU3" s="174">
        <v>45689</v>
      </c>
      <c r="BV3" s="174">
        <v>45717</v>
      </c>
      <c r="BW3" s="174">
        <v>45748</v>
      </c>
      <c r="BX3" s="174">
        <v>45778</v>
      </c>
      <c r="BY3" s="174">
        <v>45809</v>
      </c>
      <c r="BZ3" s="174">
        <v>45839</v>
      </c>
      <c r="CA3" s="174">
        <v>45870</v>
      </c>
      <c r="CB3" s="174">
        <v>45901</v>
      </c>
      <c r="CC3" s="174">
        <v>45931</v>
      </c>
      <c r="CD3" s="174">
        <v>45962</v>
      </c>
      <c r="CE3" s="174">
        <v>45992</v>
      </c>
      <c r="CF3" s="174">
        <v>46023</v>
      </c>
      <c r="CG3" s="174">
        <v>46054</v>
      </c>
      <c r="CH3" s="174">
        <v>46082</v>
      </c>
      <c r="CI3" s="174">
        <v>46113</v>
      </c>
      <c r="CJ3" s="174">
        <v>46143</v>
      </c>
      <c r="CK3" s="174">
        <v>46174</v>
      </c>
      <c r="CL3" s="174">
        <v>46204</v>
      </c>
      <c r="CM3" s="174">
        <v>46235</v>
      </c>
      <c r="CN3" s="174">
        <v>46266</v>
      </c>
      <c r="CO3" s="174">
        <v>46296</v>
      </c>
      <c r="CP3" s="174">
        <v>46327</v>
      </c>
      <c r="CQ3" s="174">
        <v>46357</v>
      </c>
    </row>
    <row r="4" spans="2:95" ht="30" hidden="1">
      <c r="B4" s="676" t="s">
        <v>865</v>
      </c>
      <c r="C4" s="158" t="str">
        <f>_xlfn.XLOOKUP(Tb_Mapa[[#This Row],[SEI]],Tb_Portfólio[SEI],Tb_Portfólio[Portfólio 2025],"",0)</f>
        <v>Sim</v>
      </c>
      <c r="D4" s="158" t="str">
        <f>_xlfn.XLOOKUP(Tb_Mapa[[#This Row],[SEI]],Tb_Portfólio[SEI],Tb_Portfólio[Portfólio 2026],"",0)</f>
        <v>Sim</v>
      </c>
      <c r="E4" s="162" t="str">
        <f>_xlfn.XLOOKUP(Tb_Mapa[[#This Row],[SEI]],Tb_Portfólio[SEI],Tb_Portfólio[PROJETO],"",0)</f>
        <v>Articulação Internacional e Proteção dos Direitos Humanos</v>
      </c>
      <c r="F4" s="143" t="str">
        <f>INDEX(Projetos!$G$3:$G$129,MATCH(Tb_Mapa[[#This Row],[SEI]],Projetos!$A$3:$A$129,0))</f>
        <v>Valdirene Daufemback</v>
      </c>
      <c r="G4" s="160" t="s">
        <v>1710</v>
      </c>
      <c r="H4" s="166" t="str">
        <f>INDEX(Projetos!$T$3:$T$129,MATCH(B4,Projetos!$A$3:$A$129,0))</f>
        <v>Fazendo Justiça</v>
      </c>
      <c r="I4" s="310">
        <f>INDEX(Projetos!$M$3:$M$129,MATCH(Tb_Mapa[[#This Row],[SEI]],Projetos!$A$3:$A$129,0))</f>
        <v>46233</v>
      </c>
      <c r="J4" s="164" t="str">
        <f ca="1">IF(Tb_Mapa[[#This Row],[SITUAÇÃO]]="Finalizado", "Data atualizada", IFERROR(IF(Tb_Mapa[[#This Row],[DATA DE TÉRMINO]]&lt;$I$1,"Atualizar data de encerramento","Data atualizada"),"Sem informação"))</f>
        <v>Data atualizada</v>
      </c>
      <c r="K4" s="311">
        <f>INDEX(Projetos!$N$3:$N$129,MATCH(Tb_Mapa[[#This Row],[SEI]],Projetos!$A$3:$A$129,0))</f>
        <v>0.75</v>
      </c>
      <c r="L4" s="311">
        <f>INDEX(Projetos!$O$3:$O$129,MATCH(Tb_Mapa[[#This Row],[SEI]],Projetos!$A$3:$A$129,0))</f>
        <v>0.75</v>
      </c>
      <c r="M4" s="165" t="str">
        <f ca="1">_xlfn.XLOOKUP(Tb_Mapa[[#This Row],[SEI]],Tb_Portfólio[SEI],Tb_Portfólio[Situação],"N/A",0)</f>
        <v>No prazo</v>
      </c>
      <c r="N4" s="161" t="str" cm="1">
        <f t="array" ref="N4">IFERROR(LOOKUP(2,1/(Atualizações!$H$1:$H$486=Mapa!$B86&amp;Mapa!BG$3),Atualizações!$E$1:$E$486),"NÃO")</f>
        <v>NÃO</v>
      </c>
      <c r="O4" s="161"/>
      <c r="P4" s="161"/>
      <c r="Q4" s="161"/>
      <c r="R4" s="161"/>
      <c r="S4" s="161"/>
      <c r="T4" s="161"/>
      <c r="U4" s="161"/>
      <c r="V4" s="161"/>
      <c r="W4" s="161"/>
      <c r="X4" s="161"/>
      <c r="Y4" s="161"/>
      <c r="Z4" s="161" t="str" cm="1">
        <f t="array" ref="Z4">IFERROR(LOOKUP(2,1/(Atualizações!$H$1:$H$1029=Mapa!$B86&amp;Mapa!BS$3),Atualizações!$E$1:$E$1029),"NÃO")</f>
        <v>NÃO</v>
      </c>
      <c r="AA4" s="161" t="str" cm="1">
        <f t="array" ref="AA4">IFERROR(LOOKUP(2,1/(Atualizações!$H$1:$H$1029=Mapa!$B86&amp;Mapa!BT$3),Atualizações!$E$1:$E$1029),"NÃO")</f>
        <v>NÃO</v>
      </c>
      <c r="AB4" s="161" t="str" cm="1">
        <f t="array" ref="AB4">IFERROR(LOOKUP(2,1/(Atualizações!$H$1:$H$1029=Mapa!$B86&amp;Mapa!BU$3),Atualizações!$E$1:$E$1029),"NÃO")</f>
        <v>NÃO</v>
      </c>
      <c r="AC4" s="161" t="str" cm="1">
        <f t="array" ref="AC4">IFERROR(LOOKUP(2,1/(Atualizações!$H$1:$H$1029=Mapa!$B86&amp;Mapa!BV$3),Atualizações!$E$1:$E$1029),"NÃO")</f>
        <v>NÃO</v>
      </c>
      <c r="AD4" s="161" t="str" cm="1">
        <f t="array" ref="AD4">IFERROR(LOOKUP(2,1/(Atualizações!$H$1:$H$1029=Mapa!$B86&amp;Mapa!BW$3),Atualizações!$E$1:$E$1029),"NÃO")</f>
        <v>NÃO</v>
      </c>
      <c r="AE4" s="161" t="str" cm="1">
        <f t="array" ref="AE4">IFERROR(LOOKUP(2,1/(Atualizações!$H$1:$H$1029=Mapa!$B86&amp;Mapa!BX$3),Atualizações!$E$1:$E$1029),"NÃO")</f>
        <v>NÃO</v>
      </c>
      <c r="AF4" s="161" t="str" cm="1">
        <f t="array" ref="AF4">IFERROR(LOOKUP(2,1/(Atualizações!$H$1:$H$1029=Mapa!$B86&amp;Mapa!BY$3),Atualizações!$E$1:$E$1029),"NÃO")</f>
        <v>NÃO</v>
      </c>
      <c r="AG4" s="161" t="str" cm="1">
        <f t="array" ref="AG4">IFERROR(LOOKUP(2,1/(Atualizações!$H$1:$H$1029=Mapa!$B86&amp;Mapa!BZ$3),Atualizações!$E$1:$E$1029),"NÃO")</f>
        <v>NÃO</v>
      </c>
      <c r="AH4" s="161" t="str" cm="1">
        <f t="array" ref="AH4">IFERROR(LOOKUP(2,1/(Atualizações!$H$1:$H$1029=Mapa!$B86&amp;Mapa!CA$3),Atualizações!$E$1:$E$1029),"NÃO")</f>
        <v>NÃO</v>
      </c>
      <c r="AI4" s="161" t="str" cm="1">
        <f t="array" ref="AI4">IFERROR(LOOKUP(2,1/(Atualizações!$H$1:$H$1029=Mapa!$B86&amp;Mapa!CB$3),Atualizações!$E$1:$E$1029),"NÃO")</f>
        <v>NÃO</v>
      </c>
      <c r="AJ4" s="161" t="str" cm="1">
        <f t="array" ref="AJ4">IFERROR(LOOKUP(2,1/(Atualizações!$H$1:$H$1029=Mapa!$B86&amp;Mapa!CC$3),Atualizações!$E$1:$E$1029),"NÃO")</f>
        <v>NÃO</v>
      </c>
      <c r="AK4" s="161" t="str" cm="1">
        <f t="array" ref="AK4">IFERROR(LOOKUP(2,1/(Atualizações!$H$1:$H$1029=Mapa!$B86&amp;Mapa!CD$3),Atualizações!$E$1:$E$1029),"NÃO")</f>
        <v>NÃO</v>
      </c>
      <c r="AL4" s="161" t="str" cm="1">
        <f t="array" ref="AL4">IFERROR(LOOKUP(2,1/(Atualizações!$H$1:$H$1265=Mapa!$B86&amp;Mapa!CE$3),Atualizações!$E$1:$E$2994),"NÃO")</f>
        <v>NÃO</v>
      </c>
      <c r="AM4" s="161" t="str" cm="1">
        <f t="array" ref="AM4">IFERROR(LOOKUP(2,1/(Atualizações!$H$1:$H$2994=Tb_Mapa[[#This Row],[SEI]]&amp;Mapa!CF$3),Atualizações!$E$1:$E$2994),"NÃO")</f>
        <v>NÃO</v>
      </c>
      <c r="AN4" s="161" t="str" cm="1">
        <f t="array" ref="AN4">IFERROR(LOOKUP(2,1/(Atualizações!$H$1:$H$2994=Tb_Mapa[[#This Row],[SEI]]&amp;Mapa!CG$3),Atualizações!$E$1:$E$2994),"NÃO")</f>
        <v>NÃO</v>
      </c>
      <c r="AO4" s="161" t="str" cm="1">
        <f t="array" ref="AO4">IFERROR(LOOKUP(2,1/(Atualizações!$H$1:$H$2994=Tb_Mapa[[#This Row],[SEI]]&amp;Mapa!CH$3),Atualizações!$E$1:$E$2994),"NÃO")</f>
        <v>NÃO</v>
      </c>
      <c r="AP4" s="161" cm="1">
        <f t="array" ref="AP4">IFERROR(LOOKUP(2,1/(Atualizações!$H$1:$H$2994=Tb_Mapa[[#This Row],[SEI]]&amp;Mapa!CI$3),Atualizações!$E$1:$E$2994),"NÃO")</f>
        <v>0.75</v>
      </c>
      <c r="AQ4" s="161" t="str" cm="1">
        <f t="array" ref="AQ4">IFERROR(LOOKUP(2,1/(Atualizações!$H$1:$H$2994=Tb_Mapa[[#This Row],[SEI]]&amp;Mapa!CJ$3),Atualizações!$E$1:$E$2994),"NÃO")</f>
        <v>NÃO</v>
      </c>
      <c r="AR4" s="161" t="str" cm="1">
        <f t="array" ref="AR4">IFERROR(LOOKUP(2,1/(Atualizações!$H$1:$H$2994=Tb_Mapa[[#This Row],[SEI]]&amp;Mapa!CK$3),Atualizações!$E$1:$E$2994),"NÃO")</f>
        <v>NÃO</v>
      </c>
      <c r="AS4" s="161" t="str" cm="1">
        <f t="array" ref="AS4">IFERROR(LOOKUP(2,1/(Atualizações!$H$1:$H$2994=Tb_Mapa[[#This Row],[SEI]]&amp;Mapa!CL$3),Atualizações!$E$1:$E$2994),"NÃO")</f>
        <v>NÃO</v>
      </c>
      <c r="AT4" s="161" t="str" cm="1">
        <f t="array" ref="AT4">IFERROR(LOOKUP(2,1/(Atualizações!$H$1:$H$2994=Tb_Mapa[[#This Row],[SEI]]&amp;Mapa!CM$3),Atualizações!$E$1:$E$2994),"NÃO")</f>
        <v>NÃO</v>
      </c>
      <c r="AU4" s="161" t="str" cm="1">
        <f t="array" ref="AU4">IFERROR(LOOKUP(2,1/(Atualizações!$H$1:$H$2994=Tb_Mapa[[#This Row],[SEI]]&amp;Mapa!CN$3),Atualizações!$E$1:$E$2994),"NÃO")</f>
        <v>NÃO</v>
      </c>
      <c r="AV4" s="161" t="str" cm="1">
        <f t="array" ref="AV4">IFERROR(LOOKUP(2,1/(Atualizações!$H$1:$H$2994=Tb_Mapa[[#This Row],[SEI]]&amp;Mapa!CO$3),Atualizações!$E$1:$E$2994),"NÃO")</f>
        <v>NÃO</v>
      </c>
      <c r="AW4" s="161" t="str" cm="1">
        <f t="array" ref="AW4">IFERROR(LOOKUP(2,1/(Atualizações!$H$1:$H$2994=Tb_Mapa[[#This Row],[SEI]]&amp;Mapa!CP$3),Atualizações!$E$1:$E$2994),"NÃO")</f>
        <v>NÃO</v>
      </c>
      <c r="AX4" s="161" t="str" cm="1">
        <f t="array" ref="AX4">IFERROR(LOOKUP(2,1/(Atualizações!$H$1:$H$2994=Tb_Mapa[[#This Row],[SEI]]&amp;Mapa!CQ$3),Atualizações!$E$1:$E$2994),"NÃO")</f>
        <v>NÃO</v>
      </c>
    </row>
    <row r="5" spans="2:95" ht="32.25" hidden="1" customHeight="1">
      <c r="B5" s="167" t="s">
        <v>629</v>
      </c>
      <c r="C5" s="158" t="str">
        <f>_xlfn.XLOOKUP(Tb_Mapa[[#This Row],[SEI]],Tb_Portfólio[SEI],Tb_Portfólio[Portfólio 2025],"",0)</f>
        <v>Sim</v>
      </c>
      <c r="D5" s="158" t="str">
        <f>_xlfn.XLOOKUP(Tb_Mapa[[#This Row],[SEI]],Tb_Portfólio[SEI],Tb_Portfólio[Portfólio 2026],"",0)</f>
        <v>Sim</v>
      </c>
      <c r="E5" s="162" t="str">
        <f>_xlfn.XLOOKUP(Tb_Mapa[[#This Row],[SEI]],Tb_Portfólio[SEI],Tb_Portfólio[PROJETO],"",0)</f>
        <v>2º Edital da 7ª Edição da Série Justiça Pesquisa - Exercício 2024/2025</v>
      </c>
      <c r="F5" s="143" t="str">
        <f>INDEX(Projetos!$G$3:$G$129,MATCH(Tb_Mapa[[#This Row],[SEI]],Projetos!$A$3:$A$129,0))</f>
        <v>Danielly dos Santos Queirós</v>
      </c>
      <c r="G5" s="171" t="s">
        <v>1711</v>
      </c>
      <c r="H5" s="166">
        <f>INDEX(Projetos!$T$3:$T$129,MATCH(B5,Projetos!$A$3:$A$129,0))</f>
        <v>0</v>
      </c>
      <c r="I5" s="310">
        <v>46203</v>
      </c>
      <c r="J5" s="164" t="str">
        <f ca="1">IF(Tb_Mapa[[#This Row],[SITUAÇÃO]]="Finalizado", "Data atualizada", IFERROR(IF(Tb_Mapa[[#This Row],[DATA DE TÉRMINO]]&lt;$I$1,"Atualizar data de encerramento","Data atualizada"),"Sem informação"))</f>
        <v>Data atualizada</v>
      </c>
      <c r="K5" s="311">
        <f>INDEX(Projetos!$N$3:$N$129,MATCH(Tb_Mapa[[#This Row],[SEI]],Projetos!$A$3:$A$129,0))</f>
        <v>0.99</v>
      </c>
      <c r="L5" s="311">
        <f>INDEX(Projetos!$O$3:$O$129,MATCH(Tb_Mapa[[#This Row],[SEI]],Projetos!$A$3:$A$129,0))</f>
        <v>0.99</v>
      </c>
      <c r="M5" s="165" t="str">
        <f ca="1">_xlfn.XLOOKUP(Tb_Mapa[[#This Row],[SEI]],Tb_Portfólio[SEI],Tb_Portfólio[Situação],"N/A",0)</f>
        <v>No prazo</v>
      </c>
      <c r="N5" s="161" t="str" cm="1">
        <f t="array" ref="N5">IFERROR(LOOKUP(2,1/(Atualizações!$H$1:$H$486=Mapa!$B49&amp;Mapa!BG$3),Atualizações!$E$1:$E$486),"NÃO")</f>
        <v>NÃO</v>
      </c>
      <c r="O5" s="161" t="str" cm="1">
        <f t="array" ref="O5">IFERROR(LOOKUP(2,1/(Atualizações!$H$1:$H$580=Mapa!$B49&amp;Mapa!BH$3),Atualizações!$E$1:$E$580),"NÃO")</f>
        <v>NÃO</v>
      </c>
      <c r="P5" s="161" t="str" cm="1">
        <f t="array" ref="P5">IFERROR(LOOKUP(2,1/(Atualizações!$H$1:$H$580=Mapa!$B49&amp;Mapa!BI$3),Atualizações!$E$1:$E$580),"NÃO")</f>
        <v>NÃO</v>
      </c>
      <c r="Q5" s="161" t="str" cm="1">
        <f t="array" ref="Q5">IFERROR(LOOKUP(2,1/(Atualizações!$H$1:$H$580=Mapa!$B49&amp;Mapa!BJ$3),Atualizações!$E$1:$E$580),"NÃO")</f>
        <v>NÃO</v>
      </c>
      <c r="R5" s="161" t="str" cm="1">
        <f t="array" ref="R5">IFERROR(LOOKUP(2,1/(Atualizações!$H$1:$H$580=Mapa!$B49&amp;Mapa!BK$3),Atualizações!$E$1:$E$580),"NÃO")</f>
        <v>NÃO</v>
      </c>
      <c r="S5" s="161" t="str" cm="1">
        <f t="array" ref="S5">IFERROR(LOOKUP(2,1/(Atualizações!$H$1:$H$580=Mapa!$B49&amp;Mapa!BL$3),Atualizações!$E$1:$E$580),"NÃO")</f>
        <v>NÃO</v>
      </c>
      <c r="T5" s="161" t="str" cm="1">
        <f t="array" ref="T5">IFERROR(LOOKUP(2,1/(Atualizações!$H$1:$H$580=Mapa!$B49&amp;Mapa!BM$3),Atualizações!$E$1:$E$580),"NÃO")</f>
        <v>NÃO</v>
      </c>
      <c r="U5" s="161" t="str" cm="1">
        <f t="array" ref="U5">IFERROR(LOOKUP(2,1/(Atualizações!$H$1:$H$580=Mapa!$B49&amp;Mapa!BN$3),Atualizações!$E$1:$E$580),"NÃO")</f>
        <v>NÃO</v>
      </c>
      <c r="V5" s="161" t="str" cm="1">
        <f t="array" ref="V5">IFERROR(LOOKUP(2,1/(Atualizações!$H$1:$H$580=Mapa!$B49&amp;Mapa!BO$3),Atualizações!$E$1:$E$580),"NÃO")</f>
        <v>NÃO</v>
      </c>
      <c r="W5" s="161" t="str" cm="1">
        <f t="array" ref="W5">IFERROR(LOOKUP(2,1/(Atualizações!$H$1:$H$580=Mapa!$B49&amp;Mapa!BP$3),Atualizações!$E$1:$E$580),"NÃO")</f>
        <v>NÃO</v>
      </c>
      <c r="X5" s="161" t="str" cm="1">
        <f t="array" ref="X5">IFERROR(LOOKUP(2,1/(Atualizações!$H$1:$H$580=Mapa!$B49&amp;Mapa!BQ$3),Atualizações!$E$1:$E$580),"NÃO")</f>
        <v>NÃO</v>
      </c>
      <c r="Y5" s="161" t="str" cm="1">
        <f t="array" ref="Y5">IFERROR(LOOKUP(2,1/(Atualizações!$H$1:$H$580=Mapa!$B49&amp;Mapa!BR$3),Atualizações!$E$1:$E$580),"NÃO")</f>
        <v>NÃO</v>
      </c>
      <c r="Z5" s="161" t="str" cm="1">
        <f t="array" ref="Z5">IFERROR(LOOKUP(2,1/(Atualizações!$H$1:$H$1029=Mapa!$B49&amp;Mapa!BS$3),Atualizações!$E$1:$E$1029),"NÃO")</f>
        <v>NÃO</v>
      </c>
      <c r="AA5" s="161" t="str" cm="1">
        <f t="array" ref="AA5">IFERROR(LOOKUP(2,1/(Atualizações!$H$1:$H$1029=Mapa!$B49&amp;Mapa!BT$3),Atualizações!$E$1:$E$1029),"NÃO")</f>
        <v>NÃO</v>
      </c>
      <c r="AB5" s="161" t="str" cm="1">
        <f t="array" ref="AB5">IFERROR(LOOKUP(2,1/(Atualizações!$H$1:$H$1029=Mapa!$B49&amp;Mapa!BU$3),Atualizações!$E$1:$E$1029),"NÃO")</f>
        <v>NÃO</v>
      </c>
      <c r="AC5" s="161" t="str" cm="1">
        <f t="array" ref="AC5">IFERROR(LOOKUP(2,1/(Atualizações!$H$1:$H$1029=Mapa!$B49&amp;Mapa!BV$3),Atualizações!$E$1:$E$1029),"NÃO")</f>
        <v>NÃO</v>
      </c>
      <c r="AD5" s="161" t="str" cm="1">
        <f t="array" ref="AD5">IFERROR(LOOKUP(2,1/(Atualizações!$H$1:$H$1029=Mapa!$B49&amp;Mapa!BW$3),Atualizações!$E$1:$E$1029),"NÃO")</f>
        <v>NÃO</v>
      </c>
      <c r="AE5" s="161" t="str" cm="1">
        <f t="array" ref="AE5">IFERROR(LOOKUP(2,1/(Atualizações!$H$1:$H$1029=Mapa!$B49&amp;Mapa!BX$3),Atualizações!$E$1:$E$1029),"NÃO")</f>
        <v>NÃO</v>
      </c>
      <c r="AF5" s="161" t="str" cm="1">
        <f t="array" ref="AF5">IFERROR(LOOKUP(2,1/(Atualizações!$H$1:$H$1029=Mapa!$B49&amp;Mapa!BY$3),Atualizações!$E$1:$E$1029),"NÃO")</f>
        <v>NÃO</v>
      </c>
      <c r="AG5" s="161" t="str" cm="1">
        <f t="array" ref="AG5">IFERROR(LOOKUP(2,1/(Atualizações!$H$1:$H$1029=Mapa!$B49&amp;Mapa!BZ$3),Atualizações!$E$1:$E$1029),"NÃO")</f>
        <v>NÃO</v>
      </c>
      <c r="AH5" s="161" t="str" cm="1">
        <f t="array" ref="AH5">IFERROR(LOOKUP(2,1/(Atualizações!$H$1:$H$1029=Mapa!$B49&amp;Mapa!CA$3),Atualizações!$E$1:$E$1029),"NÃO")</f>
        <v>NÃO</v>
      </c>
      <c r="AI5" s="161" t="str" cm="1">
        <f t="array" ref="AI5">IFERROR(LOOKUP(2,1/(Atualizações!$H$1:$H$1029=Mapa!$B49&amp;Mapa!CB$3),Atualizações!$E$1:$E$1029),"NÃO")</f>
        <v>NÃO</v>
      </c>
      <c r="AJ5" s="161" t="str" cm="1">
        <f t="array" ref="AJ5">IFERROR(LOOKUP(2,1/(Atualizações!$H$1:$H$1029=Mapa!$B49&amp;Mapa!CC$3),Atualizações!$E$1:$E$1029),"NÃO")</f>
        <v>NÃO</v>
      </c>
      <c r="AK5" s="161" t="str" cm="1">
        <f t="array" ref="AK5">IFERROR(LOOKUP(2,1/(Atualizações!$H$1:$H$1029=Mapa!$B49&amp;Mapa!CD$3),Atualizações!$E$1:$E$1029),"NÃO")</f>
        <v>NÃO</v>
      </c>
      <c r="AL5" s="161" t="str" cm="1">
        <f t="array" ref="AL5">IFERROR(LOOKUP(2,1/(Atualizações!$H$1:$H$1265=Mapa!$B49&amp;Mapa!CE$3),Atualizações!$E$1:$E$2994),"NÃO")</f>
        <v>NÃO</v>
      </c>
      <c r="AM5" s="161" t="str" cm="1">
        <f t="array" ref="AM5">IFERROR(LOOKUP(2,1/(Atualizações!$H$1:$H$2994=Tb_Mapa[[#This Row],[SEI]]&amp;Mapa!CF$3),Atualizações!$E$1:$E$2994),"NÃO")</f>
        <v>NÃO</v>
      </c>
      <c r="AN5" s="161" cm="1">
        <f t="array" ref="AN5">IFERROR(LOOKUP(2,1/(Atualizações!$H$1:$H$2994=Tb_Mapa[[#This Row],[SEI]]&amp;Mapa!CG$3),Atualizações!$E$1:$E$2994),"NÃO")</f>
        <v>0.90600000000000003</v>
      </c>
      <c r="AO5" s="161" t="str" cm="1">
        <f t="array" ref="AO5">IFERROR(LOOKUP(2,1/(Atualizações!$H$1:$H$2994=Tb_Mapa[[#This Row],[SEI]]&amp;Mapa!CH$3),Atualizações!$E$1:$E$2994),"NÃO")</f>
        <v>NÃO</v>
      </c>
      <c r="AP5" s="161" cm="1">
        <f t="array" ref="AP5">IFERROR(LOOKUP(2,1/(Atualizações!$H$1:$H$2994=Tb_Mapa[[#This Row],[SEI]]&amp;Mapa!CI$3),Atualizações!$E$1:$E$2994),"NÃO")</f>
        <v>0.99</v>
      </c>
      <c r="AQ5" s="161" t="str" cm="1">
        <f t="array" ref="AQ5">IFERROR(LOOKUP(2,1/(Atualizações!$H$1:$H$2994=Tb_Mapa[[#This Row],[SEI]]&amp;Mapa!CJ$3),Atualizações!$E$1:$E$2994),"NÃO")</f>
        <v>NÃO</v>
      </c>
      <c r="AR5" s="161" t="str" cm="1">
        <f t="array" ref="AR5">IFERROR(LOOKUP(2,1/(Atualizações!$H$1:$H$2994=Tb_Mapa[[#This Row],[SEI]]&amp;Mapa!CK$3),Atualizações!$E$1:$E$2994),"NÃO")</f>
        <v>NÃO</v>
      </c>
      <c r="AS5" s="161" t="str" cm="1">
        <f t="array" ref="AS5">IFERROR(LOOKUP(2,1/(Atualizações!$H$1:$H$2994=Tb_Mapa[[#This Row],[SEI]]&amp;Mapa!CL$3),Atualizações!$E$1:$E$2994),"NÃO")</f>
        <v>NÃO</v>
      </c>
      <c r="AT5" s="161" t="str" cm="1">
        <f t="array" ref="AT5">IFERROR(LOOKUP(2,1/(Atualizações!$H$1:$H$2994=Tb_Mapa[[#This Row],[SEI]]&amp;Mapa!CM$3),Atualizações!$E$1:$E$2994),"NÃO")</f>
        <v>NÃO</v>
      </c>
      <c r="AU5" s="161" t="str" cm="1">
        <f t="array" ref="AU5">IFERROR(LOOKUP(2,1/(Atualizações!$H$1:$H$2994=Tb_Mapa[[#This Row],[SEI]]&amp;Mapa!CN$3),Atualizações!$E$1:$E$2994),"NÃO")</f>
        <v>NÃO</v>
      </c>
      <c r="AV5" s="161" t="str" cm="1">
        <f t="array" ref="AV5">IFERROR(LOOKUP(2,1/(Atualizações!$H$1:$H$2994=Tb_Mapa[[#This Row],[SEI]]&amp;Mapa!CO$3),Atualizações!$E$1:$E$2994),"NÃO")</f>
        <v>NÃO</v>
      </c>
      <c r="AW5" s="161" t="str" cm="1">
        <f t="array" ref="AW5">IFERROR(LOOKUP(2,1/(Atualizações!$H$1:$H$2994=Tb_Mapa[[#This Row],[SEI]]&amp;Mapa!CP$3),Atualizações!$E$1:$E$2994),"NÃO")</f>
        <v>NÃO</v>
      </c>
      <c r="AX5" s="161" t="str" cm="1">
        <f t="array" ref="AX5">IFERROR(LOOKUP(2,1/(Atualizações!$H$1:$H$2994=Tb_Mapa[[#This Row],[SEI]]&amp;Mapa!CQ$3),Atualizações!$E$1:$E$2994),"NÃO")</f>
        <v>NÃO</v>
      </c>
    </row>
    <row r="6" spans="2:95" hidden="1">
      <c r="B6" s="676" t="s">
        <v>934</v>
      </c>
      <c r="C6" s="676" t="str">
        <f>_xlfn.XLOOKUP(Tb_Mapa[[#This Row],[SEI]],Tb_Portfólio[SEI],Tb_Portfólio[Portfólio 2025],"",0)</f>
        <v>Não</v>
      </c>
      <c r="D6" s="158" t="str">
        <f>_xlfn.XLOOKUP(Tb_Mapa[[#This Row],[SEI]],Tb_Portfólio[SEI],Tb_Portfólio[Portfólio 2026],"",0)</f>
        <v>Sim</v>
      </c>
      <c r="E6" s="162" t="str">
        <f>_xlfn.XLOOKUP(Tb_Mapa[[#This Row],[SEI]],Tb_Portfólio[SEI],Tb_Portfólio[PROJETO],"",0)</f>
        <v>Programa Infância a Priori</v>
      </c>
      <c r="F6" s="143" t="str">
        <f>INDEX(Projetos!$G$3:$G$129,MATCH(Tb_Mapa[[#This Row],[SEI]],Projetos!$A$3:$A$129,0))</f>
        <v>Graziela Milani Leal</v>
      </c>
      <c r="G6" s="160" t="s">
        <v>1711</v>
      </c>
      <c r="H6" s="166">
        <f>INDEX(Projetos!$T$3:$T$129,MATCH(B6,Projetos!$A$3:$A$129,0))</f>
        <v>0</v>
      </c>
      <c r="I6" s="310">
        <f>INDEX(Projetos!$M$3:$M$129,MATCH(Tb_Mapa[[#This Row],[SEI]],Projetos!$A$3:$A$129,0))</f>
        <v>46741</v>
      </c>
      <c r="J6" s="164" t="str">
        <f ca="1">IF(Tb_Mapa[[#This Row],[SITUAÇÃO]]="Finalizado", "Data atualizada", IFERROR(IF(Tb_Mapa[[#This Row],[DATA DE TÉRMINO]]&lt;$I$1,"Atualizar data de encerramento","Data atualizada"),"Sem informação"))</f>
        <v>Data atualizada</v>
      </c>
      <c r="K6" s="311">
        <f>INDEX(Projetos!$N$3:$N$129,MATCH(Tb_Mapa[[#This Row],[SEI]],Projetos!$A$3:$A$129,0))</f>
        <v>0</v>
      </c>
      <c r="L6" s="311">
        <f>INDEX(Projetos!$O$3:$O$129,MATCH(Tb_Mapa[[#This Row],[SEI]],Projetos!$A$3:$A$129,0))</f>
        <v>0</v>
      </c>
      <c r="M6" s="165" t="str">
        <f ca="1">_xlfn.XLOOKUP(Tb_Mapa[[#This Row],[SEI]],Tb_Portfólio[SEI],Tb_Portfólio[Situação],"N/A",0)</f>
        <v>Autorizado</v>
      </c>
      <c r="N6" s="161" t="str" cm="1">
        <f t="array" ref="N6">IFERROR(LOOKUP(2,1/(Atualizações!$H$1:$H$486=Mapa!$B119&amp;Mapa!BG$3),Atualizações!$E$1:$E$486),"NÃO")</f>
        <v>NÃO</v>
      </c>
      <c r="O6" s="161"/>
      <c r="P6" s="161"/>
      <c r="Q6" s="161"/>
      <c r="R6" s="161"/>
      <c r="S6" s="161"/>
      <c r="T6" s="161"/>
      <c r="U6" s="161"/>
      <c r="V6" s="161"/>
      <c r="W6" s="161"/>
      <c r="X6" s="161"/>
      <c r="Y6" s="161"/>
      <c r="Z6" s="161"/>
      <c r="AA6" s="691"/>
      <c r="AB6" s="691"/>
      <c r="AC6" s="691"/>
      <c r="AD6" s="691"/>
      <c r="AE6" s="691"/>
      <c r="AF6" s="691"/>
      <c r="AG6" s="691"/>
      <c r="AH6" s="691"/>
      <c r="AI6" s="691"/>
      <c r="AJ6" s="691"/>
      <c r="AK6" s="161" t="str" cm="1">
        <f t="array" ref="AK6">IFERROR(LOOKUP(2,1/(Atualizações!$H$1:$H$1029=Mapa!$B119&amp;Mapa!CD$3),Atualizações!$E$1:$E$1029),"NÃO")</f>
        <v>NÃO</v>
      </c>
      <c r="AL6" s="161" t="str" cm="1">
        <f t="array" ref="AL6">IFERROR(LOOKUP(2,1/(Atualizações!$H$1:$H$1265=Mapa!$B119&amp;Mapa!CE$3),Atualizações!$E$1:$E$2994),"NÃO")</f>
        <v>NÃO</v>
      </c>
      <c r="AM6" s="161" t="str" cm="1">
        <f t="array" ref="AM6">IFERROR(LOOKUP(2,1/(Atualizações!$H$1:$H$2994=Tb_Mapa[[#This Row],[SEI]]&amp;Mapa!CF$3),Atualizações!$E$1:$E$2994),"NÃO")</f>
        <v>NÃO</v>
      </c>
      <c r="AN6" s="161" cm="1">
        <f t="array" ref="AN6">IFERROR(LOOKUP(2,1/(Atualizações!$H$1:$H$2994=Tb_Mapa[[#This Row],[SEI]]&amp;Mapa!CG$3),Atualizações!$E$1:$E$2994),"NÃO")</f>
        <v>0</v>
      </c>
      <c r="AO6" s="161" t="str" cm="1">
        <f t="array" ref="AO6">IFERROR(LOOKUP(2,1/(Atualizações!$H$1:$H$2994=Tb_Mapa[[#This Row],[SEI]]&amp;Mapa!CH$3),Atualizações!$E$1:$E$2994),"NÃO")</f>
        <v>NÃO</v>
      </c>
      <c r="AP6" s="161" t="str" cm="1">
        <f t="array" ref="AP6">IFERROR(LOOKUP(2,1/(Atualizações!$H$1:$H$2994=Tb_Mapa[[#This Row],[SEI]]&amp;Mapa!CI$3),Atualizações!$E$1:$E$2994),"NÃO")</f>
        <v>NÃO</v>
      </c>
      <c r="AQ6" s="161" t="str" cm="1">
        <f t="array" ref="AQ6">IFERROR(LOOKUP(2,1/(Atualizações!$H$1:$H$2994=Tb_Mapa[[#This Row],[SEI]]&amp;Mapa!CJ$3),Atualizações!$E$1:$E$2994),"NÃO")</f>
        <v>NÃO</v>
      </c>
      <c r="AR6" s="161" t="str" cm="1">
        <f t="array" ref="AR6">IFERROR(LOOKUP(2,1/(Atualizações!$H$1:$H$2994=Tb_Mapa[[#This Row],[SEI]]&amp;Mapa!CK$3),Atualizações!$E$1:$E$2994),"NÃO")</f>
        <v>NÃO</v>
      </c>
      <c r="AS6" s="161" t="str" cm="1">
        <f t="array" ref="AS6">IFERROR(LOOKUP(2,1/(Atualizações!$H$1:$H$2994=Tb_Mapa[[#This Row],[SEI]]&amp;Mapa!CL$3),Atualizações!$E$1:$E$2994),"NÃO")</f>
        <v>NÃO</v>
      </c>
      <c r="AT6" s="161" t="str" cm="1">
        <f t="array" ref="AT6">IFERROR(LOOKUP(2,1/(Atualizações!$H$1:$H$2994=Tb_Mapa[[#This Row],[SEI]]&amp;Mapa!CM$3),Atualizações!$E$1:$E$2994),"NÃO")</f>
        <v>NÃO</v>
      </c>
      <c r="AU6" s="161" t="str" cm="1">
        <f t="array" ref="AU6">IFERROR(LOOKUP(2,1/(Atualizações!$H$1:$H$2994=Tb_Mapa[[#This Row],[SEI]]&amp;Mapa!CN$3),Atualizações!$E$1:$E$2994),"NÃO")</f>
        <v>NÃO</v>
      </c>
      <c r="AV6" s="161" t="str" cm="1">
        <f t="array" ref="AV6">IFERROR(LOOKUP(2,1/(Atualizações!$H$1:$H$2994=Tb_Mapa[[#This Row],[SEI]]&amp;Mapa!CO$3),Atualizações!$E$1:$E$2994),"NÃO")</f>
        <v>NÃO</v>
      </c>
      <c r="AW6" s="161" t="str" cm="1">
        <f t="array" ref="AW6">IFERROR(LOOKUP(2,1/(Atualizações!$H$1:$H$2994=Tb_Mapa[[#This Row],[SEI]]&amp;Mapa!CP$3),Atualizações!$E$1:$E$2994),"NÃO")</f>
        <v>NÃO</v>
      </c>
      <c r="AX6" s="161" t="str" cm="1">
        <f t="array" ref="AX6">IFERROR(LOOKUP(2,1/(Atualizações!$H$1:$H$2994=Tb_Mapa[[#This Row],[SEI]]&amp;Mapa!CQ$3),Atualizações!$E$1:$E$2994),"NÃO")</f>
        <v>NÃO</v>
      </c>
    </row>
    <row r="7" spans="2:95" ht="75" hidden="1">
      <c r="B7" s="158" t="s">
        <v>369</v>
      </c>
      <c r="C7" s="158" t="str">
        <f>_xlfn.XLOOKUP(Tb_Mapa[[#This Row],[SEI]],Tb_Portfólio[SEI],Tb_Portfólio[Portfólio 2025],"",0)</f>
        <v>Não</v>
      </c>
      <c r="D7" s="158" t="str">
        <f>_xlfn.XLOOKUP(Tb_Mapa[[#This Row],[SEI]],Tb_Portfólio[SEI],Tb_Portfólio[Portfólio 2026],"",0)</f>
        <v>Não</v>
      </c>
      <c r="E7" s="162" t="str">
        <f>_xlfn.XLOOKUP(Tb_Mapa[[#This Row],[SEI]],Tb_Portfólio[SEI],Tb_Portfólio[PROJETO],"",0)</f>
        <v>Aperfeiçoamento funcional em temáticas prioritárias para o CNJ e para Justiça Federal (cursos, capacitações, metodologias e ferramentas)</v>
      </c>
      <c r="F7" s="316" t="str">
        <f>INDEX(Projetos!$G$3:$G$129,MATCH(B7,Projetos!$A$3:$A$129,0))</f>
        <v>Tamires Aparecida Ferreira Souza</v>
      </c>
      <c r="G7" s="160" t="s">
        <v>1712</v>
      </c>
      <c r="H7" s="166" t="str">
        <f>INDEX(Projetos!$T$3:$T$129,MATCH(B7,Projetos!$A$3:$A$129,0))</f>
        <v>Justiça 4.0</v>
      </c>
      <c r="I7" s="310">
        <f>INDEX(Projetos!$M$3:$M$129,MATCH(Mapa!B7,Projetos!$A$3:$A$129,0))</f>
        <v>45351</v>
      </c>
      <c r="J7" s="164" t="str">
        <f>IF(Tb_Mapa[[#This Row],[SITUAÇÃO]]="Finalizado", "Data atualizada", IFERROR(IF(I7&lt;$CN$3,"Atualizar data de encerramento","Data atualizada"),"Sem informação"))</f>
        <v>Data atualizada</v>
      </c>
      <c r="K7" s="311">
        <f>INDEX(Projetos!$N$3:$N$129,MATCH(Tb_Mapa[[#This Row],[SEI]],Projetos!$A$3:$A$129,0))</f>
        <v>1</v>
      </c>
      <c r="L7" s="311">
        <f>INDEX(Projetos!$O$3:$O$129,MATCH(Tb_Mapa[[#This Row],[SEI]],Projetos!$A$3:$A$129,0))</f>
        <v>1</v>
      </c>
      <c r="M7" s="165" t="str">
        <f>_xlfn.XLOOKUP(Tb_Mapa[[#This Row],[SEI]],Tb_Portfólio[SEI],Tb_Portfólio[Situação],"N/A",0)</f>
        <v>Finalizado</v>
      </c>
      <c r="N7" s="161" t="str" cm="1">
        <f t="array" ref="N7">IFERROR(LOOKUP(2,1/(Atualizações!$H$1:$H$486=Mapa!$B6&amp;Mapa!BG$3),Atualizações!$E$1:$E$486),"NÃO")</f>
        <v>NÃO</v>
      </c>
      <c r="O7" s="161" t="str" cm="1">
        <f t="array" ref="O7">IFERROR(LOOKUP(2,1/(Atualizações!$H$1:$H$580=Mapa!$B6&amp;Mapa!BH$3),Atualizações!$E$1:$E$580),"NÃO")</f>
        <v>NÃO</v>
      </c>
      <c r="P7" s="161" t="str" cm="1">
        <f t="array" ref="P7">IFERROR(LOOKUP(2,1/(Atualizações!$H$1:$H$580=Mapa!$B6&amp;Mapa!BI$3),Atualizações!$E$1:$E$580),"NÃO")</f>
        <v>NÃO</v>
      </c>
      <c r="Q7" s="161" t="str" cm="1">
        <f t="array" ref="Q7">IFERROR(LOOKUP(2,1/(Atualizações!$H$1:$H$580=Mapa!$B6&amp;Mapa!BJ$3),Atualizações!$E$1:$E$580),"NÃO")</f>
        <v>NÃO</v>
      </c>
      <c r="R7" s="161" t="str" cm="1">
        <f t="array" ref="R7">IFERROR(LOOKUP(2,1/(Atualizações!$H$1:$H$580=Mapa!$B6&amp;Mapa!BK$3),Atualizações!$E$1:$E$580),"NÃO")</f>
        <v>NÃO</v>
      </c>
      <c r="S7" s="161" t="str" cm="1">
        <f t="array" ref="S7">IFERROR(LOOKUP(2,1/(Atualizações!$H$1:$H$580=Mapa!$B6&amp;Mapa!BL$3),Atualizações!$E$1:$E$580),"NÃO")</f>
        <v>NÃO</v>
      </c>
      <c r="T7" s="161" t="str" cm="1">
        <f t="array" ref="T7">IFERROR(LOOKUP(2,1/(Atualizações!$H$1:$H$580=Mapa!$B6&amp;Mapa!BM$3),Atualizações!$E$1:$E$580),"NÃO")</f>
        <v>NÃO</v>
      </c>
      <c r="U7" s="161" t="str" cm="1">
        <f t="array" ref="U7">IFERROR(LOOKUP(2,1/(Atualizações!$H$1:$H$580=Mapa!$B6&amp;Mapa!BN$3),Atualizações!$E$1:$E$580),"NÃO")</f>
        <v>NÃO</v>
      </c>
      <c r="V7" s="161" t="str" cm="1">
        <f t="array" ref="V7">IFERROR(LOOKUP(2,1/(Atualizações!$H$1:$H$580=Mapa!$B6&amp;Mapa!BO$3),Atualizações!$E$1:$E$580),"NÃO")</f>
        <v>NÃO</v>
      </c>
      <c r="W7" s="161" t="str" cm="1">
        <f t="array" ref="W7">IFERROR(LOOKUP(2,1/(Atualizações!$H$1:$H$580=Mapa!$B6&amp;Mapa!BP$3),Atualizações!$E$1:$E$580),"NÃO")</f>
        <v>NÃO</v>
      </c>
      <c r="X7" s="161" t="str" cm="1">
        <f t="array" ref="X7">IFERROR(LOOKUP(2,1/(Atualizações!$H$1:$H$580=Mapa!$B6&amp;Mapa!BQ$3),Atualizações!$E$1:$E$580),"NÃO")</f>
        <v>NÃO</v>
      </c>
      <c r="Y7" s="161" t="str" cm="1">
        <f t="array" ref="Y7">IFERROR(LOOKUP(2,1/(Atualizações!$H$1:$H$580=Mapa!$B6&amp;Mapa!BR$3),Atualizações!$E$1:$E$580),"NÃO")</f>
        <v>NÃO</v>
      </c>
      <c r="Z7" s="161" t="str" cm="1">
        <f t="array" ref="Z7">IFERROR(LOOKUP(2,1/(Atualizações!$H$1:$H$1029=Mapa!$B6&amp;Mapa!BS$3),Atualizações!$E$1:$E$1029),"NÃO")</f>
        <v>NÃO</v>
      </c>
      <c r="AA7" s="161" t="str" cm="1">
        <f t="array" ref="AA7">IFERROR(LOOKUP(2,1/(Atualizações!$H$1:$H$1029=Mapa!$B6&amp;Mapa!BT$3),Atualizações!$E$1:$E$1029),"NÃO")</f>
        <v>NÃO</v>
      </c>
      <c r="AB7" s="161" t="str" cm="1">
        <f t="array" ref="AB7">IFERROR(LOOKUP(2,1/(Atualizações!$H$1:$H$1029=Mapa!$B6&amp;Mapa!BU$3),Atualizações!$E$1:$E$1029),"NÃO")</f>
        <v>NÃO</v>
      </c>
      <c r="AC7" s="161" t="str" cm="1">
        <f t="array" ref="AC7">IFERROR(LOOKUP(2,1/(Atualizações!$H$1:$H$1029=Mapa!$B6&amp;Mapa!BV$3),Atualizações!$E$1:$E$1029),"NÃO")</f>
        <v>NÃO</v>
      </c>
      <c r="AD7" s="161" t="str" cm="1">
        <f t="array" ref="AD7">IFERROR(LOOKUP(2,1/(Atualizações!$H$1:$H$1029=Mapa!$B6&amp;Mapa!BW$3),Atualizações!$E$1:$E$1029),"NÃO")</f>
        <v>NÃO</v>
      </c>
      <c r="AE7" s="161" t="str" cm="1">
        <f t="array" ref="AE7">IFERROR(LOOKUP(2,1/(Atualizações!$H$1:$H$1029=Mapa!$B6&amp;Mapa!BX$3),Atualizações!$E$1:$E$1029),"NÃO")</f>
        <v>NÃO</v>
      </c>
      <c r="AF7" s="161" t="str" cm="1">
        <f t="array" ref="AF7">IFERROR(LOOKUP(2,1/(Atualizações!$H$1:$H$1029=Mapa!$B6&amp;Mapa!BY$3),Atualizações!$E$1:$E$1029),"NÃO")</f>
        <v>NÃO</v>
      </c>
      <c r="AG7" s="161" t="str" cm="1">
        <f t="array" ref="AG7">IFERROR(LOOKUP(2,1/(Atualizações!$H$1:$H$1029=Mapa!$B6&amp;Mapa!BZ$3),Atualizações!$E$1:$E$1029),"NÃO")</f>
        <v>NÃO</v>
      </c>
      <c r="AH7" s="161" t="str" cm="1">
        <f t="array" ref="AH7">IFERROR(LOOKUP(2,1/(Atualizações!$H$1:$H$1029=Mapa!$B6&amp;Mapa!CA$3),Atualizações!$E$1:$E$1029),"NÃO")</f>
        <v>NÃO</v>
      </c>
      <c r="AI7" s="161" t="str" cm="1">
        <f t="array" ref="AI7">IFERROR(LOOKUP(2,1/(Atualizações!$H$1:$H$1029=Mapa!$B6&amp;Mapa!CB$3),Atualizações!$E$1:$E$1029),"NÃO")</f>
        <v>NÃO</v>
      </c>
      <c r="AJ7" s="161" t="str" cm="1">
        <f t="array" ref="AJ7">IFERROR(LOOKUP(2,1/(Atualizações!$H$1:$H$1029=Mapa!$B6&amp;Mapa!CC$3),Atualizações!$E$1:$E$1029),"NÃO")</f>
        <v>NÃO</v>
      </c>
      <c r="AK7" s="161" t="str" cm="1">
        <f t="array" ref="AK7">IFERROR(LOOKUP(2,1/(Atualizações!$H$1:$H$1029=Mapa!$B6&amp;Mapa!CD$3),Atualizações!$E$1:$E$1029),"NÃO")</f>
        <v>NÃO</v>
      </c>
      <c r="AL7" s="161" t="str" cm="1">
        <f t="array" ref="AL7">IFERROR(LOOKUP(2,1/(Atualizações!$H$1:$H$1265=Mapa!$B6&amp;Mapa!CE$3),Atualizações!$E$1:$E$2994),"NÃO")</f>
        <v>NÃO</v>
      </c>
      <c r="AM7" s="161" t="str" cm="1">
        <f t="array" ref="AM7">IFERROR(LOOKUP(2,1/(Atualizações!$H$1:$H$2994=Tb_Mapa[[#This Row],[SEI]]&amp;Mapa!CF$3),Atualizações!$E$1:$E$2994),"NÃO")</f>
        <v>NÃO</v>
      </c>
      <c r="AN7" s="161" t="str" cm="1">
        <f t="array" ref="AN7">IFERROR(LOOKUP(2,1/(Atualizações!$H$1:$H$2994=Tb_Mapa[[#This Row],[SEI]]&amp;Mapa!CG$3),Atualizações!$E$1:$E$2994),"NÃO")</f>
        <v>NÃO</v>
      </c>
      <c r="AO7" s="161" t="str" cm="1">
        <f t="array" ref="AO7">IFERROR(LOOKUP(2,1/(Atualizações!$H$1:$H$2994=Tb_Mapa[[#This Row],[SEI]]&amp;Mapa!CH$3),Atualizações!$E$1:$E$2994),"NÃO")</f>
        <v>NÃO</v>
      </c>
      <c r="AP7" s="161" t="str" cm="1">
        <f t="array" ref="AP7">IFERROR(LOOKUP(2,1/(Atualizações!$H$1:$H$2994=Tb_Mapa[[#This Row],[SEI]]&amp;Mapa!CI$3),Atualizações!$E$1:$E$2994),"NÃO")</f>
        <v>NÃO</v>
      </c>
      <c r="AQ7" s="161" t="str" cm="1">
        <f t="array" ref="AQ7">IFERROR(LOOKUP(2,1/(Atualizações!$H$1:$H$2994=Tb_Mapa[[#This Row],[SEI]]&amp;Mapa!CJ$3),Atualizações!$E$1:$E$2994),"NÃO")</f>
        <v>NÃO</v>
      </c>
      <c r="AR7" s="161" t="str" cm="1">
        <f t="array" ref="AR7">IFERROR(LOOKUP(2,1/(Atualizações!$H$1:$H$2994=Tb_Mapa[[#This Row],[SEI]]&amp;Mapa!CK$3),Atualizações!$E$1:$E$2994),"NÃO")</f>
        <v>NÃO</v>
      </c>
      <c r="AS7" s="161" t="str" cm="1">
        <f t="array" ref="AS7">IFERROR(LOOKUP(2,1/(Atualizações!$H$1:$H$2994=Tb_Mapa[[#This Row],[SEI]]&amp;Mapa!CL$3),Atualizações!$E$1:$E$2994),"NÃO")</f>
        <v>NÃO</v>
      </c>
      <c r="AT7" s="161" t="str" cm="1">
        <f t="array" ref="AT7">IFERROR(LOOKUP(2,1/(Atualizações!$H$1:$H$2994=Tb_Mapa[[#This Row],[SEI]]&amp;Mapa!CM$3),Atualizações!$E$1:$E$2994),"NÃO")</f>
        <v>NÃO</v>
      </c>
      <c r="AU7" s="161" t="str" cm="1">
        <f t="array" ref="AU7">IFERROR(LOOKUP(2,1/(Atualizações!$H$1:$H$2994=Tb_Mapa[[#This Row],[SEI]]&amp;Mapa!CN$3),Atualizações!$E$1:$E$2994),"NÃO")</f>
        <v>NÃO</v>
      </c>
      <c r="AV7" s="161" t="str" cm="1">
        <f t="array" ref="AV7">IFERROR(LOOKUP(2,1/(Atualizações!$H$1:$H$2994=Tb_Mapa[[#This Row],[SEI]]&amp;Mapa!CO$3),Atualizações!$E$1:$E$2994),"NÃO")</f>
        <v>NÃO</v>
      </c>
      <c r="AW7" s="161" t="str" cm="1">
        <f t="array" ref="AW7">IFERROR(LOOKUP(2,1/(Atualizações!$H$1:$H$2994=Tb_Mapa[[#This Row],[SEI]]&amp;Mapa!CP$3),Atualizações!$E$1:$E$2994),"NÃO")</f>
        <v>NÃO</v>
      </c>
      <c r="AX7" s="161" t="str" cm="1">
        <f t="array" ref="AX7">IFERROR(LOOKUP(2,1/(Atualizações!$H$1:$H$2994=Tb_Mapa[[#This Row],[SEI]]&amp;Mapa!CQ$3),Atualizações!$E$1:$E$2994),"NÃO")</f>
        <v>NÃO</v>
      </c>
    </row>
    <row r="8" spans="2:95" ht="32.25" hidden="1" customHeight="1">
      <c r="B8" s="676" t="s">
        <v>849</v>
      </c>
      <c r="C8" s="676" t="str">
        <f>_xlfn.XLOOKUP(Tb_Mapa[[#This Row],[SEI]],Tb_Portfólio[SEI],Tb_Portfólio[Portfólio 2025],"",0)</f>
        <v>Não</v>
      </c>
      <c r="D8" s="158" t="str">
        <f>_xlfn.XLOOKUP(Tb_Mapa[[#This Row],[SEI]],Tb_Portfólio[SEI],Tb_Portfólio[Portfólio 2026],"",0)</f>
        <v>Não</v>
      </c>
      <c r="E8" s="162" t="str">
        <f>_xlfn.XLOOKUP(Tb_Mapa[[#This Row],[SEI]],Tb_Portfólio[SEI],Tb_Portfólio[PROJETO],"",0)</f>
        <v>Populações com Vulnerabilidade Acrescida</v>
      </c>
      <c r="F8" s="143" t="str">
        <f>INDEX(Projetos!$G$3:$G$129,MATCH(B8,Projetos!$A$3:$A$129,0))</f>
        <v>Valdirene Daufemback</v>
      </c>
      <c r="G8" s="160" t="s">
        <v>1712</v>
      </c>
      <c r="H8" s="166" t="str">
        <f>INDEX(Projetos!$T$3:$T$129,MATCH(B8,Projetos!$A$3:$A$129,0))</f>
        <v>Fazendo Justiça</v>
      </c>
      <c r="I8" s="310">
        <f>INDEX(Projetos!$M$3:$M$129,MATCH(Mapa!B8,Projetos!$A$3:$A$129,0))</f>
        <v>45657</v>
      </c>
      <c r="J8" s="164" t="str">
        <f>IF(Tb_Mapa[[#This Row],[SITUAÇÃO]]="Finalizado", "Data atualizada", IFERROR(IF(I8&lt;$CN$3,"Atualizar data de encerramento","Data atualizada"),"Sem informação"))</f>
        <v>Data atualizada</v>
      </c>
      <c r="K8" s="311">
        <f>INDEX(Projetos!$N$3:$N$129,MATCH(Tb_Mapa[[#This Row],[SEI]],Projetos!$A$3:$A$129,0))</f>
        <v>1</v>
      </c>
      <c r="L8" s="311">
        <f>INDEX(Projetos!$O$3:$O$129,MATCH(Tb_Mapa[[#This Row],[SEI]],Projetos!$A$3:$A$129,0))</f>
        <v>1</v>
      </c>
      <c r="M8" s="165" t="str">
        <f>_xlfn.XLOOKUP(Tb_Mapa[[#This Row],[SEI]],Tb_Portfólio[SEI],Tb_Portfólio[Situação],"N/A",0)</f>
        <v>Finalizado</v>
      </c>
      <c r="N8" s="161" t="str" cm="1">
        <f t="array" ref="N8">IFERROR(LOOKUP(2,1/(Atualizações!$H$1:$H$486=Mapa!$B82&amp;Mapa!BG$3),Atualizações!$E$1:$E$486),"NÃO")</f>
        <v>NÃO</v>
      </c>
      <c r="O8" s="161"/>
      <c r="P8" s="161"/>
      <c r="Q8" s="161"/>
      <c r="R8" s="161"/>
      <c r="S8" s="161"/>
      <c r="T8" s="161"/>
      <c r="U8" s="161"/>
      <c r="V8" s="161"/>
      <c r="W8" s="161"/>
      <c r="X8" s="161"/>
      <c r="Y8" s="161"/>
      <c r="Z8" s="161" t="str" cm="1">
        <f t="array" ref="Z8">IFERROR(LOOKUP(2,1/(Atualizações!$H$1:$H$1029=Mapa!$B82&amp;Mapa!BS$3),Atualizações!$E$1:$E$1029),"NÃO")</f>
        <v>NÃO</v>
      </c>
      <c r="AA8" s="161" t="str" cm="1">
        <f t="array" ref="AA8">IFERROR(LOOKUP(2,1/(Atualizações!$H$1:$H$1029=Mapa!$B82&amp;Mapa!BT$3),Atualizações!$E$1:$E$1029),"NÃO")</f>
        <v>NÃO</v>
      </c>
      <c r="AB8" s="161" t="str" cm="1">
        <f t="array" ref="AB8">IFERROR(LOOKUP(2,1/(Atualizações!$H$1:$H$1029=Mapa!$B82&amp;Mapa!BU$3),Atualizações!$E$1:$E$1029),"NÃO")</f>
        <v>NÃO</v>
      </c>
      <c r="AC8" s="161" t="str" cm="1">
        <f t="array" ref="AC8">IFERROR(LOOKUP(2,1/(Atualizações!$H$1:$H$1029=Mapa!$B82&amp;Mapa!BV$3),Atualizações!$E$1:$E$1029),"NÃO")</f>
        <v>NÃO</v>
      </c>
      <c r="AD8" s="161" t="str" cm="1">
        <f t="array" ref="AD8">IFERROR(LOOKUP(2,1/(Atualizações!$H$1:$H$1029=Mapa!$B82&amp;Mapa!BW$3),Atualizações!$E$1:$E$1029),"NÃO")</f>
        <v>NÃO</v>
      </c>
      <c r="AE8" s="161" t="str" cm="1">
        <f t="array" ref="AE8">IFERROR(LOOKUP(2,1/(Atualizações!$H$1:$H$1029=Mapa!$B82&amp;Mapa!BX$3),Atualizações!$E$1:$E$1029),"NÃO")</f>
        <v>NÃO</v>
      </c>
      <c r="AF8" s="161" t="str" cm="1">
        <f t="array" ref="AF8">IFERROR(LOOKUP(2,1/(Atualizações!$H$1:$H$1029=Mapa!$B82&amp;Mapa!BY$3),Atualizações!$E$1:$E$1029),"NÃO")</f>
        <v>NÃO</v>
      </c>
      <c r="AG8" s="161" t="str" cm="1">
        <f t="array" ref="AG8">IFERROR(LOOKUP(2,1/(Atualizações!$H$1:$H$1029=Mapa!$B82&amp;Mapa!BZ$3),Atualizações!$E$1:$E$1029),"NÃO")</f>
        <v>NÃO</v>
      </c>
      <c r="AH8" s="161" t="str" cm="1">
        <f t="array" ref="AH8">IFERROR(LOOKUP(2,1/(Atualizações!$H$1:$H$1029=Mapa!$B82&amp;Mapa!CA$3),Atualizações!$E$1:$E$1029),"NÃO")</f>
        <v>NÃO</v>
      </c>
      <c r="AI8" s="161" t="str" cm="1">
        <f t="array" ref="AI8">IFERROR(LOOKUP(2,1/(Atualizações!$H$1:$H$1029=Mapa!$B82&amp;Mapa!CB$3),Atualizações!$E$1:$E$1029),"NÃO")</f>
        <v>NÃO</v>
      </c>
      <c r="AJ8" s="161" t="str" cm="1">
        <f t="array" ref="AJ8">IFERROR(LOOKUP(2,1/(Atualizações!$H$1:$H$1029=Mapa!$B82&amp;Mapa!CC$3),Atualizações!$E$1:$E$1029),"NÃO")</f>
        <v>NÃO</v>
      </c>
      <c r="AK8" s="161" t="str" cm="1">
        <f t="array" ref="AK8">IFERROR(LOOKUP(2,1/(Atualizações!$H$1:$H$1029=Mapa!$B82&amp;Mapa!CD$3),Atualizações!$E$1:$E$1029),"NÃO")</f>
        <v>NÃO</v>
      </c>
      <c r="AL8" s="161" t="str" cm="1">
        <f t="array" ref="AL8">IFERROR(LOOKUP(2,1/(Atualizações!$H$1:$H$1265=Mapa!$B82&amp;Mapa!CE$3),Atualizações!$E$1:$E$2994),"NÃO")</f>
        <v>NÃO</v>
      </c>
      <c r="AM8" s="161" t="str" cm="1">
        <f t="array" ref="AM8">IFERROR(LOOKUP(2,1/(Atualizações!$H$1:$H$2994=Tb_Mapa[[#This Row],[SEI]]&amp;Mapa!CF$3),Atualizações!$E$1:$E$2994),"NÃO")</f>
        <v>NÃO</v>
      </c>
      <c r="AN8" s="161" t="str" cm="1">
        <f t="array" ref="AN8">IFERROR(LOOKUP(2,1/(Atualizações!$H$1:$H$2994=Tb_Mapa[[#This Row],[SEI]]&amp;Mapa!CG$3),Atualizações!$E$1:$E$2994),"NÃO")</f>
        <v>NÃO</v>
      </c>
      <c r="AO8" s="161" t="str" cm="1">
        <f t="array" ref="AO8">IFERROR(LOOKUP(2,1/(Atualizações!$H$1:$H$2994=Tb_Mapa[[#This Row],[SEI]]&amp;Mapa!CH$3),Atualizações!$E$1:$E$2994),"NÃO")</f>
        <v>NÃO</v>
      </c>
      <c r="AP8" s="161" t="str" cm="1">
        <f t="array" ref="AP8">IFERROR(LOOKUP(2,1/(Atualizações!$H$1:$H$2994=Tb_Mapa[[#This Row],[SEI]]&amp;Mapa!CI$3),Atualizações!$E$1:$E$2994),"NÃO")</f>
        <v>NÃO</v>
      </c>
      <c r="AQ8" s="161" t="str" cm="1">
        <f t="array" ref="AQ8">IFERROR(LOOKUP(2,1/(Atualizações!$H$1:$H$2994=Tb_Mapa[[#This Row],[SEI]]&amp;Mapa!CJ$3),Atualizações!$E$1:$E$2994),"NÃO")</f>
        <v>NÃO</v>
      </c>
      <c r="AR8" s="161" t="str" cm="1">
        <f t="array" ref="AR8">IFERROR(LOOKUP(2,1/(Atualizações!$H$1:$H$2994=Tb_Mapa[[#This Row],[SEI]]&amp;Mapa!CK$3),Atualizações!$E$1:$E$2994),"NÃO")</f>
        <v>NÃO</v>
      </c>
      <c r="AS8" s="161" t="str" cm="1">
        <f t="array" ref="AS8">IFERROR(LOOKUP(2,1/(Atualizações!$H$1:$H$2994=Tb_Mapa[[#This Row],[SEI]]&amp;Mapa!CL$3),Atualizações!$E$1:$E$2994),"NÃO")</f>
        <v>NÃO</v>
      </c>
      <c r="AT8" s="161" t="str" cm="1">
        <f t="array" ref="AT8">IFERROR(LOOKUP(2,1/(Atualizações!$H$1:$H$2994=Tb_Mapa[[#This Row],[SEI]]&amp;Mapa!CM$3),Atualizações!$E$1:$E$2994),"NÃO")</f>
        <v>NÃO</v>
      </c>
      <c r="AU8" s="161" t="str" cm="1">
        <f t="array" ref="AU8">IFERROR(LOOKUP(2,1/(Atualizações!$H$1:$H$2994=Tb_Mapa[[#This Row],[SEI]]&amp;Mapa!CN$3),Atualizações!$E$1:$E$2994),"NÃO")</f>
        <v>NÃO</v>
      </c>
      <c r="AV8" s="161" t="str" cm="1">
        <f t="array" ref="AV8">IFERROR(LOOKUP(2,1/(Atualizações!$H$1:$H$2994=Tb_Mapa[[#This Row],[SEI]]&amp;Mapa!CO$3),Atualizações!$E$1:$E$2994),"NÃO")</f>
        <v>NÃO</v>
      </c>
      <c r="AW8" s="161" t="str" cm="1">
        <f t="array" ref="AW8">IFERROR(LOOKUP(2,1/(Atualizações!$H$1:$H$2994=Tb_Mapa[[#This Row],[SEI]]&amp;Mapa!CP$3),Atualizações!$E$1:$E$2994),"NÃO")</f>
        <v>NÃO</v>
      </c>
      <c r="AX8" s="161" t="str" cm="1">
        <f t="array" ref="AX8">IFERROR(LOOKUP(2,1/(Atualizações!$H$1:$H$2994=Tb_Mapa[[#This Row],[SEI]]&amp;Mapa!CQ$3),Atualizações!$E$1:$E$2994),"NÃO")</f>
        <v>NÃO</v>
      </c>
    </row>
    <row r="9" spans="2:95" ht="32.25" hidden="1" customHeight="1">
      <c r="B9" s="676" t="s">
        <v>834</v>
      </c>
      <c r="C9" s="158" t="str">
        <f>_xlfn.XLOOKUP(Tb_Mapa[[#This Row],[SEI]],Tb_Portfólio[SEI],Tb_Portfólio[Portfólio 2025],"",0)</f>
        <v>Sim</v>
      </c>
      <c r="D9" s="158" t="str">
        <f>_xlfn.XLOOKUP(Tb_Mapa[[#This Row],[SEI]],Tb_Portfólio[SEI],Tb_Portfólio[Portfólio 2026],"",0)</f>
        <v>Não</v>
      </c>
      <c r="E9" s="162" t="str">
        <f>_xlfn.XLOOKUP(Tb_Mapa[[#This Row],[SEI]],Tb_Portfólio[SEI],Tb_Portfólio[PROJETO],"",0)</f>
        <v>Inspeção Judicial</v>
      </c>
      <c r="F9" s="143" t="str">
        <f>INDEX(Projetos!$G$3:$G$129,MATCH(B9,Projetos!$A$3:$A$129,0))</f>
        <v>Valdirene Daufemback</v>
      </c>
      <c r="G9" s="160" t="s">
        <v>1710</v>
      </c>
      <c r="H9" s="166" t="str">
        <f>INDEX(Projetos!$T$3:$T$129,MATCH(B9,Projetos!$A$3:$A$129,0))</f>
        <v>Fazendo Justiça</v>
      </c>
      <c r="I9" s="310">
        <f>INDEX(Projetos!$M$3:$M$129,MATCH(Mapa!B9,Projetos!$A$3:$A$129,0))</f>
        <v>46011</v>
      </c>
      <c r="J9" s="164" t="str">
        <f>IF(Tb_Mapa[[#This Row],[SITUAÇÃO]]="Finalizado", "Data atualizada", IFERROR(IF(I9&lt;$CN$3,"Atualizar data de encerramento","Data atualizada"),"Sem informação"))</f>
        <v>Data atualizada</v>
      </c>
      <c r="K9" s="311">
        <f>INDEX(Projetos!$N$3:$N$129,MATCH(Tb_Mapa[[#This Row],[SEI]],Projetos!$A$3:$A$129,0))</f>
        <v>1</v>
      </c>
      <c r="L9" s="311">
        <f>INDEX(Projetos!$O$3:$O$129,MATCH(Tb_Mapa[[#This Row],[SEI]],Projetos!$A$3:$A$129,0))</f>
        <v>1</v>
      </c>
      <c r="M9" s="165" t="str">
        <f>_xlfn.XLOOKUP(Tb_Mapa[[#This Row],[SEI]],Tb_Portfólio[SEI],Tb_Portfólio[Situação],"N/A",0)</f>
        <v>Finalizado</v>
      </c>
      <c r="N9" s="161" t="str" cm="1">
        <f t="array" ref="N9">IFERROR(LOOKUP(2,1/(Atualizações!$H$1:$H$486=Mapa!$B80&amp;Mapa!BG$3),Atualizações!$E$1:$E$486),"NÃO")</f>
        <v>NÃO</v>
      </c>
      <c r="O9" s="161"/>
      <c r="P9" s="161"/>
      <c r="Q9" s="161"/>
      <c r="R9" s="161"/>
      <c r="S9" s="161"/>
      <c r="T9" s="161"/>
      <c r="U9" s="161"/>
      <c r="V9" s="161"/>
      <c r="W9" s="161"/>
      <c r="X9" s="161"/>
      <c r="Y9" s="161"/>
      <c r="Z9" s="161" cm="1">
        <f t="array" ref="Z9">IFERROR(LOOKUP(2,1/(Atualizações!$H$1:$H$1029=Mapa!$B80&amp;Mapa!BS$3),Atualizações!$E$1:$E$1029),"NÃO")</f>
        <v>0.28999999999999998</v>
      </c>
      <c r="AA9" s="161" t="str" cm="1">
        <f t="array" ref="AA9">IFERROR(LOOKUP(2,1/(Atualizações!$H$1:$H$1029=Mapa!$B80&amp;Mapa!BT$3),Atualizações!$E$1:$E$1029),"NÃO")</f>
        <v>NÃO</v>
      </c>
      <c r="AB9" s="161" cm="1">
        <f t="array" ref="AB9">IFERROR(LOOKUP(2,1/(Atualizações!$H$1:$H$1029=Mapa!$B80&amp;Mapa!BU$3),Atualizações!$E$1:$E$1029),"NÃO")</f>
        <v>0.56999999999999995</v>
      </c>
      <c r="AC9" s="161" t="str" cm="1">
        <f t="array" ref="AC9">IFERROR(LOOKUP(2,1/(Atualizações!$H$1:$H$1029=Mapa!$B80&amp;Mapa!BV$3),Atualizações!$E$1:$E$1029),"NÃO")</f>
        <v>NÃO</v>
      </c>
      <c r="AD9" s="161" t="str" cm="1">
        <f t="array" ref="AD9">IFERROR(LOOKUP(2,1/(Atualizações!$H$1:$H$1029=Mapa!$B80&amp;Mapa!BW$3),Atualizações!$E$1:$E$1029),"NÃO")</f>
        <v>NÃO</v>
      </c>
      <c r="AE9" s="161" cm="1">
        <f t="array" ref="AE9">IFERROR(LOOKUP(2,1/(Atualizações!$H$1:$H$1029=Mapa!$B80&amp;Mapa!BX$3),Atualizações!$E$1:$E$1029),"NÃO")</f>
        <v>0.67</v>
      </c>
      <c r="AF9" s="161" t="str" cm="1">
        <f t="array" ref="AF9">IFERROR(LOOKUP(2,1/(Atualizações!$H$1:$H$1029=Mapa!$B80&amp;Mapa!BY$3),Atualizações!$E$1:$E$1029),"NÃO")</f>
        <v>NÃO</v>
      </c>
      <c r="AG9" s="161" t="str" cm="1">
        <f t="array" ref="AG9">IFERROR(LOOKUP(2,1/(Atualizações!$H$1:$H$1029=Mapa!$B80&amp;Mapa!BZ$3),Atualizações!$E$1:$E$1029),"NÃO")</f>
        <v>NÃO</v>
      </c>
      <c r="AH9" s="161" cm="1">
        <f t="array" ref="AH9">IFERROR(LOOKUP(2,1/(Atualizações!$H$1:$H$1029=Mapa!$B80&amp;Mapa!CA$3),Atualizações!$E$1:$E$1029),"NÃO")</f>
        <v>0.67</v>
      </c>
      <c r="AI9" s="161" t="str" cm="1">
        <f t="array" ref="AI9">IFERROR(LOOKUP(2,1/(Atualizações!$H$1:$H$1029=Mapa!$B80&amp;Mapa!CB$3),Atualizações!$E$1:$E$1029),"NÃO")</f>
        <v>NÃO</v>
      </c>
      <c r="AJ9" s="161" t="str" cm="1">
        <f t="array" ref="AJ9">IFERROR(LOOKUP(2,1/(Atualizações!$H$1:$H$1029=Mapa!$B80&amp;Mapa!CC$3),Atualizações!$E$1:$E$1029),"NÃO")</f>
        <v>NÃO</v>
      </c>
      <c r="AK9" s="161" t="str" cm="1">
        <f t="array" ref="AK9">IFERROR(LOOKUP(2,1/(Atualizações!$H$1:$H$1029=Mapa!$B80&amp;Mapa!CD$3),Atualizações!$E$1:$E$1029),"NÃO")</f>
        <v>NÃO</v>
      </c>
      <c r="AL9" s="161" t="str" cm="1">
        <f t="array" ref="AL9">IFERROR(LOOKUP(2,1/(Atualizações!$H$1:$H$1265=Mapa!$B80&amp;Mapa!CE$3),Atualizações!$E$1:$E$2994),"NÃO")</f>
        <v>NÃO</v>
      </c>
      <c r="AM9" s="161" t="str" cm="1">
        <f t="array" ref="AM9">IFERROR(LOOKUP(2,1/(Atualizações!$H$1:$H$2994=Tb_Mapa[[#This Row],[SEI]]&amp;Mapa!CF$3),Atualizações!$E$1:$E$2994),"NÃO")</f>
        <v>NÃO</v>
      </c>
      <c r="AN9" s="161" t="str" cm="1">
        <f t="array" ref="AN9">IFERROR(LOOKUP(2,1/(Atualizações!$H$1:$H$2994=Tb_Mapa[[#This Row],[SEI]]&amp;Mapa!CG$3),Atualizações!$E$1:$E$2994),"NÃO")</f>
        <v>NÃO</v>
      </c>
      <c r="AO9" s="161" t="str" cm="1">
        <f t="array" ref="AO9">IFERROR(LOOKUP(2,1/(Atualizações!$H$1:$H$2994=Tb_Mapa[[#This Row],[SEI]]&amp;Mapa!CH$3),Atualizações!$E$1:$E$2994),"NÃO")</f>
        <v>NÃO</v>
      </c>
      <c r="AP9" s="161" t="str" cm="1">
        <f t="array" ref="AP9">IFERROR(LOOKUP(2,1/(Atualizações!$H$1:$H$2994=Tb_Mapa[[#This Row],[SEI]]&amp;Mapa!CI$3),Atualizações!$E$1:$E$2994),"NÃO")</f>
        <v>NÃO</v>
      </c>
      <c r="AQ9" s="161" t="str" cm="1">
        <f t="array" ref="AQ9">IFERROR(LOOKUP(2,1/(Atualizações!$H$1:$H$2994=Tb_Mapa[[#This Row],[SEI]]&amp;Mapa!CJ$3),Atualizações!$E$1:$E$2994),"NÃO")</f>
        <v>NÃO</v>
      </c>
      <c r="AR9" s="161" t="str" cm="1">
        <f t="array" ref="AR9">IFERROR(LOOKUP(2,1/(Atualizações!$H$1:$H$2994=Tb_Mapa[[#This Row],[SEI]]&amp;Mapa!CK$3),Atualizações!$E$1:$E$2994),"NÃO")</f>
        <v>NÃO</v>
      </c>
      <c r="AS9" s="161" t="str" cm="1">
        <f t="array" ref="AS9">IFERROR(LOOKUP(2,1/(Atualizações!$H$1:$H$2994=Tb_Mapa[[#This Row],[SEI]]&amp;Mapa!CL$3),Atualizações!$E$1:$E$2994),"NÃO")</f>
        <v>NÃO</v>
      </c>
      <c r="AT9" s="161" t="str" cm="1">
        <f t="array" ref="AT9">IFERROR(LOOKUP(2,1/(Atualizações!$H$1:$H$2994=Tb_Mapa[[#This Row],[SEI]]&amp;Mapa!CM$3),Atualizações!$E$1:$E$2994),"NÃO")</f>
        <v>NÃO</v>
      </c>
      <c r="AU9" s="161" t="str" cm="1">
        <f t="array" ref="AU9">IFERROR(LOOKUP(2,1/(Atualizações!$H$1:$H$2994=Tb_Mapa[[#This Row],[SEI]]&amp;Mapa!CN$3),Atualizações!$E$1:$E$2994),"NÃO")</f>
        <v>NÃO</v>
      </c>
      <c r="AV9" s="161" t="str" cm="1">
        <f t="array" ref="AV9">IFERROR(LOOKUP(2,1/(Atualizações!$H$1:$H$2994=Tb_Mapa[[#This Row],[SEI]]&amp;Mapa!CO$3),Atualizações!$E$1:$E$2994),"NÃO")</f>
        <v>NÃO</v>
      </c>
      <c r="AW9" s="161" t="str" cm="1">
        <f t="array" ref="AW9">IFERROR(LOOKUP(2,1/(Atualizações!$H$1:$H$2994=Tb_Mapa[[#This Row],[SEI]]&amp;Mapa!CP$3),Atualizações!$E$1:$E$2994),"NÃO")</f>
        <v>NÃO</v>
      </c>
      <c r="AX9" s="161" t="str" cm="1">
        <f t="array" ref="AX9">IFERROR(LOOKUP(2,1/(Atualizações!$H$1:$H$2994=Tb_Mapa[[#This Row],[SEI]]&amp;Mapa!CQ$3),Atualizações!$E$1:$E$2994),"NÃO")</f>
        <v>NÃO</v>
      </c>
    </row>
    <row r="10" spans="2:95" ht="32.25" hidden="1" customHeight="1">
      <c r="B10" s="676" t="s">
        <v>112</v>
      </c>
      <c r="C10" s="158" t="str">
        <f>_xlfn.XLOOKUP(Tb_Mapa[[#This Row],[SEI]],Tb_Portfólio[SEI],Tb_Portfólio[Portfólio 2025],"",0)</f>
        <v>Sim</v>
      </c>
      <c r="D10" s="158" t="str">
        <f>_xlfn.XLOOKUP(Tb_Mapa[[#This Row],[SEI]],Tb_Portfólio[SEI],Tb_Portfólio[Portfólio 2026],"",0)</f>
        <v>Não</v>
      </c>
      <c r="E10" s="162" t="str">
        <f>_xlfn.XLOOKUP(Tb_Mapa[[#This Row],[SEI]],Tb_Portfólio[SEI],Tb_Portfólio[PROJETO],"",0)</f>
        <v>Programa Nacional de Promoção da Equidade Racial no Poder Judiciário - 2024</v>
      </c>
      <c r="F10" s="143" t="str">
        <f>INDEX(Projetos!$G$3:$G$129,MATCH(B10,Projetos!$A$3:$A$129,0))</f>
        <v>Priscila Nunes Patel</v>
      </c>
      <c r="G10" s="160" t="s">
        <v>1713</v>
      </c>
      <c r="H10" s="166" t="str">
        <f>INDEX(Projetos!$T$3:$T$129,MATCH(B10,Projetos!$A$3:$A$129,0))</f>
        <v>Programa Nacional de Promoção da Equidade Racial no Poder Judiciário</v>
      </c>
      <c r="I10" s="310">
        <f>INDEX(Projetos!$M$3:$M$129,MATCH(Mapa!B10,Projetos!$A$3:$A$129,0))</f>
        <v>46022</v>
      </c>
      <c r="J10" s="164" t="str">
        <f ca="1">IF(Tb_Mapa[[#This Row],[SITUAÇÃO]]="Finalizado", "Data atualizada", IFERROR(IF(I10&lt;$CN$3,"Atualizar data de encerramento","Data atualizada"),"Sem informação"))</f>
        <v>Atualizar data de encerramento</v>
      </c>
      <c r="K10" s="311">
        <f>INDEX(Projetos!$N$3:$N$129,MATCH(Tb_Mapa[[#This Row],[SEI]],Projetos!$A$3:$A$129,0))</f>
        <v>0.62829999999999997</v>
      </c>
      <c r="L10" s="311">
        <f>INDEX(Projetos!$O$3:$O$129,MATCH(Tb_Mapa[[#This Row],[SEI]],Projetos!$A$3:$A$129,0))</f>
        <v>0.62829999999999997</v>
      </c>
      <c r="M10" s="165" t="str">
        <f ca="1">_xlfn.XLOOKUP(Tb_Mapa[[#This Row],[SEI]],Tb_Portfólio[SEI],Tb_Portfólio[Situação],"N/A",0)</f>
        <v>Atrasado ou Crítico</v>
      </c>
      <c r="N10" s="161" t="str" cm="1">
        <f t="array" ref="N10">IFERROR(LOOKUP(2,1/(Atualizações!$H$1:$H$486=Mapa!$B92&amp;Mapa!BG$3),Atualizações!$E$1:$E$486),"NÃO")</f>
        <v>NÃO</v>
      </c>
      <c r="O10" s="161"/>
      <c r="P10" s="161"/>
      <c r="Q10" s="161"/>
      <c r="R10" s="161"/>
      <c r="S10" s="161"/>
      <c r="T10" s="161"/>
      <c r="U10" s="161"/>
      <c r="V10" s="161"/>
      <c r="W10" s="161"/>
      <c r="X10" s="161"/>
      <c r="Y10" s="161"/>
      <c r="Z10" s="161" cm="1">
        <f t="array" ref="Z10">IFERROR(LOOKUP(2,1/(Atualizações!$H$1:$H$1029=Mapa!$B92&amp;Mapa!BS$3),Atualizações!$E$1:$E$1029),"NÃO")</f>
        <v>0.22800000000000001</v>
      </c>
      <c r="AA10" s="161" cm="1">
        <f t="array" ref="AA10">IFERROR(LOOKUP(2,1/(Atualizações!$H$1:$H$1029=Mapa!$B92&amp;Mapa!BT$3),Atualizações!$E$1:$E$1029),"NÃO")</f>
        <v>0.24299999999999999</v>
      </c>
      <c r="AB10" s="161" cm="1">
        <f t="array" ref="AB10">IFERROR(LOOKUP(2,1/(Atualizações!$H$1:$H$1029=Mapa!$B92&amp;Mapa!BU$3),Atualizações!$E$1:$E$1029),"NÃO")</f>
        <v>0.249</v>
      </c>
      <c r="AC10" s="161" cm="1">
        <f t="array" ref="AC10">IFERROR(LOOKUP(2,1/(Atualizações!$H$1:$H$1029=Mapa!$B92&amp;Mapa!BV$3),Atualizações!$E$1:$E$1029),"NÃO")</f>
        <v>0.25800000000000001</v>
      </c>
      <c r="AD10" s="161" cm="1">
        <f t="array" ref="AD10">IFERROR(LOOKUP(2,1/(Atualizações!$H$1:$H$1029=Mapa!$B92&amp;Mapa!BW$3),Atualizações!$E$1:$E$1029),"NÃO")</f>
        <v>0.26200000000000001</v>
      </c>
      <c r="AE10" s="161" cm="1">
        <f t="array" ref="AE10">IFERROR(LOOKUP(2,1/(Atualizações!$H$1:$H$1029=Mapa!$B92&amp;Mapa!BX$3),Atualizações!$E$1:$E$1029),"NÃO")</f>
        <v>0.26200000000000001</v>
      </c>
      <c r="AF10" s="161" t="str" cm="1">
        <f t="array" ref="AF10">IFERROR(LOOKUP(2,1/(Atualizações!$H$1:$H$1029=Mapa!$B92&amp;Mapa!BY$3),Atualizações!$E$1:$E$1029),"NÃO")</f>
        <v>NÃO</v>
      </c>
      <c r="AG10" s="161" t="str" cm="1">
        <f t="array" ref="AG10">IFERROR(LOOKUP(2,1/(Atualizações!$H$1:$H$1029=Mapa!$B92&amp;Mapa!BZ$3),Atualizações!$E$1:$E$1029),"NÃO")</f>
        <v>NÃO</v>
      </c>
      <c r="AH10" s="161" t="str" cm="1">
        <f t="array" ref="AH10">IFERROR(LOOKUP(2,1/(Atualizações!$H$1:$H$1029=Mapa!$B92&amp;Mapa!CA$3),Atualizações!$E$1:$E$1029),"NÃO")</f>
        <v>NÃO</v>
      </c>
      <c r="AI10" s="161" t="str" cm="1">
        <f t="array" ref="AI10">IFERROR(LOOKUP(2,1/(Atualizações!$H$1:$H$1029=Mapa!$B92&amp;Mapa!CB$3),Atualizações!$E$1:$E$1029),"NÃO")</f>
        <v>NÃO</v>
      </c>
      <c r="AJ10" s="161" t="str" cm="1">
        <f t="array" ref="AJ10">IFERROR(LOOKUP(2,1/(Atualizações!$H$1:$H$1029=Mapa!$B92&amp;Mapa!CC$3),Atualizações!$E$1:$E$1029),"NÃO")</f>
        <v>NÃO</v>
      </c>
      <c r="AK10" s="161" cm="1">
        <f t="array" ref="AK10">IFERROR(LOOKUP(2,1/(Atualizações!$H$1:$H$1029=Mapa!$B92&amp;Mapa!CD$3),Atualizações!$E$1:$E$1029),"NÃO")</f>
        <v>0.76</v>
      </c>
      <c r="AL10" s="161" t="str" cm="1">
        <f t="array" ref="AL10">IFERROR(LOOKUP(2,1/(Atualizações!$H$1:$H$1265=Mapa!$B92&amp;Mapa!CE$3),Atualizações!$E$1:$E$2994),"NÃO")</f>
        <v>NÃO</v>
      </c>
      <c r="AM10" s="161" t="str" cm="1">
        <f t="array" ref="AM10">IFERROR(LOOKUP(2,1/(Atualizações!$H$1:$H$2994=Tb_Mapa[[#This Row],[SEI]]&amp;Mapa!CF$3),Atualizações!$E$1:$E$2994),"NÃO")</f>
        <v>NÃO</v>
      </c>
      <c r="AN10" s="161" t="str" cm="1">
        <f t="array" ref="AN10">IFERROR(LOOKUP(2,1/(Atualizações!$H$1:$H$2994=Tb_Mapa[[#This Row],[SEI]]&amp;Mapa!CG$3),Atualizações!$E$1:$E$2994),"NÃO")</f>
        <v>NÃO</v>
      </c>
      <c r="AO10" s="161" t="str" cm="1">
        <f t="array" ref="AO10">IFERROR(LOOKUP(2,1/(Atualizações!$H$1:$H$2994=Tb_Mapa[[#This Row],[SEI]]&amp;Mapa!CH$3),Atualizações!$E$1:$E$2994),"NÃO")</f>
        <v>NÃO</v>
      </c>
      <c r="AP10" s="161" t="str" cm="1">
        <f t="array" ref="AP10">IFERROR(LOOKUP(2,1/(Atualizações!$H$1:$H$2994=Tb_Mapa[[#This Row],[SEI]]&amp;Mapa!CI$3),Atualizações!$E$1:$E$2994),"NÃO")</f>
        <v>NÃO</v>
      </c>
      <c r="AQ10" s="161" t="str" cm="1">
        <f t="array" ref="AQ10">IFERROR(LOOKUP(2,1/(Atualizações!$H$1:$H$2994=Tb_Mapa[[#This Row],[SEI]]&amp;Mapa!CJ$3),Atualizações!$E$1:$E$2994),"NÃO")</f>
        <v>NÃO</v>
      </c>
      <c r="AR10" s="161" t="str" cm="1">
        <f t="array" ref="AR10">IFERROR(LOOKUP(2,1/(Atualizações!$H$1:$H$2994=Tb_Mapa[[#This Row],[SEI]]&amp;Mapa!CK$3),Atualizações!$E$1:$E$2994),"NÃO")</f>
        <v>NÃO</v>
      </c>
      <c r="AS10" s="161" t="str" cm="1">
        <f t="array" ref="AS10">IFERROR(LOOKUP(2,1/(Atualizações!$H$1:$H$2994=Tb_Mapa[[#This Row],[SEI]]&amp;Mapa!CL$3),Atualizações!$E$1:$E$2994),"NÃO")</f>
        <v>NÃO</v>
      </c>
      <c r="AT10" s="161" t="str" cm="1">
        <f t="array" ref="AT10">IFERROR(LOOKUP(2,1/(Atualizações!$H$1:$H$2994=Tb_Mapa[[#This Row],[SEI]]&amp;Mapa!CM$3),Atualizações!$E$1:$E$2994),"NÃO")</f>
        <v>NÃO</v>
      </c>
      <c r="AU10" s="161" t="str" cm="1">
        <f t="array" ref="AU10">IFERROR(LOOKUP(2,1/(Atualizações!$H$1:$H$2994=Tb_Mapa[[#This Row],[SEI]]&amp;Mapa!CN$3),Atualizações!$E$1:$E$2994),"NÃO")</f>
        <v>NÃO</v>
      </c>
      <c r="AV10" s="161" t="str" cm="1">
        <f t="array" ref="AV10">IFERROR(LOOKUP(2,1/(Atualizações!$H$1:$H$2994=Tb_Mapa[[#This Row],[SEI]]&amp;Mapa!CO$3),Atualizações!$E$1:$E$2994),"NÃO")</f>
        <v>NÃO</v>
      </c>
      <c r="AW10" s="161" t="str" cm="1">
        <f t="array" ref="AW10">IFERROR(LOOKUP(2,1/(Atualizações!$H$1:$H$2994=Tb_Mapa[[#This Row],[SEI]]&amp;Mapa!CP$3),Atualizações!$E$1:$E$2994),"NÃO")</f>
        <v>NÃO</v>
      </c>
      <c r="AX10" s="161" t="str" cm="1">
        <f t="array" ref="AX10">IFERROR(LOOKUP(2,1/(Atualizações!$H$1:$H$2994=Tb_Mapa[[#This Row],[SEI]]&amp;Mapa!CQ$3),Atualizações!$E$1:$E$2994),"NÃO")</f>
        <v>NÃO</v>
      </c>
    </row>
    <row r="11" spans="2:95" ht="59.25" hidden="1" customHeight="1">
      <c r="B11" s="676" t="s">
        <v>925</v>
      </c>
      <c r="C11" s="676" t="str">
        <f>_xlfn.XLOOKUP(Tb_Mapa[[#This Row],[SEI]],Tb_Portfólio[SEI],Tb_Portfólio[Portfólio 2025],"",0)</f>
        <v>Sim</v>
      </c>
      <c r="D11" s="158" t="str">
        <f>_xlfn.XLOOKUP(Tb_Mapa[[#This Row],[SEI]],Tb_Portfólio[SEI],Tb_Portfólio[Portfólio 2026],"",0)</f>
        <v>Sim</v>
      </c>
      <c r="E11" s="162" t="str">
        <f>_xlfn.XLOOKUP(Tb_Mapa[[#This Row],[SEI]],Tb_Portfólio[SEI],Tb_Portfólio[PROJETO],"",0)</f>
        <v>21 dias de ativismo pelo fim da violência contra mulher - edição 2025</v>
      </c>
      <c r="F11" s="143" t="str">
        <f>INDEX(Projetos!$G$3:$G$129,MATCH(Tb_Mapa[[#This Row],[SEI]],Projetos!$A$3:$A$129,0))</f>
        <v>Thais Martins Bosch</v>
      </c>
      <c r="G11" s="160" t="s">
        <v>1714</v>
      </c>
      <c r="H11" s="166">
        <f>INDEX(Projetos!$T$3:$T$129,MATCH(B11,Projetos!$A$3:$A$129,0))</f>
        <v>0</v>
      </c>
      <c r="I11" s="310">
        <f>INDEX(Projetos!$M$3:$M$129,MATCH(Mapa!B16,Projetos!$A$3:$A$129,0))</f>
        <v>45930</v>
      </c>
      <c r="J11" s="164" t="str">
        <f>IF(Tb_Mapa[[#This Row],[SITUAÇÃO]]="Finalizado", "Data atualizada", IFERROR(IF(Tb_Mapa[[#This Row],[DATA DE TÉRMINO]]&lt;$I$1,"Atualizar data de encerramento","Data atualizada"),"Sem informação"))</f>
        <v>Data atualizada</v>
      </c>
      <c r="K11" s="311">
        <f>INDEX(Projetos!$N$3:$N$129,MATCH(Tb_Mapa[[#This Row],[SEI]],Projetos!$A$3:$A$129,0))</f>
        <v>1</v>
      </c>
      <c r="L11" s="311">
        <f>INDEX(Projetos!$O$3:$O$129,MATCH(Tb_Mapa[[#This Row],[SEI]],Projetos!$A$3:$A$129,0))</f>
        <v>1</v>
      </c>
      <c r="M11" s="165" t="str">
        <f>_xlfn.XLOOKUP(Tb_Mapa[[#This Row],[SEI]],Tb_Portfólio[SEI],Tb_Portfólio[Situação],"N/A",0)</f>
        <v>Finalizado</v>
      </c>
      <c r="N11" s="161" t="str" cm="1">
        <f t="array" ref="N11">IFERROR(LOOKUP(2,1/(Atualizações!$H$1:$H$486=Mapa!$B113&amp;Mapa!BG$3),Atualizações!$E$1:$E$486),"NÃO")</f>
        <v>NÃO</v>
      </c>
      <c r="O11" s="161"/>
      <c r="P11" s="161"/>
      <c r="Q11" s="161"/>
      <c r="R11" s="161"/>
      <c r="S11" s="161"/>
      <c r="T11" s="161"/>
      <c r="U11" s="161"/>
      <c r="V11" s="161"/>
      <c r="W11" s="161"/>
      <c r="X11" s="161"/>
      <c r="Y11" s="161"/>
      <c r="Z11" s="161" t="str" cm="1">
        <f t="array" ref="Z11">IFERROR(LOOKUP(2,1/(Atualizações!$H$1:$H$1029=Mapa!$B113&amp;Mapa!BS$3),Atualizações!$E$1:$E$1029),"NÃO")</f>
        <v>NÃO</v>
      </c>
      <c r="AA11" s="161" cm="1">
        <f t="array" ref="AA11">IFERROR(LOOKUP(2,1/(Atualizações!$H$1:$H$1029=Mapa!$B113&amp;Mapa!BT$3),Atualizações!$E$1:$E$1029),"NÃO")</f>
        <v>0</v>
      </c>
      <c r="AB11" s="161" cm="1">
        <f t="array" ref="AB11">IFERROR(LOOKUP(2,1/(Atualizações!$H$1:$H$1029=Mapa!$B113&amp;Mapa!BU$3),Atualizações!$E$1:$E$1029),"NÃO")</f>
        <v>0.81399999999999995</v>
      </c>
      <c r="AC11" s="161" cm="1">
        <f t="array" ref="AC11">IFERROR(LOOKUP(2,1/(Atualizações!$H$1:$H$1029=Mapa!$B113&amp;Mapa!BV$3),Atualizações!$E$1:$E$1029),"NÃO")</f>
        <v>0.879</v>
      </c>
      <c r="AD11" s="161" cm="1">
        <f t="array" ref="AD11">IFERROR(LOOKUP(2,1/(Atualizações!$H$1:$H$1029=Mapa!$B113&amp;Mapa!BW$3),Atualizações!$E$1:$E$1029),"NÃO")</f>
        <v>0.90300000000000002</v>
      </c>
      <c r="AE11" s="161" cm="1">
        <f t="array" ref="AE11">IFERROR(LOOKUP(2,1/(Atualizações!$H$1:$H$1029=Mapa!$B113&amp;Mapa!BX$3),Atualizações!$E$1:$E$1029),"NÃO")</f>
        <v>0.94</v>
      </c>
      <c r="AF11" s="161" cm="1">
        <f t="array" ref="AF11">IFERROR(LOOKUP(2,1/(Atualizações!$H$1:$H$1029=Mapa!$B113&amp;Mapa!BY$3),Atualizações!$E$1:$E$1029),"NÃO")</f>
        <v>0.95799999999999996</v>
      </c>
      <c r="AG11" s="161" cm="1">
        <f t="array" ref="AG11">IFERROR(LOOKUP(2,1/(Atualizações!$H$1:$H$1029=Mapa!$B113&amp;Mapa!BZ$3),Atualizações!$E$1:$E$1029),"NÃO")</f>
        <v>0.96399999999999997</v>
      </c>
      <c r="AH11" s="161" cm="1">
        <f t="array" ref="AH11">IFERROR(LOOKUP(2,1/(Atualizações!$H$1:$H$1029=Mapa!$B113&amp;Mapa!CA$3),Atualizações!$E$1:$E$1029),"NÃO")</f>
        <v>0.77</v>
      </c>
      <c r="AI11" s="161" cm="1">
        <f t="array" ref="AI11">IFERROR(LOOKUP(2,1/(Atualizações!$H$1:$H$1029=Mapa!$B113&amp;Mapa!CB$3),Atualizações!$E$1:$E$1029),"NÃO")</f>
        <v>0.79</v>
      </c>
      <c r="AJ11" s="161" cm="1">
        <f t="array" ref="AJ11">IFERROR(LOOKUP(2,1/(Atualizações!$H$1:$H$1029=Mapa!$B113&amp;Mapa!CC$3),Atualizações!$E$1:$E$1029),"NÃO")</f>
        <v>0.59</v>
      </c>
      <c r="AK11" s="161" cm="1">
        <f t="array" ref="AK11">IFERROR(LOOKUP(2,1/(Atualizações!$H$1:$H$1029=Mapa!$B113&amp;Mapa!CD$3),Atualizações!$E$1:$E$1029),"NÃO")</f>
        <v>0.55000000000000004</v>
      </c>
      <c r="AL11" s="161">
        <v>1</v>
      </c>
      <c r="AM11" s="161" cm="1">
        <f t="array" ref="AM11">IFERROR(LOOKUP(2,1/(Atualizações!$H$1:$H$2994=Tb_Mapa[[#This Row],[SEI]]&amp;Mapa!CF$3),Atualizações!$E$1:$E$2994),"NÃO")</f>
        <v>1</v>
      </c>
      <c r="AN11" s="161" t="str" cm="1">
        <f t="array" ref="AN11">IFERROR(LOOKUP(2,1/(Atualizações!$H$1:$H$2994=Tb_Mapa[[#This Row],[SEI]]&amp;Mapa!CG$3),Atualizações!$E$1:$E$2994),"NÃO")</f>
        <v>NÃO</v>
      </c>
      <c r="AO11" s="161" t="str" cm="1">
        <f t="array" ref="AO11">IFERROR(LOOKUP(2,1/(Atualizações!$H$1:$H$2994=Tb_Mapa[[#This Row],[SEI]]&amp;Mapa!CH$3),Atualizações!$E$1:$E$2994),"NÃO")</f>
        <v>NÃO</v>
      </c>
      <c r="AP11" s="161" t="str" cm="1">
        <f t="array" ref="AP11">IFERROR(LOOKUP(2,1/(Atualizações!$H$1:$H$2994=Tb_Mapa[[#This Row],[SEI]]&amp;Mapa!CI$3),Atualizações!$E$1:$E$2994),"NÃO")</f>
        <v>NÃO</v>
      </c>
      <c r="AQ11" s="161" t="str" cm="1">
        <f t="array" ref="AQ11">IFERROR(LOOKUP(2,1/(Atualizações!$H$1:$H$2994=Tb_Mapa[[#This Row],[SEI]]&amp;Mapa!CJ$3),Atualizações!$E$1:$E$2994),"NÃO")</f>
        <v>NÃO</v>
      </c>
      <c r="AR11" s="161" t="str" cm="1">
        <f t="array" ref="AR11">IFERROR(LOOKUP(2,1/(Atualizações!$H$1:$H$2994=Tb_Mapa[[#This Row],[SEI]]&amp;Mapa!CK$3),Atualizações!$E$1:$E$2994),"NÃO")</f>
        <v>NÃO</v>
      </c>
      <c r="AS11" s="161" t="str" cm="1">
        <f t="array" ref="AS11">IFERROR(LOOKUP(2,1/(Atualizações!$H$1:$H$2994=Tb_Mapa[[#This Row],[SEI]]&amp;Mapa!CL$3),Atualizações!$E$1:$E$2994),"NÃO")</f>
        <v>NÃO</v>
      </c>
      <c r="AT11" s="161" t="str" cm="1">
        <f t="array" ref="AT11">IFERROR(LOOKUP(2,1/(Atualizações!$H$1:$H$2994=Tb_Mapa[[#This Row],[SEI]]&amp;Mapa!CM$3),Atualizações!$E$1:$E$2994),"NÃO")</f>
        <v>NÃO</v>
      </c>
      <c r="AU11" s="161" t="str" cm="1">
        <f t="array" ref="AU11">IFERROR(LOOKUP(2,1/(Atualizações!$H$1:$H$2994=Tb_Mapa[[#This Row],[SEI]]&amp;Mapa!CN$3),Atualizações!$E$1:$E$2994),"NÃO")</f>
        <v>NÃO</v>
      </c>
      <c r="AV11" s="161" t="str" cm="1">
        <f t="array" ref="AV11">IFERROR(LOOKUP(2,1/(Atualizações!$H$1:$H$2994=Tb_Mapa[[#This Row],[SEI]]&amp;Mapa!CO$3),Atualizações!$E$1:$E$2994),"NÃO")</f>
        <v>NÃO</v>
      </c>
      <c r="AW11" s="161" t="str" cm="1">
        <f t="array" ref="AW11">IFERROR(LOOKUP(2,1/(Atualizações!$H$1:$H$2994=Tb_Mapa[[#This Row],[SEI]]&amp;Mapa!CP$3),Atualizações!$E$1:$E$2994),"NÃO")</f>
        <v>NÃO</v>
      </c>
      <c r="AX11" s="161" t="str" cm="1">
        <f t="array" ref="AX11">IFERROR(LOOKUP(2,1/(Atualizações!$H$1:$H$2994=Tb_Mapa[[#This Row],[SEI]]&amp;Mapa!CQ$3),Atualizações!$E$1:$E$2994),"NÃO")</f>
        <v>NÃO</v>
      </c>
    </row>
    <row r="12" spans="2:95" ht="32.25" hidden="1" customHeight="1">
      <c r="B12" s="676" t="s">
        <v>901</v>
      </c>
      <c r="C12" s="158" t="str">
        <f>_xlfn.XLOOKUP(Tb_Mapa[[#This Row],[SEI]],Tb_Portfólio[SEI],Tb_Portfólio[Portfólio 2025],"",0)</f>
        <v>Sim</v>
      </c>
      <c r="D12" s="158" t="str">
        <f>_xlfn.XLOOKUP(Tb_Mapa[[#This Row],[SEI]],Tb_Portfólio[SEI],Tb_Portfólio[Portfólio 2026],"",0)</f>
        <v>Sim</v>
      </c>
      <c r="E12" s="162" t="str">
        <f>_xlfn.XLOOKUP(Tb_Mapa[[#This Row],[SEI]],Tb_Portfólio[SEI],Tb_Portfólio[PROJETO],"",0)</f>
        <v>Plano Nacional de Fomento ao Esporte e Lazer (sistema penal)</v>
      </c>
      <c r="F12" s="143" t="str">
        <f>INDEX(Projetos!$G$3:$G$129,MATCH(Tb_Mapa[[#This Row],[SEI]],Projetos!$A$3:$A$129,0))</f>
        <v>Valdirene Daufemback</v>
      </c>
      <c r="G12" s="160" t="s">
        <v>1710</v>
      </c>
      <c r="H12" s="166" t="str">
        <f>INDEX(Projetos!$T$3:$T$129,MATCH(B12,Projetos!$A$3:$A$129,0))</f>
        <v>Fazendo Justiça</v>
      </c>
      <c r="I12" s="310">
        <f>INDEX(Projetos!$M$3:$M$129,MATCH(Tb_Mapa[[#This Row],[SEI]],Projetos!$A$3:$A$129,0))</f>
        <v>46203</v>
      </c>
      <c r="J12" s="164" t="str">
        <f ca="1">IF(Tb_Mapa[[#This Row],[SITUAÇÃO]]="Finalizado", "Data atualizada", IFERROR(IF(Tb_Mapa[[#This Row],[DATA DE TÉRMINO]]&lt;$I$1,"Atualizar data de encerramento","Data atualizada"),"Sem informação"))</f>
        <v>Data atualizada</v>
      </c>
      <c r="K12" s="311">
        <f>INDEX(Projetos!$N$3:$N$129,MATCH(Tb_Mapa[[#This Row],[SEI]],Projetos!$A$3:$A$129,0))</f>
        <v>0.9</v>
      </c>
      <c r="L12" s="311">
        <f>INDEX(Projetos!$O$3:$O$129,MATCH(Tb_Mapa[[#This Row],[SEI]],Projetos!$A$3:$A$129,0))</f>
        <v>0.9</v>
      </c>
      <c r="M12" s="165" t="str">
        <f ca="1">_xlfn.XLOOKUP(Tb_Mapa[[#This Row],[SEI]],Tb_Portfólio[SEI],Tb_Portfólio[Situação],"N/A",0)</f>
        <v>No prazo</v>
      </c>
      <c r="N12" s="161" t="str" cm="1">
        <f t="array" ref="N12">IFERROR(LOOKUP(2,1/(Atualizações!$H$1:$H$486=Mapa!$B67&amp;Mapa!BG$3),Atualizações!$E$1:$E$486),"NÃO")</f>
        <v>NÃO</v>
      </c>
      <c r="O12" s="161"/>
      <c r="P12" s="161"/>
      <c r="Q12" s="161"/>
      <c r="R12" s="161"/>
      <c r="S12" s="161"/>
      <c r="T12" s="161"/>
      <c r="U12" s="161"/>
      <c r="V12" s="161"/>
      <c r="W12" s="161"/>
      <c r="X12" s="161"/>
      <c r="Y12" s="161"/>
      <c r="Z12" s="161" cm="1">
        <f t="array" ref="Z12">IFERROR(LOOKUP(2,1/(Atualizações!$H$1:$H$1029=Mapa!$B67&amp;Mapa!BS$3),Atualizações!$E$1:$E$1029),"NÃO")</f>
        <v>0.628</v>
      </c>
      <c r="AA12" s="161" cm="1">
        <f t="array" ref="AA12">IFERROR(LOOKUP(2,1/(Atualizações!$H$1:$H$1029=Mapa!$B67&amp;Mapa!BT$3),Atualizações!$E$1:$E$1029),"NÃO")</f>
        <v>0.68700000000000006</v>
      </c>
      <c r="AB12" s="161" cm="1">
        <f t="array" ref="AB12">IFERROR(LOOKUP(2,1/(Atualizações!$H$1:$H$1029=Mapa!$B67&amp;Mapa!BU$3),Atualizações!$E$1:$E$1029),"NÃO")</f>
        <v>0.69499999999999995</v>
      </c>
      <c r="AC12" s="161" cm="1">
        <f t="array" ref="AC12">IFERROR(LOOKUP(2,1/(Atualizações!$H$1:$H$1029=Mapa!$B67&amp;Mapa!BV$3),Atualizações!$E$1:$E$1029),"NÃO")</f>
        <v>0.74399999999999999</v>
      </c>
      <c r="AD12" s="161" cm="1">
        <f t="array" ref="AD12">IFERROR(LOOKUP(2,1/(Atualizações!$H$1:$H$1029=Mapa!$B67&amp;Mapa!BW$3),Atualizações!$E$1:$E$1029),"NÃO")</f>
        <v>0.77900000000000003</v>
      </c>
      <c r="AE12" s="161" cm="1">
        <f t="array" ref="AE12">IFERROR(LOOKUP(2,1/(Atualizações!$H$1:$H$1029=Mapa!$B67&amp;Mapa!BX$3),Atualizações!$E$1:$E$1029),"NÃO")</f>
        <v>0.79</v>
      </c>
      <c r="AF12" s="161" cm="1">
        <f t="array" ref="AF12">IFERROR(LOOKUP(2,1/(Atualizações!$H$1:$H$1029=Mapa!$B67&amp;Mapa!BY$3),Atualizações!$E$1:$E$1029),"NÃO")</f>
        <v>0.81</v>
      </c>
      <c r="AG12" s="161" cm="1">
        <f t="array" ref="AG12">IFERROR(LOOKUP(2,1/(Atualizações!$H$1:$H$1029=Mapa!$B67&amp;Mapa!BZ$3),Atualizações!$E$1:$E$1029),"NÃO")</f>
        <v>0.83699999999999997</v>
      </c>
      <c r="AH12" s="161" cm="1">
        <f t="array" ref="AH12">IFERROR(LOOKUP(2,1/(Atualizações!$H$1:$H$1029=Mapa!$B67&amp;Mapa!CA$3),Atualizações!$E$1:$E$1029),"NÃO")</f>
        <v>0.56999999999999995</v>
      </c>
      <c r="AI12" s="161" cm="1">
        <f t="array" ref="AI12">IFERROR(LOOKUP(2,1/(Atualizações!$H$1:$H$1029=Mapa!$B67&amp;Mapa!CB$3),Atualizações!$E$1:$E$1029),"NÃO")</f>
        <v>0.56999999999999995</v>
      </c>
      <c r="AJ12" s="161" cm="1">
        <f t="array" ref="AJ12">IFERROR(LOOKUP(2,1/(Atualizações!$H$1:$H$1029=Mapa!$B67&amp;Mapa!CC$3),Atualizações!$E$1:$E$1029),"NÃO")</f>
        <v>0.56999999999999995</v>
      </c>
      <c r="AK12" s="161" cm="1">
        <f t="array" ref="AK12">IFERROR(LOOKUP(2,1/(Atualizações!$H$1:$H$1029=Mapa!$B67&amp;Mapa!CD$3),Atualizações!$E$1:$E$1029),"NÃO")</f>
        <v>0.56999999999999995</v>
      </c>
      <c r="AL12" s="161" cm="1">
        <f t="array" ref="AL12">IFERROR(LOOKUP(2,1/(Atualizações!$H$1:$H$1265=Mapa!$B67&amp;Mapa!CE$3),Atualizações!$E$1:$E$2994),"NÃO")</f>
        <v>0.56999999999999995</v>
      </c>
      <c r="AM12" s="161" t="str" cm="1">
        <f t="array" ref="AM12">IFERROR(LOOKUP(2,1/(Atualizações!$H$1:$H$2994=Tb_Mapa[[#This Row],[SEI]]&amp;Mapa!CF$3),Atualizações!$E$1:$E$2994),"NÃO")</f>
        <v>NÃO</v>
      </c>
      <c r="AN12" s="161" t="str" cm="1">
        <f t="array" ref="AN12">IFERROR(LOOKUP(2,1/(Atualizações!$H$1:$H$2994=Tb_Mapa[[#This Row],[SEI]]&amp;Mapa!CG$3),Atualizações!$E$1:$E$2994),"NÃO")</f>
        <v>NÃO</v>
      </c>
      <c r="AO12" s="161" t="str" cm="1">
        <f t="array" ref="AO12">IFERROR(LOOKUP(2,1/(Atualizações!$H$1:$H$2994=Tb_Mapa[[#This Row],[SEI]]&amp;Mapa!CH$3),Atualizações!$E$1:$E$2994),"NÃO")</f>
        <v>NÃO</v>
      </c>
      <c r="AP12" s="161" cm="1">
        <f t="array" ref="AP12">IFERROR(LOOKUP(2,1/(Atualizações!$H$1:$H$2994=Tb_Mapa[[#This Row],[SEI]]&amp;Mapa!CI$3),Atualizações!$E$1:$E$2994),"NÃO")</f>
        <v>0.9</v>
      </c>
      <c r="AQ12" s="161" t="str" cm="1">
        <f t="array" ref="AQ12">IFERROR(LOOKUP(2,1/(Atualizações!$H$1:$H$2994=Tb_Mapa[[#This Row],[SEI]]&amp;Mapa!CJ$3),Atualizações!$E$1:$E$2994),"NÃO")</f>
        <v>NÃO</v>
      </c>
      <c r="AR12" s="161" t="str" cm="1">
        <f t="array" ref="AR12">IFERROR(LOOKUP(2,1/(Atualizações!$H$1:$H$2994=Tb_Mapa[[#This Row],[SEI]]&amp;Mapa!CK$3),Atualizações!$E$1:$E$2994),"NÃO")</f>
        <v>NÃO</v>
      </c>
      <c r="AS12" s="161" t="str" cm="1">
        <f t="array" ref="AS12">IFERROR(LOOKUP(2,1/(Atualizações!$H$1:$H$2994=Tb_Mapa[[#This Row],[SEI]]&amp;Mapa!CL$3),Atualizações!$E$1:$E$2994),"NÃO")</f>
        <v>NÃO</v>
      </c>
      <c r="AT12" s="161" t="str" cm="1">
        <f t="array" ref="AT12">IFERROR(LOOKUP(2,1/(Atualizações!$H$1:$H$2994=Tb_Mapa[[#This Row],[SEI]]&amp;Mapa!CM$3),Atualizações!$E$1:$E$2994),"NÃO")</f>
        <v>NÃO</v>
      </c>
      <c r="AU12" s="161" t="str" cm="1">
        <f t="array" ref="AU12">IFERROR(LOOKUP(2,1/(Atualizações!$H$1:$H$2994=Tb_Mapa[[#This Row],[SEI]]&amp;Mapa!CN$3),Atualizações!$E$1:$E$2994),"NÃO")</f>
        <v>NÃO</v>
      </c>
      <c r="AV12" s="161" t="str" cm="1">
        <f t="array" ref="AV12">IFERROR(LOOKUP(2,1/(Atualizações!$H$1:$H$2994=Tb_Mapa[[#This Row],[SEI]]&amp;Mapa!CO$3),Atualizações!$E$1:$E$2994),"NÃO")</f>
        <v>NÃO</v>
      </c>
      <c r="AW12" s="161" t="str" cm="1">
        <f t="array" ref="AW12">IFERROR(LOOKUP(2,1/(Atualizações!$H$1:$H$2994=Tb_Mapa[[#This Row],[SEI]]&amp;Mapa!CP$3),Atualizações!$E$1:$E$2994),"NÃO")</f>
        <v>NÃO</v>
      </c>
      <c r="AX12" s="161" t="str" cm="1">
        <f t="array" ref="AX12">IFERROR(LOOKUP(2,1/(Atualizações!$H$1:$H$2994=Tb_Mapa[[#This Row],[SEI]]&amp;Mapa!CQ$3),Atualizações!$E$1:$E$2994),"NÃO")</f>
        <v>NÃO</v>
      </c>
    </row>
    <row r="13" spans="2:95" ht="32.25" hidden="1" customHeight="1">
      <c r="B13" s="676" t="s">
        <v>844</v>
      </c>
      <c r="C13" s="158" t="str">
        <f>_xlfn.XLOOKUP(Tb_Mapa[[#This Row],[SEI]],Tb_Portfólio[SEI],Tb_Portfólio[Portfólio 2025],"",0)</f>
        <v>Sim</v>
      </c>
      <c r="D13" s="158" t="str">
        <f>_xlfn.XLOOKUP(Tb_Mapa[[#This Row],[SEI]],Tb_Portfólio[SEI],Tb_Portfólio[Portfólio 2026],"",0)</f>
        <v>Sim</v>
      </c>
      <c r="E13" s="162" t="str">
        <f>_xlfn.XLOOKUP(Tb_Mapa[[#This Row],[SEI]],Tb_Portfólio[SEI],Tb_Portfólio[PROJETO],"",0)</f>
        <v>Enfrentamento da Tortura</v>
      </c>
      <c r="F13" s="143" t="str">
        <f>INDEX(Projetos!$G$3:$G$129,MATCH(Tb_Mapa[[#This Row],[SEI]],Projetos!$A$3:$A$129,0))</f>
        <v>Valdirene Daufemback</v>
      </c>
      <c r="G13" s="160" t="s">
        <v>1710</v>
      </c>
      <c r="H13" s="166" t="str">
        <f>INDEX(Projetos!$T$3:$T$129,MATCH(B13,Projetos!$A$3:$A$129,0))</f>
        <v>Fazendo Justiça</v>
      </c>
      <c r="I13" s="310">
        <f>INDEX(Projetos!$M$3:$M$129,MATCH(Tb_Mapa[[#This Row],[SEI]],Projetos!$A$3:$A$129,0))</f>
        <v>46387</v>
      </c>
      <c r="J13" s="164" t="str">
        <f ca="1">IF(Tb_Mapa[[#This Row],[SITUAÇÃO]]="Finalizado", "Data atualizada", IFERROR(IF(Tb_Mapa[[#This Row],[DATA DE TÉRMINO]]&lt;$I$1,"Atualizar data de encerramento","Data atualizada"),"Sem informação"))</f>
        <v>Data atualizada</v>
      </c>
      <c r="K13" s="311">
        <f>INDEX(Projetos!$N$3:$N$129,MATCH(Tb_Mapa[[#This Row],[SEI]],Projetos!$A$3:$A$129,0))</f>
        <v>0.75</v>
      </c>
      <c r="L13" s="311">
        <f>INDEX(Projetos!$O$3:$O$129,MATCH(Tb_Mapa[[#This Row],[SEI]],Projetos!$A$3:$A$129,0))</f>
        <v>0.75</v>
      </c>
      <c r="M13" s="165" t="str">
        <f ca="1">_xlfn.XLOOKUP(Tb_Mapa[[#This Row],[SEI]],Tb_Portfólio[SEI],Tb_Portfólio[Situação],"N/A",0)</f>
        <v>No prazo</v>
      </c>
      <c r="N13" s="161" t="str" cm="1">
        <f t="array" ref="N13">IFERROR(LOOKUP(2,1/(Atualizações!$H$1:$H$486=Mapa!$B81&amp;Mapa!BG$3),Atualizações!$E$1:$E$486),"NÃO")</f>
        <v>NÃO</v>
      </c>
      <c r="O13" s="161"/>
      <c r="P13" s="161"/>
      <c r="Q13" s="161"/>
      <c r="R13" s="161"/>
      <c r="S13" s="161"/>
      <c r="T13" s="161"/>
      <c r="U13" s="161"/>
      <c r="V13" s="161"/>
      <c r="W13" s="161"/>
      <c r="X13" s="161"/>
      <c r="Y13" s="161"/>
      <c r="Z13" s="161" cm="1">
        <f t="array" ref="Z13">IFERROR(LOOKUP(2,1/(Atualizações!$H$1:$H$1029=Mapa!$B81&amp;Mapa!BS$3),Atualizações!$E$1:$E$1029),"NÃO")</f>
        <v>0.96699999999999997</v>
      </c>
      <c r="AA13" s="161" cm="1">
        <f t="array" ref="AA13">IFERROR(LOOKUP(2,1/(Atualizações!$H$1:$H$1029=Mapa!$B81&amp;Mapa!BT$3),Atualizações!$E$1:$E$1029),"NÃO")</f>
        <v>0.96699999999999997</v>
      </c>
      <c r="AB13" s="161" cm="1">
        <f t="array" ref="AB13">IFERROR(LOOKUP(2,1/(Atualizações!$H$1:$H$1029=Mapa!$B81&amp;Mapa!BU$3),Atualizações!$E$1:$E$1029),"NÃO")</f>
        <v>0.96699999999999997</v>
      </c>
      <c r="AC13" s="161" cm="1">
        <f t="array" ref="AC13">IFERROR(LOOKUP(2,1/(Atualizações!$H$1:$H$1029=Mapa!$B81&amp;Mapa!BV$3),Atualizações!$E$1:$E$1029),"NÃO")</f>
        <v>0.96699999999999997</v>
      </c>
      <c r="AD13" s="161" cm="1">
        <f t="array" ref="AD13">IFERROR(LOOKUP(2,1/(Atualizações!$H$1:$H$1029=Mapa!$B81&amp;Mapa!BW$3),Atualizações!$E$1:$E$1029),"NÃO")</f>
        <v>0.96699999999999997</v>
      </c>
      <c r="AE13" s="161" cm="1">
        <f t="array" ref="AE13">IFERROR(LOOKUP(2,1/(Atualizações!$H$1:$H$1029=Mapa!$B81&amp;Mapa!BX$3),Atualizações!$E$1:$E$1029),"NÃO")</f>
        <v>0.96699999999999997</v>
      </c>
      <c r="AF13" s="161" cm="1">
        <f t="array" ref="AF13">IFERROR(LOOKUP(2,1/(Atualizações!$H$1:$H$1029=Mapa!$B81&amp;Mapa!BY$3),Atualizações!$E$1:$E$1029),"NÃO")</f>
        <v>0.96699999999999997</v>
      </c>
      <c r="AG13" s="161" cm="1">
        <f t="array" ref="AG13">IFERROR(LOOKUP(2,1/(Atualizações!$H$1:$H$1029=Mapa!$B81&amp;Mapa!BZ$3),Atualizações!$E$1:$E$1029),"NÃO")</f>
        <v>0.96699999999999997</v>
      </c>
      <c r="AH13" s="161" cm="1">
        <f t="array" ref="AH13">IFERROR(LOOKUP(2,1/(Atualizações!$H$1:$H$1029=Mapa!$B81&amp;Mapa!CA$3),Atualizações!$E$1:$E$1029),"NÃO")</f>
        <v>0.99</v>
      </c>
      <c r="AI13" s="161" cm="1">
        <f t="array" ref="AI13">IFERROR(LOOKUP(2,1/(Atualizações!$H$1:$H$1029=Mapa!$B81&amp;Mapa!CB$3),Atualizações!$E$1:$E$1029),"NÃO")</f>
        <v>0.78</v>
      </c>
      <c r="AJ13" s="161" cm="1">
        <f t="array" ref="AJ13">IFERROR(LOOKUP(2,1/(Atualizações!$H$1:$H$1029=Mapa!$B81&amp;Mapa!CC$3),Atualizações!$E$1:$E$1029),"NÃO")</f>
        <v>0.78</v>
      </c>
      <c r="AK13" s="161" cm="1">
        <f t="array" ref="AK13">IFERROR(LOOKUP(2,1/(Atualizações!$H$1:$H$1029=Mapa!$B81&amp;Mapa!CD$3),Atualizações!$E$1:$E$1029),"NÃO")</f>
        <v>0.78</v>
      </c>
      <c r="AL13" s="161" cm="1">
        <f t="array" ref="AL13">IFERROR(LOOKUP(2,1/(Atualizações!$H$1:$H$1265=Mapa!$B81&amp;Mapa!CE$3),Atualizações!$E$1:$E$2994),"NÃO")</f>
        <v>0.78</v>
      </c>
      <c r="AM13" s="161" t="str" cm="1">
        <f t="array" ref="AM13">IFERROR(LOOKUP(2,1/(Atualizações!$H$1:$H$2994=Tb_Mapa[[#This Row],[SEI]]&amp;Mapa!CF$3),Atualizações!$E$1:$E$2994),"NÃO")</f>
        <v>NÃO</v>
      </c>
      <c r="AN13" s="161" t="str" cm="1">
        <f t="array" ref="AN13">IFERROR(LOOKUP(2,1/(Atualizações!$H$1:$H$2994=Tb_Mapa[[#This Row],[SEI]]&amp;Mapa!CG$3),Atualizações!$E$1:$E$2994),"NÃO")</f>
        <v>NÃO</v>
      </c>
      <c r="AO13" s="161" t="str" cm="1">
        <f t="array" ref="AO13">IFERROR(LOOKUP(2,1/(Atualizações!$H$1:$H$2994=Tb_Mapa[[#This Row],[SEI]]&amp;Mapa!CH$3),Atualizações!$E$1:$E$2994),"NÃO")</f>
        <v>NÃO</v>
      </c>
      <c r="AP13" s="161" cm="1">
        <f t="array" ref="AP13">IFERROR(LOOKUP(2,1/(Atualizações!$H$1:$H$2994=Tb_Mapa[[#This Row],[SEI]]&amp;Mapa!CI$3),Atualizações!$E$1:$E$2994),"NÃO")</f>
        <v>0.75</v>
      </c>
      <c r="AQ13" s="161" t="str" cm="1">
        <f t="array" ref="AQ13">IFERROR(LOOKUP(2,1/(Atualizações!$H$1:$H$2994=Tb_Mapa[[#This Row],[SEI]]&amp;Mapa!CJ$3),Atualizações!$E$1:$E$2994),"NÃO")</f>
        <v>NÃO</v>
      </c>
      <c r="AR13" s="161" t="str" cm="1">
        <f t="array" ref="AR13">IFERROR(LOOKUP(2,1/(Atualizações!$H$1:$H$2994=Tb_Mapa[[#This Row],[SEI]]&amp;Mapa!CK$3),Atualizações!$E$1:$E$2994),"NÃO")</f>
        <v>NÃO</v>
      </c>
      <c r="AS13" s="161" t="str" cm="1">
        <f t="array" ref="AS13">IFERROR(LOOKUP(2,1/(Atualizações!$H$1:$H$2994=Tb_Mapa[[#This Row],[SEI]]&amp;Mapa!CL$3),Atualizações!$E$1:$E$2994),"NÃO")</f>
        <v>NÃO</v>
      </c>
      <c r="AT13" s="161" t="str" cm="1">
        <f t="array" ref="AT13">IFERROR(LOOKUP(2,1/(Atualizações!$H$1:$H$2994=Tb_Mapa[[#This Row],[SEI]]&amp;Mapa!CM$3),Atualizações!$E$1:$E$2994),"NÃO")</f>
        <v>NÃO</v>
      </c>
      <c r="AU13" s="161" t="str" cm="1">
        <f t="array" ref="AU13">IFERROR(LOOKUP(2,1/(Atualizações!$H$1:$H$2994=Tb_Mapa[[#This Row],[SEI]]&amp;Mapa!CN$3),Atualizações!$E$1:$E$2994),"NÃO")</f>
        <v>NÃO</v>
      </c>
      <c r="AV13" s="161" t="str" cm="1">
        <f t="array" ref="AV13">IFERROR(LOOKUP(2,1/(Atualizações!$H$1:$H$2994=Tb_Mapa[[#This Row],[SEI]]&amp;Mapa!CO$3),Atualizações!$E$1:$E$2994),"NÃO")</f>
        <v>NÃO</v>
      </c>
      <c r="AW13" s="161" t="str" cm="1">
        <f t="array" ref="AW13">IFERROR(LOOKUP(2,1/(Atualizações!$H$1:$H$2994=Tb_Mapa[[#This Row],[SEI]]&amp;Mapa!CP$3),Atualizações!$E$1:$E$2994),"NÃO")</f>
        <v>NÃO</v>
      </c>
      <c r="AX13" s="161" t="str" cm="1">
        <f t="array" ref="AX13">IFERROR(LOOKUP(2,1/(Atualizações!$H$1:$H$2994=Tb_Mapa[[#This Row],[SEI]]&amp;Mapa!CQ$3),Atualizações!$E$1:$E$2994),"NÃO")</f>
        <v>NÃO</v>
      </c>
    </row>
    <row r="14" spans="2:95" ht="32.25" hidden="1" customHeight="1">
      <c r="B14" s="676" t="s">
        <v>747</v>
      </c>
      <c r="C14" s="676" t="str">
        <f>_xlfn.XLOOKUP(Tb_Mapa[[#This Row],[SEI]],Tb_Portfólio[SEI],Tb_Portfólio[Portfólio 2025],"",0)</f>
        <v>Sim</v>
      </c>
      <c r="D14" s="158" t="str">
        <f>_xlfn.XLOOKUP(Tb_Mapa[[#This Row],[SEI]],Tb_Portfólio[SEI],Tb_Portfólio[Portfólio 2026],"",0)</f>
        <v>Sim</v>
      </c>
      <c r="E14" s="162" t="str">
        <f>_xlfn.XLOOKUP(Tb_Mapa[[#This Row],[SEI]],Tb_Portfólio[SEI],Tb_Portfólio[PROJETO],"",0)</f>
        <v>Mapa Nacional do Crime Organizado</v>
      </c>
      <c r="F14" s="143" t="str">
        <f>INDEX(Projetos!$G$3:$G$129,MATCH(Tb_Mapa[[#This Row],[SEI]],Projetos!$A$3:$A$129,0))</f>
        <v>Thiago Gontijo Vieira</v>
      </c>
      <c r="G14" s="160" t="s">
        <v>1710</v>
      </c>
      <c r="H14" s="166">
        <f>INDEX(Projetos!$T$3:$T$129,MATCH(B14,Projetos!$A$3:$A$129,0))</f>
        <v>0</v>
      </c>
      <c r="I14" s="310">
        <f>INDEX(Projetos!$M$3:$M$129,MATCH(Tb_Mapa[[#This Row],[SEI]],Projetos!$A$3:$A$129,0))</f>
        <v>46265</v>
      </c>
      <c r="J14" s="164" t="str">
        <f ca="1">IF(Tb_Mapa[[#This Row],[SITUAÇÃO]]="Finalizado", "Data atualizada", IFERROR(IF(Tb_Mapa[[#This Row],[DATA DE TÉRMINO]]&lt;$I$1,"Atualizar data de encerramento","Data atualizada"),"Sem informação"))</f>
        <v>Data atualizada</v>
      </c>
      <c r="K14" s="311">
        <f>INDEX(Projetos!$N$3:$N$129,MATCH(Tb_Mapa[[#This Row],[SEI]],Projetos!$A$3:$A$129,0))</f>
        <v>0.27</v>
      </c>
      <c r="L14" s="311">
        <f>INDEX(Projetos!$O$3:$O$129,MATCH(Tb_Mapa[[#This Row],[SEI]],Projetos!$A$3:$A$129,0))</f>
        <v>0.5</v>
      </c>
      <c r="M14" s="165" t="str">
        <f ca="1">_xlfn.XLOOKUP(Tb_Mapa[[#This Row],[SEI]],Tb_Portfólio[SEI],Tb_Portfólio[Situação],"N/A",0)</f>
        <v>No prazo</v>
      </c>
      <c r="N14" s="161" t="str" cm="1">
        <f t="array" ref="N14">IFERROR(LOOKUP(2,1/(Atualizações!$H$1:$H$486=Mapa!$B112&amp;Mapa!BG$3),Atualizações!$E$1:$E$486),"NÃO")</f>
        <v>NÃO</v>
      </c>
      <c r="O14" s="161"/>
      <c r="P14" s="161"/>
      <c r="Q14" s="161"/>
      <c r="R14" s="161"/>
      <c r="S14" s="161"/>
      <c r="T14" s="161"/>
      <c r="U14" s="161"/>
      <c r="V14" s="161"/>
      <c r="W14" s="161"/>
      <c r="X14" s="161"/>
      <c r="Y14" s="161"/>
      <c r="Z14" s="161" t="str" cm="1">
        <f t="array" ref="Z14">IFERROR(LOOKUP(2,1/(Atualizações!$H$1:$H$1029=Mapa!$B112&amp;Mapa!BS$3),Atualizações!$E$1:$E$1029),"NÃO")</f>
        <v>NÃO</v>
      </c>
      <c r="AA14" s="161" t="str" cm="1">
        <f t="array" ref="AA14">IFERROR(LOOKUP(2,1/(Atualizações!$H$1:$H$1029=Mapa!$B112&amp;Mapa!BT$3),Atualizações!$E$1:$E$1029),"NÃO")</f>
        <v>NÃO</v>
      </c>
      <c r="AB14" s="161" t="str" cm="1">
        <f t="array" ref="AB14">IFERROR(LOOKUP(2,1/(Atualizações!$H$1:$H$1029=Mapa!$B112&amp;Mapa!BU$3),Atualizações!$E$1:$E$1029),"NÃO")</f>
        <v>NÃO</v>
      </c>
      <c r="AC14" s="161" t="str" cm="1">
        <f t="array" ref="AC14">IFERROR(LOOKUP(2,1/(Atualizações!$H$1:$H$1029=Mapa!$B112&amp;Mapa!BV$3),Atualizações!$E$1:$E$1029),"NÃO")</f>
        <v>NÃO</v>
      </c>
      <c r="AD14" s="161" t="str" cm="1">
        <f t="array" ref="AD14">IFERROR(LOOKUP(2,1/(Atualizações!$H$1:$H$1029=Mapa!$B112&amp;Mapa!BW$3),Atualizações!$E$1:$E$1029),"NÃO")</f>
        <v>NÃO</v>
      </c>
      <c r="AE14" s="161" t="str" cm="1">
        <f t="array" ref="AE14">IFERROR(LOOKUP(2,1/(Atualizações!$H$1:$H$1029=Mapa!$B112&amp;Mapa!BX$3),Atualizações!$E$1:$E$1029),"NÃO")</f>
        <v>NÃO</v>
      </c>
      <c r="AF14" s="161" t="str" cm="1">
        <f t="array" ref="AF14">IFERROR(LOOKUP(2,1/(Atualizações!$H$1:$H$1029=Mapa!$B112&amp;Mapa!BY$3),Atualizações!$E$1:$E$1029),"NÃO")</f>
        <v>NÃO</v>
      </c>
      <c r="AG14" s="161" t="str" cm="1">
        <f t="array" ref="AG14">IFERROR(LOOKUP(2,1/(Atualizações!$H$1:$H$1029=Mapa!$B112&amp;Mapa!BZ$3),Atualizações!$E$1:$E$1029),"NÃO")</f>
        <v>NÃO</v>
      </c>
      <c r="AH14" s="161" t="str" cm="1">
        <f t="array" ref="AH14">IFERROR(LOOKUP(2,1/(Atualizações!$H$1:$H$1029=Mapa!$B112&amp;Mapa!CA$3),Atualizações!$E$1:$E$1029),"NÃO")</f>
        <v>NÃO</v>
      </c>
      <c r="AI14" s="161" t="str" cm="1">
        <f t="array" ref="AI14">IFERROR(LOOKUP(2,1/(Atualizações!$H$1:$H$1029=Mapa!$B112&amp;Mapa!CB$3),Atualizações!$E$1:$E$1029),"NÃO")</f>
        <v>NÃO</v>
      </c>
      <c r="AJ14" s="161" t="str" cm="1">
        <f t="array" ref="AJ14">IFERROR(LOOKUP(2,1/(Atualizações!$H$1:$H$1029=Mapa!$B112&amp;Mapa!CC$3),Atualizações!$E$1:$E$1029),"NÃO")</f>
        <v>NÃO</v>
      </c>
      <c r="AK14" s="161" t="str" cm="1">
        <f t="array" ref="AK14">IFERROR(LOOKUP(2,1/(Atualizações!$H$1:$H$1029=Mapa!$B112&amp;Mapa!CD$3),Atualizações!$E$1:$E$1029),"NÃO")</f>
        <v>NÃO</v>
      </c>
      <c r="AL14" s="161" t="str" cm="1">
        <f t="array" ref="AL14">IFERROR(LOOKUP(2,1/(Atualizações!$H$1:$H$1265=Mapa!$B112&amp;Mapa!CE$3),Atualizações!$E$1:$E$2994),"NÃO")</f>
        <v>NÃO</v>
      </c>
      <c r="AM14" s="161" cm="1">
        <f t="array" ref="AM14">IFERROR(LOOKUP(2,1/(Atualizações!$H$1:$H$2994=Tb_Mapa[[#This Row],[SEI]]&amp;Mapa!CF$3),Atualizações!$E$1:$E$2994),"NÃO")</f>
        <v>0.5</v>
      </c>
      <c r="AN14" s="161" t="str" cm="1">
        <f t="array" ref="AN14">IFERROR(LOOKUP(2,1/(Atualizações!$H$1:$H$2994=Tb_Mapa[[#This Row],[SEI]]&amp;Mapa!CG$3),Atualizações!$E$1:$E$2994),"NÃO")</f>
        <v>NÃO</v>
      </c>
      <c r="AO14" s="161" t="str" cm="1">
        <f t="array" ref="AO14">IFERROR(LOOKUP(2,1/(Atualizações!$H$1:$H$2994=Tb_Mapa[[#This Row],[SEI]]&amp;Mapa!CH$3),Atualizações!$E$1:$E$2994),"NÃO")</f>
        <v>NÃO</v>
      </c>
      <c r="AP14" s="161" t="str" cm="1">
        <f t="array" ref="AP14">IFERROR(LOOKUP(2,1/(Atualizações!$H$1:$H$2994=Tb_Mapa[[#This Row],[SEI]]&amp;Mapa!CI$3),Atualizações!$E$1:$E$2994),"NÃO")</f>
        <v>NÃO</v>
      </c>
      <c r="AQ14" s="161" t="str" cm="1">
        <f t="array" ref="AQ14">IFERROR(LOOKUP(2,1/(Atualizações!$H$1:$H$2994=Tb_Mapa[[#This Row],[SEI]]&amp;Mapa!CJ$3),Atualizações!$E$1:$E$2994),"NÃO")</f>
        <v>NÃO</v>
      </c>
      <c r="AR14" s="161" t="str" cm="1">
        <f t="array" ref="AR14">IFERROR(LOOKUP(2,1/(Atualizações!$H$1:$H$2994=Tb_Mapa[[#This Row],[SEI]]&amp;Mapa!CK$3),Atualizações!$E$1:$E$2994),"NÃO")</f>
        <v>NÃO</v>
      </c>
      <c r="AS14" s="161" t="str" cm="1">
        <f t="array" ref="AS14">IFERROR(LOOKUP(2,1/(Atualizações!$H$1:$H$2994=Tb_Mapa[[#This Row],[SEI]]&amp;Mapa!CL$3),Atualizações!$E$1:$E$2994),"NÃO")</f>
        <v>NÃO</v>
      </c>
      <c r="AT14" s="161" t="str" cm="1">
        <f t="array" ref="AT14">IFERROR(LOOKUP(2,1/(Atualizações!$H$1:$H$2994=Tb_Mapa[[#This Row],[SEI]]&amp;Mapa!CM$3),Atualizações!$E$1:$E$2994),"NÃO")</f>
        <v>NÃO</v>
      </c>
      <c r="AU14" s="161" t="str" cm="1">
        <f t="array" ref="AU14">IFERROR(LOOKUP(2,1/(Atualizações!$H$1:$H$2994=Tb_Mapa[[#This Row],[SEI]]&amp;Mapa!CN$3),Atualizações!$E$1:$E$2994),"NÃO")</f>
        <v>NÃO</v>
      </c>
      <c r="AV14" s="161" t="str" cm="1">
        <f t="array" ref="AV14">IFERROR(LOOKUP(2,1/(Atualizações!$H$1:$H$2994=Tb_Mapa[[#This Row],[SEI]]&amp;Mapa!CO$3),Atualizações!$E$1:$E$2994),"NÃO")</f>
        <v>NÃO</v>
      </c>
      <c r="AW14" s="161" t="str" cm="1">
        <f t="array" ref="AW14">IFERROR(LOOKUP(2,1/(Atualizações!$H$1:$H$2994=Tb_Mapa[[#This Row],[SEI]]&amp;Mapa!CP$3),Atualizações!$E$1:$E$2994),"NÃO")</f>
        <v>NÃO</v>
      </c>
      <c r="AX14" s="161" t="str" cm="1">
        <f t="array" ref="AX14">IFERROR(LOOKUP(2,1/(Atualizações!$H$1:$H$2994=Tb_Mapa[[#This Row],[SEI]]&amp;Mapa!CQ$3),Atualizações!$E$1:$E$2994),"NÃO")</f>
        <v>NÃO</v>
      </c>
    </row>
    <row r="15" spans="2:95" ht="30" hidden="1">
      <c r="B15" s="676" t="s">
        <v>706</v>
      </c>
      <c r="C15" s="676" t="str">
        <f>_xlfn.XLOOKUP(Tb_Mapa[[#This Row],[SEI]],Tb_Portfólio[SEI],Tb_Portfólio[Portfólio 2025],"",0)</f>
        <v>Não</v>
      </c>
      <c r="D15" s="158" t="str">
        <f>_xlfn.XLOOKUP(Tb_Mapa[[#This Row],[SEI]],Tb_Portfólio[SEI],Tb_Portfólio[Portfólio 2026],"",0)</f>
        <v>Sim</v>
      </c>
      <c r="E15" s="162" t="str">
        <f>_xlfn.XLOOKUP(Tb_Mapa[[#This Row],[SEI]],Tb_Portfólio[SEI],Tb_Portfólio[PROJETO],"",0)</f>
        <v>Sistema de Detecção e Prevenção de Nepotismo no Poder Judiciário</v>
      </c>
      <c r="F15" s="143" t="str">
        <f>INDEX(Projetos!$G$3:$G$129,MATCH(Tb_Mapa[[#This Row],[SEI]],Projetos!$A$3:$A$129,0))</f>
        <v>Caio Henrique Faustino da Silva</v>
      </c>
      <c r="G15" s="160" t="s">
        <v>1715</v>
      </c>
      <c r="H15" s="166">
        <f>INDEX(Projetos!$T$3:$T$129,MATCH(B15,Projetos!$A$3:$A$129,0))</f>
        <v>0</v>
      </c>
      <c r="I15" s="310">
        <f>INDEX(Projetos!$M$3:$M$129,MATCH(Tb_Mapa[[#This Row],[SEI]],Projetos!$A$3:$A$129,0))</f>
        <v>45923</v>
      </c>
      <c r="J15" s="164" t="str">
        <f ca="1">IF(Tb_Mapa[[#This Row],[SITUAÇÃO]]="Finalizado", "Data atualizada", IFERROR(IF(Tb_Mapa[[#This Row],[DATA DE TÉRMINO]]&lt;$I$1,"Atualizar data de encerramento","Data atualizada"),"Sem informação"))</f>
        <v>Atualizar data de encerramento</v>
      </c>
      <c r="K15" s="311">
        <f>INDEX(Projetos!$N$3:$N$129,MATCH(Tb_Mapa[[#This Row],[SEI]],Projetos!$A$3:$A$129,0))</f>
        <v>0</v>
      </c>
      <c r="L15" s="311">
        <f>INDEX(Projetos!$O$3:$O$129,MATCH(Tb_Mapa[[#This Row],[SEI]],Projetos!$A$3:$A$129,0))</f>
        <v>0</v>
      </c>
      <c r="M15" s="165" t="str">
        <f ca="1">_xlfn.XLOOKUP(Tb_Mapa[[#This Row],[SEI]],Tb_Portfólio[SEI],Tb_Portfólio[Situação],"N/A",0)</f>
        <v>Atrasado ou Crítico</v>
      </c>
      <c r="N15" s="161" t="str" cm="1">
        <f t="array" ref="N15">IFERROR(LOOKUP(2,1/(Atualizações!$H$1:$H$486=Mapa!$B116&amp;Mapa!BG$3),Atualizações!$E$1:$E$486),"NÃO")</f>
        <v>NÃO</v>
      </c>
      <c r="O15" s="161"/>
      <c r="P15" s="161"/>
      <c r="Q15" s="161"/>
      <c r="R15" s="161"/>
      <c r="S15" s="161"/>
      <c r="T15" s="161"/>
      <c r="U15" s="161"/>
      <c r="V15" s="161"/>
      <c r="W15" s="161"/>
      <c r="X15" s="161"/>
      <c r="Y15" s="161"/>
      <c r="Z15" s="161"/>
      <c r="AA15" s="691"/>
      <c r="AB15" s="691"/>
      <c r="AC15" s="691"/>
      <c r="AD15" s="691"/>
      <c r="AE15" s="691"/>
      <c r="AF15" s="691"/>
      <c r="AG15" s="691"/>
      <c r="AH15" s="691"/>
      <c r="AI15" s="691"/>
      <c r="AJ15" s="691"/>
      <c r="AK15" s="161" t="str" cm="1">
        <f t="array" ref="AK15">IFERROR(LOOKUP(2,1/(Atualizações!$H$1:$H$1029=Mapa!$B116&amp;Mapa!CD$3),Atualizações!$E$1:$E$1029),"NÃO")</f>
        <v>NÃO</v>
      </c>
      <c r="AL15" s="161" t="str" cm="1">
        <f t="array" ref="AL15">IFERROR(LOOKUP(2,1/(Atualizações!$H$1:$H$1265=Mapa!$B116&amp;Mapa!CE$3),Atualizações!$E$1:$E$2994),"NÃO")</f>
        <v>NÃO</v>
      </c>
      <c r="AM15" s="161" cm="1">
        <f t="array" ref="AM15">IFERROR(LOOKUP(2,1/(Atualizações!$H$1:$H$2994=Tb_Mapa[[#This Row],[SEI]]&amp;Mapa!CF$3),Atualizações!$E$1:$E$2994),"NÃO")</f>
        <v>0</v>
      </c>
      <c r="AN15" s="161" t="str" cm="1">
        <f t="array" ref="AN15">IFERROR(LOOKUP(2,1/(Atualizações!$H$1:$H$2994=Tb_Mapa[[#This Row],[SEI]]&amp;Mapa!CG$3),Atualizações!$E$1:$E$2994),"NÃO")</f>
        <v>NÃO</v>
      </c>
      <c r="AO15" s="161" t="str" cm="1">
        <f t="array" ref="AO15">IFERROR(LOOKUP(2,1/(Atualizações!$H$1:$H$2994=Tb_Mapa[[#This Row],[SEI]]&amp;Mapa!CH$3),Atualizações!$E$1:$E$2994),"NÃO")</f>
        <v>NÃO</v>
      </c>
      <c r="AP15" s="161" t="str" cm="1">
        <f t="array" ref="AP15">IFERROR(LOOKUP(2,1/(Atualizações!$H$1:$H$2994=Tb_Mapa[[#This Row],[SEI]]&amp;Mapa!CI$3),Atualizações!$E$1:$E$2994),"NÃO")</f>
        <v>NÃO</v>
      </c>
      <c r="AQ15" s="161" t="str" cm="1">
        <f t="array" ref="AQ15">IFERROR(LOOKUP(2,1/(Atualizações!$H$1:$H$2994=Tb_Mapa[[#This Row],[SEI]]&amp;Mapa!CJ$3),Atualizações!$E$1:$E$2994),"NÃO")</f>
        <v>NÃO</v>
      </c>
      <c r="AR15" s="161" t="str" cm="1">
        <f t="array" ref="AR15">IFERROR(LOOKUP(2,1/(Atualizações!$H$1:$H$2994=Tb_Mapa[[#This Row],[SEI]]&amp;Mapa!CK$3),Atualizações!$E$1:$E$2994),"NÃO")</f>
        <v>NÃO</v>
      </c>
      <c r="AS15" s="161" t="str" cm="1">
        <f t="array" ref="AS15">IFERROR(LOOKUP(2,1/(Atualizações!$H$1:$H$2994=Tb_Mapa[[#This Row],[SEI]]&amp;Mapa!CL$3),Atualizações!$E$1:$E$2994),"NÃO")</f>
        <v>NÃO</v>
      </c>
      <c r="AT15" s="161" t="str" cm="1">
        <f t="array" ref="AT15">IFERROR(LOOKUP(2,1/(Atualizações!$H$1:$H$2994=Tb_Mapa[[#This Row],[SEI]]&amp;Mapa!CM$3),Atualizações!$E$1:$E$2994),"NÃO")</f>
        <v>NÃO</v>
      </c>
      <c r="AU15" s="161" t="str" cm="1">
        <f t="array" ref="AU15">IFERROR(LOOKUP(2,1/(Atualizações!$H$1:$H$2994=Tb_Mapa[[#This Row],[SEI]]&amp;Mapa!CN$3),Atualizações!$E$1:$E$2994),"NÃO")</f>
        <v>NÃO</v>
      </c>
      <c r="AV15" s="161" t="str" cm="1">
        <f t="array" ref="AV15">IFERROR(LOOKUP(2,1/(Atualizações!$H$1:$H$2994=Tb_Mapa[[#This Row],[SEI]]&amp;Mapa!CO$3),Atualizações!$E$1:$E$2994),"NÃO")</f>
        <v>NÃO</v>
      </c>
      <c r="AW15" s="161" t="str" cm="1">
        <f t="array" ref="AW15">IFERROR(LOOKUP(2,1/(Atualizações!$H$1:$H$2994=Tb_Mapa[[#This Row],[SEI]]&amp;Mapa!CP$3),Atualizações!$E$1:$E$2994),"NÃO")</f>
        <v>NÃO</v>
      </c>
      <c r="AX15" s="161" t="str" cm="1">
        <f t="array" ref="AX15">IFERROR(LOOKUP(2,1/(Atualizações!$H$1:$H$2994=Tb_Mapa[[#This Row],[SEI]]&amp;Mapa!CQ$3),Atualizações!$E$1:$E$2994),"NÃO")</f>
        <v>NÃO</v>
      </c>
    </row>
    <row r="16" spans="2:95" ht="32.25" hidden="1" customHeight="1">
      <c r="B16" s="169" t="s">
        <v>698</v>
      </c>
      <c r="C16" s="158" t="str">
        <f>_xlfn.XLOOKUP(Tb_Mapa[[#This Row],[SEI]],Tb_Portfólio[SEI],Tb_Portfólio[Portfólio 2025],"",0)</f>
        <v>Sim</v>
      </c>
      <c r="D16" s="158" t="str">
        <f>_xlfn.XLOOKUP(Tb_Mapa[[#This Row],[SEI]],Tb_Portfólio[SEI],Tb_Portfólio[Portfólio 2026],"",0)</f>
        <v>Sim</v>
      </c>
      <c r="E16" s="162" t="str">
        <f>_xlfn.XLOOKUP(Tb_Mapa[[#This Row],[SEI]],Tb_Portfólio[SEI],Tb_Portfólio[PROJETO],"",0)</f>
        <v>Escola Virtual do Poder Judiciário</v>
      </c>
      <c r="F16" s="143" t="s">
        <v>1716</v>
      </c>
      <c r="G16" s="160" t="s">
        <v>1711</v>
      </c>
      <c r="H16" s="166">
        <f>INDEX(Projetos!$T$3:$T$129,MATCH(B16,Projetos!$A$3:$A$129,0))</f>
        <v>0</v>
      </c>
      <c r="I16" s="310">
        <f>INDEX(Projetos!$M$3:$M$129,MATCH(Tb_Mapa[[#This Row],[SEI]],Projetos!$A$3:$A$129,0))</f>
        <v>45930</v>
      </c>
      <c r="J16" s="164" t="str">
        <f>IF(Tb_Mapa[[#This Row],[SITUAÇÃO]]="Finalizado", "Data atualizada", IFERROR(IF(Tb_Mapa[[#This Row],[DATA DE TÉRMINO]]&lt;$I$1,"Atualizar data de encerramento","Data atualizada"),"Sem informação"))</f>
        <v>Data atualizada</v>
      </c>
      <c r="K16" s="311">
        <f>INDEX(Projetos!$N$3:$N$129,MATCH(Tb_Mapa[[#This Row],[SEI]],Projetos!$A$3:$A$129,0))</f>
        <v>0.64</v>
      </c>
      <c r="L16" s="311">
        <f>INDEX(Projetos!$O$3:$O$129,MATCH(Tb_Mapa[[#This Row],[SEI]],Projetos!$A$3:$A$129,0))</f>
        <v>0.32</v>
      </c>
      <c r="M16" s="165" t="str">
        <f>_xlfn.XLOOKUP(Tb_Mapa[[#This Row],[SEI]],Tb_Portfólio[SEI],Tb_Portfólio[Situação],"N/A",0)</f>
        <v>Finalizado</v>
      </c>
      <c r="N16" s="161" t="str" cm="1">
        <f t="array" ref="N16">IFERROR(LOOKUP(2,1/(Atualizações!$H$1:$H$486=Mapa!$B51&amp;Mapa!BG$3),Atualizações!$E$1:$E$486),"NÃO")</f>
        <v>NÃO</v>
      </c>
      <c r="O16" s="161" t="str" cm="1">
        <f t="array" ref="O16">IFERROR(LOOKUP(2,1/(Atualizações!$H$1:$H$580=Mapa!$B51&amp;Mapa!BH$3),Atualizações!$E$1:$E$580),"NÃO")</f>
        <v>NÃO</v>
      </c>
      <c r="P16" s="161" t="str" cm="1">
        <f t="array" ref="P16">IFERROR(LOOKUP(2,1/(Atualizações!$H$1:$H$580=Mapa!$B51&amp;Mapa!BI$3),Atualizações!$E$1:$E$580),"NÃO")</f>
        <v>NÃO</v>
      </c>
      <c r="Q16" s="161" t="str" cm="1">
        <f t="array" ref="Q16">IFERROR(LOOKUP(2,1/(Atualizações!$H$1:$H$580=Mapa!$B51&amp;Mapa!BJ$3),Atualizações!$E$1:$E$580),"NÃO")</f>
        <v>NÃO</v>
      </c>
      <c r="R16" s="161" t="str" cm="1">
        <f t="array" ref="R16">IFERROR(LOOKUP(2,1/(Atualizações!$H$1:$H$580=Mapa!$B51&amp;Mapa!BK$3),Atualizações!$E$1:$E$580),"NÃO")</f>
        <v>NÃO</v>
      </c>
      <c r="S16" s="161" t="str" cm="1">
        <f t="array" ref="S16">IFERROR(LOOKUP(2,1/(Atualizações!$H$1:$H$580=Mapa!$B51&amp;Mapa!BL$3),Atualizações!$E$1:$E$580),"NÃO")</f>
        <v>NÃO</v>
      </c>
      <c r="T16" s="161" t="str" cm="1">
        <f t="array" ref="T16">IFERROR(LOOKUP(2,1/(Atualizações!$H$1:$H$580=Mapa!$B51&amp;Mapa!BM$3),Atualizações!$E$1:$E$580),"NÃO")</f>
        <v>NÃO</v>
      </c>
      <c r="U16" s="161" t="str" cm="1">
        <f t="array" ref="U16">IFERROR(LOOKUP(2,1/(Atualizações!$H$1:$H$580=Mapa!$B51&amp;Mapa!BN$3),Atualizações!$E$1:$E$580),"NÃO")</f>
        <v>NÃO</v>
      </c>
      <c r="V16" s="161" t="str" cm="1">
        <f t="array" ref="V16">IFERROR(LOOKUP(2,1/(Atualizações!$H$1:$H$580=Mapa!$B51&amp;Mapa!BO$3),Atualizações!$E$1:$E$580),"NÃO")</f>
        <v>NÃO</v>
      </c>
      <c r="W16" s="161" t="str" cm="1">
        <f t="array" ref="W16">IFERROR(LOOKUP(2,1/(Atualizações!$H$1:$H$580=Mapa!$B51&amp;Mapa!BP$3),Atualizações!$E$1:$E$580),"NÃO")</f>
        <v>NÃO</v>
      </c>
      <c r="X16" s="161" t="str" cm="1">
        <f t="array" ref="X16">IFERROR(LOOKUP(2,1/(Atualizações!$H$1:$H$580=Mapa!$B51&amp;Mapa!BQ$3),Atualizações!$E$1:$E$580),"NÃO")</f>
        <v>NÃO</v>
      </c>
      <c r="Y16" s="161" cm="1">
        <f t="array" ref="Y16">IFERROR(LOOKUP(2,1/(Atualizações!$H$1:$H$580=Mapa!$B51&amp;Mapa!BR$3),Atualizações!$E$1:$E$580),"NÃO")</f>
        <v>0.26800000000000002</v>
      </c>
      <c r="Z16" s="161" cm="1">
        <f t="array" ref="Z16">IFERROR(LOOKUP(2,1/(Atualizações!$H$1:$H$1029=Mapa!$B51&amp;Mapa!BS$3),Atualizações!$E$1:$E$1029),"NÃO")</f>
        <v>0.36399999999999999</v>
      </c>
      <c r="AA16" s="161" cm="1">
        <f t="array" ref="AA16">IFERROR(LOOKUP(2,1/(Atualizações!$H$1:$H$1029=Mapa!$B51&amp;Mapa!BT$3),Atualizações!$E$1:$E$1029),"NÃO")</f>
        <v>0.45300000000000001</v>
      </c>
      <c r="AB16" s="161" cm="1">
        <f t="array" ref="AB16">IFERROR(LOOKUP(2,1/(Atualizações!$H$1:$H$1029=Mapa!$B51&amp;Mapa!BU$3),Atualizações!$E$1:$E$1029),"NÃO")</f>
        <v>0.57099999999999995</v>
      </c>
      <c r="AC16" s="161" cm="1">
        <f t="array" ref="AC16">IFERROR(LOOKUP(2,1/(Atualizações!$H$1:$H$1029=Mapa!$B51&amp;Mapa!BV$3),Atualizações!$E$1:$E$1029),"NÃO")</f>
        <v>0.623</v>
      </c>
      <c r="AD16" s="161" cm="1">
        <f t="array" ref="AD16">IFERROR(LOOKUP(2,1/(Atualizações!$H$1:$H$1029=Mapa!$B51&amp;Mapa!BW$3),Atualizações!$E$1:$E$1029),"NÃO")</f>
        <v>0.749</v>
      </c>
      <c r="AE16" s="161" cm="1">
        <f t="array" ref="AE16">IFERROR(LOOKUP(2,1/(Atualizações!$H$1:$H$1029=Mapa!$B51&amp;Mapa!BX$3),Atualizações!$E$1:$E$1029),"NÃO")</f>
        <v>0.80500000000000005</v>
      </c>
      <c r="AF16" s="161" cm="1">
        <f t="array" ref="AF16">IFERROR(LOOKUP(2,1/(Atualizações!$H$1:$H$1029=Mapa!$B51&amp;Mapa!BY$3),Atualizações!$E$1:$E$1029),"NÃO")</f>
        <v>0.71899999999999997</v>
      </c>
      <c r="AG16" s="161" cm="1">
        <f t="array" ref="AG16">IFERROR(LOOKUP(2,1/(Atualizações!$H$1:$H$1029=Mapa!$B51&amp;Mapa!BZ$3),Atualizações!$E$1:$E$1029),"NÃO")</f>
        <v>0.754</v>
      </c>
      <c r="AH16" s="161" cm="1">
        <f t="array" ref="AH16">IFERROR(LOOKUP(2,1/(Atualizações!$H$1:$H$1029=Mapa!$B51&amp;Mapa!CA$3),Atualizações!$E$1:$E$1029),"NÃO")</f>
        <v>0.96</v>
      </c>
      <c r="AI16" s="161" cm="1">
        <f t="array" ref="AI16">IFERROR(LOOKUP(2,1/(Atualizações!$H$1:$H$1029=Mapa!$B51&amp;Mapa!CB$3),Atualizações!$E$1:$E$1029),"NÃO")</f>
        <v>0.98</v>
      </c>
      <c r="AJ16" s="161" cm="1">
        <f t="array" ref="AJ16">IFERROR(LOOKUP(2,1/(Atualizações!$H$1:$H$1029=Mapa!$B51&amp;Mapa!CC$3),Atualizações!$E$1:$E$1029),"NÃO")</f>
        <v>0.98</v>
      </c>
      <c r="AK16" s="161" cm="1">
        <f t="array" ref="AK16">IFERROR(LOOKUP(2,1/(Atualizações!$H$1:$H$1029=Mapa!$B51&amp;Mapa!CD$3),Atualizações!$E$1:$E$1029),"NÃO")</f>
        <v>0.81</v>
      </c>
      <c r="AL16" s="161" cm="1">
        <f t="array" ref="AL16">IFERROR(LOOKUP(2,1/(Atualizações!$H$1:$H$1265=Mapa!$B51&amp;Mapa!CE$3),Atualizações!$E$1:$E$2994),"NÃO")</f>
        <v>0.83</v>
      </c>
      <c r="AM16" s="161" t="str" cm="1">
        <f t="array" ref="AM16">IFERROR(LOOKUP(2,1/(Atualizações!$H$1:$H$2994=Tb_Mapa[[#This Row],[SEI]]&amp;Mapa!CF$3),Atualizações!$E$1:$E$2994),"NÃO")</f>
        <v>NÃO</v>
      </c>
      <c r="AN16" s="161" t="str" cm="1">
        <f t="array" ref="AN16">IFERROR(LOOKUP(2,1/(Atualizações!$H$1:$H$2994=Tb_Mapa[[#This Row],[SEI]]&amp;Mapa!CG$3),Atualizações!$E$1:$E$2994),"NÃO")</f>
        <v>NÃO</v>
      </c>
      <c r="AO16" s="161" t="str" cm="1">
        <f t="array" ref="AO16">IFERROR(LOOKUP(2,1/(Atualizações!$H$1:$H$2994=Tb_Mapa[[#This Row],[SEI]]&amp;Mapa!CH$3),Atualizações!$E$1:$E$2994),"NÃO")</f>
        <v>NÃO</v>
      </c>
      <c r="AP16" s="161" t="str" cm="1">
        <f t="array" ref="AP16">IFERROR(LOOKUP(2,1/(Atualizações!$H$1:$H$2994=Tb_Mapa[[#This Row],[SEI]]&amp;Mapa!CI$3),Atualizações!$E$1:$E$2994),"NÃO")</f>
        <v>NÃO</v>
      </c>
      <c r="AQ16" s="161" t="str" cm="1">
        <f t="array" ref="AQ16">IFERROR(LOOKUP(2,1/(Atualizações!$H$1:$H$2994=Tb_Mapa[[#This Row],[SEI]]&amp;Mapa!CJ$3),Atualizações!$E$1:$E$2994),"NÃO")</f>
        <v>NÃO</v>
      </c>
      <c r="AR16" s="161" t="str" cm="1">
        <f t="array" ref="AR16">IFERROR(LOOKUP(2,1/(Atualizações!$H$1:$H$2994=Tb_Mapa[[#This Row],[SEI]]&amp;Mapa!CK$3),Atualizações!$E$1:$E$2994),"NÃO")</f>
        <v>NÃO</v>
      </c>
      <c r="AS16" s="161" t="str" cm="1">
        <f t="array" ref="AS16">IFERROR(LOOKUP(2,1/(Atualizações!$H$1:$H$2994=Tb_Mapa[[#This Row],[SEI]]&amp;Mapa!CL$3),Atualizações!$E$1:$E$2994),"NÃO")</f>
        <v>NÃO</v>
      </c>
      <c r="AT16" s="161" t="str" cm="1">
        <f t="array" ref="AT16">IFERROR(LOOKUP(2,1/(Atualizações!$H$1:$H$2994=Tb_Mapa[[#This Row],[SEI]]&amp;Mapa!CM$3),Atualizações!$E$1:$E$2994),"NÃO")</f>
        <v>NÃO</v>
      </c>
      <c r="AU16" s="161" t="str" cm="1">
        <f t="array" ref="AU16">IFERROR(LOOKUP(2,1/(Atualizações!$H$1:$H$2994=Tb_Mapa[[#This Row],[SEI]]&amp;Mapa!CN$3),Atualizações!$E$1:$E$2994),"NÃO")</f>
        <v>NÃO</v>
      </c>
      <c r="AV16" s="161" t="str" cm="1">
        <f t="array" ref="AV16">IFERROR(LOOKUP(2,1/(Atualizações!$H$1:$H$2994=Tb_Mapa[[#This Row],[SEI]]&amp;Mapa!CO$3),Atualizações!$E$1:$E$2994),"NÃO")</f>
        <v>NÃO</v>
      </c>
      <c r="AW16" s="161" t="str" cm="1">
        <f t="array" ref="AW16">IFERROR(LOOKUP(2,1/(Atualizações!$H$1:$H$2994=Tb_Mapa[[#This Row],[SEI]]&amp;Mapa!CP$3),Atualizações!$E$1:$E$2994),"NÃO")</f>
        <v>NÃO</v>
      </c>
      <c r="AX16" s="161" t="str" cm="1">
        <f t="array" ref="AX16">IFERROR(LOOKUP(2,1/(Atualizações!$H$1:$H$2994=Tb_Mapa[[#This Row],[SEI]]&amp;Mapa!CQ$3),Atualizações!$E$1:$E$2994),"NÃO")</f>
        <v>NÃO</v>
      </c>
    </row>
    <row r="17" spans="2:50" ht="32.25" customHeight="1">
      <c r="B17" s="676" t="s">
        <v>652</v>
      </c>
      <c r="C17" s="676" t="str">
        <f>_xlfn.XLOOKUP(Tb_Mapa[[#This Row],[SEI]],Tb_Portfólio[SEI],Tb_Portfólio[Portfólio 2025],"",0)</f>
        <v>Sim</v>
      </c>
      <c r="D17" s="158" t="str">
        <f>_xlfn.XLOOKUP(Tb_Mapa[[#This Row],[SEI]],Tb_Portfólio[SEI],Tb_Portfólio[Portfólio 2026],"",0)</f>
        <v>Sim</v>
      </c>
      <c r="E17" s="162" t="str">
        <f>_xlfn.XLOOKUP(Tb_Mapa[[#This Row],[SEI]],Tb_Portfólio[SEI],Tb_Portfólio[PROJETO],"",0)</f>
        <v>Projeto Piloto – Rede de Apoio para Avaliação Externa, com base no IA-CM</v>
      </c>
      <c r="F17" s="143" t="str">
        <f>INDEX(Projetos!$G$3:$G$129,MATCH(Tb_Mapa[[#This Row],[SEI]],Projetos!$A$3:$A$129,0))</f>
        <v xml:space="preserve">Amanda Côrtes Gomes </v>
      </c>
      <c r="G17" s="160" t="s">
        <v>1717</v>
      </c>
      <c r="H17" s="166">
        <f>INDEX(Projetos!$T$3:$T$129,MATCH(B17,Projetos!$A$3:$A$129,0))</f>
        <v>0</v>
      </c>
      <c r="I17" s="310">
        <f>INDEX(Projetos!$M$3:$M$129,MATCH(Tb_Mapa[[#This Row],[SEI]],Projetos!$A$3:$A$129,0))</f>
        <v>46265</v>
      </c>
      <c r="J17" s="164" t="str">
        <f ca="1">IF(Tb_Mapa[[#This Row],[SITUAÇÃO]]="Finalizado", "Data atualizada", IFERROR(IF(Tb_Mapa[[#This Row],[DATA DE TÉRMINO]]&lt;$I$1,"Atualizar data de encerramento","Data atualizada"),"Sem informação"))</f>
        <v>Data atualizada</v>
      </c>
      <c r="K17" s="311">
        <f>INDEX(Projetos!$N$3:$N$129,MATCH(Tb_Mapa[[#This Row],[SEI]],Projetos!$A$3:$A$129,0))</f>
        <v>0.81</v>
      </c>
      <c r="L17" s="311">
        <f>INDEX(Projetos!$O$3:$O$129,MATCH(Tb_Mapa[[#This Row],[SEI]],Projetos!$A$3:$A$129,0))</f>
        <v>0.81</v>
      </c>
      <c r="M17" s="165" t="str">
        <f ca="1">_xlfn.XLOOKUP(Tb_Mapa[[#This Row],[SEI]],Tb_Portfólio[SEI],Tb_Portfólio[Situação],"N/A",0)</f>
        <v>No prazo</v>
      </c>
      <c r="N17" s="161" t="str" cm="1">
        <f t="array" ref="N17">IFERROR(LOOKUP(2,1/(Atualizações!$H$1:$H$486=Mapa!$B106&amp;Mapa!BG$3),Atualizações!$E$1:$E$486),"NÃO")</f>
        <v>NÃO</v>
      </c>
      <c r="O17" s="161"/>
      <c r="P17" s="161"/>
      <c r="Q17" s="161"/>
      <c r="R17" s="161"/>
      <c r="S17" s="161"/>
      <c r="T17" s="161"/>
      <c r="U17" s="161"/>
      <c r="V17" s="161"/>
      <c r="W17" s="161"/>
      <c r="X17" s="161"/>
      <c r="Y17" s="161"/>
      <c r="Z17" s="161"/>
      <c r="AA17" s="691"/>
      <c r="AB17" s="691"/>
      <c r="AC17" s="691"/>
      <c r="AD17" s="691"/>
      <c r="AE17" s="161" t="str" cm="1">
        <f t="array" ref="AE17">IFERROR(LOOKUP(2,1/(Atualizações!$H$1:$H$1029=Mapa!$B106&amp;Mapa!BX$3),Atualizações!$E$1:$E$1029),"NÃO")</f>
        <v>NÃO</v>
      </c>
      <c r="AF17" s="161" t="str" cm="1">
        <f t="array" ref="AF17">IFERROR(LOOKUP(2,1/(Atualizações!$H$1:$H$1029=Mapa!$B106&amp;Mapa!BY$3),Atualizações!$E$1:$E$1029),"NÃO")</f>
        <v>NÃO</v>
      </c>
      <c r="AG17" s="161" t="str" cm="1">
        <f t="array" ref="AG17">IFERROR(LOOKUP(2,1/(Atualizações!$H$1:$H$1029=Mapa!$B106&amp;Mapa!BZ$3),Atualizações!$E$1:$E$1029),"NÃO")</f>
        <v>NÃO</v>
      </c>
      <c r="AH17" s="161" cm="1">
        <f t="array" ref="AH17">IFERROR(LOOKUP(2,1/(Atualizações!$H$1:$H$1029=Mapa!$B106&amp;Mapa!CA$3),Atualizações!$E$1:$E$1029),"NÃO")</f>
        <v>0.51</v>
      </c>
      <c r="AI17" s="161" cm="1">
        <f t="array" ref="AI17">IFERROR(LOOKUP(2,1/(Atualizações!$H$1:$H$1029=Mapa!$B106&amp;Mapa!CB$3),Atualizações!$E$1:$E$1029),"NÃO")</f>
        <v>0.56000000000000005</v>
      </c>
      <c r="AJ17" s="161" cm="1">
        <f t="array" ref="AJ17">IFERROR(LOOKUP(2,1/(Atualizações!$H$1:$H$1029=Mapa!$B106&amp;Mapa!CC$3),Atualizações!$E$1:$E$1029),"NÃO")</f>
        <v>0.62</v>
      </c>
      <c r="AK17" s="161" cm="1">
        <f t="array" ref="AK17">IFERROR(LOOKUP(2,1/(Atualizações!$H$1:$H$1029=Mapa!$B106&amp;Mapa!CD$3),Atualizações!$E$1:$E$1029),"NÃO")</f>
        <v>0.43</v>
      </c>
      <c r="AL17" s="161" cm="1">
        <f t="array" ref="AL17">IFERROR(LOOKUP(2,1/(Atualizações!$H$1:$H$1265=Mapa!$B106&amp;Mapa!CE$3),Atualizações!$E$1:$E$2994),"NÃO")</f>
        <v>0.46</v>
      </c>
      <c r="AM17" s="161" t="str" cm="1">
        <f t="array" ref="AM17">IFERROR(LOOKUP(2,1/(Atualizações!$H$1:$H$2994=Tb_Mapa[[#This Row],[SEI]]&amp;Mapa!CF$3),Atualizações!$E$1:$E$2994),"NÃO")</f>
        <v>NÃO</v>
      </c>
      <c r="AN17" s="161" t="str" cm="1">
        <f t="array" ref="AN17">IFERROR(LOOKUP(2,1/(Atualizações!$H$1:$H$2994=Tb_Mapa[[#This Row],[SEI]]&amp;Mapa!CG$3),Atualizações!$E$1:$E$2994),"NÃO")</f>
        <v>NÃO</v>
      </c>
      <c r="AO17" s="161" t="str" cm="1">
        <f t="array" ref="AO17">IFERROR(LOOKUP(2,1/(Atualizações!$H$1:$H$2994=Tb_Mapa[[#This Row],[SEI]]&amp;Mapa!CH$3),Atualizações!$E$1:$E$2994),"NÃO")</f>
        <v>NÃO</v>
      </c>
      <c r="AP17" s="161" cm="1">
        <f t="array" ref="AP17">IFERROR(LOOKUP(2,1/(Atualizações!$H$1:$H$2994=Tb_Mapa[[#This Row],[SEI]]&amp;Mapa!CI$3),Atualizações!$E$1:$E$2994),"NÃO")</f>
        <v>0.81</v>
      </c>
      <c r="AQ17" s="161" t="str" cm="1">
        <f t="array" ref="AQ17">IFERROR(LOOKUP(2,1/(Atualizações!$H$1:$H$2994=Tb_Mapa[[#This Row],[SEI]]&amp;Mapa!CJ$3),Atualizações!$E$1:$E$2994),"NÃO")</f>
        <v>NÃO</v>
      </c>
      <c r="AR17" s="161" t="str" cm="1">
        <f t="array" ref="AR17">IFERROR(LOOKUP(2,1/(Atualizações!$H$1:$H$2994=Tb_Mapa[[#This Row],[SEI]]&amp;Mapa!CK$3),Atualizações!$E$1:$E$2994),"NÃO")</f>
        <v>NÃO</v>
      </c>
      <c r="AS17" s="161" t="str" cm="1">
        <f t="array" ref="AS17">IFERROR(LOOKUP(2,1/(Atualizações!$H$1:$H$2994=Tb_Mapa[[#This Row],[SEI]]&amp;Mapa!CL$3),Atualizações!$E$1:$E$2994),"NÃO")</f>
        <v>NÃO</v>
      </c>
      <c r="AT17" s="161" t="str" cm="1">
        <f t="array" ref="AT17">IFERROR(LOOKUP(2,1/(Atualizações!$H$1:$H$2994=Tb_Mapa[[#This Row],[SEI]]&amp;Mapa!CM$3),Atualizações!$E$1:$E$2994),"NÃO")</f>
        <v>NÃO</v>
      </c>
      <c r="AU17" s="161" t="str" cm="1">
        <f t="array" ref="AU17">IFERROR(LOOKUP(2,1/(Atualizações!$H$1:$H$2994=Tb_Mapa[[#This Row],[SEI]]&amp;Mapa!CN$3),Atualizações!$E$1:$E$2994),"NÃO")</f>
        <v>NÃO</v>
      </c>
      <c r="AV17" s="161" t="str" cm="1">
        <f t="array" ref="AV17">IFERROR(LOOKUP(2,1/(Atualizações!$H$1:$H$2994=Tb_Mapa[[#This Row],[SEI]]&amp;Mapa!CO$3),Atualizações!$E$1:$E$2994),"NÃO")</f>
        <v>NÃO</v>
      </c>
      <c r="AW17" s="161" t="str" cm="1">
        <f t="array" ref="AW17">IFERROR(LOOKUP(2,1/(Atualizações!$H$1:$H$2994=Tb_Mapa[[#This Row],[SEI]]&amp;Mapa!CP$3),Atualizações!$E$1:$E$2994),"NÃO")</f>
        <v>NÃO</v>
      </c>
      <c r="AX17" s="161" t="str" cm="1">
        <f t="array" ref="AX17">IFERROR(LOOKUP(2,1/(Atualizações!$H$1:$H$2994=Tb_Mapa[[#This Row],[SEI]]&amp;Mapa!CQ$3),Atualizações!$E$1:$E$2994),"NÃO")</f>
        <v>NÃO</v>
      </c>
    </row>
    <row r="18" spans="2:50" ht="32.25" hidden="1" customHeight="1">
      <c r="B18" s="403" t="s">
        <v>559</v>
      </c>
      <c r="C18" s="158" t="str">
        <f>_xlfn.XLOOKUP(Tb_Mapa[[#This Row],[SEI]],Tb_Portfólio[SEI],Tb_Portfólio[Portfólio 2025],"",0)</f>
        <v>Sim</v>
      </c>
      <c r="D18" s="158" t="str">
        <f>_xlfn.XLOOKUP(Tb_Mapa[[#This Row],[SEI]],Tb_Portfólio[SEI],Tb_Portfólio[Portfólio 2026],"",0)</f>
        <v>Sim</v>
      </c>
      <c r="E18" s="510" t="str">
        <f>_xlfn.XLOOKUP(Tb_Mapa[[#This Row],[SEI]],Tb_Portfólio[SEI],Tb_Portfólio[PROJETO],"",0)</f>
        <v>Fonajus itinerante</v>
      </c>
      <c r="F18" s="143" t="str">
        <f>INDEX(Projetos!$G$3:$G$129,MATCH(Tb_Mapa[[#This Row],[SEI]],Projetos!$A$3:$A$129,0))</f>
        <v>Camila da Silva Barreiro</v>
      </c>
      <c r="G18" s="172" t="s">
        <v>1711</v>
      </c>
      <c r="H18" s="166">
        <f>INDEX(Projetos!$T$3:$T$129,MATCH(B18,Projetos!$A$3:$A$129,0))</f>
        <v>0</v>
      </c>
      <c r="I18" s="310" t="str">
        <f>INDEX(Projetos!$M$3:$M$129,MATCH(Tb_Mapa[[#This Row],[SEI]],Projetos!$A$3:$A$129,0))</f>
        <v>30/4/2026</v>
      </c>
      <c r="J18" s="164" t="str">
        <f ca="1">IF(Tb_Mapa[[#This Row],[SITUAÇÃO]]="Finalizado", "Data atualizada", IFERROR(IF(Tb_Mapa[[#This Row],[DATA DE TÉRMINO]]&lt;$I$1,"Atualizar data de encerramento","Data atualizada"),"Sem informação"))</f>
        <v>Data atualizada</v>
      </c>
      <c r="K18" s="311">
        <f>INDEX(Projetos!$N$3:$N$129,MATCH(Tb_Mapa[[#This Row],[SEI]],Projetos!$A$3:$A$129,0))</f>
        <v>0.53</v>
      </c>
      <c r="L18" s="311">
        <f>INDEX(Projetos!$O$3:$O$129,MATCH(Tb_Mapa[[#This Row],[SEI]],Projetos!$A$3:$A$129,0))</f>
        <v>0.65</v>
      </c>
      <c r="M18" s="165" t="str">
        <f ca="1">_xlfn.XLOOKUP(Tb_Mapa[[#This Row],[SEI]],Tb_Portfólio[SEI],Tb_Portfólio[Situação],"N/A",0)</f>
        <v>No prazo</v>
      </c>
      <c r="N18" s="161" t="str" cm="1">
        <f t="array" ref="N18">IFERROR(LOOKUP(2,1/(Atualizações!$H$1:$H$486=Mapa!$B41&amp;Mapa!BG$3),Atualizações!$E$1:$E$486),"NÃO")</f>
        <v>NÃO</v>
      </c>
      <c r="O18" s="161" t="str" cm="1">
        <f t="array" ref="O18">IFERROR(LOOKUP(2,1/(Atualizações!$H$1:$H$580=Mapa!$B41&amp;Mapa!BH$3),Atualizações!$E$1:$E$580),"NÃO")</f>
        <v>NÃO</v>
      </c>
      <c r="P18" s="161" t="str" cm="1">
        <f t="array" ref="P18">IFERROR(LOOKUP(2,1/(Atualizações!$H$1:$H$580=Mapa!$B41&amp;Mapa!BI$3),Atualizações!$E$1:$E$580),"NÃO")</f>
        <v>NÃO</v>
      </c>
      <c r="Q18" s="161" t="str" cm="1">
        <f t="array" ref="Q18">IFERROR(LOOKUP(2,1/(Atualizações!$H$1:$H$580=Mapa!$B41&amp;Mapa!BJ$3),Atualizações!$E$1:$E$580),"NÃO")</f>
        <v>NÃO</v>
      </c>
      <c r="R18" s="161" t="str" cm="1">
        <f t="array" ref="R18">IFERROR(LOOKUP(2,1/(Atualizações!$H$1:$H$580=Mapa!$B41&amp;Mapa!BK$3),Atualizações!$E$1:$E$580),"NÃO")</f>
        <v>NÃO</v>
      </c>
      <c r="S18" s="161" t="str" cm="1">
        <f t="array" ref="S18">IFERROR(LOOKUP(2,1/(Atualizações!$H$1:$H$580=Mapa!$B41&amp;Mapa!BL$3),Atualizações!$E$1:$E$580),"NÃO")</f>
        <v>NÃO</v>
      </c>
      <c r="T18" s="161" t="str" cm="1">
        <f t="array" ref="T18">IFERROR(LOOKUP(2,1/(Atualizações!$H$1:$H$580=Mapa!$B41&amp;Mapa!BM$3),Atualizações!$E$1:$E$580),"NÃO")</f>
        <v>NÃO</v>
      </c>
      <c r="U18" s="161" t="str" cm="1">
        <f t="array" ref="U18">IFERROR(LOOKUP(2,1/(Atualizações!$H$1:$H$580=Mapa!$B41&amp;Mapa!BN$3),Atualizações!$E$1:$E$580),"NÃO")</f>
        <v>NÃO</v>
      </c>
      <c r="V18" s="161" t="str" cm="1">
        <f t="array" ref="V18">IFERROR(LOOKUP(2,1/(Atualizações!$H$1:$H$580=Mapa!$B41&amp;Mapa!BO$3),Atualizações!$E$1:$E$580),"NÃO")</f>
        <v>NÃO</v>
      </c>
      <c r="W18" s="161" t="str" cm="1">
        <f t="array" ref="W18">IFERROR(LOOKUP(2,1/(Atualizações!$H$1:$H$580=Mapa!$B41&amp;Mapa!BP$3),Atualizações!$E$1:$E$580),"NÃO")</f>
        <v>NÃO</v>
      </c>
      <c r="X18" s="161" t="str" cm="1">
        <f t="array" ref="X18">IFERROR(LOOKUP(2,1/(Atualizações!$H$1:$H$580=Mapa!$B41&amp;Mapa!BQ$3),Atualizações!$E$1:$E$580),"NÃO")</f>
        <v>NÃO</v>
      </c>
      <c r="Y18" s="161" t="str" cm="1">
        <f t="array" ref="Y18">IFERROR(LOOKUP(2,1/(Atualizações!$H$1:$H$580=Mapa!$B41&amp;Mapa!BR$3),Atualizações!$E$1:$E$580),"NÃO")</f>
        <v>NÃO</v>
      </c>
      <c r="Z18" s="161" cm="1">
        <f t="array" ref="Z18">IFERROR(LOOKUP(2,1/(Atualizações!$H$1:$H$1029=Mapa!$B41&amp;Mapa!BS$3),Atualizações!$E$1:$E$1029),"NÃO")</f>
        <v>1</v>
      </c>
      <c r="AA18" s="161" t="str" cm="1">
        <f t="array" ref="AA18">IFERROR(LOOKUP(2,1/(Atualizações!$H$1:$H$1029=Mapa!$B41&amp;Mapa!BT$3),Atualizações!$E$1:$E$1029),"NÃO")</f>
        <v>NÃO</v>
      </c>
      <c r="AB18" s="161" t="str" cm="1">
        <f t="array" ref="AB18">IFERROR(LOOKUP(2,1/(Atualizações!$H$1:$H$1029=Mapa!$B41&amp;Mapa!BU$3),Atualizações!$E$1:$E$1029),"NÃO")</f>
        <v>NÃO</v>
      </c>
      <c r="AC18" s="161" t="str" cm="1">
        <f t="array" ref="AC18">IFERROR(LOOKUP(2,1/(Atualizações!$H$1:$H$1029=Mapa!$B41&amp;Mapa!BV$3),Atualizações!$E$1:$E$1029),"NÃO")</f>
        <v>NÃO</v>
      </c>
      <c r="AD18" s="161" t="str" cm="1">
        <f t="array" ref="AD18">IFERROR(LOOKUP(2,1/(Atualizações!$H$1:$H$1029=Mapa!$B41&amp;Mapa!BW$3),Atualizações!$E$1:$E$1029),"NÃO")</f>
        <v>NÃO</v>
      </c>
      <c r="AE18" s="161" t="str" cm="1">
        <f t="array" ref="AE18">IFERROR(LOOKUP(2,1/(Atualizações!$H$1:$H$1029=Mapa!$B41&amp;Mapa!BX$3),Atualizações!$E$1:$E$1029),"NÃO")</f>
        <v>NÃO</v>
      </c>
      <c r="AF18" s="161" t="str" cm="1">
        <f t="array" ref="AF18">IFERROR(LOOKUP(2,1/(Atualizações!$H$1:$H$1029=Mapa!$B41&amp;Mapa!BY$3),Atualizações!$E$1:$E$1029),"NÃO")</f>
        <v>NÃO</v>
      </c>
      <c r="AG18" s="161" t="str" cm="1">
        <f t="array" ref="AG18">IFERROR(LOOKUP(2,1/(Atualizações!$H$1:$H$1029=Mapa!$B41&amp;Mapa!BZ$3),Atualizações!$E$1:$E$1029),"NÃO")</f>
        <v>NÃO</v>
      </c>
      <c r="AH18" s="161" t="str" cm="1">
        <f t="array" ref="AH18">IFERROR(LOOKUP(2,1/(Atualizações!$H$1:$H$1029=Mapa!$B41&amp;Mapa!CA$3),Atualizações!$E$1:$E$1029),"NÃO")</f>
        <v>NÃO</v>
      </c>
      <c r="AI18" s="161" t="str" cm="1">
        <f t="array" ref="AI18">IFERROR(LOOKUP(2,1/(Atualizações!$H$1:$H$1029=Mapa!$B41&amp;Mapa!CB$3),Atualizações!$E$1:$E$1029),"NÃO")</f>
        <v>NÃO</v>
      </c>
      <c r="AJ18" s="161" t="str" cm="1">
        <f t="array" ref="AJ18">IFERROR(LOOKUP(2,1/(Atualizações!$H$1:$H$1029=Mapa!$B41&amp;Mapa!CC$3),Atualizações!$E$1:$E$1029),"NÃO")</f>
        <v>NÃO</v>
      </c>
      <c r="AK18" s="161" t="str" cm="1">
        <f t="array" ref="AK18">IFERROR(LOOKUP(2,1/(Atualizações!$H$1:$H$1029=Mapa!$B41&amp;Mapa!CD$3),Atualizações!$E$1:$E$1029),"NÃO")</f>
        <v>NÃO</v>
      </c>
      <c r="AL18" s="161" t="str" cm="1">
        <f t="array" ref="AL18">IFERROR(LOOKUP(2,1/(Atualizações!$H$1:$H$1265=Mapa!$B41&amp;Mapa!CE$3),Atualizações!$E$1:$E$2994),"NÃO")</f>
        <v>NÃO</v>
      </c>
      <c r="AM18" s="161" t="str" cm="1">
        <f t="array" ref="AM18">IFERROR(LOOKUP(2,1/(Atualizações!$H$1:$H$2994=Tb_Mapa[[#This Row],[SEI]]&amp;Mapa!CF$3),Atualizações!$E$1:$E$2994),"NÃO")</f>
        <v>NÃO</v>
      </c>
      <c r="AN18" s="161" t="str" cm="1">
        <f t="array" ref="AN18">IFERROR(LOOKUP(2,1/(Atualizações!$H$1:$H$2994=Tb_Mapa[[#This Row],[SEI]]&amp;Mapa!CG$3),Atualizações!$E$1:$E$2994),"NÃO")</f>
        <v>NÃO</v>
      </c>
      <c r="AO18" s="161" t="str" cm="1">
        <f t="array" ref="AO18">IFERROR(LOOKUP(2,1/(Atualizações!$H$1:$H$2994=Tb_Mapa[[#This Row],[SEI]]&amp;Mapa!CH$3),Atualizações!$E$1:$E$2994),"NÃO")</f>
        <v>NÃO</v>
      </c>
      <c r="AP18" s="161" cm="1">
        <f t="array" ref="AP18">IFERROR(LOOKUP(2,1/(Atualizações!$H$1:$H$2994=Tb_Mapa[[#This Row],[SEI]]&amp;Mapa!CI$3),Atualizações!$E$1:$E$2994),"NÃO")</f>
        <v>0.65</v>
      </c>
      <c r="AQ18" s="161" t="str" cm="1">
        <f t="array" ref="AQ18">IFERROR(LOOKUP(2,1/(Atualizações!$H$1:$H$2994=Tb_Mapa[[#This Row],[SEI]]&amp;Mapa!CJ$3),Atualizações!$E$1:$E$2994),"NÃO")</f>
        <v>NÃO</v>
      </c>
      <c r="AR18" s="161" t="str" cm="1">
        <f t="array" ref="AR18">IFERROR(LOOKUP(2,1/(Atualizações!$H$1:$H$2994=Tb_Mapa[[#This Row],[SEI]]&amp;Mapa!CK$3),Atualizações!$E$1:$E$2994),"NÃO")</f>
        <v>NÃO</v>
      </c>
      <c r="AS18" s="161" t="str" cm="1">
        <f t="array" ref="AS18">IFERROR(LOOKUP(2,1/(Atualizações!$H$1:$H$2994=Tb_Mapa[[#This Row],[SEI]]&amp;Mapa!CL$3),Atualizações!$E$1:$E$2994),"NÃO")</f>
        <v>NÃO</v>
      </c>
      <c r="AT18" s="161" t="str" cm="1">
        <f t="array" ref="AT18">IFERROR(LOOKUP(2,1/(Atualizações!$H$1:$H$2994=Tb_Mapa[[#This Row],[SEI]]&amp;Mapa!CM$3),Atualizações!$E$1:$E$2994),"NÃO")</f>
        <v>NÃO</v>
      </c>
      <c r="AU18" s="161" t="str" cm="1">
        <f t="array" ref="AU18">IFERROR(LOOKUP(2,1/(Atualizações!$H$1:$H$2994=Tb_Mapa[[#This Row],[SEI]]&amp;Mapa!CN$3),Atualizações!$E$1:$E$2994),"NÃO")</f>
        <v>NÃO</v>
      </c>
      <c r="AV18" s="161" t="str" cm="1">
        <f t="array" ref="AV18">IFERROR(LOOKUP(2,1/(Atualizações!$H$1:$H$2994=Tb_Mapa[[#This Row],[SEI]]&amp;Mapa!CO$3),Atualizações!$E$1:$E$2994),"NÃO")</f>
        <v>NÃO</v>
      </c>
      <c r="AW18" s="161" t="str" cm="1">
        <f t="array" ref="AW18">IFERROR(LOOKUP(2,1/(Atualizações!$H$1:$H$2994=Tb_Mapa[[#This Row],[SEI]]&amp;Mapa!CP$3),Atualizações!$E$1:$E$2994),"NÃO")</f>
        <v>NÃO</v>
      </c>
      <c r="AX18" s="161" t="str" cm="1">
        <f t="array" ref="AX18">IFERROR(LOOKUP(2,1/(Atualizações!$H$1:$H$2994=Tb_Mapa[[#This Row],[SEI]]&amp;Mapa!CQ$3),Atualizações!$E$1:$E$2994),"NÃO")</f>
        <v>NÃO</v>
      </c>
    </row>
    <row r="19" spans="2:50" ht="32.25" hidden="1" customHeight="1">
      <c r="B19" s="676" t="s">
        <v>913</v>
      </c>
      <c r="C19" s="676" t="str">
        <f>_xlfn.XLOOKUP(Tb_Mapa[[#This Row],[SEI]],Tb_Portfólio[SEI],Tb_Portfólio[Portfólio 2025],"",0)</f>
        <v>Não</v>
      </c>
      <c r="D19" s="158" t="str">
        <f>_xlfn.XLOOKUP(Tb_Mapa[[#This Row],[SEI]],Tb_Portfólio[SEI],Tb_Portfólio[Portfólio 2026],"",0)</f>
        <v>Não</v>
      </c>
      <c r="E19" s="162" t="str">
        <f>_xlfn.XLOOKUP(Tb_Mapa[[#This Row],[SEI]],Tb_Portfólio[SEI],Tb_Portfólio[PROJETO],"",0)</f>
        <v>Comitê de Políticas Penais (sistema penal)</v>
      </c>
      <c r="F19" s="143" t="str">
        <f>INDEX(Projetos!$G$3:$G$129,MATCH(B19,Projetos!$A$3:$A$129,0))</f>
        <v>Valdirene Daufemback</v>
      </c>
      <c r="G19" s="160" t="s">
        <v>1712</v>
      </c>
      <c r="H19" s="166" t="str">
        <f>INDEX(Projetos!$T$3:$T$129,MATCH(B19,Projetos!$A$3:$A$129,0))</f>
        <v>Fazendo Justiça</v>
      </c>
      <c r="I19" s="310">
        <f>INDEX(Projetos!$M$3:$M$129,MATCH(Mapa!B70,Projetos!$A$3:$A$129,0))</f>
        <v>45487</v>
      </c>
      <c r="J19" s="164" t="str">
        <f>IF(Tb_Mapa[[#This Row],[SITUAÇÃO]]="Finalizado", "Data atualizada", IFERROR(IF(I19&lt;$CN$3,"Atualizar data de encerramento","Data atualizada"),"Sem informação"))</f>
        <v>Data atualizada</v>
      </c>
      <c r="K19" s="311">
        <f>INDEX(Projetos!$N$3:$N$129,MATCH(Tb_Mapa[[#This Row],[SEI]],Projetos!$A$3:$A$129,0))</f>
        <v>1</v>
      </c>
      <c r="L19" s="311">
        <f>INDEX(Projetos!$O$3:$O$129,MATCH(Tb_Mapa[[#This Row],[SEI]],Projetos!$A$3:$A$129,0))</f>
        <v>1</v>
      </c>
      <c r="M19" s="165" t="str">
        <f>_xlfn.XLOOKUP(Tb_Mapa[[#This Row],[SEI]],Tb_Portfólio[SEI],Tb_Portfólio[Situação],"N/A",0)</f>
        <v>Finalizado</v>
      </c>
      <c r="N19" s="161" t="str" cm="1">
        <f t="array" ref="N19">IFERROR(LOOKUP(2,1/(Atualizações!$H$1:$H$486=Mapa!$B70&amp;Mapa!BG$3),Atualizações!$E$1:$E$486),"NÃO")</f>
        <v>NÃO</v>
      </c>
      <c r="O19" s="161"/>
      <c r="P19" s="161"/>
      <c r="Q19" s="161"/>
      <c r="R19" s="161"/>
      <c r="S19" s="161"/>
      <c r="T19" s="161"/>
      <c r="U19" s="161"/>
      <c r="V19" s="161"/>
      <c r="W19" s="161"/>
      <c r="X19" s="161"/>
      <c r="Y19" s="161"/>
      <c r="Z19" s="161" t="str" cm="1">
        <f t="array" ref="Z19">IFERROR(LOOKUP(2,1/(Atualizações!$H$1:$H$1029=Mapa!$B70&amp;Mapa!BS$3),Atualizações!$E$1:$E$1029),"NÃO")</f>
        <v>NÃO</v>
      </c>
      <c r="AA19" s="161" t="str" cm="1">
        <f t="array" ref="AA19">IFERROR(LOOKUP(2,1/(Atualizações!$H$1:$H$1029=Mapa!$B70&amp;Mapa!BT$3),Atualizações!$E$1:$E$1029),"NÃO")</f>
        <v>NÃO</v>
      </c>
      <c r="AB19" s="161" t="str" cm="1">
        <f t="array" ref="AB19">IFERROR(LOOKUP(2,1/(Atualizações!$H$1:$H$1029=Mapa!$B70&amp;Mapa!BU$3),Atualizações!$E$1:$E$1029),"NÃO")</f>
        <v>NÃO</v>
      </c>
      <c r="AC19" s="161" t="str" cm="1">
        <f t="array" ref="AC19">IFERROR(LOOKUP(2,1/(Atualizações!$H$1:$H$1029=Mapa!$B70&amp;Mapa!BV$3),Atualizações!$E$1:$E$1029),"NÃO")</f>
        <v>NÃO</v>
      </c>
      <c r="AD19" s="161" t="str" cm="1">
        <f t="array" ref="AD19">IFERROR(LOOKUP(2,1/(Atualizações!$H$1:$H$1029=Mapa!$B70&amp;Mapa!BW$3),Atualizações!$E$1:$E$1029),"NÃO")</f>
        <v>NÃO</v>
      </c>
      <c r="AE19" s="161" t="str" cm="1">
        <f t="array" ref="AE19">IFERROR(LOOKUP(2,1/(Atualizações!$H$1:$H$1029=Mapa!$B70&amp;Mapa!BX$3),Atualizações!$E$1:$E$1029),"NÃO")</f>
        <v>NÃO</v>
      </c>
      <c r="AF19" s="161" t="str" cm="1">
        <f t="array" ref="AF19">IFERROR(LOOKUP(2,1/(Atualizações!$H$1:$H$1029=Mapa!$B70&amp;Mapa!BY$3),Atualizações!$E$1:$E$1029),"NÃO")</f>
        <v>NÃO</v>
      </c>
      <c r="AG19" s="161" t="str" cm="1">
        <f t="array" ref="AG19">IFERROR(LOOKUP(2,1/(Atualizações!$H$1:$H$1029=Mapa!$B70&amp;Mapa!BZ$3),Atualizações!$E$1:$E$1029),"NÃO")</f>
        <v>NÃO</v>
      </c>
      <c r="AH19" s="161" t="str" cm="1">
        <f t="array" ref="AH19">IFERROR(LOOKUP(2,1/(Atualizações!$H$1:$H$1029=Mapa!$B70&amp;Mapa!CA$3),Atualizações!$E$1:$E$1029),"NÃO")</f>
        <v>NÃO</v>
      </c>
      <c r="AI19" s="161" t="str" cm="1">
        <f t="array" ref="AI19">IFERROR(LOOKUP(2,1/(Atualizações!$H$1:$H$1029=Mapa!$B70&amp;Mapa!CB$3),Atualizações!$E$1:$E$1029),"NÃO")</f>
        <v>NÃO</v>
      </c>
      <c r="AJ19" s="161" t="str" cm="1">
        <f t="array" ref="AJ19">IFERROR(LOOKUP(2,1/(Atualizações!$H$1:$H$1029=Mapa!$B70&amp;Mapa!CC$3),Atualizações!$E$1:$E$1029),"NÃO")</f>
        <v>NÃO</v>
      </c>
      <c r="AK19" s="161" t="str" cm="1">
        <f t="array" ref="AK19">IFERROR(LOOKUP(2,1/(Atualizações!$H$1:$H$1029=Mapa!$B70&amp;Mapa!CD$3),Atualizações!$E$1:$E$1029),"NÃO")</f>
        <v>NÃO</v>
      </c>
      <c r="AL19" s="161" t="str" cm="1">
        <f t="array" ref="AL19">IFERROR(LOOKUP(2,1/(Atualizações!$H$1:$H$1265=Mapa!$B70&amp;Mapa!CE$3),Atualizações!$E$1:$E$2994),"NÃO")</f>
        <v>NÃO</v>
      </c>
      <c r="AM19" s="161" t="str" cm="1">
        <f t="array" ref="AM19">IFERROR(LOOKUP(2,1/(Atualizações!$H$1:$H$2994=Tb_Mapa[[#This Row],[SEI]]&amp;Mapa!CF$3),Atualizações!$E$1:$E$2994),"NÃO")</f>
        <v>NÃO</v>
      </c>
      <c r="AN19" s="161" t="str" cm="1">
        <f t="array" ref="AN19">IFERROR(LOOKUP(2,1/(Atualizações!$H$1:$H$2994=Tb_Mapa[[#This Row],[SEI]]&amp;Mapa!CG$3),Atualizações!$E$1:$E$2994),"NÃO")</f>
        <v>NÃO</v>
      </c>
      <c r="AO19" s="161" t="str" cm="1">
        <f t="array" ref="AO19">IFERROR(LOOKUP(2,1/(Atualizações!$H$1:$H$2994=Tb_Mapa[[#This Row],[SEI]]&amp;Mapa!CH$3),Atualizações!$E$1:$E$2994),"NÃO")</f>
        <v>NÃO</v>
      </c>
      <c r="AP19" s="161" t="str" cm="1">
        <f t="array" ref="AP19">IFERROR(LOOKUP(2,1/(Atualizações!$H$1:$H$2994=Tb_Mapa[[#This Row],[SEI]]&amp;Mapa!CI$3),Atualizações!$E$1:$E$2994),"NÃO")</f>
        <v>NÃO</v>
      </c>
      <c r="AQ19" s="161" t="str" cm="1">
        <f t="array" ref="AQ19">IFERROR(LOOKUP(2,1/(Atualizações!$H$1:$H$2994=Tb_Mapa[[#This Row],[SEI]]&amp;Mapa!CJ$3),Atualizações!$E$1:$E$2994),"NÃO")</f>
        <v>NÃO</v>
      </c>
      <c r="AR19" s="161" t="str" cm="1">
        <f t="array" ref="AR19">IFERROR(LOOKUP(2,1/(Atualizações!$H$1:$H$2994=Tb_Mapa[[#This Row],[SEI]]&amp;Mapa!CK$3),Atualizações!$E$1:$E$2994),"NÃO")</f>
        <v>NÃO</v>
      </c>
      <c r="AS19" s="161" t="str" cm="1">
        <f t="array" ref="AS19">IFERROR(LOOKUP(2,1/(Atualizações!$H$1:$H$2994=Tb_Mapa[[#This Row],[SEI]]&amp;Mapa!CL$3),Atualizações!$E$1:$E$2994),"NÃO")</f>
        <v>NÃO</v>
      </c>
      <c r="AT19" s="161" t="str" cm="1">
        <f t="array" ref="AT19">IFERROR(LOOKUP(2,1/(Atualizações!$H$1:$H$2994=Tb_Mapa[[#This Row],[SEI]]&amp;Mapa!CM$3),Atualizações!$E$1:$E$2994),"NÃO")</f>
        <v>NÃO</v>
      </c>
      <c r="AU19" s="161" t="str" cm="1">
        <f t="array" ref="AU19">IFERROR(LOOKUP(2,1/(Atualizações!$H$1:$H$2994=Tb_Mapa[[#This Row],[SEI]]&amp;Mapa!CN$3),Atualizações!$E$1:$E$2994),"NÃO")</f>
        <v>NÃO</v>
      </c>
      <c r="AV19" s="161" t="str" cm="1">
        <f t="array" ref="AV19">IFERROR(LOOKUP(2,1/(Atualizações!$H$1:$H$2994=Tb_Mapa[[#This Row],[SEI]]&amp;Mapa!CO$3),Atualizações!$E$1:$E$2994),"NÃO")</f>
        <v>NÃO</v>
      </c>
      <c r="AW19" s="161" t="str" cm="1">
        <f t="array" ref="AW19">IFERROR(LOOKUP(2,1/(Atualizações!$H$1:$H$2994=Tb_Mapa[[#This Row],[SEI]]&amp;Mapa!CP$3),Atualizações!$E$1:$E$2994),"NÃO")</f>
        <v>NÃO</v>
      </c>
      <c r="AX19" s="161" t="str" cm="1">
        <f t="array" ref="AX19">IFERROR(LOOKUP(2,1/(Atualizações!$H$1:$H$2994=Tb_Mapa[[#This Row],[SEI]]&amp;Mapa!CQ$3),Atualizações!$E$1:$E$2994),"NÃO")</f>
        <v>NÃO</v>
      </c>
    </row>
    <row r="20" spans="2:50" ht="47.25" hidden="1" customHeight="1">
      <c r="B20" s="676" t="s">
        <v>909</v>
      </c>
      <c r="C20" s="676" t="str">
        <f>_xlfn.XLOOKUP(Tb_Mapa[[#This Row],[SEI]],Tb_Portfólio[SEI],Tb_Portfólio[Portfólio 2025],"",0)</f>
        <v>Não</v>
      </c>
      <c r="D20" s="158" t="str">
        <f>_xlfn.XLOOKUP(Tb_Mapa[[#This Row],[SEI]],Tb_Portfólio[SEI],Tb_Portfólio[Portfólio 2026],"",0)</f>
        <v>Não</v>
      </c>
      <c r="E20" s="162" t="str">
        <f>_xlfn.XLOOKUP(Tb_Mapa[[#This Row],[SEI]],Tb_Portfólio[SEI],Tb_Portfólio[PROJETO],"",0)</f>
        <v>Fortalecimento da Participação Social (sistema penal)</v>
      </c>
      <c r="F20" s="143" t="str">
        <f>INDEX(Projetos!$G$3:$G$129,MATCH(B20,Projetos!$A$3:$A$129,0))</f>
        <v>Valdirene Daufemback</v>
      </c>
      <c r="G20" s="160" t="s">
        <v>1712</v>
      </c>
      <c r="H20" s="166" t="str">
        <f>INDEX(Projetos!$T$3:$T$129,MATCH(B20,Projetos!$A$3:$A$129,0))</f>
        <v>Fazendo Justiça</v>
      </c>
      <c r="I20" s="310">
        <f>INDEX(Projetos!$M$3:$M$129,MATCH(Mapa!B69,Projetos!$A$3:$A$129,0))</f>
        <v>46387</v>
      </c>
      <c r="J20" s="164" t="str">
        <f>IF(Tb_Mapa[[#This Row],[SITUAÇÃO]]="Finalizado", "Data atualizada", IFERROR(IF(I20&lt;$CN$3,"Atualizar data de encerramento","Data atualizada"),"Sem informação"))</f>
        <v>Data atualizada</v>
      </c>
      <c r="K20" s="311">
        <f>INDEX(Projetos!$N$3:$N$129,MATCH(Tb_Mapa[[#This Row],[SEI]],Projetos!$A$3:$A$129,0))</f>
        <v>1</v>
      </c>
      <c r="L20" s="311">
        <f>INDEX(Projetos!$O$3:$O$129,MATCH(Tb_Mapa[[#This Row],[SEI]],Projetos!$A$3:$A$129,0))</f>
        <v>1</v>
      </c>
      <c r="M20" s="165" t="str">
        <f>_xlfn.XLOOKUP(Tb_Mapa[[#This Row],[SEI]],Tb_Portfólio[SEI],Tb_Portfólio[Situação],"N/A",0)</f>
        <v>Finalizado</v>
      </c>
      <c r="N20" s="161" t="str" cm="1">
        <f t="array" ref="N20">IFERROR(LOOKUP(2,1/(Atualizações!$H$1:$H$486=Mapa!$B69&amp;Mapa!BG$3),Atualizações!$E$1:$E$486),"NÃO")</f>
        <v>NÃO</v>
      </c>
      <c r="O20" s="161"/>
      <c r="P20" s="161"/>
      <c r="Q20" s="161"/>
      <c r="R20" s="161"/>
      <c r="S20" s="161"/>
      <c r="T20" s="161"/>
      <c r="U20" s="161"/>
      <c r="V20" s="161"/>
      <c r="W20" s="161"/>
      <c r="X20" s="161"/>
      <c r="Y20" s="161"/>
      <c r="Z20" s="161" cm="1">
        <f t="array" ref="Z20">IFERROR(LOOKUP(2,1/(Atualizações!$H$1:$H$1029=Mapa!$B69&amp;Mapa!BS$3),Atualizações!$E$1:$E$1029),"NÃO")</f>
        <v>0.51900000000000002</v>
      </c>
      <c r="AA20" s="161" cm="1">
        <f t="array" ref="AA20">IFERROR(LOOKUP(2,1/(Atualizações!$H$1:$H$1029=Mapa!$B69&amp;Mapa!BT$3),Atualizações!$E$1:$E$1029),"NÃO")</f>
        <v>0.56599999999999995</v>
      </c>
      <c r="AB20" s="161" cm="1">
        <f t="array" ref="AB20">IFERROR(LOOKUP(2,1/(Atualizações!$H$1:$H$1029=Mapa!$B69&amp;Mapa!BU$3),Atualizações!$E$1:$E$1029),"NÃO")</f>
        <v>0.57399999999999995</v>
      </c>
      <c r="AC20" s="161" cm="1">
        <f t="array" ref="AC20">IFERROR(LOOKUP(2,1/(Atualizações!$H$1:$H$1029=Mapa!$B69&amp;Mapa!BV$3),Atualizações!$E$1:$E$1029),"NÃO")</f>
        <v>0.62</v>
      </c>
      <c r="AD20" s="161" cm="1">
        <f t="array" ref="AD20">IFERROR(LOOKUP(2,1/(Atualizações!$H$1:$H$1029=Mapa!$B69&amp;Mapa!BW$3),Atualizações!$E$1:$E$1029),"NÃO")</f>
        <v>0.62</v>
      </c>
      <c r="AE20" s="161" cm="1">
        <f t="array" ref="AE20">IFERROR(LOOKUP(2,1/(Atualizações!$H$1:$H$1029=Mapa!$B69&amp;Mapa!BX$3),Atualizações!$E$1:$E$1029),"NÃO")</f>
        <v>0.62</v>
      </c>
      <c r="AF20" s="161" cm="1">
        <f t="array" ref="AF20">IFERROR(LOOKUP(2,1/(Atualizações!$H$1:$H$1029=Mapa!$B69&amp;Mapa!BY$3),Atualizações!$E$1:$E$1029),"NÃO")</f>
        <v>0.65900000000000003</v>
      </c>
      <c r="AG20" s="161" cm="1">
        <f t="array" ref="AG20">IFERROR(LOOKUP(2,1/(Atualizações!$H$1:$H$1029=Mapa!$B69&amp;Mapa!BZ$3),Atualizações!$E$1:$E$1029),"NÃO")</f>
        <v>0.65900000000000003</v>
      </c>
      <c r="AH20" s="161" cm="1">
        <f t="array" ref="AH20">IFERROR(LOOKUP(2,1/(Atualizações!$H$1:$H$1029=Mapa!$B69&amp;Mapa!CA$3),Atualizações!$E$1:$E$1029),"NÃO")</f>
        <v>0.56000000000000005</v>
      </c>
      <c r="AI20" s="161" cm="1">
        <f t="array" ref="AI20">IFERROR(LOOKUP(2,1/(Atualizações!$H$1:$H$1029=Mapa!$B69&amp;Mapa!CB$3),Atualizações!$E$1:$E$1029),"NÃO")</f>
        <v>0.56999999999999995</v>
      </c>
      <c r="AJ20" s="161" cm="1">
        <f t="array" ref="AJ20">IFERROR(LOOKUP(2,1/(Atualizações!$H$1:$H$1029=Mapa!$B69&amp;Mapa!CC$3),Atualizações!$E$1:$E$1029),"NÃO")</f>
        <v>0.56999999999999995</v>
      </c>
      <c r="AK20" s="161" cm="1">
        <f t="array" ref="AK20">IFERROR(LOOKUP(2,1/(Atualizações!$H$1:$H$1029=Mapa!$B69&amp;Mapa!CD$3),Atualizações!$E$1:$E$1029),"NÃO")</f>
        <v>0.6</v>
      </c>
      <c r="AL20" s="161" cm="1">
        <f t="array" ref="AL20">IFERROR(LOOKUP(2,1/(Atualizações!$H$1:$H$1265=Mapa!$B69&amp;Mapa!CE$3),Atualizações!$E$1:$E$2994),"NÃO")</f>
        <v>0.6</v>
      </c>
      <c r="AM20" s="161" t="str" cm="1">
        <f t="array" ref="AM20">IFERROR(LOOKUP(2,1/(Atualizações!$H$1:$H$2994=Tb_Mapa[[#This Row],[SEI]]&amp;Mapa!CF$3),Atualizações!$E$1:$E$2994),"NÃO")</f>
        <v>NÃO</v>
      </c>
      <c r="AN20" s="161" t="str" cm="1">
        <f t="array" ref="AN20">IFERROR(LOOKUP(2,1/(Atualizações!$H$1:$H$2994=Tb_Mapa[[#This Row],[SEI]]&amp;Mapa!CG$3),Atualizações!$E$1:$E$2994),"NÃO")</f>
        <v>NÃO</v>
      </c>
      <c r="AO20" s="161" t="str" cm="1">
        <f t="array" ref="AO20">IFERROR(LOOKUP(2,1/(Atualizações!$H$1:$H$2994=Tb_Mapa[[#This Row],[SEI]]&amp;Mapa!CH$3),Atualizações!$E$1:$E$2994),"NÃO")</f>
        <v>NÃO</v>
      </c>
      <c r="AP20" s="161" t="str" cm="1">
        <f t="array" ref="AP20">IFERROR(LOOKUP(2,1/(Atualizações!$H$1:$H$2994=Tb_Mapa[[#This Row],[SEI]]&amp;Mapa!CI$3),Atualizações!$E$1:$E$2994),"NÃO")</f>
        <v>NÃO</v>
      </c>
      <c r="AQ20" s="161" t="str" cm="1">
        <f t="array" ref="AQ20">IFERROR(LOOKUP(2,1/(Atualizações!$H$1:$H$2994=Tb_Mapa[[#This Row],[SEI]]&amp;Mapa!CJ$3),Atualizações!$E$1:$E$2994),"NÃO")</f>
        <v>NÃO</v>
      </c>
      <c r="AR20" s="161" t="str" cm="1">
        <f t="array" ref="AR20">IFERROR(LOOKUP(2,1/(Atualizações!$H$1:$H$2994=Tb_Mapa[[#This Row],[SEI]]&amp;Mapa!CK$3),Atualizações!$E$1:$E$2994),"NÃO")</f>
        <v>NÃO</v>
      </c>
      <c r="AS20" s="161" t="str" cm="1">
        <f t="array" ref="AS20">IFERROR(LOOKUP(2,1/(Atualizações!$H$1:$H$2994=Tb_Mapa[[#This Row],[SEI]]&amp;Mapa!CL$3),Atualizações!$E$1:$E$2994),"NÃO")</f>
        <v>NÃO</v>
      </c>
      <c r="AT20" s="161" t="str" cm="1">
        <f t="array" ref="AT20">IFERROR(LOOKUP(2,1/(Atualizações!$H$1:$H$2994=Tb_Mapa[[#This Row],[SEI]]&amp;Mapa!CM$3),Atualizações!$E$1:$E$2994),"NÃO")</f>
        <v>NÃO</v>
      </c>
      <c r="AU20" s="161" t="str" cm="1">
        <f t="array" ref="AU20">IFERROR(LOOKUP(2,1/(Atualizações!$H$1:$H$2994=Tb_Mapa[[#This Row],[SEI]]&amp;Mapa!CN$3),Atualizações!$E$1:$E$2994),"NÃO")</f>
        <v>NÃO</v>
      </c>
      <c r="AV20" s="161" t="str" cm="1">
        <f t="array" ref="AV20">IFERROR(LOOKUP(2,1/(Atualizações!$H$1:$H$2994=Tb_Mapa[[#This Row],[SEI]]&amp;Mapa!CO$3),Atualizações!$E$1:$E$2994),"NÃO")</f>
        <v>NÃO</v>
      </c>
      <c r="AW20" s="161" t="str" cm="1">
        <f t="array" ref="AW20">IFERROR(LOOKUP(2,1/(Atualizações!$H$1:$H$2994=Tb_Mapa[[#This Row],[SEI]]&amp;Mapa!CP$3),Atualizações!$E$1:$E$2994),"NÃO")</f>
        <v>NÃO</v>
      </c>
      <c r="AX20" s="161" t="str" cm="1">
        <f t="array" ref="AX20">IFERROR(LOOKUP(2,1/(Atualizações!$H$1:$H$2994=Tb_Mapa[[#This Row],[SEI]]&amp;Mapa!CQ$3),Atualizações!$E$1:$E$2994),"NÃO")</f>
        <v>NÃO</v>
      </c>
    </row>
    <row r="21" spans="2:50" ht="32.25" hidden="1" customHeight="1">
      <c r="B21" s="676" t="s">
        <v>905</v>
      </c>
      <c r="C21" s="676" t="str">
        <f>_xlfn.XLOOKUP(Tb_Mapa[[#This Row],[SEI]],Tb_Portfólio[SEI],Tb_Portfólio[Portfólio 2025],"",0)</f>
        <v>Não</v>
      </c>
      <c r="D21" s="158" t="str">
        <f>_xlfn.XLOOKUP(Tb_Mapa[[#This Row],[SEI]],Tb_Portfólio[SEI],Tb_Portfólio[Portfólio 2026],"",0)</f>
        <v>Não</v>
      </c>
      <c r="E21" s="162" t="str">
        <f>_xlfn.XLOOKUP(Tb_Mapa[[#This Row],[SEI]],Tb_Portfólio[SEI],Tb_Portfólio[PROJETO],"",0)</f>
        <v>Atenção às Pessoas Egressas e Escritório Social (sistema penal)</v>
      </c>
      <c r="F21" s="143" t="str">
        <f>INDEX(Projetos!$G$3:$G$129,MATCH(B21,Projetos!$A$3:$A$129,0))</f>
        <v>Valdirene Daufemback</v>
      </c>
      <c r="G21" s="160" t="s">
        <v>1712</v>
      </c>
      <c r="H21" s="166" t="str">
        <f>INDEX(Projetos!$T$3:$T$129,MATCH(B21,Projetos!$A$3:$A$129,0))</f>
        <v>Fazendo Justiça</v>
      </c>
      <c r="I21" s="310" t="str">
        <f>INDEX(Projetos!$M$3:$M$129,MATCH(Mapa!B68,Projetos!$A$3:$A$129,0))</f>
        <v>30/10/2025</v>
      </c>
      <c r="J21" s="164" t="str">
        <f>IF(Tb_Mapa[[#This Row],[SITUAÇÃO]]="Finalizado", "Data atualizada", IFERROR(IF(I21&lt;$CN$3,"Atualizar data de encerramento","Data atualizada"),"Sem informação"))</f>
        <v>Data atualizada</v>
      </c>
      <c r="K21" s="311">
        <f>INDEX(Projetos!$N$3:$N$129,MATCH(Tb_Mapa[[#This Row],[SEI]],Projetos!$A$3:$A$129,0))</f>
        <v>1</v>
      </c>
      <c r="L21" s="311">
        <f>INDEX(Projetos!$O$3:$O$129,MATCH(Tb_Mapa[[#This Row],[SEI]],Projetos!$A$3:$A$129,0))</f>
        <v>1</v>
      </c>
      <c r="M21" s="165" t="str">
        <f>_xlfn.XLOOKUP(Tb_Mapa[[#This Row],[SEI]],Tb_Portfólio[SEI],Tb_Portfólio[Situação],"N/A",0)</f>
        <v>Finalizado</v>
      </c>
      <c r="N21" s="161" t="str" cm="1">
        <f t="array" ref="N21">IFERROR(LOOKUP(2,1/(Atualizações!$H$1:$H$486=Mapa!$B68&amp;Mapa!BG$3),Atualizações!$E$1:$E$486),"NÃO")</f>
        <v>NÃO</v>
      </c>
      <c r="O21" s="161"/>
      <c r="P21" s="161"/>
      <c r="Q21" s="161"/>
      <c r="R21" s="161"/>
      <c r="S21" s="161"/>
      <c r="T21" s="161"/>
      <c r="U21" s="161"/>
      <c r="V21" s="161"/>
      <c r="W21" s="161"/>
      <c r="X21" s="161"/>
      <c r="Y21" s="161"/>
      <c r="Z21" s="161" cm="1">
        <f t="array" ref="Z21">IFERROR(LOOKUP(2,1/(Atualizações!$H$1:$H$1029=Mapa!$B68&amp;Mapa!BS$3),Atualizações!$E$1:$E$1029),"NÃO")</f>
        <v>0.71699999999999997</v>
      </c>
      <c r="AA21" s="161" cm="1">
        <f t="array" ref="AA21">IFERROR(LOOKUP(2,1/(Atualizações!$H$1:$H$1029=Mapa!$B68&amp;Mapa!BT$3),Atualizações!$E$1:$E$1029),"NÃO")</f>
        <v>0.73099999999999998</v>
      </c>
      <c r="AB21" s="161" cm="1">
        <f t="array" ref="AB21">IFERROR(LOOKUP(2,1/(Atualizações!$H$1:$H$1029=Mapa!$B68&amp;Mapa!BU$3),Atualizações!$E$1:$E$1029),"NÃO")</f>
        <v>0.78700000000000003</v>
      </c>
      <c r="AC21" s="161" cm="1">
        <f t="array" ref="AC21">IFERROR(LOOKUP(2,1/(Atualizações!$H$1:$H$1029=Mapa!$B68&amp;Mapa!BV$3),Atualizações!$E$1:$E$1029),"NÃO")</f>
        <v>0.8</v>
      </c>
      <c r="AD21" s="161" cm="1">
        <f t="array" ref="AD21">IFERROR(LOOKUP(2,1/(Atualizações!$H$1:$H$1029=Mapa!$B68&amp;Mapa!BW$3),Atualizações!$E$1:$E$1029),"NÃO")</f>
        <v>0.82</v>
      </c>
      <c r="AE21" s="161" cm="1">
        <f t="array" ref="AE21">IFERROR(LOOKUP(2,1/(Atualizações!$H$1:$H$1029=Mapa!$B68&amp;Mapa!BX$3),Atualizações!$E$1:$E$1029),"NÃO")</f>
        <v>0.83299999999999996</v>
      </c>
      <c r="AF21" s="161" cm="1">
        <f t="array" ref="AF21">IFERROR(LOOKUP(2,1/(Atualizações!$H$1:$H$1029=Mapa!$B68&amp;Mapa!BY$3),Atualizações!$E$1:$E$1029),"NÃO")</f>
        <v>0.87</v>
      </c>
      <c r="AG21" s="161" cm="1">
        <f t="array" ref="AG21">IFERROR(LOOKUP(2,1/(Atualizações!$H$1:$H$1029=Mapa!$B68&amp;Mapa!BZ$3),Atualizações!$E$1:$E$1029),"NÃO")</f>
        <v>0.88</v>
      </c>
      <c r="AH21" s="161" cm="1">
        <f t="array" ref="AH21">IFERROR(LOOKUP(2,1/(Atualizações!$H$1:$H$1029=Mapa!$B68&amp;Mapa!CA$3),Atualizações!$E$1:$E$1029),"NÃO")</f>
        <v>0.8</v>
      </c>
      <c r="AI21" s="161" cm="1">
        <f t="array" ref="AI21">IFERROR(LOOKUP(2,1/(Atualizações!$H$1:$H$1029=Mapa!$B68&amp;Mapa!CB$3),Atualizações!$E$1:$E$1029),"NÃO")</f>
        <v>0.94</v>
      </c>
      <c r="AJ21" s="161" cm="1">
        <f t="array" ref="AJ21">IFERROR(LOOKUP(2,1/(Atualizações!$H$1:$H$1029=Mapa!$B68&amp;Mapa!CC$3),Atualizações!$E$1:$E$1029),"NÃO")</f>
        <v>0.98</v>
      </c>
      <c r="AK21" s="161" cm="1">
        <f t="array" ref="AK21">IFERROR(LOOKUP(2,1/(Atualizações!$H$1:$H$1029=Mapa!$B68&amp;Mapa!CD$3),Atualizações!$E$1:$E$1029),"NÃO")</f>
        <v>0.98</v>
      </c>
      <c r="AL21" s="161" cm="1">
        <f t="array" ref="AL21">IFERROR(LOOKUP(2,1/(Atualizações!$H$1:$H$1265=Mapa!$B68&amp;Mapa!CE$3),Atualizações!$E$1:$E$2994),"NÃO")</f>
        <v>1</v>
      </c>
      <c r="AM21" s="161" t="str" cm="1">
        <f t="array" ref="AM21">IFERROR(LOOKUP(2,1/(Atualizações!$H$1:$H$2994=Tb_Mapa[[#This Row],[SEI]]&amp;Mapa!CF$3),Atualizações!$E$1:$E$2994),"NÃO")</f>
        <v>NÃO</v>
      </c>
      <c r="AN21" s="161" t="str" cm="1">
        <f t="array" ref="AN21">IFERROR(LOOKUP(2,1/(Atualizações!$H$1:$H$2994=Tb_Mapa[[#This Row],[SEI]]&amp;Mapa!CG$3),Atualizações!$E$1:$E$2994),"NÃO")</f>
        <v>NÃO</v>
      </c>
      <c r="AO21" s="161" t="str" cm="1">
        <f t="array" ref="AO21">IFERROR(LOOKUP(2,1/(Atualizações!$H$1:$H$2994=Tb_Mapa[[#This Row],[SEI]]&amp;Mapa!CH$3),Atualizações!$E$1:$E$2994),"NÃO")</f>
        <v>NÃO</v>
      </c>
      <c r="AP21" s="161" t="str" cm="1">
        <f t="array" ref="AP21">IFERROR(LOOKUP(2,1/(Atualizações!$H$1:$H$2994=Tb_Mapa[[#This Row],[SEI]]&amp;Mapa!CI$3),Atualizações!$E$1:$E$2994),"NÃO")</f>
        <v>NÃO</v>
      </c>
      <c r="AQ21" s="161" t="str" cm="1">
        <f t="array" ref="AQ21">IFERROR(LOOKUP(2,1/(Atualizações!$H$1:$H$2994=Tb_Mapa[[#This Row],[SEI]]&amp;Mapa!CJ$3),Atualizações!$E$1:$E$2994),"NÃO")</f>
        <v>NÃO</v>
      </c>
      <c r="AR21" s="161" t="str" cm="1">
        <f t="array" ref="AR21">IFERROR(LOOKUP(2,1/(Atualizações!$H$1:$H$2994=Tb_Mapa[[#This Row],[SEI]]&amp;Mapa!CK$3),Atualizações!$E$1:$E$2994),"NÃO")</f>
        <v>NÃO</v>
      </c>
      <c r="AS21" s="161" t="str" cm="1">
        <f t="array" ref="AS21">IFERROR(LOOKUP(2,1/(Atualizações!$H$1:$H$2994=Tb_Mapa[[#This Row],[SEI]]&amp;Mapa!CL$3),Atualizações!$E$1:$E$2994),"NÃO")</f>
        <v>NÃO</v>
      </c>
      <c r="AT21" s="161" t="str" cm="1">
        <f t="array" ref="AT21">IFERROR(LOOKUP(2,1/(Atualizações!$H$1:$H$2994=Tb_Mapa[[#This Row],[SEI]]&amp;Mapa!CM$3),Atualizações!$E$1:$E$2994),"NÃO")</f>
        <v>NÃO</v>
      </c>
      <c r="AU21" s="161" t="str" cm="1">
        <f t="array" ref="AU21">IFERROR(LOOKUP(2,1/(Atualizações!$H$1:$H$2994=Tb_Mapa[[#This Row],[SEI]]&amp;Mapa!CN$3),Atualizações!$E$1:$E$2994),"NÃO")</f>
        <v>NÃO</v>
      </c>
      <c r="AV21" s="161" t="str" cm="1">
        <f t="array" ref="AV21">IFERROR(LOOKUP(2,1/(Atualizações!$H$1:$H$2994=Tb_Mapa[[#This Row],[SEI]]&amp;Mapa!CO$3),Atualizações!$E$1:$E$2994),"NÃO")</f>
        <v>NÃO</v>
      </c>
      <c r="AW21" s="161" t="str" cm="1">
        <f t="array" ref="AW21">IFERROR(LOOKUP(2,1/(Atualizações!$H$1:$H$2994=Tb_Mapa[[#This Row],[SEI]]&amp;Mapa!CP$3),Atualizações!$E$1:$E$2994),"NÃO")</f>
        <v>NÃO</v>
      </c>
      <c r="AX21" s="161" t="str" cm="1">
        <f t="array" ref="AX21">IFERROR(LOOKUP(2,1/(Atualizações!$H$1:$H$2994=Tb_Mapa[[#This Row],[SEI]]&amp;Mapa!CQ$3),Atualizações!$E$1:$E$2994),"NÃO")</f>
        <v>NÃO</v>
      </c>
    </row>
    <row r="22" spans="2:50" ht="32.25" hidden="1" customHeight="1">
      <c r="B22" s="676" t="s">
        <v>198</v>
      </c>
      <c r="C22" s="676" t="str">
        <f>_xlfn.XLOOKUP(Tb_Mapa[[#This Row],[SEI]],Tb_Portfólio[SEI],Tb_Portfólio[Portfólio 2025],"",0)</f>
        <v>Sim</v>
      </c>
      <c r="D22" s="158" t="str">
        <f>_xlfn.XLOOKUP(Tb_Mapa[[#This Row],[SEI]],Tb_Portfólio[SEI],Tb_Portfólio[Portfólio 2026],"",0)</f>
        <v>Sim</v>
      </c>
      <c r="E22" s="162" t="str">
        <f>_xlfn.XLOOKUP(Tb_Mapa[[#This Row],[SEI]],Tb_Portfólio[SEI],Tb_Portfólio[PROJETO],"",0)</f>
        <v>Desenvolvimento de um Conjunto de Solução em Gestão de Dados para a Corregedoria Nacional de Justiça</v>
      </c>
      <c r="F22" s="143" t="str">
        <f>INDEX(Projetos!$G$3:$G$129,MATCH(Tb_Mapa[[#This Row],[SEI]],Projetos!$A$3:$A$129,0))</f>
        <v>Caio Henrique Faustino da Silva</v>
      </c>
      <c r="G22" s="160" t="s">
        <v>1715</v>
      </c>
      <c r="H22" s="166">
        <f>INDEX(Projetos!$T$3:$T$129,MATCH(B22,Projetos!$A$3:$A$129,0))</f>
        <v>0</v>
      </c>
      <c r="I22" s="310">
        <f>INDEX(Projetos!$M$3:$M$129,MATCH(Tb_Mapa[[#This Row],[SEI]],Projetos!$A$3:$A$129,0))</f>
        <v>45807</v>
      </c>
      <c r="J22" s="164" t="str">
        <f ca="1">IF(Tb_Mapa[[#This Row],[SITUAÇÃO]]="Finalizado", "Data atualizada", IFERROR(IF(Tb_Mapa[[#This Row],[DATA DE TÉRMINO]]&lt;$I$1,"Atualizar data de encerramento","Data atualizada"),"Sem informação"))</f>
        <v>Atualizar data de encerramento</v>
      </c>
      <c r="K22" s="311">
        <f>INDEX(Projetos!$N$3:$N$129,MATCH(Tb_Mapa[[#This Row],[SEI]],Projetos!$A$3:$A$129,0))</f>
        <v>1</v>
      </c>
      <c r="L22" s="311">
        <f>INDEX(Projetos!$O$3:$O$129,MATCH(Tb_Mapa[[#This Row],[SEI]],Projetos!$A$3:$A$129,0))</f>
        <v>0.75</v>
      </c>
      <c r="M22" s="165" t="str">
        <f ca="1">_xlfn.XLOOKUP(Tb_Mapa[[#This Row],[SEI]],Tb_Portfólio[SEI],Tb_Portfólio[Situação],"N/A",0)</f>
        <v>Atrasado ou Crítico</v>
      </c>
      <c r="N22" s="161" t="str" cm="1">
        <f t="array" ref="N22">IFERROR(LOOKUP(2,1/(Atualizações!$H$1:$H$486=Mapa!$B108&amp;Mapa!BG$3),Atualizações!$E$1:$E$486),"NÃO")</f>
        <v>NÃO</v>
      </c>
      <c r="O22" s="161"/>
      <c r="P22" s="161"/>
      <c r="Q22" s="161"/>
      <c r="R22" s="161"/>
      <c r="S22" s="161"/>
      <c r="T22" s="161"/>
      <c r="U22" s="161"/>
      <c r="V22" s="161"/>
      <c r="W22" s="161"/>
      <c r="X22" s="161"/>
      <c r="Y22" s="161"/>
      <c r="Z22" s="161"/>
      <c r="AA22" s="691"/>
      <c r="AB22" s="691"/>
      <c r="AC22" s="691"/>
      <c r="AD22" s="691"/>
      <c r="AE22" s="161" cm="1">
        <f t="array" ref="AE22">IFERROR(LOOKUP(2,1/(Atualizações!$H$1:$H$1029=Mapa!$B108&amp;Mapa!BX$3),Atualizações!$E$1:$E$1029),"NÃO")</f>
        <v>0</v>
      </c>
      <c r="AF22" s="161" cm="1">
        <f t="array" ref="AF22">IFERROR(LOOKUP(2,1/(Atualizações!$H$1:$H$1029=Mapa!$B108&amp;Mapa!BY$3),Atualizações!$E$1:$E$1029),"NÃO")</f>
        <v>0.34</v>
      </c>
      <c r="AG22" s="161" cm="1">
        <f t="array" ref="AG22">IFERROR(LOOKUP(2,1/(Atualizações!$H$1:$H$1029=Mapa!$B108&amp;Mapa!BZ$3),Atualizações!$E$1:$E$1029),"NÃO")</f>
        <v>0.35699999999999998</v>
      </c>
      <c r="AH22" s="161" cm="1">
        <f t="array" ref="AH22">IFERROR(LOOKUP(2,1/(Atualizações!$H$1:$H$1029=Mapa!$B108&amp;Mapa!CA$3),Atualizações!$E$1:$E$1029),"NÃO")</f>
        <v>0.35</v>
      </c>
      <c r="AI22" s="161" cm="1">
        <f t="array" ref="AI22">IFERROR(LOOKUP(2,1/(Atualizações!$H$1:$H$1029=Mapa!$B108&amp;Mapa!CB$3),Atualizações!$E$1:$E$1029),"NÃO")</f>
        <v>0.39</v>
      </c>
      <c r="AJ22" s="161" cm="1">
        <f t="array" ref="AJ22">IFERROR(LOOKUP(2,1/(Atualizações!$H$1:$H$1029=Mapa!$B108&amp;Mapa!CC$3),Atualizações!$E$1:$E$1029),"NÃO")</f>
        <v>0.42</v>
      </c>
      <c r="AK22" s="161" cm="1">
        <f t="array" ref="AK22">IFERROR(LOOKUP(2,1/(Atualizações!$H$1:$H$1029=Mapa!$B108&amp;Mapa!CD$3),Atualizações!$E$1:$E$1029),"NÃO")</f>
        <v>0.46</v>
      </c>
      <c r="AL22" s="161" cm="1">
        <f t="array" ref="AL22">IFERROR(LOOKUP(2,1/(Atualizações!$H$1:$H$1265=Mapa!$B108&amp;Mapa!CE$3),Atualizações!$E$1:$E$2994),"NÃO")</f>
        <v>0.46</v>
      </c>
      <c r="AM22" s="161" t="str" cm="1">
        <f t="array" ref="AM22">IFERROR(LOOKUP(2,1/(Atualizações!$H$1:$H$2994=Tb_Mapa[[#This Row],[SEI]]&amp;Mapa!CF$3),Atualizações!$E$1:$E$2994),"NÃO")</f>
        <v>NÃO</v>
      </c>
      <c r="AN22" s="161" t="str" cm="1">
        <f t="array" ref="AN22">IFERROR(LOOKUP(2,1/(Atualizações!$H$1:$H$2994=Tb_Mapa[[#This Row],[SEI]]&amp;Mapa!CG$3),Atualizações!$E$1:$E$2994),"NÃO")</f>
        <v>NÃO</v>
      </c>
      <c r="AO22" s="161" t="str" cm="1">
        <f t="array" ref="AO22">IFERROR(LOOKUP(2,1/(Atualizações!$H$1:$H$2994=Tb_Mapa[[#This Row],[SEI]]&amp;Mapa!CH$3),Atualizações!$E$1:$E$2994),"NÃO")</f>
        <v>NÃO</v>
      </c>
      <c r="AP22" s="161" t="str" cm="1">
        <f t="array" ref="AP22">IFERROR(LOOKUP(2,1/(Atualizações!$H$1:$H$2994=Tb_Mapa[[#This Row],[SEI]]&amp;Mapa!CI$3),Atualizações!$E$1:$E$2994),"NÃO")</f>
        <v>NÃO</v>
      </c>
      <c r="AQ22" s="161" t="str" cm="1">
        <f t="array" ref="AQ22">IFERROR(LOOKUP(2,1/(Atualizações!$H$1:$H$2994=Tb_Mapa[[#This Row],[SEI]]&amp;Mapa!CJ$3),Atualizações!$E$1:$E$2994),"NÃO")</f>
        <v>NÃO</v>
      </c>
      <c r="AR22" s="161" t="str" cm="1">
        <f t="array" ref="AR22">IFERROR(LOOKUP(2,1/(Atualizações!$H$1:$H$2994=Tb_Mapa[[#This Row],[SEI]]&amp;Mapa!CK$3),Atualizações!$E$1:$E$2994),"NÃO")</f>
        <v>NÃO</v>
      </c>
      <c r="AS22" s="161" t="str" cm="1">
        <f t="array" ref="AS22">IFERROR(LOOKUP(2,1/(Atualizações!$H$1:$H$2994=Tb_Mapa[[#This Row],[SEI]]&amp;Mapa!CL$3),Atualizações!$E$1:$E$2994),"NÃO")</f>
        <v>NÃO</v>
      </c>
      <c r="AT22" s="161" t="str" cm="1">
        <f t="array" ref="AT22">IFERROR(LOOKUP(2,1/(Atualizações!$H$1:$H$2994=Tb_Mapa[[#This Row],[SEI]]&amp;Mapa!CM$3),Atualizações!$E$1:$E$2994),"NÃO")</f>
        <v>NÃO</v>
      </c>
      <c r="AU22" s="161" t="str" cm="1">
        <f t="array" ref="AU22">IFERROR(LOOKUP(2,1/(Atualizações!$H$1:$H$2994=Tb_Mapa[[#This Row],[SEI]]&amp;Mapa!CN$3),Atualizações!$E$1:$E$2994),"NÃO")</f>
        <v>NÃO</v>
      </c>
      <c r="AV22" s="161" t="str" cm="1">
        <f t="array" ref="AV22">IFERROR(LOOKUP(2,1/(Atualizações!$H$1:$H$2994=Tb_Mapa[[#This Row],[SEI]]&amp;Mapa!CO$3),Atualizações!$E$1:$E$2994),"NÃO")</f>
        <v>NÃO</v>
      </c>
      <c r="AW22" s="161" t="str" cm="1">
        <f t="array" ref="AW22">IFERROR(LOOKUP(2,1/(Atualizações!$H$1:$H$2994=Tb_Mapa[[#This Row],[SEI]]&amp;Mapa!CP$3),Atualizações!$E$1:$E$2994),"NÃO")</f>
        <v>NÃO</v>
      </c>
      <c r="AX22" s="161" t="str" cm="1">
        <f t="array" ref="AX22">IFERROR(LOOKUP(2,1/(Atualizações!$H$1:$H$2994=Tb_Mapa[[#This Row],[SEI]]&amp;Mapa!CQ$3),Atualizações!$E$1:$E$2994),"NÃO")</f>
        <v>NÃO</v>
      </c>
    </row>
    <row r="23" spans="2:50" ht="32.25" hidden="1" customHeight="1">
      <c r="B23" s="676" t="s">
        <v>897</v>
      </c>
      <c r="C23" s="676" t="str">
        <f>_xlfn.XLOOKUP(Tb_Mapa[[#This Row],[SEI]],Tb_Portfólio[SEI],Tb_Portfólio[Portfólio 2025],"",0)</f>
        <v>Não</v>
      </c>
      <c r="D23" s="158" t="str">
        <f>_xlfn.XLOOKUP(Tb_Mapa[[#This Row],[SEI]],Tb_Portfólio[SEI],Tb_Portfólio[Portfólio 2026],"",0)</f>
        <v>Não</v>
      </c>
      <c r="E23" s="162" t="str">
        <f>_xlfn.XLOOKUP(Tb_Mapa[[#This Row],[SEI]],Tb_Portfólio[SEI],Tb_Portfólio[PROJETO],"",0)</f>
        <v>Plano Nacional de Fomento à Leitura (sistema penal)</v>
      </c>
      <c r="F23" s="143" t="str">
        <f>INDEX(Projetos!$G$3:$G$129,MATCH(B23,Projetos!$A$3:$A$129,0))</f>
        <v>Valdirene Daufemback</v>
      </c>
      <c r="G23" s="160" t="s">
        <v>1712</v>
      </c>
      <c r="H23" s="166" t="str">
        <f>INDEX(Projetos!$T$3:$T$129,MATCH(B23,Projetos!$A$3:$A$129,0))</f>
        <v>Fazendo Justiça</v>
      </c>
      <c r="I23" s="310">
        <f>INDEX(Projetos!$M$3:$M$129,MATCH(Mapa!B66,Projetos!$A$3:$A$129,0))</f>
        <v>46387</v>
      </c>
      <c r="J23" s="164" t="str">
        <f>IF(Tb_Mapa[[#This Row],[SITUAÇÃO]]="Finalizado", "Data atualizada", IFERROR(IF(I23&lt;$CN$3,"Atualizar data de encerramento","Data atualizada"),"Sem informação"))</f>
        <v>Data atualizada</v>
      </c>
      <c r="K23" s="311">
        <f>INDEX(Projetos!$N$3:$N$129,MATCH(Tb_Mapa[[#This Row],[SEI]],Projetos!$A$3:$A$129,0))</f>
        <v>1</v>
      </c>
      <c r="L23" s="311">
        <f>INDEX(Projetos!$O$3:$O$129,MATCH(Tb_Mapa[[#This Row],[SEI]],Projetos!$A$3:$A$129,0))</f>
        <v>1</v>
      </c>
      <c r="M23" s="165" t="str">
        <f>_xlfn.XLOOKUP(Tb_Mapa[[#This Row],[SEI]],Tb_Portfólio[SEI],Tb_Portfólio[Situação],"N/A",0)</f>
        <v>Finalizado</v>
      </c>
      <c r="N23" s="161" t="str" cm="1">
        <f t="array" ref="N23">IFERROR(LOOKUP(2,1/(Atualizações!$H$1:$H$486=Mapa!$B66&amp;Mapa!BG$3),Atualizações!$E$1:$E$486),"NÃO")</f>
        <v>NÃO</v>
      </c>
      <c r="O23" s="161"/>
      <c r="P23" s="161"/>
      <c r="Q23" s="161"/>
      <c r="R23" s="161"/>
      <c r="S23" s="161"/>
      <c r="T23" s="161"/>
      <c r="U23" s="161"/>
      <c r="V23" s="161"/>
      <c r="W23" s="161"/>
      <c r="X23" s="161"/>
      <c r="Y23" s="161"/>
      <c r="Z23" s="161" t="str" cm="1">
        <f t="array" ref="Z23">IFERROR(LOOKUP(2,1/(Atualizações!$H$1:$H$1029=Mapa!$B66&amp;Mapa!BS$3),Atualizações!$E$1:$E$1029),"NÃO")</f>
        <v>NÃO</v>
      </c>
      <c r="AA23" s="161" t="str" cm="1">
        <f t="array" ref="AA23">IFERROR(LOOKUP(2,1/(Atualizações!$H$1:$H$1029=Mapa!$B66&amp;Mapa!BT$3),Atualizações!$E$1:$E$1029),"NÃO")</f>
        <v>NÃO</v>
      </c>
      <c r="AB23" s="161" cm="1">
        <f t="array" ref="AB23">IFERROR(LOOKUP(2,1/(Atualizações!$H$1:$H$1029=Mapa!$B66&amp;Mapa!BU$3),Atualizações!$E$1:$E$1029),"NÃO")</f>
        <v>0.90400000000000003</v>
      </c>
      <c r="AC23" s="161" cm="1">
        <f t="array" ref="AC23">IFERROR(LOOKUP(2,1/(Atualizações!$H$1:$H$1029=Mapa!$B66&amp;Mapa!BV$3),Atualizações!$E$1:$E$1029),"NÃO")</f>
        <v>0.90400000000000003</v>
      </c>
      <c r="AD23" s="161" cm="1">
        <f t="array" ref="AD23">IFERROR(LOOKUP(2,1/(Atualizações!$H$1:$H$1029=Mapa!$B66&amp;Mapa!BW$3),Atualizações!$E$1:$E$1029),"NÃO")</f>
        <v>0.91500000000000004</v>
      </c>
      <c r="AE23" s="161" cm="1">
        <f t="array" ref="AE23">IFERROR(LOOKUP(2,1/(Atualizações!$H$1:$H$1029=Mapa!$B66&amp;Mapa!BX$3),Atualizações!$E$1:$E$1029),"NÃO")</f>
        <v>0.91900000000000004</v>
      </c>
      <c r="AF23" s="161" cm="1">
        <f t="array" ref="AF23">IFERROR(LOOKUP(2,1/(Atualizações!$H$1:$H$1029=Mapa!$B66&amp;Mapa!BY$3),Atualizações!$E$1:$E$1029),"NÃO")</f>
        <v>0.92200000000000004</v>
      </c>
      <c r="AG23" s="161" cm="1">
        <f t="array" ref="AG23">IFERROR(LOOKUP(2,1/(Atualizações!$H$1:$H$1029=Mapa!$B66&amp;Mapa!BZ$3),Atualizações!$E$1:$E$1029),"NÃO")</f>
        <v>0.92200000000000004</v>
      </c>
      <c r="AH23" s="161" cm="1">
        <f t="array" ref="AH23">IFERROR(LOOKUP(2,1/(Atualizações!$H$1:$H$1029=Mapa!$B66&amp;Mapa!CA$3),Atualizações!$E$1:$E$1029),"NÃO")</f>
        <v>0.87</v>
      </c>
      <c r="AI23" s="161" cm="1">
        <f t="array" ref="AI23">IFERROR(LOOKUP(2,1/(Atualizações!$H$1:$H$1029=Mapa!$B66&amp;Mapa!CB$3),Atualizações!$E$1:$E$1029),"NÃO")</f>
        <v>0.84</v>
      </c>
      <c r="AJ23" s="161" cm="1">
        <f t="array" ref="AJ23">IFERROR(LOOKUP(2,1/(Atualizações!$H$1:$H$1029=Mapa!$B66&amp;Mapa!CC$3),Atualizações!$E$1:$E$1029),"NÃO")</f>
        <v>0.81</v>
      </c>
      <c r="AK23" s="161" cm="1">
        <f t="array" ref="AK23">IFERROR(LOOKUP(2,1/(Atualizações!$H$1:$H$1029=Mapa!$B66&amp;Mapa!CD$3),Atualizações!$E$1:$E$1029),"NÃO")</f>
        <v>0.84</v>
      </c>
      <c r="AL23" s="161" cm="1">
        <f t="array" ref="AL23">IFERROR(LOOKUP(2,1/(Atualizações!$H$1:$H$1265=Mapa!$B66&amp;Mapa!CE$3),Atualizações!$E$1:$E$2994),"NÃO")</f>
        <v>0.84</v>
      </c>
      <c r="AM23" s="161" t="str" cm="1">
        <f t="array" ref="AM23">IFERROR(LOOKUP(2,1/(Atualizações!$H$1:$H$2994=Tb_Mapa[[#This Row],[SEI]]&amp;Mapa!CF$3),Atualizações!$E$1:$E$2994),"NÃO")</f>
        <v>NÃO</v>
      </c>
      <c r="AN23" s="161" t="str" cm="1">
        <f t="array" ref="AN23">IFERROR(LOOKUP(2,1/(Atualizações!$H$1:$H$2994=Tb_Mapa[[#This Row],[SEI]]&amp;Mapa!CG$3),Atualizações!$E$1:$E$2994),"NÃO")</f>
        <v>NÃO</v>
      </c>
      <c r="AO23" s="161" t="str" cm="1">
        <f t="array" ref="AO23">IFERROR(LOOKUP(2,1/(Atualizações!$H$1:$H$2994=Tb_Mapa[[#This Row],[SEI]]&amp;Mapa!CH$3),Atualizações!$E$1:$E$2994),"NÃO")</f>
        <v>NÃO</v>
      </c>
      <c r="AP23" s="161" t="str" cm="1">
        <f t="array" ref="AP23">IFERROR(LOOKUP(2,1/(Atualizações!$H$1:$H$2994=Tb_Mapa[[#This Row],[SEI]]&amp;Mapa!CI$3),Atualizações!$E$1:$E$2994),"NÃO")</f>
        <v>NÃO</v>
      </c>
      <c r="AQ23" s="161" t="str" cm="1">
        <f t="array" ref="AQ23">IFERROR(LOOKUP(2,1/(Atualizações!$H$1:$H$2994=Tb_Mapa[[#This Row],[SEI]]&amp;Mapa!CJ$3),Atualizações!$E$1:$E$2994),"NÃO")</f>
        <v>NÃO</v>
      </c>
      <c r="AR23" s="161" t="str" cm="1">
        <f t="array" ref="AR23">IFERROR(LOOKUP(2,1/(Atualizações!$H$1:$H$2994=Tb_Mapa[[#This Row],[SEI]]&amp;Mapa!CK$3),Atualizações!$E$1:$E$2994),"NÃO")</f>
        <v>NÃO</v>
      </c>
      <c r="AS23" s="161" t="str" cm="1">
        <f t="array" ref="AS23">IFERROR(LOOKUP(2,1/(Atualizações!$H$1:$H$2994=Tb_Mapa[[#This Row],[SEI]]&amp;Mapa!CL$3),Atualizações!$E$1:$E$2994),"NÃO")</f>
        <v>NÃO</v>
      </c>
      <c r="AT23" s="161" t="str" cm="1">
        <f t="array" ref="AT23">IFERROR(LOOKUP(2,1/(Atualizações!$H$1:$H$2994=Tb_Mapa[[#This Row],[SEI]]&amp;Mapa!CM$3),Atualizações!$E$1:$E$2994),"NÃO")</f>
        <v>NÃO</v>
      </c>
      <c r="AU23" s="161" t="str" cm="1">
        <f t="array" ref="AU23">IFERROR(LOOKUP(2,1/(Atualizações!$H$1:$H$2994=Tb_Mapa[[#This Row],[SEI]]&amp;Mapa!CN$3),Atualizações!$E$1:$E$2994),"NÃO")</f>
        <v>NÃO</v>
      </c>
      <c r="AV23" s="161" t="str" cm="1">
        <f t="array" ref="AV23">IFERROR(LOOKUP(2,1/(Atualizações!$H$1:$H$2994=Tb_Mapa[[#This Row],[SEI]]&amp;Mapa!CO$3),Atualizações!$E$1:$E$2994),"NÃO")</f>
        <v>NÃO</v>
      </c>
      <c r="AW23" s="161" t="str" cm="1">
        <f t="array" ref="AW23">IFERROR(LOOKUP(2,1/(Atualizações!$H$1:$H$2994=Tb_Mapa[[#This Row],[SEI]]&amp;Mapa!CP$3),Atualizações!$E$1:$E$2994),"NÃO")</f>
        <v>NÃO</v>
      </c>
      <c r="AX23" s="161" t="str" cm="1">
        <f t="array" ref="AX23">IFERROR(LOOKUP(2,1/(Atualizações!$H$1:$H$2994=Tb_Mapa[[#This Row],[SEI]]&amp;Mapa!CQ$3),Atualizações!$E$1:$E$2994),"NÃO")</f>
        <v>NÃO</v>
      </c>
    </row>
    <row r="24" spans="2:50" ht="32.25" hidden="1" customHeight="1">
      <c r="B24" s="676" t="s">
        <v>893</v>
      </c>
      <c r="C24" s="158" t="str">
        <f>_xlfn.XLOOKUP(Tb_Mapa[[#This Row],[SEI]],Tb_Portfólio[SEI],Tb_Portfólio[Portfólio 2025],"",0)</f>
        <v>Sim</v>
      </c>
      <c r="D24" s="158" t="str">
        <f>_xlfn.XLOOKUP(Tb_Mapa[[#This Row],[SEI]],Tb_Portfólio[SEI],Tb_Portfólio[Portfólio 2026],"",0)</f>
        <v>Não</v>
      </c>
      <c r="E24" s="162" t="str">
        <f>_xlfn.XLOOKUP(Tb_Mapa[[#This Row],[SEI]],Tb_Portfólio[SEI],Tb_Portfólio[PROJETO],"",0)</f>
        <v>Ação Nacional de Trabalho e Renda (sistema penal)</v>
      </c>
      <c r="F24" s="143" t="str">
        <f>INDEX(Projetos!$G$3:$G$129,MATCH(B24,Projetos!$A$3:$A$129,0))</f>
        <v>Valdirene Daufemback</v>
      </c>
      <c r="G24" s="160" t="s">
        <v>1710</v>
      </c>
      <c r="H24" s="166" t="str">
        <f>INDEX(Projetos!$T$3:$T$129,MATCH(B24,Projetos!$A$3:$A$129,0))</f>
        <v>Fazendo Justiça</v>
      </c>
      <c r="I24" s="310">
        <f>INDEX(Projetos!$M$3:$M$129,MATCH(Mapa!B65,Projetos!$A$3:$A$129,0))</f>
        <v>46203</v>
      </c>
      <c r="J24" s="164" t="str">
        <f>IF(Tb_Mapa[[#This Row],[SITUAÇÃO]]="Finalizado", "Data atualizada", IFERROR(IF(I24&lt;$CN$3,"Atualizar data de encerramento","Data atualizada"),"Sem informação"))</f>
        <v>Data atualizada</v>
      </c>
      <c r="K24" s="311">
        <f>INDEX(Projetos!$N$3:$N$129,MATCH(Tb_Mapa[[#This Row],[SEI]],Projetos!$A$3:$A$129,0))</f>
        <v>1</v>
      </c>
      <c r="L24" s="311">
        <f>INDEX(Projetos!$O$3:$O$129,MATCH(Tb_Mapa[[#This Row],[SEI]],Projetos!$A$3:$A$129,0))</f>
        <v>1</v>
      </c>
      <c r="M24" s="165" t="str">
        <f>_xlfn.XLOOKUP(Tb_Mapa[[#This Row],[SEI]],Tb_Portfólio[SEI],Tb_Portfólio[Situação],"N/A",0)</f>
        <v>Finalizado</v>
      </c>
      <c r="N24" s="161" t="str" cm="1">
        <f t="array" ref="N24">IFERROR(LOOKUP(2,1/(Atualizações!$H$1:$H$486=Mapa!$B65&amp;Mapa!BG$3),Atualizações!$E$1:$E$486),"NÃO")</f>
        <v>NÃO</v>
      </c>
      <c r="O24" s="161"/>
      <c r="P24" s="161"/>
      <c r="Q24" s="161"/>
      <c r="R24" s="161"/>
      <c r="S24" s="161"/>
      <c r="T24" s="161"/>
      <c r="U24" s="161"/>
      <c r="V24" s="161"/>
      <c r="W24" s="161"/>
      <c r="X24" s="161"/>
      <c r="Y24" s="161"/>
      <c r="Z24" s="161" t="str" cm="1">
        <f t="array" ref="Z24">IFERROR(LOOKUP(2,1/(Atualizações!$H$1:$H$1029=Mapa!$B65&amp;Mapa!BS$3),Atualizações!$E$1:$E$1029),"NÃO")</f>
        <v>NÃO</v>
      </c>
      <c r="AA24" s="161" cm="1">
        <f t="array" ref="AA24">IFERROR(LOOKUP(2,1/(Atualizações!$H$1:$H$1029=Mapa!$B65&amp;Mapa!BT$3),Atualizações!$E$1:$E$1029),"NÃO")</f>
        <v>0.95399999999999996</v>
      </c>
      <c r="AB24" s="161" cm="1">
        <f t="array" ref="AB24">IFERROR(LOOKUP(2,1/(Atualizações!$H$1:$H$1029=Mapa!$B65&amp;Mapa!BU$3),Atualizações!$E$1:$E$1029),"NÃO")</f>
        <v>0.95599999999999996</v>
      </c>
      <c r="AC24" s="161" cm="1">
        <f t="array" ref="AC24">IFERROR(LOOKUP(2,1/(Atualizações!$H$1:$H$1029=Mapa!$B65&amp;Mapa!BV$3),Atualizações!$E$1:$E$1029),"NÃO")</f>
        <v>0.95599999999999996</v>
      </c>
      <c r="AD24" s="161" cm="1">
        <f t="array" ref="AD24">IFERROR(LOOKUP(2,1/(Atualizações!$H$1:$H$1029=Mapa!$B65&amp;Mapa!BW$3),Atualizações!$E$1:$E$1029),"NÃO")</f>
        <v>0.96899999999999997</v>
      </c>
      <c r="AE24" s="161" cm="1">
        <f t="array" ref="AE24">IFERROR(LOOKUP(2,1/(Atualizações!$H$1:$H$1029=Mapa!$B65&amp;Mapa!BX$3),Atualizações!$E$1:$E$1029),"NÃO")</f>
        <v>0.96899999999999997</v>
      </c>
      <c r="AF24" s="161" cm="1">
        <f t="array" ref="AF24">IFERROR(LOOKUP(2,1/(Atualizações!$H$1:$H$1029=Mapa!$B65&amp;Mapa!BY$3),Atualizações!$E$1:$E$1029),"NÃO")</f>
        <v>0.97399999999999998</v>
      </c>
      <c r="AG24" s="161" cm="1">
        <f t="array" ref="AG24">IFERROR(LOOKUP(2,1/(Atualizações!$H$1:$H$1029=Mapa!$B65&amp;Mapa!BZ$3),Atualizações!$E$1:$E$1029),"NÃO")</f>
        <v>0.93899999999999995</v>
      </c>
      <c r="AH24" s="161" cm="1">
        <f t="array" ref="AH24">IFERROR(LOOKUP(2,1/(Atualizações!$H$1:$H$1029=Mapa!$B65&amp;Mapa!CA$3),Atualizações!$E$1:$E$1029),"NÃO")</f>
        <v>0.94</v>
      </c>
      <c r="AI24" s="161" cm="1">
        <f t="array" ref="AI24">IFERROR(LOOKUP(2,1/(Atualizações!$H$1:$H$1029=Mapa!$B65&amp;Mapa!CB$3),Atualizações!$E$1:$E$1029),"NÃO")</f>
        <v>0.97</v>
      </c>
      <c r="AJ24" s="161" cm="1">
        <f t="array" ref="AJ24">IFERROR(LOOKUP(2,1/(Atualizações!$H$1:$H$1029=Mapa!$B65&amp;Mapa!CC$3),Atualizações!$E$1:$E$1029),"NÃO")</f>
        <v>0.98</v>
      </c>
      <c r="AK24" s="161" cm="1">
        <f t="array" ref="AK24">IFERROR(LOOKUP(2,1/(Atualizações!$H$1:$H$1029=Mapa!$B65&amp;Mapa!CD$3),Atualizações!$E$1:$E$1029),"NÃO")</f>
        <v>0.98</v>
      </c>
      <c r="AL24" s="161" cm="1">
        <f t="array" ref="AL24">IFERROR(LOOKUP(2,1/(Atualizações!$H$1:$H$1265=Mapa!$B65&amp;Mapa!CE$3),Atualizações!$E$1:$E$2994),"NÃO")</f>
        <v>0.73</v>
      </c>
      <c r="AM24" s="161" t="str" cm="1">
        <f t="array" ref="AM24">IFERROR(LOOKUP(2,1/(Atualizações!$H$1:$H$2994=Tb_Mapa[[#This Row],[SEI]]&amp;Mapa!CF$3),Atualizações!$E$1:$E$2994),"NÃO")</f>
        <v>NÃO</v>
      </c>
      <c r="AN24" s="161" t="str" cm="1">
        <f t="array" ref="AN24">IFERROR(LOOKUP(2,1/(Atualizações!$H$1:$H$2994=Tb_Mapa[[#This Row],[SEI]]&amp;Mapa!CG$3),Atualizações!$E$1:$E$2994),"NÃO")</f>
        <v>NÃO</v>
      </c>
      <c r="AO24" s="161" t="str" cm="1">
        <f t="array" ref="AO24">IFERROR(LOOKUP(2,1/(Atualizações!$H$1:$H$2994=Tb_Mapa[[#This Row],[SEI]]&amp;Mapa!CH$3),Atualizações!$E$1:$E$2994),"NÃO")</f>
        <v>NÃO</v>
      </c>
      <c r="AP24" s="161" t="str" cm="1">
        <f t="array" ref="AP24">IFERROR(LOOKUP(2,1/(Atualizações!$H$1:$H$2994=Tb_Mapa[[#This Row],[SEI]]&amp;Mapa!CI$3),Atualizações!$E$1:$E$2994),"NÃO")</f>
        <v>NÃO</v>
      </c>
      <c r="AQ24" s="161" t="str" cm="1">
        <f t="array" ref="AQ24">IFERROR(LOOKUP(2,1/(Atualizações!$H$1:$H$2994=Tb_Mapa[[#This Row],[SEI]]&amp;Mapa!CJ$3),Atualizações!$E$1:$E$2994),"NÃO")</f>
        <v>NÃO</v>
      </c>
      <c r="AR24" s="161" t="str" cm="1">
        <f t="array" ref="AR24">IFERROR(LOOKUP(2,1/(Atualizações!$H$1:$H$2994=Tb_Mapa[[#This Row],[SEI]]&amp;Mapa!CK$3),Atualizações!$E$1:$E$2994),"NÃO")</f>
        <v>NÃO</v>
      </c>
      <c r="AS24" s="161" t="str" cm="1">
        <f t="array" ref="AS24">IFERROR(LOOKUP(2,1/(Atualizações!$H$1:$H$2994=Tb_Mapa[[#This Row],[SEI]]&amp;Mapa!CL$3),Atualizações!$E$1:$E$2994),"NÃO")</f>
        <v>NÃO</v>
      </c>
      <c r="AT24" s="161" t="str" cm="1">
        <f t="array" ref="AT24">IFERROR(LOOKUP(2,1/(Atualizações!$H$1:$H$2994=Tb_Mapa[[#This Row],[SEI]]&amp;Mapa!CM$3),Atualizações!$E$1:$E$2994),"NÃO")</f>
        <v>NÃO</v>
      </c>
      <c r="AU24" s="161" t="str" cm="1">
        <f t="array" ref="AU24">IFERROR(LOOKUP(2,1/(Atualizações!$H$1:$H$2994=Tb_Mapa[[#This Row],[SEI]]&amp;Mapa!CN$3),Atualizações!$E$1:$E$2994),"NÃO")</f>
        <v>NÃO</v>
      </c>
      <c r="AV24" s="161" t="str" cm="1">
        <f t="array" ref="AV24">IFERROR(LOOKUP(2,1/(Atualizações!$H$1:$H$2994=Tb_Mapa[[#This Row],[SEI]]&amp;Mapa!CO$3),Atualizações!$E$1:$E$2994),"NÃO")</f>
        <v>NÃO</v>
      </c>
      <c r="AW24" s="161" t="str" cm="1">
        <f t="array" ref="AW24">IFERROR(LOOKUP(2,1/(Atualizações!$H$1:$H$2994=Tb_Mapa[[#This Row],[SEI]]&amp;Mapa!CP$3),Atualizações!$E$1:$E$2994),"NÃO")</f>
        <v>NÃO</v>
      </c>
      <c r="AX24" s="161" t="str" cm="1">
        <f t="array" ref="AX24">IFERROR(LOOKUP(2,1/(Atualizações!$H$1:$H$2994=Tb_Mapa[[#This Row],[SEI]]&amp;Mapa!CQ$3),Atualizações!$E$1:$E$2994),"NÃO")</f>
        <v>NÃO</v>
      </c>
    </row>
    <row r="25" spans="2:50" ht="32.25" hidden="1" customHeight="1">
      <c r="B25" s="676" t="s">
        <v>878</v>
      </c>
      <c r="C25" s="158" t="str">
        <f>_xlfn.XLOOKUP(Tb_Mapa[[#This Row],[SEI]],Tb_Portfólio[SEI],Tb_Portfólio[Portfólio 2025],"",0)</f>
        <v>Sim</v>
      </c>
      <c r="D25" s="158" t="str">
        <f>_xlfn.XLOOKUP(Tb_Mapa[[#This Row],[SEI]],Tb_Portfólio[SEI],Tb_Portfólio[Portfólio 2026],"",0)</f>
        <v>Não</v>
      </c>
      <c r="E25" s="162" t="str">
        <f>_xlfn.XLOOKUP(Tb_Mapa[[#This Row],[SEI]],Tb_Portfólio[SEI],Tb_Portfólio[PROJETO],"",0)</f>
        <v>Adequação à Lei Geral de Proteção de Dados Pessoais</v>
      </c>
      <c r="F25" s="143" t="str">
        <f>INDEX(Projetos!$G$3:$G$129,MATCH(B25,Projetos!$A$3:$A$129,0))</f>
        <v>Valdirene Daufemback</v>
      </c>
      <c r="G25" s="160" t="s">
        <v>1710</v>
      </c>
      <c r="H25" s="166" t="str">
        <f>INDEX(Projetos!$T$3:$T$129,MATCH(B25,Projetos!$A$3:$A$129,0))</f>
        <v>Fazendo Justiça</v>
      </c>
      <c r="I25" s="310" t="str">
        <f>INDEX(Projetos!$M$3:$M$129,MATCH(Mapa!B89,Projetos!$A$3:$A$129,0))</f>
        <v>23/12/2026</v>
      </c>
      <c r="J25" s="164" t="str">
        <f>IF(Tb_Mapa[[#This Row],[SITUAÇÃO]]="Finalizado", "Data atualizada", IFERROR(IF(I25&lt;$CN$3,"Atualizar data de encerramento","Data atualizada"),"Sem informação"))</f>
        <v>Data atualizada</v>
      </c>
      <c r="K25" s="311">
        <f>INDEX(Projetos!$N$3:$N$129,MATCH(Tb_Mapa[[#This Row],[SEI]],Projetos!$A$3:$A$129,0))</f>
        <v>1</v>
      </c>
      <c r="L25" s="311">
        <f>INDEX(Projetos!$O$3:$O$129,MATCH(Tb_Mapa[[#This Row],[SEI]],Projetos!$A$3:$A$129,0))</f>
        <v>1</v>
      </c>
      <c r="M25" s="165" t="str">
        <f>_xlfn.XLOOKUP(Tb_Mapa[[#This Row],[SEI]],Tb_Portfólio[SEI],Tb_Portfólio[Situação],"N/A",0)</f>
        <v>Finalizado</v>
      </c>
      <c r="N25" s="161" t="str" cm="1">
        <f t="array" ref="N25">IFERROR(LOOKUP(2,1/(Atualizações!$H$1:$H$486=Mapa!$B89&amp;Mapa!BG$3),Atualizações!$E$1:$E$486),"NÃO")</f>
        <v>NÃO</v>
      </c>
      <c r="O25" s="161"/>
      <c r="P25" s="161"/>
      <c r="Q25" s="161"/>
      <c r="R25" s="161"/>
      <c r="S25" s="161"/>
      <c r="T25" s="161"/>
      <c r="U25" s="161"/>
      <c r="V25" s="161"/>
      <c r="W25" s="161"/>
      <c r="X25" s="161"/>
      <c r="Y25" s="161"/>
      <c r="Z25" s="161" cm="1">
        <f t="array" ref="Z25">IFERROR(LOOKUP(2,1/(Atualizações!$H$1:$H$1029=Mapa!$B89&amp;Mapa!BS$3),Atualizações!$E$1:$E$1029),"NÃO")</f>
        <v>0.71199999999999997</v>
      </c>
      <c r="AA25" s="161" cm="1">
        <f t="array" ref="AA25">IFERROR(LOOKUP(2,1/(Atualizações!$H$1:$H$1029=Mapa!$B89&amp;Mapa!BT$3),Atualizações!$E$1:$E$1029),"NÃO")</f>
        <v>0.72399999999999998</v>
      </c>
      <c r="AB25" s="161" cm="1">
        <f t="array" ref="AB25">IFERROR(LOOKUP(2,1/(Atualizações!$H$1:$H$1029=Mapa!$B89&amp;Mapa!BU$3),Atualizações!$E$1:$E$1029),"NÃO")</f>
        <v>0.75800000000000001</v>
      </c>
      <c r="AC25" s="161" cm="1">
        <f t="array" ref="AC25">IFERROR(LOOKUP(2,1/(Atualizações!$H$1:$H$1029=Mapa!$B89&amp;Mapa!BV$3),Atualizações!$E$1:$E$1029),"NÃO")</f>
        <v>0.76400000000000001</v>
      </c>
      <c r="AD25" s="161" cm="1">
        <f t="array" ref="AD25">IFERROR(LOOKUP(2,1/(Atualizações!$H$1:$H$1029=Mapa!$B89&amp;Mapa!BW$3),Atualizações!$E$1:$E$1029),"NÃO")</f>
        <v>0.66600000000000004</v>
      </c>
      <c r="AE25" s="161" cm="1">
        <f t="array" ref="AE25">IFERROR(LOOKUP(2,1/(Atualizações!$H$1:$H$1029=Mapa!$B89&amp;Mapa!BX$3),Atualizações!$E$1:$E$1029),"NÃO")</f>
        <v>0.68300000000000005</v>
      </c>
      <c r="AF25" s="161" cm="1">
        <f t="array" ref="AF25">IFERROR(LOOKUP(2,1/(Atualizações!$H$1:$H$1029=Mapa!$B89&amp;Mapa!BY$3),Atualizações!$E$1:$E$1029),"NÃO")</f>
        <v>0.72499999999999998</v>
      </c>
      <c r="AG25" s="161" cm="1">
        <f t="array" ref="AG25">IFERROR(LOOKUP(2,1/(Atualizações!$H$1:$H$1029=Mapa!$B89&amp;Mapa!BZ$3),Atualizações!$E$1:$E$1029),"NÃO")</f>
        <v>0.74</v>
      </c>
      <c r="AH25" s="161" cm="1">
        <f t="array" ref="AH25">IFERROR(LOOKUP(2,1/(Atualizações!$H$1:$H$1029=Mapa!$B89&amp;Mapa!CA$3),Atualizações!$E$1:$E$1029),"NÃO")</f>
        <v>0.89</v>
      </c>
      <c r="AI25" s="161" cm="1">
        <f t="array" ref="AI25">IFERROR(LOOKUP(2,1/(Atualizações!$H$1:$H$1029=Mapa!$B89&amp;Mapa!CB$3),Atualizações!$E$1:$E$1029),"NÃO")</f>
        <v>0.71</v>
      </c>
      <c r="AJ25" s="161" cm="1">
        <f t="array" ref="AJ25">IFERROR(LOOKUP(2,1/(Atualizações!$H$1:$H$1029=Mapa!$B89&amp;Mapa!CC$3),Atualizações!$E$1:$E$1029),"NÃO")</f>
        <v>0.7</v>
      </c>
      <c r="AK25" s="161" cm="1">
        <f t="array" ref="AK25">IFERROR(LOOKUP(2,1/(Atualizações!$H$1:$H$1029=Mapa!$B89&amp;Mapa!CD$3),Atualizações!$E$1:$E$1029),"NÃO")</f>
        <v>0.81</v>
      </c>
      <c r="AL25" s="161" cm="1">
        <f t="array" ref="AL25">IFERROR(LOOKUP(2,1/(Atualizações!$H$1:$H$1265=Mapa!$B89&amp;Mapa!CE$3),Atualizações!$E$1:$E$2994),"NÃO")</f>
        <v>0.73</v>
      </c>
      <c r="AM25" s="161" t="str" cm="1">
        <f t="array" ref="AM25">IFERROR(LOOKUP(2,1/(Atualizações!$H$1:$H$2994=Tb_Mapa[[#This Row],[SEI]]&amp;Mapa!CF$3),Atualizações!$E$1:$E$2994),"NÃO")</f>
        <v>NÃO</v>
      </c>
      <c r="AN25" s="161" t="str" cm="1">
        <f t="array" ref="AN25">IFERROR(LOOKUP(2,1/(Atualizações!$H$1:$H$2994=Tb_Mapa[[#This Row],[SEI]]&amp;Mapa!CG$3),Atualizações!$E$1:$E$2994),"NÃO")</f>
        <v>NÃO</v>
      </c>
      <c r="AO25" s="161" t="str" cm="1">
        <f t="array" ref="AO25">IFERROR(LOOKUP(2,1/(Atualizações!$H$1:$H$2994=Tb_Mapa[[#This Row],[SEI]]&amp;Mapa!CH$3),Atualizações!$E$1:$E$2994),"NÃO")</f>
        <v>NÃO</v>
      </c>
      <c r="AP25" s="161" t="str" cm="1">
        <f t="array" ref="AP25">IFERROR(LOOKUP(2,1/(Atualizações!$H$1:$H$2994=Tb_Mapa[[#This Row],[SEI]]&amp;Mapa!CI$3),Atualizações!$E$1:$E$2994),"NÃO")</f>
        <v>NÃO</v>
      </c>
      <c r="AQ25" s="161" t="str" cm="1">
        <f t="array" ref="AQ25">IFERROR(LOOKUP(2,1/(Atualizações!$H$1:$H$2994=Tb_Mapa[[#This Row],[SEI]]&amp;Mapa!CJ$3),Atualizações!$E$1:$E$2994),"NÃO")</f>
        <v>NÃO</v>
      </c>
      <c r="AR25" s="161" t="str" cm="1">
        <f t="array" ref="AR25">IFERROR(LOOKUP(2,1/(Atualizações!$H$1:$H$2994=Tb_Mapa[[#This Row],[SEI]]&amp;Mapa!CK$3),Atualizações!$E$1:$E$2994),"NÃO")</f>
        <v>NÃO</v>
      </c>
      <c r="AS25" s="161" t="str" cm="1">
        <f t="array" ref="AS25">IFERROR(LOOKUP(2,1/(Atualizações!$H$1:$H$2994=Tb_Mapa[[#This Row],[SEI]]&amp;Mapa!CL$3),Atualizações!$E$1:$E$2994),"NÃO")</f>
        <v>NÃO</v>
      </c>
      <c r="AT25" s="161" t="str" cm="1">
        <f t="array" ref="AT25">IFERROR(LOOKUP(2,1/(Atualizações!$H$1:$H$2994=Tb_Mapa[[#This Row],[SEI]]&amp;Mapa!CM$3),Atualizações!$E$1:$E$2994),"NÃO")</f>
        <v>NÃO</v>
      </c>
      <c r="AU25" s="161" t="str" cm="1">
        <f t="array" ref="AU25">IFERROR(LOOKUP(2,1/(Atualizações!$H$1:$H$2994=Tb_Mapa[[#This Row],[SEI]]&amp;Mapa!CN$3),Atualizações!$E$1:$E$2994),"NÃO")</f>
        <v>NÃO</v>
      </c>
      <c r="AV25" s="161" t="str" cm="1">
        <f t="array" ref="AV25">IFERROR(LOOKUP(2,1/(Atualizações!$H$1:$H$2994=Tb_Mapa[[#This Row],[SEI]]&amp;Mapa!CO$3),Atualizações!$E$1:$E$2994),"NÃO")</f>
        <v>NÃO</v>
      </c>
      <c r="AW25" s="161" t="str" cm="1">
        <f t="array" ref="AW25">IFERROR(LOOKUP(2,1/(Atualizações!$H$1:$H$2994=Tb_Mapa[[#This Row],[SEI]]&amp;Mapa!CP$3),Atualizações!$E$1:$E$2994),"NÃO")</f>
        <v>NÃO</v>
      </c>
      <c r="AX25" s="161" t="str" cm="1">
        <f t="array" ref="AX25">IFERROR(LOOKUP(2,1/(Atualizações!$H$1:$H$2994=Tb_Mapa[[#This Row],[SEI]]&amp;Mapa!CQ$3),Atualizações!$E$1:$E$2994),"NÃO")</f>
        <v>NÃO</v>
      </c>
    </row>
    <row r="26" spans="2:50" ht="32.25" hidden="1" customHeight="1">
      <c r="B26" s="676" t="s">
        <v>870</v>
      </c>
      <c r="C26" s="676" t="str">
        <f>_xlfn.XLOOKUP(Tb_Mapa[[#This Row],[SEI]],Tb_Portfólio[SEI],Tb_Portfólio[Portfólio 2025],"",0)</f>
        <v>Não</v>
      </c>
      <c r="D26" s="158" t="str">
        <f>_xlfn.XLOOKUP(Tb_Mapa[[#This Row],[SEI]],Tb_Portfólio[SEI],Tb_Portfólio[Portfólio 2026],"",0)</f>
        <v>Não</v>
      </c>
      <c r="E26" s="162" t="str">
        <f>_xlfn.XLOOKUP(Tb_Mapa[[#This Row],[SEI]],Tb_Portfólio[SEI],Tb_Portfólio[PROJETO],"",0)</f>
        <v>Grupo de Monitoramento e Fiscalização - GMF</v>
      </c>
      <c r="F26" s="143" t="str">
        <f>INDEX(Projetos!$G$3:$G$129,MATCH(B26,Projetos!$A$3:$A$129,0))</f>
        <v>Valdirene Daufemback</v>
      </c>
      <c r="G26" s="160" t="s">
        <v>1712</v>
      </c>
      <c r="H26" s="166" t="str">
        <f>INDEX(Projetos!$T$3:$T$129,MATCH(B26,Projetos!$A$3:$A$129,0))</f>
        <v>Fazendo Justiça</v>
      </c>
      <c r="I26" s="310">
        <f>INDEX(Projetos!$M$3:$M$129,MATCH(Mapa!B87,Projetos!$A$3:$A$129,0))</f>
        <v>45519</v>
      </c>
      <c r="J26" s="164" t="str">
        <f>IF(Tb_Mapa[[#This Row],[SITUAÇÃO]]="Finalizado", "Data atualizada", IFERROR(IF(I26&lt;$CN$3,"Atualizar data de encerramento","Data atualizada"),"Sem informação"))</f>
        <v>Data atualizada</v>
      </c>
      <c r="K26" s="311">
        <f>INDEX(Projetos!$N$3:$N$129,MATCH(Tb_Mapa[[#This Row],[SEI]],Projetos!$A$3:$A$129,0))</f>
        <v>1</v>
      </c>
      <c r="L26" s="311">
        <f>INDEX(Projetos!$O$3:$O$129,MATCH(Tb_Mapa[[#This Row],[SEI]],Projetos!$A$3:$A$129,0))</f>
        <v>1</v>
      </c>
      <c r="M26" s="165" t="str">
        <f>_xlfn.XLOOKUP(Tb_Mapa[[#This Row],[SEI]],Tb_Portfólio[SEI],Tb_Portfólio[Situação],"N/A",0)</f>
        <v>Finalizado</v>
      </c>
      <c r="N26" s="161" t="str" cm="1">
        <f t="array" ref="N26">IFERROR(LOOKUP(2,1/(Atualizações!$H$1:$H$486=Mapa!$B87&amp;Mapa!BG$3),Atualizações!$E$1:$E$486),"NÃO")</f>
        <v>NÃO</v>
      </c>
      <c r="O26" s="161"/>
      <c r="P26" s="161"/>
      <c r="Q26" s="161"/>
      <c r="R26" s="161"/>
      <c r="S26" s="161"/>
      <c r="T26" s="161"/>
      <c r="U26" s="161"/>
      <c r="V26" s="161"/>
      <c r="W26" s="161"/>
      <c r="X26" s="161"/>
      <c r="Y26" s="161"/>
      <c r="Z26" s="161" t="str" cm="1">
        <f t="array" ref="Z26">IFERROR(LOOKUP(2,1/(Atualizações!$H$1:$H$1029=Mapa!$B87&amp;Mapa!BS$3),Atualizações!$E$1:$E$1029),"NÃO")</f>
        <v>NÃO</v>
      </c>
      <c r="AA26" s="161" t="str" cm="1">
        <f t="array" ref="AA26">IFERROR(LOOKUP(2,1/(Atualizações!$H$1:$H$1029=Mapa!$B87&amp;Mapa!BT$3),Atualizações!$E$1:$E$1029),"NÃO")</f>
        <v>NÃO</v>
      </c>
      <c r="AB26" s="161" t="str" cm="1">
        <f t="array" ref="AB26">IFERROR(LOOKUP(2,1/(Atualizações!$H$1:$H$1029=Mapa!$B87&amp;Mapa!BU$3),Atualizações!$E$1:$E$1029),"NÃO")</f>
        <v>NÃO</v>
      </c>
      <c r="AC26" s="161" t="str" cm="1">
        <f t="array" ref="AC26">IFERROR(LOOKUP(2,1/(Atualizações!$H$1:$H$1029=Mapa!$B87&amp;Mapa!BV$3),Atualizações!$E$1:$E$1029),"NÃO")</f>
        <v>NÃO</v>
      </c>
      <c r="AD26" s="161" t="str" cm="1">
        <f t="array" ref="AD26">IFERROR(LOOKUP(2,1/(Atualizações!$H$1:$H$1029=Mapa!$B87&amp;Mapa!BW$3),Atualizações!$E$1:$E$1029),"NÃO")</f>
        <v>NÃO</v>
      </c>
      <c r="AE26" s="161" t="str" cm="1">
        <f t="array" ref="AE26">IFERROR(LOOKUP(2,1/(Atualizações!$H$1:$H$1029=Mapa!$B87&amp;Mapa!BX$3),Atualizações!$E$1:$E$1029),"NÃO")</f>
        <v>NÃO</v>
      </c>
      <c r="AF26" s="161" t="str" cm="1">
        <f t="array" ref="AF26">IFERROR(LOOKUP(2,1/(Atualizações!$H$1:$H$1029=Mapa!$B87&amp;Mapa!BY$3),Atualizações!$E$1:$E$1029),"NÃO")</f>
        <v>NÃO</v>
      </c>
      <c r="AG26" s="161" t="str" cm="1">
        <f t="array" ref="AG26">IFERROR(LOOKUP(2,1/(Atualizações!$H$1:$H$1029=Mapa!$B87&amp;Mapa!BZ$3),Atualizações!$E$1:$E$1029),"NÃO")</f>
        <v>NÃO</v>
      </c>
      <c r="AH26" s="161" t="str" cm="1">
        <f t="array" ref="AH26">IFERROR(LOOKUP(2,1/(Atualizações!$H$1:$H$1029=Mapa!$B87&amp;Mapa!CA$3),Atualizações!$E$1:$E$1029),"NÃO")</f>
        <v>NÃO</v>
      </c>
      <c r="AI26" s="161" t="str" cm="1">
        <f t="array" ref="AI26">IFERROR(LOOKUP(2,1/(Atualizações!$H$1:$H$1029=Mapa!$B87&amp;Mapa!CB$3),Atualizações!$E$1:$E$1029),"NÃO")</f>
        <v>NÃO</v>
      </c>
      <c r="AJ26" s="161" t="str" cm="1">
        <f t="array" ref="AJ26">IFERROR(LOOKUP(2,1/(Atualizações!$H$1:$H$1029=Mapa!$B87&amp;Mapa!CC$3),Atualizações!$E$1:$E$1029),"NÃO")</f>
        <v>NÃO</v>
      </c>
      <c r="AK26" s="161" t="str" cm="1">
        <f t="array" ref="AK26">IFERROR(LOOKUP(2,1/(Atualizações!$H$1:$H$1029=Mapa!$B87&amp;Mapa!CD$3),Atualizações!$E$1:$E$1029),"NÃO")</f>
        <v>NÃO</v>
      </c>
      <c r="AL26" s="161" t="str" cm="1">
        <f t="array" ref="AL26">IFERROR(LOOKUP(2,1/(Atualizações!$H$1:$H$1265=Mapa!$B87&amp;Mapa!CE$3),Atualizações!$E$1:$E$2994),"NÃO")</f>
        <v>NÃO</v>
      </c>
      <c r="AM26" s="161" t="str" cm="1">
        <f t="array" ref="AM26">IFERROR(LOOKUP(2,1/(Atualizações!$H$1:$H$2994=Tb_Mapa[[#This Row],[SEI]]&amp;Mapa!CF$3),Atualizações!$E$1:$E$2994),"NÃO")</f>
        <v>NÃO</v>
      </c>
      <c r="AN26" s="161" t="str" cm="1">
        <f t="array" ref="AN26">IFERROR(LOOKUP(2,1/(Atualizações!$H$1:$H$2994=Tb_Mapa[[#This Row],[SEI]]&amp;Mapa!CG$3),Atualizações!$E$1:$E$2994),"NÃO")</f>
        <v>NÃO</v>
      </c>
      <c r="AO26" s="161" t="str" cm="1">
        <f t="array" ref="AO26">IFERROR(LOOKUP(2,1/(Atualizações!$H$1:$H$2994=Tb_Mapa[[#This Row],[SEI]]&amp;Mapa!CH$3),Atualizações!$E$1:$E$2994),"NÃO")</f>
        <v>NÃO</v>
      </c>
      <c r="AP26" s="161" t="str" cm="1">
        <f t="array" ref="AP26">IFERROR(LOOKUP(2,1/(Atualizações!$H$1:$H$2994=Tb_Mapa[[#This Row],[SEI]]&amp;Mapa!CI$3),Atualizações!$E$1:$E$2994),"NÃO")</f>
        <v>NÃO</v>
      </c>
      <c r="AQ26" s="161" t="str" cm="1">
        <f t="array" ref="AQ26">IFERROR(LOOKUP(2,1/(Atualizações!$H$1:$H$2994=Tb_Mapa[[#This Row],[SEI]]&amp;Mapa!CJ$3),Atualizações!$E$1:$E$2994),"NÃO")</f>
        <v>NÃO</v>
      </c>
      <c r="AR26" s="161" t="str" cm="1">
        <f t="array" ref="AR26">IFERROR(LOOKUP(2,1/(Atualizações!$H$1:$H$2994=Tb_Mapa[[#This Row],[SEI]]&amp;Mapa!CK$3),Atualizações!$E$1:$E$2994),"NÃO")</f>
        <v>NÃO</v>
      </c>
      <c r="AS26" s="161" t="str" cm="1">
        <f t="array" ref="AS26">IFERROR(LOOKUP(2,1/(Atualizações!$H$1:$H$2994=Tb_Mapa[[#This Row],[SEI]]&amp;Mapa!CL$3),Atualizações!$E$1:$E$2994),"NÃO")</f>
        <v>NÃO</v>
      </c>
      <c r="AT26" s="161" t="str" cm="1">
        <f t="array" ref="AT26">IFERROR(LOOKUP(2,1/(Atualizações!$H$1:$H$2994=Tb_Mapa[[#This Row],[SEI]]&amp;Mapa!CM$3),Atualizações!$E$1:$E$2994),"NÃO")</f>
        <v>NÃO</v>
      </c>
      <c r="AU26" s="161" t="str" cm="1">
        <f t="array" ref="AU26">IFERROR(LOOKUP(2,1/(Atualizações!$H$1:$H$2994=Tb_Mapa[[#This Row],[SEI]]&amp;Mapa!CN$3),Atualizações!$E$1:$E$2994),"NÃO")</f>
        <v>NÃO</v>
      </c>
      <c r="AV26" s="161" t="str" cm="1">
        <f t="array" ref="AV26">IFERROR(LOOKUP(2,1/(Atualizações!$H$1:$H$2994=Tb_Mapa[[#This Row],[SEI]]&amp;Mapa!CO$3),Atualizações!$E$1:$E$2994),"NÃO")</f>
        <v>NÃO</v>
      </c>
      <c r="AW26" s="161" t="str" cm="1">
        <f t="array" ref="AW26">IFERROR(LOOKUP(2,1/(Atualizações!$H$1:$H$2994=Tb_Mapa[[#This Row],[SEI]]&amp;Mapa!CP$3),Atualizações!$E$1:$E$2994),"NÃO")</f>
        <v>NÃO</v>
      </c>
      <c r="AX26" s="161" t="str" cm="1">
        <f t="array" ref="AX26">IFERROR(LOOKUP(2,1/(Atualizações!$H$1:$H$2994=Tb_Mapa[[#This Row],[SEI]]&amp;Mapa!CQ$3),Atualizações!$E$1:$E$2994),"NÃO")</f>
        <v>NÃO</v>
      </c>
    </row>
    <row r="27" spans="2:50" ht="32.25" hidden="1" customHeight="1">
      <c r="B27" s="676" t="s">
        <v>861</v>
      </c>
      <c r="C27" s="676" t="str">
        <f>_xlfn.XLOOKUP(Tb_Mapa[[#This Row],[SEI]],Tb_Portfólio[SEI],Tb_Portfólio[Portfólio 2025],"",0)</f>
        <v>Não</v>
      </c>
      <c r="D27" s="158" t="str">
        <f>_xlfn.XLOOKUP(Tb_Mapa[[#This Row],[SEI]],Tb_Portfólio[SEI],Tb_Portfólio[Portfólio 2026],"",0)</f>
        <v>Não</v>
      </c>
      <c r="E27" s="162" t="str">
        <f>_xlfn.XLOOKUP(Tb_Mapa[[#This Row],[SEI]],Tb_Portfólio[SEI],Tb_Portfólio[PROJETO],"",0)</f>
        <v>Documentação Civil</v>
      </c>
      <c r="F27" s="143" t="str">
        <f>INDEX(Projetos!$G$3:$G$129,MATCH(B27,Projetos!$A$3:$A$129,0))</f>
        <v>Valdirene Daufemback</v>
      </c>
      <c r="G27" s="160" t="s">
        <v>1712</v>
      </c>
      <c r="H27" s="166" t="str">
        <f>INDEX(Projetos!$T$3:$T$129,MATCH(B27,Projetos!$A$3:$A$129,0))</f>
        <v>Fazendo Justiça</v>
      </c>
      <c r="I27" s="310">
        <f>INDEX(Projetos!$M$3:$M$129,MATCH(Mapa!B85,Projetos!$A$3:$A$129,0))</f>
        <v>45291</v>
      </c>
      <c r="J27" s="164" t="str">
        <f>IF(Tb_Mapa[[#This Row],[SITUAÇÃO]]="Finalizado", "Data atualizada", IFERROR(IF(I27&lt;$CN$3,"Atualizar data de encerramento","Data atualizada"),"Sem informação"))</f>
        <v>Data atualizada</v>
      </c>
      <c r="K27" s="311">
        <f>INDEX(Projetos!$N$3:$N$129,MATCH(Tb_Mapa[[#This Row],[SEI]],Projetos!$A$3:$A$129,0))</f>
        <v>1</v>
      </c>
      <c r="L27" s="311">
        <f>INDEX(Projetos!$O$3:$O$129,MATCH(Tb_Mapa[[#This Row],[SEI]],Projetos!$A$3:$A$129,0))</f>
        <v>1</v>
      </c>
      <c r="M27" s="165" t="str">
        <f>_xlfn.XLOOKUP(Tb_Mapa[[#This Row],[SEI]],Tb_Portfólio[SEI],Tb_Portfólio[Situação],"N/A",0)</f>
        <v>Finalizado</v>
      </c>
      <c r="N27" s="161" t="str" cm="1">
        <f t="array" ref="N27">IFERROR(LOOKUP(2,1/(Atualizações!$H$1:$H$486=Mapa!$B85&amp;Mapa!BG$3),Atualizações!$E$1:$E$486),"NÃO")</f>
        <v>NÃO</v>
      </c>
      <c r="O27" s="161"/>
      <c r="P27" s="161"/>
      <c r="Q27" s="161"/>
      <c r="R27" s="161"/>
      <c r="S27" s="161"/>
      <c r="T27" s="161"/>
      <c r="U27" s="161"/>
      <c r="V27" s="161"/>
      <c r="W27" s="161"/>
      <c r="X27" s="161"/>
      <c r="Y27" s="161"/>
      <c r="Z27" s="161" t="str" cm="1">
        <f t="array" ref="Z27">IFERROR(LOOKUP(2,1/(Atualizações!$H$1:$H$1029=Mapa!$B85&amp;Mapa!BS$3),Atualizações!$E$1:$E$1029),"NÃO")</f>
        <v>NÃO</v>
      </c>
      <c r="AA27" s="161" t="str" cm="1">
        <f t="array" ref="AA27">IFERROR(LOOKUP(2,1/(Atualizações!$H$1:$H$1029=Mapa!$B85&amp;Mapa!BT$3),Atualizações!$E$1:$E$1029),"NÃO")</f>
        <v>NÃO</v>
      </c>
      <c r="AB27" s="161" t="str" cm="1">
        <f t="array" ref="AB27">IFERROR(LOOKUP(2,1/(Atualizações!$H$1:$H$1029=Mapa!$B85&amp;Mapa!BU$3),Atualizações!$E$1:$E$1029),"NÃO")</f>
        <v>NÃO</v>
      </c>
      <c r="AC27" s="161" t="str" cm="1">
        <f t="array" ref="AC27">IFERROR(LOOKUP(2,1/(Atualizações!$H$1:$H$1029=Mapa!$B85&amp;Mapa!BV$3),Atualizações!$E$1:$E$1029),"NÃO")</f>
        <v>NÃO</v>
      </c>
      <c r="AD27" s="161" t="str" cm="1">
        <f t="array" ref="AD27">IFERROR(LOOKUP(2,1/(Atualizações!$H$1:$H$1029=Mapa!$B85&amp;Mapa!BW$3),Atualizações!$E$1:$E$1029),"NÃO")</f>
        <v>NÃO</v>
      </c>
      <c r="AE27" s="161" t="str" cm="1">
        <f t="array" ref="AE27">IFERROR(LOOKUP(2,1/(Atualizações!$H$1:$H$1029=Mapa!$B85&amp;Mapa!BX$3),Atualizações!$E$1:$E$1029),"NÃO")</f>
        <v>NÃO</v>
      </c>
      <c r="AF27" s="161" t="str" cm="1">
        <f t="array" ref="AF27">IFERROR(LOOKUP(2,1/(Atualizações!$H$1:$H$1029=Mapa!$B85&amp;Mapa!BY$3),Atualizações!$E$1:$E$1029),"NÃO")</f>
        <v>NÃO</v>
      </c>
      <c r="AG27" s="161" t="str" cm="1">
        <f t="array" ref="AG27">IFERROR(LOOKUP(2,1/(Atualizações!$H$1:$H$1029=Mapa!$B85&amp;Mapa!BZ$3),Atualizações!$E$1:$E$1029),"NÃO")</f>
        <v>NÃO</v>
      </c>
      <c r="AH27" s="161" t="str" cm="1">
        <f t="array" ref="AH27">IFERROR(LOOKUP(2,1/(Atualizações!$H$1:$H$1029=Mapa!$B85&amp;Mapa!CA$3),Atualizações!$E$1:$E$1029),"NÃO")</f>
        <v>NÃO</v>
      </c>
      <c r="AI27" s="161" t="str" cm="1">
        <f t="array" ref="AI27">IFERROR(LOOKUP(2,1/(Atualizações!$H$1:$H$1029=Mapa!$B85&amp;Mapa!CB$3),Atualizações!$E$1:$E$1029),"NÃO")</f>
        <v>NÃO</v>
      </c>
      <c r="AJ27" s="161" t="str" cm="1">
        <f t="array" ref="AJ27">IFERROR(LOOKUP(2,1/(Atualizações!$H$1:$H$1029=Mapa!$B85&amp;Mapa!CC$3),Atualizações!$E$1:$E$1029),"NÃO")</f>
        <v>NÃO</v>
      </c>
      <c r="AK27" s="161" t="str" cm="1">
        <f t="array" ref="AK27">IFERROR(LOOKUP(2,1/(Atualizações!$H$1:$H$1029=Mapa!$B85&amp;Mapa!CD$3),Atualizações!$E$1:$E$1029),"NÃO")</f>
        <v>NÃO</v>
      </c>
      <c r="AL27" s="161" t="str" cm="1">
        <f t="array" ref="AL27">IFERROR(LOOKUP(2,1/(Atualizações!$H$1:$H$1265=Mapa!$B85&amp;Mapa!CE$3),Atualizações!$E$1:$E$2994),"NÃO")</f>
        <v>NÃO</v>
      </c>
      <c r="AM27" s="161" t="str" cm="1">
        <f t="array" ref="AM27">IFERROR(LOOKUP(2,1/(Atualizações!$H$1:$H$2994=Tb_Mapa[[#This Row],[SEI]]&amp;Mapa!CF$3),Atualizações!$E$1:$E$2994),"NÃO")</f>
        <v>NÃO</v>
      </c>
      <c r="AN27" s="161" t="str" cm="1">
        <f t="array" ref="AN27">IFERROR(LOOKUP(2,1/(Atualizações!$H$1:$H$2994=Tb_Mapa[[#This Row],[SEI]]&amp;Mapa!CG$3),Atualizações!$E$1:$E$2994),"NÃO")</f>
        <v>NÃO</v>
      </c>
      <c r="AO27" s="161" t="str" cm="1">
        <f t="array" ref="AO27">IFERROR(LOOKUP(2,1/(Atualizações!$H$1:$H$2994=Tb_Mapa[[#This Row],[SEI]]&amp;Mapa!CH$3),Atualizações!$E$1:$E$2994),"NÃO")</f>
        <v>NÃO</v>
      </c>
      <c r="AP27" s="161" t="str" cm="1">
        <f t="array" ref="AP27">IFERROR(LOOKUP(2,1/(Atualizações!$H$1:$H$2994=Tb_Mapa[[#This Row],[SEI]]&amp;Mapa!CI$3),Atualizações!$E$1:$E$2994),"NÃO")</f>
        <v>NÃO</v>
      </c>
      <c r="AQ27" s="161" t="str" cm="1">
        <f t="array" ref="AQ27">IFERROR(LOOKUP(2,1/(Atualizações!$H$1:$H$2994=Tb_Mapa[[#This Row],[SEI]]&amp;Mapa!CJ$3),Atualizações!$E$1:$E$2994),"NÃO")</f>
        <v>NÃO</v>
      </c>
      <c r="AR27" s="161" t="str" cm="1">
        <f t="array" ref="AR27">IFERROR(LOOKUP(2,1/(Atualizações!$H$1:$H$2994=Tb_Mapa[[#This Row],[SEI]]&amp;Mapa!CK$3),Atualizações!$E$1:$E$2994),"NÃO")</f>
        <v>NÃO</v>
      </c>
      <c r="AS27" s="161" t="str" cm="1">
        <f t="array" ref="AS27">IFERROR(LOOKUP(2,1/(Atualizações!$H$1:$H$2994=Tb_Mapa[[#This Row],[SEI]]&amp;Mapa!CL$3),Atualizações!$E$1:$E$2994),"NÃO")</f>
        <v>NÃO</v>
      </c>
      <c r="AT27" s="161" t="str" cm="1">
        <f t="array" ref="AT27">IFERROR(LOOKUP(2,1/(Atualizações!$H$1:$H$2994=Tb_Mapa[[#This Row],[SEI]]&amp;Mapa!CM$3),Atualizações!$E$1:$E$2994),"NÃO")</f>
        <v>NÃO</v>
      </c>
      <c r="AU27" s="161" t="str" cm="1">
        <f t="array" ref="AU27">IFERROR(LOOKUP(2,1/(Atualizações!$H$1:$H$2994=Tb_Mapa[[#This Row],[SEI]]&amp;Mapa!CN$3),Atualizações!$E$1:$E$2994),"NÃO")</f>
        <v>NÃO</v>
      </c>
      <c r="AV27" s="161" t="str" cm="1">
        <f t="array" ref="AV27">IFERROR(LOOKUP(2,1/(Atualizações!$H$1:$H$2994=Tb_Mapa[[#This Row],[SEI]]&amp;Mapa!CO$3),Atualizações!$E$1:$E$2994),"NÃO")</f>
        <v>NÃO</v>
      </c>
      <c r="AW27" s="161" t="str" cm="1">
        <f t="array" ref="AW27">IFERROR(LOOKUP(2,1/(Atualizações!$H$1:$H$2994=Tb_Mapa[[#This Row],[SEI]]&amp;Mapa!CP$3),Atualizações!$E$1:$E$2994),"NÃO")</f>
        <v>NÃO</v>
      </c>
      <c r="AX27" s="161" t="str" cm="1">
        <f t="array" ref="AX27">IFERROR(LOOKUP(2,1/(Atualizações!$H$1:$H$2994=Tb_Mapa[[#This Row],[SEI]]&amp;Mapa!CQ$3),Atualizações!$E$1:$E$2994),"NÃO")</f>
        <v>NÃO</v>
      </c>
    </row>
    <row r="28" spans="2:50" ht="32.25" hidden="1" customHeight="1">
      <c r="B28" s="676" t="s">
        <v>857</v>
      </c>
      <c r="C28" s="676" t="str">
        <f>_xlfn.XLOOKUP(Tb_Mapa[[#This Row],[SEI]],Tb_Portfólio[SEI],Tb_Portfólio[Portfólio 2025],"",0)</f>
        <v>Não</v>
      </c>
      <c r="D28" s="158" t="str">
        <f>_xlfn.XLOOKUP(Tb_Mapa[[#This Row],[SEI]],Tb_Portfólio[SEI],Tb_Portfólio[Portfólio 2026],"",0)</f>
        <v>Não</v>
      </c>
      <c r="E28" s="162" t="str">
        <f>_xlfn.XLOOKUP(Tb_Mapa[[#This Row],[SEI]],Tb_Portfólio[SEI],Tb_Portfólio[PROJETO],"",0)</f>
        <v>Políticas de Drogas</v>
      </c>
      <c r="F28" s="143" t="str">
        <f>INDEX(Projetos!$G$3:$G$129,MATCH(B28,Projetos!$A$3:$A$129,0))</f>
        <v>Valdirene Daufemback</v>
      </c>
      <c r="G28" s="160" t="s">
        <v>1712</v>
      </c>
      <c r="H28" s="166" t="str">
        <f>INDEX(Projetos!$T$3:$T$129,MATCH(B28,Projetos!$A$3:$A$129,0))</f>
        <v>Fazendo Justiça</v>
      </c>
      <c r="I28" s="310">
        <f>INDEX(Projetos!$M$3:$M$129,MATCH(Mapa!B84,Projetos!$A$3:$A$129,0))</f>
        <v>46371</v>
      </c>
      <c r="J28" s="164" t="str">
        <f>IF(Tb_Mapa[[#This Row],[SITUAÇÃO]]="Finalizado", "Data atualizada", IFERROR(IF(I28&lt;$CN$3,"Atualizar data de encerramento","Data atualizada"),"Sem informação"))</f>
        <v>Data atualizada</v>
      </c>
      <c r="K28" s="311">
        <f>INDEX(Projetos!$N$3:$N$129,MATCH(Tb_Mapa[[#This Row],[SEI]],Projetos!$A$3:$A$129,0))</f>
        <v>1</v>
      </c>
      <c r="L28" s="311">
        <f>INDEX(Projetos!$O$3:$O$129,MATCH(Tb_Mapa[[#This Row],[SEI]],Projetos!$A$3:$A$129,0))</f>
        <v>1</v>
      </c>
      <c r="M28" s="165" t="str">
        <f>_xlfn.XLOOKUP(Tb_Mapa[[#This Row],[SEI]],Tb_Portfólio[SEI],Tb_Portfólio[Situação],"N/A",0)</f>
        <v>Finalizado</v>
      </c>
      <c r="N28" s="161" t="str" cm="1">
        <f t="array" ref="N28">IFERROR(LOOKUP(2,1/(Atualizações!$H$1:$H$486=Mapa!$B84&amp;Mapa!BG$3),Atualizações!$E$1:$E$486),"NÃO")</f>
        <v>NÃO</v>
      </c>
      <c r="O28" s="161"/>
      <c r="P28" s="161"/>
      <c r="Q28" s="161"/>
      <c r="R28" s="161"/>
      <c r="S28" s="161"/>
      <c r="T28" s="161"/>
      <c r="U28" s="161"/>
      <c r="V28" s="161"/>
      <c r="W28" s="161"/>
      <c r="X28" s="161"/>
      <c r="Y28" s="161"/>
      <c r="Z28" s="161" t="str" cm="1">
        <f t="array" ref="Z28">IFERROR(LOOKUP(2,1/(Atualizações!$H$1:$H$1029=Mapa!$B84&amp;Mapa!BS$3),Atualizações!$E$1:$E$1029),"NÃO")</f>
        <v>NÃO</v>
      </c>
      <c r="AA28" s="161" t="str" cm="1">
        <f t="array" ref="AA28">IFERROR(LOOKUP(2,1/(Atualizações!$H$1:$H$1029=Mapa!$B84&amp;Mapa!BT$3),Atualizações!$E$1:$E$1029),"NÃO")</f>
        <v>NÃO</v>
      </c>
      <c r="AB28" s="161" t="str" cm="1">
        <f t="array" ref="AB28">IFERROR(LOOKUP(2,1/(Atualizações!$H$1:$H$1029=Mapa!$B84&amp;Mapa!BU$3),Atualizações!$E$1:$E$1029),"NÃO")</f>
        <v>NÃO</v>
      </c>
      <c r="AC28" s="161" t="str" cm="1">
        <f t="array" ref="AC28">IFERROR(LOOKUP(2,1/(Atualizações!$H$1:$H$1029=Mapa!$B84&amp;Mapa!BV$3),Atualizações!$E$1:$E$1029),"NÃO")</f>
        <v>NÃO</v>
      </c>
      <c r="AD28" s="161" cm="1">
        <f t="array" ref="AD28">IFERROR(LOOKUP(2,1/(Atualizações!$H$1:$H$1029=Mapa!$B84&amp;Mapa!BW$3),Atualizações!$E$1:$E$1029),"NÃO")</f>
        <v>0.44</v>
      </c>
      <c r="AE28" s="161" cm="1">
        <f t="array" ref="AE28">IFERROR(LOOKUP(2,1/(Atualizações!$H$1:$H$1029=Mapa!$B84&amp;Mapa!BX$3),Atualizações!$E$1:$E$1029),"NÃO")</f>
        <v>0.73899999999999999</v>
      </c>
      <c r="AF28" s="161" cm="1">
        <f t="array" ref="AF28">IFERROR(LOOKUP(2,1/(Atualizações!$H$1:$H$1029=Mapa!$B84&amp;Mapa!BY$3),Atualizações!$E$1:$E$1029),"NÃO")</f>
        <v>0.83599999999999997</v>
      </c>
      <c r="AG28" s="161" cm="1">
        <f t="array" ref="AG28">IFERROR(LOOKUP(2,1/(Atualizações!$H$1:$H$1029=Mapa!$B84&amp;Mapa!BZ$3),Atualizações!$E$1:$E$1029),"NÃO")</f>
        <v>0.84599999999999997</v>
      </c>
      <c r="AH28" s="161" cm="1">
        <f t="array" ref="AH28">IFERROR(LOOKUP(2,1/(Atualizações!$H$1:$H$1029=Mapa!$B84&amp;Mapa!CA$3),Atualizações!$E$1:$E$1029),"NÃO")</f>
        <v>0.51</v>
      </c>
      <c r="AI28" s="161" cm="1">
        <f t="array" ref="AI28">IFERROR(LOOKUP(2,1/(Atualizações!$H$1:$H$1029=Mapa!$B84&amp;Mapa!CB$3),Atualizações!$E$1:$E$1029),"NÃO")</f>
        <v>0.41</v>
      </c>
      <c r="AJ28" s="161" cm="1">
        <f t="array" ref="AJ28">IFERROR(LOOKUP(2,1/(Atualizações!$H$1:$H$1029=Mapa!$B84&amp;Mapa!CC$3),Atualizações!$E$1:$E$1029),"NÃO")</f>
        <v>0.53</v>
      </c>
      <c r="AK28" s="161" t="str" cm="1">
        <f t="array" ref="AK28">IFERROR(LOOKUP(2,1/(Atualizações!$H$1:$H$1029=Mapa!$B84&amp;Mapa!CD$3),Atualizações!$E$1:$E$1029),"NÃO")</f>
        <v>NÃO</v>
      </c>
      <c r="AL28" s="161" cm="1">
        <f t="array" ref="AL28">IFERROR(LOOKUP(2,1/(Atualizações!$H$1:$H$1265=Mapa!$B84&amp;Mapa!CE$3),Atualizações!$E$1:$E$2994),"NÃO")</f>
        <v>0.7</v>
      </c>
      <c r="AM28" s="161" t="str" cm="1">
        <f t="array" ref="AM28">IFERROR(LOOKUP(2,1/(Atualizações!$H$1:$H$2994=Tb_Mapa[[#This Row],[SEI]]&amp;Mapa!CF$3),Atualizações!$E$1:$E$2994),"NÃO")</f>
        <v>NÃO</v>
      </c>
      <c r="AN28" s="161" t="str" cm="1">
        <f t="array" ref="AN28">IFERROR(LOOKUP(2,1/(Atualizações!$H$1:$H$2994=Tb_Mapa[[#This Row],[SEI]]&amp;Mapa!CG$3),Atualizações!$E$1:$E$2994),"NÃO")</f>
        <v>NÃO</v>
      </c>
      <c r="AO28" s="161" t="str" cm="1">
        <f t="array" ref="AO28">IFERROR(LOOKUP(2,1/(Atualizações!$H$1:$H$2994=Tb_Mapa[[#This Row],[SEI]]&amp;Mapa!CH$3),Atualizações!$E$1:$E$2994),"NÃO")</f>
        <v>NÃO</v>
      </c>
      <c r="AP28" s="161" t="str" cm="1">
        <f t="array" ref="AP28">IFERROR(LOOKUP(2,1/(Atualizações!$H$1:$H$2994=Tb_Mapa[[#This Row],[SEI]]&amp;Mapa!CI$3),Atualizações!$E$1:$E$2994),"NÃO")</f>
        <v>NÃO</v>
      </c>
      <c r="AQ28" s="161" t="str" cm="1">
        <f t="array" ref="AQ28">IFERROR(LOOKUP(2,1/(Atualizações!$H$1:$H$2994=Tb_Mapa[[#This Row],[SEI]]&amp;Mapa!CJ$3),Atualizações!$E$1:$E$2994),"NÃO")</f>
        <v>NÃO</v>
      </c>
      <c r="AR28" s="161" t="str" cm="1">
        <f t="array" ref="AR28">IFERROR(LOOKUP(2,1/(Atualizações!$H$1:$H$2994=Tb_Mapa[[#This Row],[SEI]]&amp;Mapa!CK$3),Atualizações!$E$1:$E$2994),"NÃO")</f>
        <v>NÃO</v>
      </c>
      <c r="AS28" s="161" t="str" cm="1">
        <f t="array" ref="AS28">IFERROR(LOOKUP(2,1/(Atualizações!$H$1:$H$2994=Tb_Mapa[[#This Row],[SEI]]&amp;Mapa!CL$3),Atualizações!$E$1:$E$2994),"NÃO")</f>
        <v>NÃO</v>
      </c>
      <c r="AT28" s="161" t="str" cm="1">
        <f t="array" ref="AT28">IFERROR(LOOKUP(2,1/(Atualizações!$H$1:$H$2994=Tb_Mapa[[#This Row],[SEI]]&amp;Mapa!CM$3),Atualizações!$E$1:$E$2994),"NÃO")</f>
        <v>NÃO</v>
      </c>
      <c r="AU28" s="161" t="str" cm="1">
        <f t="array" ref="AU28">IFERROR(LOOKUP(2,1/(Atualizações!$H$1:$H$2994=Tb_Mapa[[#This Row],[SEI]]&amp;Mapa!CN$3),Atualizações!$E$1:$E$2994),"NÃO")</f>
        <v>NÃO</v>
      </c>
      <c r="AV28" s="161" t="str" cm="1">
        <f t="array" ref="AV28">IFERROR(LOOKUP(2,1/(Atualizações!$H$1:$H$2994=Tb_Mapa[[#This Row],[SEI]]&amp;Mapa!CO$3),Atualizações!$E$1:$E$2994),"NÃO")</f>
        <v>NÃO</v>
      </c>
      <c r="AW28" s="161" t="str" cm="1">
        <f t="array" ref="AW28">IFERROR(LOOKUP(2,1/(Atualizações!$H$1:$H$2994=Tb_Mapa[[#This Row],[SEI]]&amp;Mapa!CP$3),Atualizações!$E$1:$E$2994),"NÃO")</f>
        <v>NÃO</v>
      </c>
      <c r="AX28" s="161" t="str" cm="1">
        <f t="array" ref="AX28">IFERROR(LOOKUP(2,1/(Atualizações!$H$1:$H$2994=Tb_Mapa[[#This Row],[SEI]]&amp;Mapa!CQ$3),Atualizações!$E$1:$E$2994),"NÃO")</f>
        <v>NÃO</v>
      </c>
    </row>
    <row r="29" spans="2:50" ht="32.1" hidden="1" customHeight="1">
      <c r="B29" s="676" t="s">
        <v>853</v>
      </c>
      <c r="C29" s="676" t="str">
        <f>_xlfn.XLOOKUP(Tb_Mapa[[#This Row],[SEI]],Tb_Portfólio[SEI],Tb_Portfólio[Portfólio 2025],"",0)</f>
        <v>Não</v>
      </c>
      <c r="D29" s="158" t="str">
        <f>_xlfn.XLOOKUP(Tb_Mapa[[#This Row],[SEI]],Tb_Portfólio[SEI],Tb_Portfólio[Portfólio 2026],"",0)</f>
        <v>Não</v>
      </c>
      <c r="E29" s="162" t="str">
        <f>_xlfn.XLOOKUP(Tb_Mapa[[#This Row],[SEI]],Tb_Portfólio[SEI],Tb_Portfólio[PROJETO],"",0)</f>
        <v>Saúde Mental</v>
      </c>
      <c r="F29" s="143" t="str">
        <f>INDEX(Projetos!$G$3:$G$129,MATCH(B29,Projetos!$A$3:$A$129,0))</f>
        <v>Valdirene Daufemback</v>
      </c>
      <c r="G29" s="160" t="s">
        <v>1712</v>
      </c>
      <c r="H29" s="166" t="str">
        <f>INDEX(Projetos!$T$3:$T$129,MATCH(B29,Projetos!$A$3:$A$129,0))</f>
        <v>Fazendo Justiça</v>
      </c>
      <c r="I29" s="310">
        <f>INDEX(Projetos!$M$3:$M$129,MATCH(Mapa!B83,Projetos!$A$3:$A$129,0))</f>
        <v>45565</v>
      </c>
      <c r="J29" s="164" t="str">
        <f>IF(Tb_Mapa[[#This Row],[SITUAÇÃO]]="Finalizado", "Data atualizada", IFERROR(IF(I29&lt;$CN$3,"Atualizar data de encerramento","Data atualizada"),"Sem informação"))</f>
        <v>Data atualizada</v>
      </c>
      <c r="K29" s="311">
        <f>INDEX(Projetos!$N$3:$N$129,MATCH(Tb_Mapa[[#This Row],[SEI]],Projetos!$A$3:$A$129,0))</f>
        <v>1</v>
      </c>
      <c r="L29" s="311">
        <f>INDEX(Projetos!$O$3:$O$129,MATCH(Tb_Mapa[[#This Row],[SEI]],Projetos!$A$3:$A$129,0))</f>
        <v>1</v>
      </c>
      <c r="M29" s="165" t="str">
        <f>_xlfn.XLOOKUP(Tb_Mapa[[#This Row],[SEI]],Tb_Portfólio[SEI],Tb_Portfólio[Situação],"N/A",0)</f>
        <v>Finalizado</v>
      </c>
      <c r="N29" s="161" t="str" cm="1">
        <f t="array" ref="N29">IFERROR(LOOKUP(2,1/(Atualizações!$H$1:$H$486=Mapa!$B83&amp;Mapa!BG$3),Atualizações!$E$1:$E$486),"NÃO")</f>
        <v>NÃO</v>
      </c>
      <c r="O29" s="161"/>
      <c r="P29" s="161"/>
      <c r="Q29" s="161"/>
      <c r="R29" s="161"/>
      <c r="S29" s="161"/>
      <c r="T29" s="161"/>
      <c r="U29" s="161"/>
      <c r="V29" s="161"/>
      <c r="W29" s="161"/>
      <c r="X29" s="161"/>
      <c r="Y29" s="161"/>
      <c r="Z29" s="161" cm="1">
        <f t="array" ref="Z29">IFERROR(LOOKUP(2,1/(Atualizações!$H$1:$H$1029=Mapa!$B83&amp;Mapa!BS$3),Atualizações!$E$1:$E$1029),"NÃO")</f>
        <v>0.49</v>
      </c>
      <c r="AA29" s="161" cm="1">
        <f t="array" ref="AA29">IFERROR(LOOKUP(2,1/(Atualizações!$H$1:$H$1029=Mapa!$B83&amp;Mapa!BT$3),Atualizações!$E$1:$E$1029),"NÃO")</f>
        <v>0.66700000000000004</v>
      </c>
      <c r="AB29" s="161" cm="1">
        <f t="array" ref="AB29">IFERROR(LOOKUP(2,1/(Atualizações!$H$1:$H$1029=Mapa!$B83&amp;Mapa!BU$3),Atualizações!$E$1:$E$1029),"NÃO")</f>
        <v>0.7</v>
      </c>
      <c r="AC29" s="161" cm="1">
        <f t="array" ref="AC29">IFERROR(LOOKUP(2,1/(Atualizações!$H$1:$H$1029=Mapa!$B83&amp;Mapa!BV$3),Atualizações!$E$1:$E$1029),"NÃO")</f>
        <v>1</v>
      </c>
      <c r="AD29" s="161" t="str" cm="1">
        <f t="array" ref="AD29">IFERROR(LOOKUP(2,1/(Atualizações!$H$1:$H$1029=Mapa!$B83&amp;Mapa!BW$3),Atualizações!$E$1:$E$1029),"NÃO")</f>
        <v>NÃO</v>
      </c>
      <c r="AE29" s="161" t="str" cm="1">
        <f t="array" ref="AE29">IFERROR(LOOKUP(2,1/(Atualizações!$H$1:$H$1029=Mapa!$B83&amp;Mapa!BX$3),Atualizações!$E$1:$E$1029),"NÃO")</f>
        <v>NÃO</v>
      </c>
      <c r="AF29" s="161" t="str" cm="1">
        <f t="array" ref="AF29">IFERROR(LOOKUP(2,1/(Atualizações!$H$1:$H$1029=Mapa!$B83&amp;Mapa!BY$3),Atualizações!$E$1:$E$1029),"NÃO")</f>
        <v>NÃO</v>
      </c>
      <c r="AG29" s="161" t="str" cm="1">
        <f t="array" ref="AG29">IFERROR(LOOKUP(2,1/(Atualizações!$H$1:$H$1029=Mapa!$B83&amp;Mapa!BZ$3),Atualizações!$E$1:$E$1029),"NÃO")</f>
        <v>NÃO</v>
      </c>
      <c r="AH29" s="161" t="str" cm="1">
        <f t="array" ref="AH29">IFERROR(LOOKUP(2,1/(Atualizações!$H$1:$H$1029=Mapa!$B83&amp;Mapa!CA$3),Atualizações!$E$1:$E$1029),"NÃO")</f>
        <v>NÃO</v>
      </c>
      <c r="AI29" s="161" t="str" cm="1">
        <f t="array" ref="AI29">IFERROR(LOOKUP(2,1/(Atualizações!$H$1:$H$1029=Mapa!$B83&amp;Mapa!CB$3),Atualizações!$E$1:$E$1029),"NÃO")</f>
        <v>NÃO</v>
      </c>
      <c r="AJ29" s="161" t="str" cm="1">
        <f t="array" ref="AJ29">IFERROR(LOOKUP(2,1/(Atualizações!$H$1:$H$1029=Mapa!$B83&amp;Mapa!CC$3),Atualizações!$E$1:$E$1029),"NÃO")</f>
        <v>NÃO</v>
      </c>
      <c r="AK29" s="161" t="str" cm="1">
        <f t="array" ref="AK29">IFERROR(LOOKUP(2,1/(Atualizações!$H$1:$H$1029=Mapa!$B83&amp;Mapa!CD$3),Atualizações!$E$1:$E$1029),"NÃO")</f>
        <v>NÃO</v>
      </c>
      <c r="AL29" s="161" t="str" cm="1">
        <f t="array" ref="AL29">IFERROR(LOOKUP(2,1/(Atualizações!$H$1:$H$1265=Mapa!$B83&amp;Mapa!CE$3),Atualizações!$E$1:$E$2994),"NÃO")</f>
        <v>NÃO</v>
      </c>
      <c r="AM29" s="161" t="str" cm="1">
        <f t="array" ref="AM29">IFERROR(LOOKUP(2,1/(Atualizações!$H$1:$H$2994=Tb_Mapa[[#This Row],[SEI]]&amp;Mapa!CF$3),Atualizações!$E$1:$E$2994),"NÃO")</f>
        <v>NÃO</v>
      </c>
      <c r="AN29" s="161" t="str" cm="1">
        <f t="array" ref="AN29">IFERROR(LOOKUP(2,1/(Atualizações!$H$1:$H$2994=Tb_Mapa[[#This Row],[SEI]]&amp;Mapa!CG$3),Atualizações!$E$1:$E$2994),"NÃO")</f>
        <v>NÃO</v>
      </c>
      <c r="AO29" s="161" t="str" cm="1">
        <f t="array" ref="AO29">IFERROR(LOOKUP(2,1/(Atualizações!$H$1:$H$2994=Tb_Mapa[[#This Row],[SEI]]&amp;Mapa!CH$3),Atualizações!$E$1:$E$2994),"NÃO")</f>
        <v>NÃO</v>
      </c>
      <c r="AP29" s="161" t="str" cm="1">
        <f t="array" ref="AP29">IFERROR(LOOKUP(2,1/(Atualizações!$H$1:$H$2994=Tb_Mapa[[#This Row],[SEI]]&amp;Mapa!CI$3),Atualizações!$E$1:$E$2994),"NÃO")</f>
        <v>NÃO</v>
      </c>
      <c r="AQ29" s="161" t="str" cm="1">
        <f t="array" ref="AQ29">IFERROR(LOOKUP(2,1/(Atualizações!$H$1:$H$2994=Tb_Mapa[[#This Row],[SEI]]&amp;Mapa!CJ$3),Atualizações!$E$1:$E$2994),"NÃO")</f>
        <v>NÃO</v>
      </c>
      <c r="AR29" s="161" t="str" cm="1">
        <f t="array" ref="AR29">IFERROR(LOOKUP(2,1/(Atualizações!$H$1:$H$2994=Tb_Mapa[[#This Row],[SEI]]&amp;Mapa!CK$3),Atualizações!$E$1:$E$2994),"NÃO")</f>
        <v>NÃO</v>
      </c>
      <c r="AS29" s="161" t="str" cm="1">
        <f t="array" ref="AS29">IFERROR(LOOKUP(2,1/(Atualizações!$H$1:$H$2994=Tb_Mapa[[#This Row],[SEI]]&amp;Mapa!CL$3),Atualizações!$E$1:$E$2994),"NÃO")</f>
        <v>NÃO</v>
      </c>
      <c r="AT29" s="161" t="str" cm="1">
        <f t="array" ref="AT29">IFERROR(LOOKUP(2,1/(Atualizações!$H$1:$H$2994=Tb_Mapa[[#This Row],[SEI]]&amp;Mapa!CM$3),Atualizações!$E$1:$E$2994),"NÃO")</f>
        <v>NÃO</v>
      </c>
      <c r="AU29" s="161" t="str" cm="1">
        <f t="array" ref="AU29">IFERROR(LOOKUP(2,1/(Atualizações!$H$1:$H$2994=Tb_Mapa[[#This Row],[SEI]]&amp;Mapa!CN$3),Atualizações!$E$1:$E$2994),"NÃO")</f>
        <v>NÃO</v>
      </c>
      <c r="AV29" s="161" t="str" cm="1">
        <f t="array" ref="AV29">IFERROR(LOOKUP(2,1/(Atualizações!$H$1:$H$2994=Tb_Mapa[[#This Row],[SEI]]&amp;Mapa!CO$3),Atualizações!$E$1:$E$2994),"NÃO")</f>
        <v>NÃO</v>
      </c>
      <c r="AW29" s="161" t="str" cm="1">
        <f t="array" ref="AW29">IFERROR(LOOKUP(2,1/(Atualizações!$H$1:$H$2994=Tb_Mapa[[#This Row],[SEI]]&amp;Mapa!CP$3),Atualizações!$E$1:$E$2994),"NÃO")</f>
        <v>NÃO</v>
      </c>
      <c r="AX29" s="161" t="str" cm="1">
        <f t="array" ref="AX29">IFERROR(LOOKUP(2,1/(Atualizações!$H$1:$H$2994=Tb_Mapa[[#This Row],[SEI]]&amp;Mapa!CQ$3),Atualizações!$E$1:$E$2994),"NÃO")</f>
        <v>NÃO</v>
      </c>
    </row>
    <row r="30" spans="2:50" ht="32.1" hidden="1" customHeight="1">
      <c r="B30" s="158" t="s">
        <v>182</v>
      </c>
      <c r="C30" s="158" t="str">
        <f>_xlfn.XLOOKUP(Tb_Mapa[[#This Row],[SEI]],Tb_Portfólio[SEI],Tb_Portfólio[Portfólio 2025],"",0)</f>
        <v>Sim</v>
      </c>
      <c r="D30" s="158" t="str">
        <f>_xlfn.XLOOKUP(Tb_Mapa[[#This Row],[SEI]],Tb_Portfólio[SEI],Tb_Portfólio[Portfólio 2026],"",0)</f>
        <v>Sim</v>
      </c>
      <c r="E30" s="162" t="str">
        <f>_xlfn.XLOOKUP(Tb_Mapa[[#This Row],[SEI]],Tb_Portfólio[SEI],Tb_Portfólio[PROJETO],"",0)</f>
        <v xml:space="preserve">Mineração de Processos do Pje </v>
      </c>
      <c r="F30" s="143" t="str">
        <f>INDEX(Projetos!$G$3:$G$129,MATCH(Tb_Mapa[[#This Row],[SEI]],Projetos!$A$3:$A$129,0))</f>
        <v>Antônio Augusto Raposo</v>
      </c>
      <c r="G30" s="160" t="s">
        <v>1710</v>
      </c>
      <c r="H30" s="166">
        <f>INDEX(Projetos!$T$3:$T$129,MATCH(B30,Projetos!$A$3:$A$129,0))</f>
        <v>0</v>
      </c>
      <c r="I30" s="310">
        <f>INDEX(Projetos!$M$3:$M$129,MATCH(Mapa!B99,Projetos!$A$3:$A$129,0))</f>
        <v>46387</v>
      </c>
      <c r="J30" s="164" t="str">
        <f ca="1">IF(Tb_Mapa[[#This Row],[SITUAÇÃO]]="Finalizado", "Data atualizada", IFERROR(IF(Tb_Mapa[[#This Row],[DATA DE TÉRMINO]]&lt;$I$1,"Atualizar data de encerramento","Data atualizada"),"Sem informação"))</f>
        <v>Data atualizada</v>
      </c>
      <c r="K30" s="311">
        <f>INDEX(Projetos!$N$3:$N$129,MATCH(Tb_Mapa[[#This Row],[SEI]],Projetos!$A$3:$A$129,0))</f>
        <v>0.89</v>
      </c>
      <c r="L30" s="311">
        <f>INDEX(Projetos!$O$3:$O$129,MATCH(Tb_Mapa[[#This Row],[SEI]],Projetos!$A$3:$A$129,0))</f>
        <v>0.89</v>
      </c>
      <c r="M30" s="165" t="str">
        <f ca="1">_xlfn.XLOOKUP(Tb_Mapa[[#This Row],[SEI]],Tb_Portfólio[SEI],Tb_Portfólio[Situação],"N/A",0)</f>
        <v>No prazo</v>
      </c>
      <c r="N30" s="161" t="str" cm="1">
        <f t="array" ref="N30">IFERROR(LOOKUP(2,1/(Atualizações!$H$1:$H$486=Mapa!$B17&amp;Mapa!BG$3),Atualizações!$E$1:$E$486),"NÃO")</f>
        <v>NÃO</v>
      </c>
      <c r="O30" s="161" t="str" cm="1">
        <f t="array" ref="O30">IFERROR(LOOKUP(2,1/(Atualizações!$H$1:$H$580=Mapa!$B17&amp;Mapa!BH$3),Atualizações!$E$1:$E$580),"NÃO")</f>
        <v>NÃO</v>
      </c>
      <c r="P30" s="161" t="str" cm="1">
        <f t="array" ref="P30">IFERROR(LOOKUP(2,1/(Atualizações!$H$1:$H$580=Mapa!$B17&amp;Mapa!BI$3),Atualizações!$E$1:$E$580),"NÃO")</f>
        <v>NÃO</v>
      </c>
      <c r="Q30" s="161" t="str" cm="1">
        <f t="array" ref="Q30">IFERROR(LOOKUP(2,1/(Atualizações!$H$1:$H$580=Mapa!$B17&amp;Mapa!BJ$3),Atualizações!$E$1:$E$580),"NÃO")</f>
        <v>NÃO</v>
      </c>
      <c r="R30" s="161" t="str" cm="1">
        <f t="array" ref="R30">IFERROR(LOOKUP(2,1/(Atualizações!$H$1:$H$580=Mapa!$B17&amp;Mapa!BK$3),Atualizações!$E$1:$E$580),"NÃO")</f>
        <v>NÃO</v>
      </c>
      <c r="S30" s="161" t="str" cm="1">
        <f t="array" ref="S30">IFERROR(LOOKUP(2,1/(Atualizações!$H$1:$H$580=Mapa!$B17&amp;Mapa!BL$3),Atualizações!$E$1:$E$580),"NÃO")</f>
        <v>NÃO</v>
      </c>
      <c r="T30" s="161" t="str" cm="1">
        <f t="array" ref="T30">IFERROR(LOOKUP(2,1/(Atualizações!$H$1:$H$580=Mapa!$B17&amp;Mapa!BM$3),Atualizações!$E$1:$E$580),"NÃO")</f>
        <v>NÃO</v>
      </c>
      <c r="U30" s="161" t="str" cm="1">
        <f t="array" ref="U30">IFERROR(LOOKUP(2,1/(Atualizações!$H$1:$H$580=Mapa!$B17&amp;Mapa!BN$3),Atualizações!$E$1:$E$580),"NÃO")</f>
        <v>NÃO</v>
      </c>
      <c r="V30" s="161" t="str" cm="1">
        <f t="array" ref="V30">IFERROR(LOOKUP(2,1/(Atualizações!$H$1:$H$580=Mapa!$B17&amp;Mapa!BO$3),Atualizações!$E$1:$E$580),"NÃO")</f>
        <v>NÃO</v>
      </c>
      <c r="W30" s="161" t="str" cm="1">
        <f t="array" ref="W30">IFERROR(LOOKUP(2,1/(Atualizações!$H$1:$H$580=Mapa!$B17&amp;Mapa!BP$3),Atualizações!$E$1:$E$580),"NÃO")</f>
        <v>NÃO</v>
      </c>
      <c r="X30" s="161" t="str" cm="1">
        <f t="array" ref="X30">IFERROR(LOOKUP(2,1/(Atualizações!$H$1:$H$580=Mapa!$B17&amp;Mapa!BQ$3),Atualizações!$E$1:$E$580),"NÃO")</f>
        <v>NÃO</v>
      </c>
      <c r="Y30" s="161" t="str" cm="1">
        <f t="array" ref="Y30">IFERROR(LOOKUP(2,1/(Atualizações!$H$1:$H$580=Mapa!$B17&amp;Mapa!BR$3),Atualizações!$E$1:$E$580),"NÃO")</f>
        <v>NÃO</v>
      </c>
      <c r="Z30" s="161" t="str" cm="1">
        <f t="array" ref="Z30">IFERROR(LOOKUP(2,1/(Atualizações!$H$1:$H$1029=Mapa!$B17&amp;Mapa!BS$3),Atualizações!$E$1:$E$1029),"NÃO")</f>
        <v>NÃO</v>
      </c>
      <c r="AA30" s="161" t="str" cm="1">
        <f t="array" ref="AA30">IFERROR(LOOKUP(2,1/(Atualizações!$H$1:$H$1029=Mapa!$B17&amp;Mapa!BT$3),Atualizações!$E$1:$E$1029),"NÃO")</f>
        <v>NÃO</v>
      </c>
      <c r="AB30" s="161" t="str" cm="1">
        <f t="array" ref="AB30">IFERROR(LOOKUP(2,1/(Atualizações!$H$1:$H$1029=Mapa!$B17&amp;Mapa!BU$3),Atualizações!$E$1:$E$1029),"NÃO")</f>
        <v>NÃO</v>
      </c>
      <c r="AC30" s="161" t="str" cm="1">
        <f t="array" ref="AC30">IFERROR(LOOKUP(2,1/(Atualizações!$H$1:$H$1029=Mapa!$B17&amp;Mapa!BV$3),Atualizações!$E$1:$E$1029),"NÃO")</f>
        <v>NÃO</v>
      </c>
      <c r="AD30" s="161" t="str" cm="1">
        <f t="array" ref="AD30">IFERROR(LOOKUP(2,1/(Atualizações!$H$1:$H$1029=Mapa!$B17&amp;Mapa!BW$3),Atualizações!$E$1:$E$1029),"NÃO")</f>
        <v>NÃO</v>
      </c>
      <c r="AE30" s="161" t="str" cm="1">
        <f t="array" ref="AE30">IFERROR(LOOKUP(2,1/(Atualizações!$H$1:$H$1029=Mapa!$B17&amp;Mapa!BX$3),Atualizações!$E$1:$E$1029),"NÃO")</f>
        <v>NÃO</v>
      </c>
      <c r="AF30" s="161" t="str" cm="1">
        <f t="array" ref="AF30">IFERROR(LOOKUP(2,1/(Atualizações!$H$1:$H$1029=Mapa!$B17&amp;Mapa!BY$3),Atualizações!$E$1:$E$1029),"NÃO")</f>
        <v>NÃO</v>
      </c>
      <c r="AG30" s="161" cm="1">
        <f t="array" ref="AG30">IFERROR(LOOKUP(2,1/(Atualizações!$H$1:$H$1029=Mapa!$B17&amp;Mapa!BZ$3),Atualizações!$E$1:$E$1029),"NÃO")</f>
        <v>0.34</v>
      </c>
      <c r="AH30" s="161" t="str" cm="1">
        <f t="array" ref="AH30">IFERROR(LOOKUP(2,1/(Atualizações!$H$1:$H$1029=Mapa!$B17&amp;Mapa!CA$3),Atualizações!$E$1:$E$1029),"NÃO")</f>
        <v>NÃO</v>
      </c>
      <c r="AI30" s="161" t="str" cm="1">
        <f t="array" ref="AI30">IFERROR(LOOKUP(2,1/(Atualizações!$H$1:$H$1029=Mapa!$B17&amp;Mapa!CB$3),Atualizações!$E$1:$E$1029),"NÃO")</f>
        <v>NÃO</v>
      </c>
      <c r="AJ30" s="161" t="str" cm="1">
        <f t="array" ref="AJ30">IFERROR(LOOKUP(2,1/(Atualizações!$H$1:$H$1029=Mapa!$B17&amp;Mapa!CC$3),Atualizações!$E$1:$E$1029),"NÃO")</f>
        <v>NÃO</v>
      </c>
      <c r="AK30" s="161" t="str" cm="1">
        <f t="array" ref="AK30">IFERROR(LOOKUP(2,1/(Atualizações!$H$1:$H$1029=Mapa!$B17&amp;Mapa!CD$3),Atualizações!$E$1:$E$1029),"NÃO")</f>
        <v>NÃO</v>
      </c>
      <c r="AL30" s="161" t="str" cm="1">
        <f t="array" ref="AL30">IFERROR(LOOKUP(2,1/(Atualizações!$H$1:$H$1265=Mapa!$B17&amp;Mapa!CE$3),Atualizações!$E$1:$E$2994),"NÃO")</f>
        <v>NÃO</v>
      </c>
      <c r="AM30" s="161" t="str" cm="1">
        <f t="array" ref="AM30">IFERROR(LOOKUP(2,1/(Atualizações!$H$1:$H$2994=Tb_Mapa[[#This Row],[SEI]]&amp;Mapa!CF$3),Atualizações!$E$1:$E$2994),"NÃO")</f>
        <v>NÃO</v>
      </c>
      <c r="AN30" s="161" t="str" cm="1">
        <f t="array" ref="AN30">IFERROR(LOOKUP(2,1/(Atualizações!$H$1:$H$2994=Tb_Mapa[[#This Row],[SEI]]&amp;Mapa!CG$3),Atualizações!$E$1:$E$2994),"NÃO")</f>
        <v>NÃO</v>
      </c>
      <c r="AO30" s="161" t="str" cm="1">
        <f t="array" ref="AO30">IFERROR(LOOKUP(2,1/(Atualizações!$H$1:$H$2994=Tb_Mapa[[#This Row],[SEI]]&amp;Mapa!CH$3),Atualizações!$E$1:$E$2994),"NÃO")</f>
        <v>NÃO</v>
      </c>
      <c r="AP30" s="161" cm="1">
        <f t="array" ref="AP30">IFERROR(LOOKUP(2,1/(Atualizações!$H$1:$H$2994=Tb_Mapa[[#This Row],[SEI]]&amp;Mapa!CI$3),Atualizações!$E$1:$E$2994),"NÃO")</f>
        <v>0.89</v>
      </c>
      <c r="AQ30" s="161" t="str" cm="1">
        <f t="array" ref="AQ30">IFERROR(LOOKUP(2,1/(Atualizações!$H$1:$H$2994=Tb_Mapa[[#This Row],[SEI]]&amp;Mapa!CJ$3),Atualizações!$E$1:$E$2994),"NÃO")</f>
        <v>NÃO</v>
      </c>
      <c r="AR30" s="161" t="str" cm="1">
        <f t="array" ref="AR30">IFERROR(LOOKUP(2,1/(Atualizações!$H$1:$H$2994=Tb_Mapa[[#This Row],[SEI]]&amp;Mapa!CK$3),Atualizações!$E$1:$E$2994),"NÃO")</f>
        <v>NÃO</v>
      </c>
      <c r="AS30" s="161" t="str" cm="1">
        <f t="array" ref="AS30">IFERROR(LOOKUP(2,1/(Atualizações!$H$1:$H$2994=Tb_Mapa[[#This Row],[SEI]]&amp;Mapa!CL$3),Atualizações!$E$1:$E$2994),"NÃO")</f>
        <v>NÃO</v>
      </c>
      <c r="AT30" s="161" t="str" cm="1">
        <f t="array" ref="AT30">IFERROR(LOOKUP(2,1/(Atualizações!$H$1:$H$2994=Tb_Mapa[[#This Row],[SEI]]&amp;Mapa!CM$3),Atualizações!$E$1:$E$2994),"NÃO")</f>
        <v>NÃO</v>
      </c>
      <c r="AU30" s="161" t="str" cm="1">
        <f t="array" ref="AU30">IFERROR(LOOKUP(2,1/(Atualizações!$H$1:$H$2994=Tb_Mapa[[#This Row],[SEI]]&amp;Mapa!CN$3),Atualizações!$E$1:$E$2994),"NÃO")</f>
        <v>NÃO</v>
      </c>
      <c r="AV30" s="161" t="str" cm="1">
        <f t="array" ref="AV30">IFERROR(LOOKUP(2,1/(Atualizações!$H$1:$H$2994=Tb_Mapa[[#This Row],[SEI]]&amp;Mapa!CO$3),Atualizações!$E$1:$E$2994),"NÃO")</f>
        <v>NÃO</v>
      </c>
      <c r="AW30" s="161" t="str" cm="1">
        <f t="array" ref="AW30">IFERROR(LOOKUP(2,1/(Atualizações!$H$1:$H$2994=Tb_Mapa[[#This Row],[SEI]]&amp;Mapa!CP$3),Atualizações!$E$1:$E$2994),"NÃO")</f>
        <v>NÃO</v>
      </c>
      <c r="AX30" s="161" t="str" cm="1">
        <f t="array" ref="AX30">IFERROR(LOOKUP(2,1/(Atualizações!$H$1:$H$2994=Tb_Mapa[[#This Row],[SEI]]&amp;Mapa!CQ$3),Atualizações!$E$1:$E$2994),"NÃO")</f>
        <v>NÃO</v>
      </c>
    </row>
    <row r="31" spans="2:50" ht="32.25" hidden="1" customHeight="1">
      <c r="B31" s="676" t="s">
        <v>839</v>
      </c>
      <c r="C31" s="676" t="str">
        <f>_xlfn.XLOOKUP(Tb_Mapa[[#This Row],[SEI]],Tb_Portfólio[SEI],Tb_Portfólio[Portfólio 2025],"",0)</f>
        <v>Não</v>
      </c>
      <c r="D31" s="158" t="str">
        <f>_xlfn.XLOOKUP(Tb_Mapa[[#This Row],[SEI]],Tb_Portfólio[SEI],Tb_Portfólio[Portfólio 2026],"",0)</f>
        <v>Não</v>
      </c>
      <c r="E31" s="162" t="str">
        <f>_xlfn.XLOOKUP(Tb_Mapa[[#This Row],[SEI]],Tb_Portfólio[SEI],Tb_Portfólio[PROJETO],"",0)</f>
        <v>Monitoração Eletrônica (sistema penal)</v>
      </c>
      <c r="F31" s="143" t="str">
        <f>INDEX(Projetos!$G$3:$G$129,MATCH(B31,Projetos!$A$3:$A$129,0))</f>
        <v>Valdirene Daufemback</v>
      </c>
      <c r="G31" s="160" t="s">
        <v>1712</v>
      </c>
      <c r="H31" s="166" t="str">
        <f>INDEX(Projetos!$T$3:$T$129,MATCH(B31,Projetos!$A$3:$A$129,0))</f>
        <v>Fazendo Justiça</v>
      </c>
      <c r="I31" s="310">
        <f>INDEX(Projetos!$M$3:$M$129,MATCH(Mapa!B63,Projetos!$A$3:$A$129,0))</f>
        <v>45565</v>
      </c>
      <c r="J31" s="164" t="str">
        <f>IF(Tb_Mapa[[#This Row],[SITUAÇÃO]]="Finalizado", "Data atualizada", IFERROR(IF(I31&lt;$CN$3,"Atualizar data de encerramento","Data atualizada"),"Sem informação"))</f>
        <v>Data atualizada</v>
      </c>
      <c r="K31" s="311">
        <f>INDEX(Projetos!$N$3:$N$129,MATCH(Tb_Mapa[[#This Row],[SEI]],Projetos!$A$3:$A$129,0))</f>
        <v>1</v>
      </c>
      <c r="L31" s="311">
        <f>INDEX(Projetos!$O$3:$O$129,MATCH(Tb_Mapa[[#This Row],[SEI]],Projetos!$A$3:$A$129,0))</f>
        <v>1</v>
      </c>
      <c r="M31" s="165" t="str">
        <f>_xlfn.XLOOKUP(Tb_Mapa[[#This Row],[SEI]],Tb_Portfólio[SEI],Tb_Portfólio[Situação],"N/A",0)</f>
        <v>Finalizado</v>
      </c>
      <c r="N31" s="161" t="str" cm="1">
        <f t="array" ref="N31">IFERROR(LOOKUP(2,1/(Atualizações!$H$1:$H$486=Mapa!$B63&amp;Mapa!BG$3),Atualizações!$E$1:$E$486),"NÃO")</f>
        <v>NÃO</v>
      </c>
      <c r="O31" s="161"/>
      <c r="P31" s="161"/>
      <c r="Q31" s="161"/>
      <c r="R31" s="161"/>
      <c r="S31" s="161"/>
      <c r="T31" s="161"/>
      <c r="U31" s="161"/>
      <c r="V31" s="161"/>
      <c r="W31" s="161"/>
      <c r="X31" s="161"/>
      <c r="Y31" s="161"/>
      <c r="Z31" s="161" t="str" cm="1">
        <f t="array" ref="Z31">IFERROR(LOOKUP(2,1/(Atualizações!$H$1:$H$1029=Mapa!$B63&amp;Mapa!BS$3),Atualizações!$E$1:$E$1029),"NÃO")</f>
        <v>NÃO</v>
      </c>
      <c r="AA31" s="161" t="str" cm="1">
        <f t="array" ref="AA31">IFERROR(LOOKUP(2,1/(Atualizações!$H$1:$H$1029=Mapa!$B63&amp;Mapa!BT$3),Atualizações!$E$1:$E$1029),"NÃO")</f>
        <v>NÃO</v>
      </c>
      <c r="AB31" s="161" t="str" cm="1">
        <f t="array" ref="AB31">IFERROR(LOOKUP(2,1/(Atualizações!$H$1:$H$1029=Mapa!$B63&amp;Mapa!BU$3),Atualizações!$E$1:$E$1029),"NÃO")</f>
        <v>NÃO</v>
      </c>
      <c r="AC31" s="161" t="str" cm="1">
        <f t="array" ref="AC31">IFERROR(LOOKUP(2,1/(Atualizações!$H$1:$H$1029=Mapa!$B63&amp;Mapa!BV$3),Atualizações!$E$1:$E$1029),"NÃO")</f>
        <v>NÃO</v>
      </c>
      <c r="AD31" s="161" t="str" cm="1">
        <f t="array" ref="AD31">IFERROR(LOOKUP(2,1/(Atualizações!$H$1:$H$1029=Mapa!$B63&amp;Mapa!BW$3),Atualizações!$E$1:$E$1029),"NÃO")</f>
        <v>NÃO</v>
      </c>
      <c r="AE31" s="161" t="str" cm="1">
        <f t="array" ref="AE31">IFERROR(LOOKUP(2,1/(Atualizações!$H$1:$H$1029=Mapa!$B63&amp;Mapa!BX$3),Atualizações!$E$1:$E$1029),"NÃO")</f>
        <v>NÃO</v>
      </c>
      <c r="AF31" s="161" t="str" cm="1">
        <f t="array" ref="AF31">IFERROR(LOOKUP(2,1/(Atualizações!$H$1:$H$1029=Mapa!$B63&amp;Mapa!BY$3),Atualizações!$E$1:$E$1029),"NÃO")</f>
        <v>NÃO</v>
      </c>
      <c r="AG31" s="161" t="str" cm="1">
        <f t="array" ref="AG31">IFERROR(LOOKUP(2,1/(Atualizações!$H$1:$H$1029=Mapa!$B63&amp;Mapa!BZ$3),Atualizações!$E$1:$E$1029),"NÃO")</f>
        <v>NÃO</v>
      </c>
      <c r="AH31" s="161" t="str" cm="1">
        <f t="array" ref="AH31">IFERROR(LOOKUP(2,1/(Atualizações!$H$1:$H$1029=Mapa!$B63&amp;Mapa!CA$3),Atualizações!$E$1:$E$1029),"NÃO")</f>
        <v>NÃO</v>
      </c>
      <c r="AI31" s="161" t="str" cm="1">
        <f t="array" ref="AI31">IFERROR(LOOKUP(2,1/(Atualizações!$H$1:$H$1029=Mapa!$B63&amp;Mapa!CB$3),Atualizações!$E$1:$E$1029),"NÃO")</f>
        <v>NÃO</v>
      </c>
      <c r="AJ31" s="161" t="str" cm="1">
        <f t="array" ref="AJ31">IFERROR(LOOKUP(2,1/(Atualizações!$H$1:$H$1029=Mapa!$B63&amp;Mapa!CC$3),Atualizações!$E$1:$E$1029),"NÃO")</f>
        <v>NÃO</v>
      </c>
      <c r="AK31" s="161" t="str" cm="1">
        <f t="array" ref="AK31">IFERROR(LOOKUP(2,1/(Atualizações!$H$1:$H$1029=Mapa!$B63&amp;Mapa!CD$3),Atualizações!$E$1:$E$1029),"NÃO")</f>
        <v>NÃO</v>
      </c>
      <c r="AL31" s="161" t="str" cm="1">
        <f t="array" ref="AL31">IFERROR(LOOKUP(2,1/(Atualizações!$H$1:$H$1265=Mapa!$B63&amp;Mapa!CE$3),Atualizações!$E$1:$E$2994),"NÃO")</f>
        <v>NÃO</v>
      </c>
      <c r="AM31" s="161" t="str" cm="1">
        <f t="array" ref="AM31">IFERROR(LOOKUP(2,1/(Atualizações!$H$1:$H$2994=Tb_Mapa[[#This Row],[SEI]]&amp;Mapa!CF$3),Atualizações!$E$1:$E$2994),"NÃO")</f>
        <v>NÃO</v>
      </c>
      <c r="AN31" s="161" t="str" cm="1">
        <f t="array" ref="AN31">IFERROR(LOOKUP(2,1/(Atualizações!$H$1:$H$2994=Tb_Mapa[[#This Row],[SEI]]&amp;Mapa!CG$3),Atualizações!$E$1:$E$2994),"NÃO")</f>
        <v>NÃO</v>
      </c>
      <c r="AO31" s="161" t="str" cm="1">
        <f t="array" ref="AO31">IFERROR(LOOKUP(2,1/(Atualizações!$H$1:$H$2994=Tb_Mapa[[#This Row],[SEI]]&amp;Mapa!CH$3),Atualizações!$E$1:$E$2994),"NÃO")</f>
        <v>NÃO</v>
      </c>
      <c r="AP31" s="161" t="str" cm="1">
        <f t="array" ref="AP31">IFERROR(LOOKUP(2,1/(Atualizações!$H$1:$H$2994=Tb_Mapa[[#This Row],[SEI]]&amp;Mapa!CI$3),Atualizações!$E$1:$E$2994),"NÃO")</f>
        <v>NÃO</v>
      </c>
      <c r="AQ31" s="161" t="str" cm="1">
        <f t="array" ref="AQ31">IFERROR(LOOKUP(2,1/(Atualizações!$H$1:$H$2994=Tb_Mapa[[#This Row],[SEI]]&amp;Mapa!CJ$3),Atualizações!$E$1:$E$2994),"NÃO")</f>
        <v>NÃO</v>
      </c>
      <c r="AR31" s="161" t="str" cm="1">
        <f t="array" ref="AR31">IFERROR(LOOKUP(2,1/(Atualizações!$H$1:$H$2994=Tb_Mapa[[#This Row],[SEI]]&amp;Mapa!CK$3),Atualizações!$E$1:$E$2994),"NÃO")</f>
        <v>NÃO</v>
      </c>
      <c r="AS31" s="161" t="str" cm="1">
        <f t="array" ref="AS31">IFERROR(LOOKUP(2,1/(Atualizações!$H$1:$H$2994=Tb_Mapa[[#This Row],[SEI]]&amp;Mapa!CL$3),Atualizações!$E$1:$E$2994),"NÃO")</f>
        <v>NÃO</v>
      </c>
      <c r="AT31" s="161" t="str" cm="1">
        <f t="array" ref="AT31">IFERROR(LOOKUP(2,1/(Atualizações!$H$1:$H$2994=Tb_Mapa[[#This Row],[SEI]]&amp;Mapa!CM$3),Atualizações!$E$1:$E$2994),"NÃO")</f>
        <v>NÃO</v>
      </c>
      <c r="AU31" s="161" t="str" cm="1">
        <f t="array" ref="AU31">IFERROR(LOOKUP(2,1/(Atualizações!$H$1:$H$2994=Tb_Mapa[[#This Row],[SEI]]&amp;Mapa!CN$3),Atualizações!$E$1:$E$2994),"NÃO")</f>
        <v>NÃO</v>
      </c>
      <c r="AV31" s="161" t="str" cm="1">
        <f t="array" ref="AV31">IFERROR(LOOKUP(2,1/(Atualizações!$H$1:$H$2994=Tb_Mapa[[#This Row],[SEI]]&amp;Mapa!CO$3),Atualizações!$E$1:$E$2994),"NÃO")</f>
        <v>NÃO</v>
      </c>
      <c r="AW31" s="161" t="str" cm="1">
        <f t="array" ref="AW31">IFERROR(LOOKUP(2,1/(Atualizações!$H$1:$H$2994=Tb_Mapa[[#This Row],[SEI]]&amp;Mapa!CP$3),Atualizações!$E$1:$E$2994),"NÃO")</f>
        <v>NÃO</v>
      </c>
      <c r="AX31" s="161" t="str" cm="1">
        <f t="array" ref="AX31">IFERROR(LOOKUP(2,1/(Atualizações!$H$1:$H$2994=Tb_Mapa[[#This Row],[SEI]]&amp;Mapa!CQ$3),Atualizações!$E$1:$E$2994),"NÃO")</f>
        <v>NÃO</v>
      </c>
    </row>
    <row r="32" spans="2:50" ht="62.25" hidden="1" customHeight="1">
      <c r="B32" s="676" t="s">
        <v>830</v>
      </c>
      <c r="C32" s="676" t="str">
        <f>_xlfn.XLOOKUP(Tb_Mapa[[#This Row],[SEI]],Tb_Portfólio[SEI],Tb_Portfólio[Portfólio 2025],"",0)</f>
        <v>Não</v>
      </c>
      <c r="D32" s="158" t="str">
        <f>_xlfn.XLOOKUP(Tb_Mapa[[#This Row],[SEI]],Tb_Portfólio[SEI],Tb_Portfólio[Portfólio 2026],"",0)</f>
        <v>Não</v>
      </c>
      <c r="E32" s="162" t="str">
        <f>_xlfn.XLOOKUP(Tb_Mapa[[#This Row],[SEI]],Tb_Portfólio[SEI],Tb_Portfólio[PROJETO],"",0)</f>
        <v>Plataforma Socioeducativa (sistema socioeducativo)</v>
      </c>
      <c r="F32" s="143" t="str">
        <f>INDEX(Projetos!$G$3:$G$129,MATCH(B32,Projetos!$A$3:$A$129,0))</f>
        <v>Valdirene Daufemback</v>
      </c>
      <c r="G32" s="160" t="s">
        <v>1712</v>
      </c>
      <c r="H32" s="166" t="str">
        <f>INDEX(Projetos!$T$3:$T$129,MATCH(B32,Projetos!$A$3:$A$129,0))</f>
        <v>Fazendo Justiça</v>
      </c>
      <c r="I32" s="310">
        <f>INDEX(Projetos!$M$3:$M$129,MATCH(Mapa!B79,Projetos!$A$3:$A$129,0))</f>
        <v>46011</v>
      </c>
      <c r="J32" s="164" t="str">
        <f>IF(Tb_Mapa[[#This Row],[SITUAÇÃO]]="Finalizado", "Data atualizada", IFERROR(IF(I32&lt;$CN$3,"Atualizar data de encerramento","Data atualizada"),"Sem informação"))</f>
        <v>Data atualizada</v>
      </c>
      <c r="K32" s="311">
        <f>INDEX(Projetos!$N$3:$N$129,MATCH(Tb_Mapa[[#This Row],[SEI]],Projetos!$A$3:$A$129,0))</f>
        <v>1</v>
      </c>
      <c r="L32" s="311">
        <f>INDEX(Projetos!$O$3:$O$129,MATCH(Tb_Mapa[[#This Row],[SEI]],Projetos!$A$3:$A$129,0))</f>
        <v>1</v>
      </c>
      <c r="M32" s="165" t="str">
        <f>_xlfn.XLOOKUP(Tb_Mapa[[#This Row],[SEI]],Tb_Portfólio[SEI],Tb_Portfólio[Situação],"N/A",0)</f>
        <v>Finalizado</v>
      </c>
      <c r="N32" s="161" t="str" cm="1">
        <f t="array" ref="N32">IFERROR(LOOKUP(2,1/(Atualizações!$H$1:$H$486=Mapa!$B79&amp;Mapa!BG$3),Atualizações!$E$1:$E$486),"NÃO")</f>
        <v>NÃO</v>
      </c>
      <c r="O32" s="161"/>
      <c r="P32" s="161"/>
      <c r="Q32" s="161"/>
      <c r="R32" s="161"/>
      <c r="S32" s="161"/>
      <c r="T32" s="161"/>
      <c r="U32" s="161"/>
      <c r="V32" s="161"/>
      <c r="W32" s="161"/>
      <c r="X32" s="161"/>
      <c r="Y32" s="161"/>
      <c r="Z32" s="161" t="str" cm="1">
        <f t="array" ref="Z32">IFERROR(LOOKUP(2,1/(Atualizações!$H$1:$H$1029=Mapa!$B79&amp;Mapa!BS$3),Atualizações!$E$1:$E$1029),"NÃO")</f>
        <v>NÃO</v>
      </c>
      <c r="AA32" s="161" t="str" cm="1">
        <f t="array" ref="AA32">IFERROR(LOOKUP(2,1/(Atualizações!$H$1:$H$1029=Mapa!$B79&amp;Mapa!BT$3),Atualizações!$E$1:$E$1029),"NÃO")</f>
        <v>NÃO</v>
      </c>
      <c r="AB32" s="161" t="str" cm="1">
        <f t="array" ref="AB32">IFERROR(LOOKUP(2,1/(Atualizações!$H$1:$H$1029=Mapa!$B79&amp;Mapa!BU$3),Atualizações!$E$1:$E$1029),"NÃO")</f>
        <v>NÃO</v>
      </c>
      <c r="AC32" s="161" t="str" cm="1">
        <f t="array" ref="AC32">IFERROR(LOOKUP(2,1/(Atualizações!$H$1:$H$1029=Mapa!$B79&amp;Mapa!BV$3),Atualizações!$E$1:$E$1029),"NÃO")</f>
        <v>NÃO</v>
      </c>
      <c r="AD32" s="161" t="str" cm="1">
        <f t="array" ref="AD32">IFERROR(LOOKUP(2,1/(Atualizações!$H$1:$H$1029=Mapa!$B79&amp;Mapa!BW$3),Atualizações!$E$1:$E$1029),"NÃO")</f>
        <v>NÃO</v>
      </c>
      <c r="AE32" s="161" cm="1">
        <f t="array" ref="AE32">IFERROR(LOOKUP(2,1/(Atualizações!$H$1:$H$1029=Mapa!$B79&amp;Mapa!BX$3),Atualizações!$E$1:$E$1029),"NÃO")</f>
        <v>0.27500000000000002</v>
      </c>
      <c r="AF32" s="161" t="str" cm="1">
        <f t="array" ref="AF32">IFERROR(LOOKUP(2,1/(Atualizações!$H$1:$H$1029=Mapa!$B79&amp;Mapa!BY$3),Atualizações!$E$1:$E$1029),"NÃO")</f>
        <v>NÃO</v>
      </c>
      <c r="AG32" s="161" t="str" cm="1">
        <f t="array" ref="AG32">IFERROR(LOOKUP(2,1/(Atualizações!$H$1:$H$1029=Mapa!$B79&amp;Mapa!BZ$3),Atualizações!$E$1:$E$1029),"NÃO")</f>
        <v>NÃO</v>
      </c>
      <c r="AH32" s="161" t="str" cm="1">
        <f t="array" ref="AH32">IFERROR(LOOKUP(2,1/(Atualizações!$H$1:$H$1029=Mapa!$B79&amp;Mapa!CA$3),Atualizações!$E$1:$E$1029),"NÃO")</f>
        <v>NÃO</v>
      </c>
      <c r="AI32" s="161" t="str" cm="1">
        <f t="array" ref="AI32">IFERROR(LOOKUP(2,1/(Atualizações!$H$1:$H$1029=Mapa!$B79&amp;Mapa!CB$3),Atualizações!$E$1:$E$1029),"NÃO")</f>
        <v>NÃO</v>
      </c>
      <c r="AJ32" s="161" t="str" cm="1">
        <f t="array" ref="AJ32">IFERROR(LOOKUP(2,1/(Atualizações!$H$1:$H$1029=Mapa!$B79&amp;Mapa!CC$3),Atualizações!$E$1:$E$1029),"NÃO")</f>
        <v>NÃO</v>
      </c>
      <c r="AK32" s="161" t="str" cm="1">
        <f t="array" ref="AK32">IFERROR(LOOKUP(2,1/(Atualizações!$H$1:$H$1029=Mapa!$B79&amp;Mapa!CD$3),Atualizações!$E$1:$E$1029),"NÃO")</f>
        <v>NÃO</v>
      </c>
      <c r="AL32" s="161" cm="1">
        <f t="array" ref="AL32">IFERROR(LOOKUP(2,1/(Atualizações!$H$1:$H$1265=Mapa!$B79&amp;Mapa!CE$3),Atualizações!$E$1:$E$2994),"NÃO")</f>
        <v>1</v>
      </c>
      <c r="AM32" s="161" t="str" cm="1">
        <f t="array" ref="AM32">IFERROR(LOOKUP(2,1/(Atualizações!$H$1:$H$2994=Tb_Mapa[[#This Row],[SEI]]&amp;Mapa!CF$3),Atualizações!$E$1:$E$2994),"NÃO")</f>
        <v>NÃO</v>
      </c>
      <c r="AN32" s="161" t="str" cm="1">
        <f t="array" ref="AN32">IFERROR(LOOKUP(2,1/(Atualizações!$H$1:$H$2994=Tb_Mapa[[#This Row],[SEI]]&amp;Mapa!CG$3),Atualizações!$E$1:$E$2994),"NÃO")</f>
        <v>NÃO</v>
      </c>
      <c r="AO32" s="161" t="str" cm="1">
        <f t="array" ref="AO32">IFERROR(LOOKUP(2,1/(Atualizações!$H$1:$H$2994=Tb_Mapa[[#This Row],[SEI]]&amp;Mapa!CH$3),Atualizações!$E$1:$E$2994),"NÃO")</f>
        <v>NÃO</v>
      </c>
      <c r="AP32" s="161" t="str" cm="1">
        <f t="array" ref="AP32">IFERROR(LOOKUP(2,1/(Atualizações!$H$1:$H$2994=Tb_Mapa[[#This Row],[SEI]]&amp;Mapa!CI$3),Atualizações!$E$1:$E$2994),"NÃO")</f>
        <v>NÃO</v>
      </c>
      <c r="AQ32" s="161" t="str" cm="1">
        <f t="array" ref="AQ32">IFERROR(LOOKUP(2,1/(Atualizações!$H$1:$H$2994=Tb_Mapa[[#This Row],[SEI]]&amp;Mapa!CJ$3),Atualizações!$E$1:$E$2994),"NÃO")</f>
        <v>NÃO</v>
      </c>
      <c r="AR32" s="161" t="str" cm="1">
        <f t="array" ref="AR32">IFERROR(LOOKUP(2,1/(Atualizações!$H$1:$H$2994=Tb_Mapa[[#This Row],[SEI]]&amp;Mapa!CK$3),Atualizações!$E$1:$E$2994),"NÃO")</f>
        <v>NÃO</v>
      </c>
      <c r="AS32" s="161" t="str" cm="1">
        <f t="array" ref="AS32">IFERROR(LOOKUP(2,1/(Atualizações!$H$1:$H$2994=Tb_Mapa[[#This Row],[SEI]]&amp;Mapa!CL$3),Atualizações!$E$1:$E$2994),"NÃO")</f>
        <v>NÃO</v>
      </c>
      <c r="AT32" s="161" t="str" cm="1">
        <f t="array" ref="AT32">IFERROR(LOOKUP(2,1/(Atualizações!$H$1:$H$2994=Tb_Mapa[[#This Row],[SEI]]&amp;Mapa!CM$3),Atualizações!$E$1:$E$2994),"NÃO")</f>
        <v>NÃO</v>
      </c>
      <c r="AU32" s="161" t="str" cm="1">
        <f t="array" ref="AU32">IFERROR(LOOKUP(2,1/(Atualizações!$H$1:$H$2994=Tb_Mapa[[#This Row],[SEI]]&amp;Mapa!CN$3),Atualizações!$E$1:$E$2994),"NÃO")</f>
        <v>NÃO</v>
      </c>
      <c r="AV32" s="161" t="str" cm="1">
        <f t="array" ref="AV32">IFERROR(LOOKUP(2,1/(Atualizações!$H$1:$H$2994=Tb_Mapa[[#This Row],[SEI]]&amp;Mapa!CO$3),Atualizações!$E$1:$E$2994),"NÃO")</f>
        <v>NÃO</v>
      </c>
      <c r="AW32" s="161" t="str" cm="1">
        <f t="array" ref="AW32">IFERROR(LOOKUP(2,1/(Atualizações!$H$1:$H$2994=Tb_Mapa[[#This Row],[SEI]]&amp;Mapa!CP$3),Atualizações!$E$1:$E$2994),"NÃO")</f>
        <v>NÃO</v>
      </c>
      <c r="AX32" s="161" t="str" cm="1">
        <f t="array" ref="AX32">IFERROR(LOOKUP(2,1/(Atualizações!$H$1:$H$2994=Tb_Mapa[[#This Row],[SEI]]&amp;Mapa!CQ$3),Atualizações!$E$1:$E$2994),"NÃO")</f>
        <v>NÃO</v>
      </c>
    </row>
    <row r="33" spans="2:50" ht="45" hidden="1" customHeight="1">
      <c r="B33" s="676" t="s">
        <v>826</v>
      </c>
      <c r="C33" s="676" t="str">
        <f>_xlfn.XLOOKUP(Tb_Mapa[[#This Row],[SEI]],Tb_Portfólio[SEI],Tb_Portfólio[Portfólio 2025],"",0)</f>
        <v>Não</v>
      </c>
      <c r="D33" s="158" t="str">
        <f>_xlfn.XLOOKUP(Tb_Mapa[[#This Row],[SEI]],Tb_Portfólio[SEI],Tb_Portfólio[Portfólio 2026],"",0)</f>
        <v>Não</v>
      </c>
      <c r="E33" s="162" t="str">
        <f>_xlfn.XLOOKUP(Tb_Mapa[[#This Row],[SEI]],Tb_Portfólio[SEI],Tb_Portfólio[PROJETO],"",0)</f>
        <v>Aprendizagem (sistema socioeducativo)</v>
      </c>
      <c r="F33" s="143" t="str">
        <f>INDEX(Projetos!$G$3:$G$129,MATCH(B33,Projetos!$A$3:$A$129,0))</f>
        <v>Valdirene Daufemback</v>
      </c>
      <c r="G33" s="160" t="s">
        <v>1712</v>
      </c>
      <c r="H33" s="166" t="str">
        <f>INDEX(Projetos!$T$3:$T$129,MATCH(B33,Projetos!$A$3:$A$129,0))</f>
        <v>Fazendo Justiça</v>
      </c>
      <c r="I33" s="310">
        <f>INDEX(Projetos!$M$3:$M$129,MATCH(Mapa!B78,Projetos!$A$3:$A$129,0))</f>
        <v>46285</v>
      </c>
      <c r="J33" s="164" t="str">
        <f>IF(Tb_Mapa[[#This Row],[SITUAÇÃO]]="Finalizado", "Data atualizada", IFERROR(IF(I33&lt;$CN$3,"Atualizar data de encerramento","Data atualizada"),"Sem informação"))</f>
        <v>Data atualizada</v>
      </c>
      <c r="K33" s="311">
        <f>INDEX(Projetos!$N$3:$N$129,MATCH(Tb_Mapa[[#This Row],[SEI]],Projetos!$A$3:$A$129,0))</f>
        <v>1</v>
      </c>
      <c r="L33" s="311">
        <f>INDEX(Projetos!$O$3:$O$129,MATCH(Tb_Mapa[[#This Row],[SEI]],Projetos!$A$3:$A$129,0))</f>
        <v>1</v>
      </c>
      <c r="M33" s="165" t="str">
        <f>_xlfn.XLOOKUP(Tb_Mapa[[#This Row],[SEI]],Tb_Portfólio[SEI],Tb_Portfólio[Situação],"N/A",0)</f>
        <v>Finalizado</v>
      </c>
      <c r="N33" s="161" t="str" cm="1">
        <f t="array" ref="N33">IFERROR(LOOKUP(2,1/(Atualizações!$H$1:$H$486=Mapa!$B78&amp;Mapa!BG$3),Atualizações!$E$1:$E$486),"NÃO")</f>
        <v>NÃO</v>
      </c>
      <c r="O33" s="161"/>
      <c r="P33" s="161"/>
      <c r="Q33" s="161"/>
      <c r="R33" s="161"/>
      <c r="S33" s="161"/>
      <c r="T33" s="161"/>
      <c r="U33" s="161"/>
      <c r="V33" s="161"/>
      <c r="W33" s="161"/>
      <c r="X33" s="161"/>
      <c r="Y33" s="161"/>
      <c r="Z33" s="161" cm="1">
        <f t="array" ref="Z33">IFERROR(LOOKUP(2,1/(Atualizações!$H$1:$H$1029=Mapa!$B78&amp;Mapa!BS$3),Atualizações!$E$1:$E$1029),"NÃO")</f>
        <v>0.68</v>
      </c>
      <c r="AA33" s="161" t="str" cm="1">
        <f t="array" ref="AA33">IFERROR(LOOKUP(2,1/(Atualizações!$H$1:$H$1029=Mapa!$B78&amp;Mapa!BT$3),Atualizações!$E$1:$E$1029),"NÃO")</f>
        <v>NÃO</v>
      </c>
      <c r="AB33" s="161" cm="1">
        <f t="array" ref="AB33">IFERROR(LOOKUP(2,1/(Atualizações!$H$1:$H$1029=Mapa!$B78&amp;Mapa!BU$3),Atualizações!$E$1:$E$1029),"NÃO")</f>
        <v>0.66</v>
      </c>
      <c r="AC33" s="161" t="str" cm="1">
        <f t="array" ref="AC33">IFERROR(LOOKUP(2,1/(Atualizações!$H$1:$H$1029=Mapa!$B78&amp;Mapa!BV$3),Atualizações!$E$1:$E$1029),"NÃO")</f>
        <v>NÃO</v>
      </c>
      <c r="AD33" s="161" t="str" cm="1">
        <f t="array" ref="AD33">IFERROR(LOOKUP(2,1/(Atualizações!$H$1:$H$1029=Mapa!$B78&amp;Mapa!BW$3),Atualizações!$E$1:$E$1029),"NÃO")</f>
        <v>NÃO</v>
      </c>
      <c r="AE33" s="161" cm="1">
        <f t="array" ref="AE33">IFERROR(LOOKUP(2,1/(Atualizações!$H$1:$H$1029=Mapa!$B78&amp;Mapa!BX$3),Atualizações!$E$1:$E$1029),"NÃO")</f>
        <v>0.73</v>
      </c>
      <c r="AF33" s="161" t="str" cm="1">
        <f t="array" ref="AF33">IFERROR(LOOKUP(2,1/(Atualizações!$H$1:$H$1029=Mapa!$B78&amp;Mapa!BY$3),Atualizações!$E$1:$E$1029),"NÃO")</f>
        <v>NÃO</v>
      </c>
      <c r="AG33" s="161" t="str" cm="1">
        <f t="array" ref="AG33">IFERROR(LOOKUP(2,1/(Atualizações!$H$1:$H$1029=Mapa!$B78&amp;Mapa!BZ$3),Atualizações!$E$1:$E$1029),"NÃO")</f>
        <v>NÃO</v>
      </c>
      <c r="AH33" s="161" cm="1">
        <f t="array" ref="AH33">IFERROR(LOOKUP(2,1/(Atualizações!$H$1:$H$1029=Mapa!$B78&amp;Mapa!CA$3),Atualizações!$E$1:$E$1029),"NÃO")</f>
        <v>0.74</v>
      </c>
      <c r="AI33" s="161" t="str" cm="1">
        <f t="array" ref="AI33">IFERROR(LOOKUP(2,1/(Atualizações!$H$1:$H$1029=Mapa!$B78&amp;Mapa!CB$3),Atualizações!$E$1:$E$1029),"NÃO")</f>
        <v>NÃO</v>
      </c>
      <c r="AJ33" s="161" t="str" cm="1">
        <f t="array" ref="AJ33">IFERROR(LOOKUP(2,1/(Atualizações!$H$1:$H$1029=Mapa!$B78&amp;Mapa!CC$3),Atualizações!$E$1:$E$1029),"NÃO")</f>
        <v>NÃO</v>
      </c>
      <c r="AK33" s="161" t="str" cm="1">
        <f t="array" ref="AK33">IFERROR(LOOKUP(2,1/(Atualizações!$H$1:$H$1029=Mapa!$B78&amp;Mapa!CD$3),Atualizações!$E$1:$E$1029),"NÃO")</f>
        <v>NÃO</v>
      </c>
      <c r="AL33" s="161" t="str" cm="1">
        <f t="array" ref="AL33">IFERROR(LOOKUP(2,1/(Atualizações!$H$1:$H$1265=Mapa!$B78&amp;Mapa!CE$3),Atualizações!$E$1:$E$2994),"NÃO")</f>
        <v>NÃO</v>
      </c>
      <c r="AM33" s="161" t="str" cm="1">
        <f t="array" ref="AM33">IFERROR(LOOKUP(2,1/(Atualizações!$H$1:$H$2994=Tb_Mapa[[#This Row],[SEI]]&amp;Mapa!CF$3),Atualizações!$E$1:$E$2994),"NÃO")</f>
        <v>NÃO</v>
      </c>
      <c r="AN33" s="161" t="str" cm="1">
        <f t="array" ref="AN33">IFERROR(LOOKUP(2,1/(Atualizações!$H$1:$H$2994=Tb_Mapa[[#This Row],[SEI]]&amp;Mapa!CG$3),Atualizações!$E$1:$E$2994),"NÃO")</f>
        <v>NÃO</v>
      </c>
      <c r="AO33" s="161" t="str" cm="1">
        <f t="array" ref="AO33">IFERROR(LOOKUP(2,1/(Atualizações!$H$1:$H$2994=Tb_Mapa[[#This Row],[SEI]]&amp;Mapa!CH$3),Atualizações!$E$1:$E$2994),"NÃO")</f>
        <v>NÃO</v>
      </c>
      <c r="AP33" s="161" t="str" cm="1">
        <f t="array" ref="AP33">IFERROR(LOOKUP(2,1/(Atualizações!$H$1:$H$2994=Tb_Mapa[[#This Row],[SEI]]&amp;Mapa!CI$3),Atualizações!$E$1:$E$2994),"NÃO")</f>
        <v>NÃO</v>
      </c>
      <c r="AQ33" s="161" t="str" cm="1">
        <f t="array" ref="AQ33">IFERROR(LOOKUP(2,1/(Atualizações!$H$1:$H$2994=Tb_Mapa[[#This Row],[SEI]]&amp;Mapa!CJ$3),Atualizações!$E$1:$E$2994),"NÃO")</f>
        <v>NÃO</v>
      </c>
      <c r="AR33" s="161" t="str" cm="1">
        <f t="array" ref="AR33">IFERROR(LOOKUP(2,1/(Atualizações!$H$1:$H$2994=Tb_Mapa[[#This Row],[SEI]]&amp;Mapa!CK$3),Atualizações!$E$1:$E$2994),"NÃO")</f>
        <v>NÃO</v>
      </c>
      <c r="AS33" s="161" t="str" cm="1">
        <f t="array" ref="AS33">IFERROR(LOOKUP(2,1/(Atualizações!$H$1:$H$2994=Tb_Mapa[[#This Row],[SEI]]&amp;Mapa!CL$3),Atualizações!$E$1:$E$2994),"NÃO")</f>
        <v>NÃO</v>
      </c>
      <c r="AT33" s="161" t="str" cm="1">
        <f t="array" ref="AT33">IFERROR(LOOKUP(2,1/(Atualizações!$H$1:$H$2994=Tb_Mapa[[#This Row],[SEI]]&amp;Mapa!CM$3),Atualizações!$E$1:$E$2994),"NÃO")</f>
        <v>NÃO</v>
      </c>
      <c r="AU33" s="161" t="str" cm="1">
        <f t="array" ref="AU33">IFERROR(LOOKUP(2,1/(Atualizações!$H$1:$H$2994=Tb_Mapa[[#This Row],[SEI]]&amp;Mapa!CN$3),Atualizações!$E$1:$E$2994),"NÃO")</f>
        <v>NÃO</v>
      </c>
      <c r="AV33" s="161" t="str" cm="1">
        <f t="array" ref="AV33">IFERROR(LOOKUP(2,1/(Atualizações!$H$1:$H$2994=Tb_Mapa[[#This Row],[SEI]]&amp;Mapa!CO$3),Atualizações!$E$1:$E$2994),"NÃO")</f>
        <v>NÃO</v>
      </c>
      <c r="AW33" s="161" t="str" cm="1">
        <f t="array" ref="AW33">IFERROR(LOOKUP(2,1/(Atualizações!$H$1:$H$2994=Tb_Mapa[[#This Row],[SEI]]&amp;Mapa!CP$3),Atualizações!$E$1:$E$2994),"NÃO")</f>
        <v>NÃO</v>
      </c>
      <c r="AX33" s="161" t="str" cm="1">
        <f t="array" ref="AX33">IFERROR(LOOKUP(2,1/(Atualizações!$H$1:$H$2994=Tb_Mapa[[#This Row],[SEI]]&amp;Mapa!CQ$3),Atualizações!$E$1:$E$2994),"NÃO")</f>
        <v>NÃO</v>
      </c>
    </row>
    <row r="34" spans="2:50" ht="32.25" hidden="1" customHeight="1">
      <c r="B34" s="676" t="s">
        <v>822</v>
      </c>
      <c r="C34" s="676" t="str">
        <f>_xlfn.XLOOKUP(Tb_Mapa[[#This Row],[SEI]],Tb_Portfólio[SEI],Tb_Portfólio[Portfólio 2025],"",0)</f>
        <v>Não</v>
      </c>
      <c r="D34" s="158" t="str">
        <f>_xlfn.XLOOKUP(Tb_Mapa[[#This Row],[SEI]],Tb_Portfólio[SEI],Tb_Portfólio[Portfólio 2026],"",0)</f>
        <v>Não</v>
      </c>
      <c r="E34" s="162" t="str">
        <f>_xlfn.XLOOKUP(Tb_Mapa[[#This Row],[SEI]],Tb_Portfólio[SEI],Tb_Portfólio[PROJETO],"",0)</f>
        <v>Ação Nacional de Cultura (sistema socioeducativo)</v>
      </c>
      <c r="F34" s="143" t="str">
        <f>INDEX(Projetos!$G$3:$G$129,MATCH(B34,Projetos!$A$3:$A$129,0))</f>
        <v>Valdirene Daufemback</v>
      </c>
      <c r="G34" s="160" t="s">
        <v>1712</v>
      </c>
      <c r="H34" s="166" t="str">
        <f>INDEX(Projetos!$T$3:$T$129,MATCH(B34,Projetos!$A$3:$A$129,0))</f>
        <v>Fazendo Justiça</v>
      </c>
      <c r="I34" s="310">
        <f>INDEX(Projetos!$M$3:$M$129,MATCH(Mapa!B77,Projetos!$A$3:$A$129,0))</f>
        <v>45605</v>
      </c>
      <c r="J34" s="164" t="str">
        <f>IF(Tb_Mapa[[#This Row],[SITUAÇÃO]]="Finalizado", "Data atualizada", IFERROR(IF(I34&lt;$CN$3,"Atualizar data de encerramento","Data atualizada"),"Sem informação"))</f>
        <v>Data atualizada</v>
      </c>
      <c r="K34" s="311">
        <f>INDEX(Projetos!$N$3:$N$129,MATCH(Tb_Mapa[[#This Row],[SEI]],Projetos!$A$3:$A$129,0))</f>
        <v>1</v>
      </c>
      <c r="L34" s="311">
        <f>INDEX(Projetos!$O$3:$O$129,MATCH(Tb_Mapa[[#This Row],[SEI]],Projetos!$A$3:$A$129,0))</f>
        <v>1</v>
      </c>
      <c r="M34" s="165" t="str">
        <f>_xlfn.XLOOKUP(Tb_Mapa[[#This Row],[SEI]],Tb_Portfólio[SEI],Tb_Portfólio[Situação],"N/A",0)</f>
        <v>Finalizado</v>
      </c>
      <c r="N34" s="161" t="str" cm="1">
        <f t="array" ref="N34">IFERROR(LOOKUP(2,1/(Atualizações!$H$1:$H$486=Mapa!$B77&amp;Mapa!BG$3),Atualizações!$E$1:$E$486),"NÃO")</f>
        <v>NÃO</v>
      </c>
      <c r="O34" s="161"/>
      <c r="P34" s="161"/>
      <c r="Q34" s="161"/>
      <c r="R34" s="161"/>
      <c r="S34" s="161"/>
      <c r="T34" s="161"/>
      <c r="U34" s="161"/>
      <c r="V34" s="161"/>
      <c r="W34" s="161"/>
      <c r="X34" s="161"/>
      <c r="Y34" s="161"/>
      <c r="Z34" s="161" t="str" cm="1">
        <f t="array" ref="Z34">IFERROR(LOOKUP(2,1/(Atualizações!$H$1:$H$1029=Mapa!$B77&amp;Mapa!BS$3),Atualizações!$E$1:$E$1029),"NÃO")</f>
        <v>NÃO</v>
      </c>
      <c r="AA34" s="161" t="str" cm="1">
        <f t="array" ref="AA34">IFERROR(LOOKUP(2,1/(Atualizações!$H$1:$H$1029=Mapa!$B77&amp;Mapa!BT$3),Atualizações!$E$1:$E$1029),"NÃO")</f>
        <v>NÃO</v>
      </c>
      <c r="AB34" s="161" t="str" cm="1">
        <f t="array" ref="AB34">IFERROR(LOOKUP(2,1/(Atualizações!$H$1:$H$1029=Mapa!$B77&amp;Mapa!BU$3),Atualizações!$E$1:$E$1029),"NÃO")</f>
        <v>NÃO</v>
      </c>
      <c r="AC34" s="161" t="str" cm="1">
        <f t="array" ref="AC34">IFERROR(LOOKUP(2,1/(Atualizações!$H$1:$H$1029=Mapa!$B77&amp;Mapa!BV$3),Atualizações!$E$1:$E$1029),"NÃO")</f>
        <v>NÃO</v>
      </c>
      <c r="AD34" s="161" t="str" cm="1">
        <f t="array" ref="AD34">IFERROR(LOOKUP(2,1/(Atualizações!$H$1:$H$1029=Mapa!$B77&amp;Mapa!BW$3),Atualizações!$E$1:$E$1029),"NÃO")</f>
        <v>NÃO</v>
      </c>
      <c r="AE34" s="161" t="str" cm="1">
        <f t="array" ref="AE34">IFERROR(LOOKUP(2,1/(Atualizações!$H$1:$H$1029=Mapa!$B77&amp;Mapa!BX$3),Atualizações!$E$1:$E$1029),"NÃO")</f>
        <v>NÃO</v>
      </c>
      <c r="AF34" s="161" t="str" cm="1">
        <f t="array" ref="AF34">IFERROR(LOOKUP(2,1/(Atualizações!$H$1:$H$1029=Mapa!$B77&amp;Mapa!BY$3),Atualizações!$E$1:$E$1029),"NÃO")</f>
        <v>NÃO</v>
      </c>
      <c r="AG34" s="161" t="str" cm="1">
        <f t="array" ref="AG34">IFERROR(LOOKUP(2,1/(Atualizações!$H$1:$H$1029=Mapa!$B77&amp;Mapa!BZ$3),Atualizações!$E$1:$E$1029),"NÃO")</f>
        <v>NÃO</v>
      </c>
      <c r="AH34" s="161" t="str" cm="1">
        <f t="array" ref="AH34">IFERROR(LOOKUP(2,1/(Atualizações!$H$1:$H$1029=Mapa!$B77&amp;Mapa!CA$3),Atualizações!$E$1:$E$1029),"NÃO")</f>
        <v>NÃO</v>
      </c>
      <c r="AI34" s="161" t="str" cm="1">
        <f t="array" ref="AI34">IFERROR(LOOKUP(2,1/(Atualizações!$H$1:$H$1029=Mapa!$B77&amp;Mapa!CB$3),Atualizações!$E$1:$E$1029),"NÃO")</f>
        <v>NÃO</v>
      </c>
      <c r="AJ34" s="161" t="str" cm="1">
        <f t="array" ref="AJ34">IFERROR(LOOKUP(2,1/(Atualizações!$H$1:$H$1029=Mapa!$B77&amp;Mapa!CC$3),Atualizações!$E$1:$E$1029),"NÃO")</f>
        <v>NÃO</v>
      </c>
      <c r="AK34" s="161" t="str" cm="1">
        <f t="array" ref="AK34">IFERROR(LOOKUP(2,1/(Atualizações!$H$1:$H$1029=Mapa!$B77&amp;Mapa!CD$3),Atualizações!$E$1:$E$1029),"NÃO")</f>
        <v>NÃO</v>
      </c>
      <c r="AL34" s="161" t="str" cm="1">
        <f t="array" ref="AL34">IFERROR(LOOKUP(2,1/(Atualizações!$H$1:$H$1265=Mapa!$B77&amp;Mapa!CE$3),Atualizações!$E$1:$E$2994),"NÃO")</f>
        <v>NÃO</v>
      </c>
      <c r="AM34" s="161" t="str" cm="1">
        <f t="array" ref="AM34">IFERROR(LOOKUP(2,1/(Atualizações!$H$1:$H$2994=Tb_Mapa[[#This Row],[SEI]]&amp;Mapa!CF$3),Atualizações!$E$1:$E$2994),"NÃO")</f>
        <v>NÃO</v>
      </c>
      <c r="AN34" s="161" t="str" cm="1">
        <f t="array" ref="AN34">IFERROR(LOOKUP(2,1/(Atualizações!$H$1:$H$2994=Tb_Mapa[[#This Row],[SEI]]&amp;Mapa!CG$3),Atualizações!$E$1:$E$2994),"NÃO")</f>
        <v>NÃO</v>
      </c>
      <c r="AO34" s="161" t="str" cm="1">
        <f t="array" ref="AO34">IFERROR(LOOKUP(2,1/(Atualizações!$H$1:$H$2994=Tb_Mapa[[#This Row],[SEI]]&amp;Mapa!CH$3),Atualizações!$E$1:$E$2994),"NÃO")</f>
        <v>NÃO</v>
      </c>
      <c r="AP34" s="161" t="str" cm="1">
        <f t="array" ref="AP34">IFERROR(LOOKUP(2,1/(Atualizações!$H$1:$H$2994=Tb_Mapa[[#This Row],[SEI]]&amp;Mapa!CI$3),Atualizações!$E$1:$E$2994),"NÃO")</f>
        <v>NÃO</v>
      </c>
      <c r="AQ34" s="161" t="str" cm="1">
        <f t="array" ref="AQ34">IFERROR(LOOKUP(2,1/(Atualizações!$H$1:$H$2994=Tb_Mapa[[#This Row],[SEI]]&amp;Mapa!CJ$3),Atualizações!$E$1:$E$2994),"NÃO")</f>
        <v>NÃO</v>
      </c>
      <c r="AR34" s="161" t="str" cm="1">
        <f t="array" ref="AR34">IFERROR(LOOKUP(2,1/(Atualizações!$H$1:$H$2994=Tb_Mapa[[#This Row],[SEI]]&amp;Mapa!CK$3),Atualizações!$E$1:$E$2994),"NÃO")</f>
        <v>NÃO</v>
      </c>
      <c r="AS34" s="161" t="str" cm="1">
        <f t="array" ref="AS34">IFERROR(LOOKUP(2,1/(Atualizações!$H$1:$H$2994=Tb_Mapa[[#This Row],[SEI]]&amp;Mapa!CL$3),Atualizações!$E$1:$E$2994),"NÃO")</f>
        <v>NÃO</v>
      </c>
      <c r="AT34" s="161" t="str" cm="1">
        <f t="array" ref="AT34">IFERROR(LOOKUP(2,1/(Atualizações!$H$1:$H$2994=Tb_Mapa[[#This Row],[SEI]]&amp;Mapa!CM$3),Atualizações!$E$1:$E$2994),"NÃO")</f>
        <v>NÃO</v>
      </c>
      <c r="AU34" s="161" t="str" cm="1">
        <f t="array" ref="AU34">IFERROR(LOOKUP(2,1/(Atualizações!$H$1:$H$2994=Tb_Mapa[[#This Row],[SEI]]&amp;Mapa!CN$3),Atualizações!$E$1:$E$2994),"NÃO")</f>
        <v>NÃO</v>
      </c>
      <c r="AV34" s="161" t="str" cm="1">
        <f t="array" ref="AV34">IFERROR(LOOKUP(2,1/(Atualizações!$H$1:$H$2994=Tb_Mapa[[#This Row],[SEI]]&amp;Mapa!CO$3),Atualizações!$E$1:$E$2994),"NÃO")</f>
        <v>NÃO</v>
      </c>
      <c r="AW34" s="161" t="str" cm="1">
        <f t="array" ref="AW34">IFERROR(LOOKUP(2,1/(Atualizações!$H$1:$H$2994=Tb_Mapa[[#This Row],[SEI]]&amp;Mapa!CP$3),Atualizações!$E$1:$E$2994),"NÃO")</f>
        <v>NÃO</v>
      </c>
      <c r="AX34" s="161" t="str" cm="1">
        <f t="array" ref="AX34">IFERROR(LOOKUP(2,1/(Atualizações!$H$1:$H$2994=Tb_Mapa[[#This Row],[SEI]]&amp;Mapa!CQ$3),Atualizações!$E$1:$E$2994),"NÃO")</f>
        <v>NÃO</v>
      </c>
    </row>
    <row r="35" spans="2:50" ht="82.5" hidden="1" customHeight="1">
      <c r="B35" s="676" t="s">
        <v>818</v>
      </c>
      <c r="C35" s="676" t="str">
        <f>_xlfn.XLOOKUP(Tb_Mapa[[#This Row],[SEI]],Tb_Portfólio[SEI],Tb_Portfólio[Portfólio 2025],"",0)</f>
        <v>Não</v>
      </c>
      <c r="D35" s="158" t="str">
        <f>_xlfn.XLOOKUP(Tb_Mapa[[#This Row],[SEI]],Tb_Portfólio[SEI],Tb_Portfólio[Portfólio 2026],"",0)</f>
        <v>Não</v>
      </c>
      <c r="E35" s="162" t="str">
        <f>_xlfn.XLOOKUP(Tb_Mapa[[#This Row],[SEI]],Tb_Portfólio[SEI],Tb_Portfólio[PROJETO],"",0)</f>
        <v>Programa Pós-medida (sistema socioeducativo)</v>
      </c>
      <c r="F35" s="143" t="str">
        <f>INDEX(Projetos!$G$3:$G$129,MATCH(B35,Projetos!$A$3:$A$129,0))</f>
        <v>Valdirene Daufemback</v>
      </c>
      <c r="G35" s="160" t="s">
        <v>1712</v>
      </c>
      <c r="H35" s="166" t="str">
        <f>INDEX(Projetos!$T$3:$T$129,MATCH(B35,Projetos!$A$3:$A$129,0))</f>
        <v>Fazendo Justiça</v>
      </c>
      <c r="I35" s="310">
        <f>INDEX(Projetos!$M$3:$M$129,MATCH(Mapa!B76,Projetos!$A$3:$A$129,0))</f>
        <v>45412</v>
      </c>
      <c r="J35" s="164" t="str">
        <f>IF(Tb_Mapa[[#This Row],[SITUAÇÃO]]="Finalizado", "Data atualizada", IFERROR(IF(I35&lt;$CN$3,"Atualizar data de encerramento","Data atualizada"),"Sem informação"))</f>
        <v>Data atualizada</v>
      </c>
      <c r="K35" s="311">
        <f>INDEX(Projetos!$N$3:$N$129,MATCH(Tb_Mapa[[#This Row],[SEI]],Projetos!$A$3:$A$129,0))</f>
        <v>1</v>
      </c>
      <c r="L35" s="311">
        <f>INDEX(Projetos!$O$3:$O$129,MATCH(Tb_Mapa[[#This Row],[SEI]],Projetos!$A$3:$A$129,0))</f>
        <v>1</v>
      </c>
      <c r="M35" s="165" t="str">
        <f>_xlfn.XLOOKUP(Tb_Mapa[[#This Row],[SEI]],Tb_Portfólio[SEI],Tb_Portfólio[Situação],"N/A",0)</f>
        <v>Finalizado</v>
      </c>
      <c r="N35" s="161" t="str" cm="1">
        <f t="array" ref="N35">IFERROR(LOOKUP(2,1/(Atualizações!$H$1:$H$486=Mapa!$B76&amp;Mapa!BG$3),Atualizações!$E$1:$E$486),"NÃO")</f>
        <v>NÃO</v>
      </c>
      <c r="O35" s="161"/>
      <c r="P35" s="161"/>
      <c r="Q35" s="161"/>
      <c r="R35" s="161"/>
      <c r="S35" s="161"/>
      <c r="T35" s="161"/>
      <c r="U35" s="161"/>
      <c r="V35" s="161"/>
      <c r="W35" s="161"/>
      <c r="X35" s="161"/>
      <c r="Y35" s="161"/>
      <c r="Z35" s="161" t="str" cm="1">
        <f t="array" ref="Z35">IFERROR(LOOKUP(2,1/(Atualizações!$H$1:$H$1029=Mapa!$B76&amp;Mapa!BS$3),Atualizações!$E$1:$E$1029),"NÃO")</f>
        <v>NÃO</v>
      </c>
      <c r="AA35" s="161" t="str" cm="1">
        <f t="array" ref="AA35">IFERROR(LOOKUP(2,1/(Atualizações!$H$1:$H$1029=Mapa!$B76&amp;Mapa!BT$3),Atualizações!$E$1:$E$1029),"NÃO")</f>
        <v>NÃO</v>
      </c>
      <c r="AB35" s="161" t="str" cm="1">
        <f t="array" ref="AB35">IFERROR(LOOKUP(2,1/(Atualizações!$H$1:$H$1029=Mapa!$B76&amp;Mapa!BU$3),Atualizações!$E$1:$E$1029),"NÃO")</f>
        <v>NÃO</v>
      </c>
      <c r="AC35" s="161" t="str" cm="1">
        <f t="array" ref="AC35">IFERROR(LOOKUP(2,1/(Atualizações!$H$1:$H$1029=Mapa!$B76&amp;Mapa!BV$3),Atualizações!$E$1:$E$1029),"NÃO")</f>
        <v>NÃO</v>
      </c>
      <c r="AD35" s="161" t="str" cm="1">
        <f t="array" ref="AD35">IFERROR(LOOKUP(2,1/(Atualizações!$H$1:$H$1029=Mapa!$B76&amp;Mapa!BW$3),Atualizações!$E$1:$E$1029),"NÃO")</f>
        <v>NÃO</v>
      </c>
      <c r="AE35" s="161" t="str" cm="1">
        <f t="array" ref="AE35">IFERROR(LOOKUP(2,1/(Atualizações!$H$1:$H$1029=Mapa!$B76&amp;Mapa!BX$3),Atualizações!$E$1:$E$1029),"NÃO")</f>
        <v>NÃO</v>
      </c>
      <c r="AF35" s="161" t="str" cm="1">
        <f t="array" ref="AF35">IFERROR(LOOKUP(2,1/(Atualizações!$H$1:$H$1029=Mapa!$B76&amp;Mapa!BY$3),Atualizações!$E$1:$E$1029),"NÃO")</f>
        <v>NÃO</v>
      </c>
      <c r="AG35" s="161" t="str" cm="1">
        <f t="array" ref="AG35">IFERROR(LOOKUP(2,1/(Atualizações!$H$1:$H$1029=Mapa!$B76&amp;Mapa!BZ$3),Atualizações!$E$1:$E$1029),"NÃO")</f>
        <v>NÃO</v>
      </c>
      <c r="AH35" s="161" t="str" cm="1">
        <f t="array" ref="AH35">IFERROR(LOOKUP(2,1/(Atualizações!$H$1:$H$1029=Mapa!$B76&amp;Mapa!CA$3),Atualizações!$E$1:$E$1029),"NÃO")</f>
        <v>NÃO</v>
      </c>
      <c r="AI35" s="161" t="str" cm="1">
        <f t="array" ref="AI35">IFERROR(LOOKUP(2,1/(Atualizações!$H$1:$H$1029=Mapa!$B76&amp;Mapa!CB$3),Atualizações!$E$1:$E$1029),"NÃO")</f>
        <v>NÃO</v>
      </c>
      <c r="AJ35" s="161" t="str" cm="1">
        <f t="array" ref="AJ35">IFERROR(LOOKUP(2,1/(Atualizações!$H$1:$H$1029=Mapa!$B76&amp;Mapa!CC$3),Atualizações!$E$1:$E$1029),"NÃO")</f>
        <v>NÃO</v>
      </c>
      <c r="AK35" s="161" t="str" cm="1">
        <f t="array" ref="AK35">IFERROR(LOOKUP(2,1/(Atualizações!$H$1:$H$1029=Mapa!$B76&amp;Mapa!CD$3),Atualizações!$E$1:$E$1029),"NÃO")</f>
        <v>NÃO</v>
      </c>
      <c r="AL35" s="161" t="str" cm="1">
        <f t="array" ref="AL35">IFERROR(LOOKUP(2,1/(Atualizações!$H$1:$H$1265=Mapa!$B76&amp;Mapa!CE$3),Atualizações!$E$1:$E$2994),"NÃO")</f>
        <v>NÃO</v>
      </c>
      <c r="AM35" s="161" t="str" cm="1">
        <f t="array" ref="AM35">IFERROR(LOOKUP(2,1/(Atualizações!$H$1:$H$2994=Tb_Mapa[[#This Row],[SEI]]&amp;Mapa!CF$3),Atualizações!$E$1:$E$2994),"NÃO")</f>
        <v>NÃO</v>
      </c>
      <c r="AN35" s="161" t="str" cm="1">
        <f t="array" ref="AN35">IFERROR(LOOKUP(2,1/(Atualizações!$H$1:$H$2994=Tb_Mapa[[#This Row],[SEI]]&amp;Mapa!CG$3),Atualizações!$E$1:$E$2994),"NÃO")</f>
        <v>NÃO</v>
      </c>
      <c r="AO35" s="161" t="str" cm="1">
        <f t="array" ref="AO35">IFERROR(LOOKUP(2,1/(Atualizações!$H$1:$H$2994=Tb_Mapa[[#This Row],[SEI]]&amp;Mapa!CH$3),Atualizações!$E$1:$E$2994),"NÃO")</f>
        <v>NÃO</v>
      </c>
      <c r="AP35" s="161" t="str" cm="1">
        <f t="array" ref="AP35">IFERROR(LOOKUP(2,1/(Atualizações!$H$1:$H$2994=Tb_Mapa[[#This Row],[SEI]]&amp;Mapa!CI$3),Atualizações!$E$1:$E$2994),"NÃO")</f>
        <v>NÃO</v>
      </c>
      <c r="AQ35" s="161" t="str" cm="1">
        <f t="array" ref="AQ35">IFERROR(LOOKUP(2,1/(Atualizações!$H$1:$H$2994=Tb_Mapa[[#This Row],[SEI]]&amp;Mapa!CJ$3),Atualizações!$E$1:$E$2994),"NÃO")</f>
        <v>NÃO</v>
      </c>
      <c r="AR35" s="161" t="str" cm="1">
        <f t="array" ref="AR35">IFERROR(LOOKUP(2,1/(Atualizações!$H$1:$H$2994=Tb_Mapa[[#This Row],[SEI]]&amp;Mapa!CK$3),Atualizações!$E$1:$E$2994),"NÃO")</f>
        <v>NÃO</v>
      </c>
      <c r="AS35" s="161" t="str" cm="1">
        <f t="array" ref="AS35">IFERROR(LOOKUP(2,1/(Atualizações!$H$1:$H$2994=Tb_Mapa[[#This Row],[SEI]]&amp;Mapa!CL$3),Atualizações!$E$1:$E$2994),"NÃO")</f>
        <v>NÃO</v>
      </c>
      <c r="AT35" s="161" t="str" cm="1">
        <f t="array" ref="AT35">IFERROR(LOOKUP(2,1/(Atualizações!$H$1:$H$2994=Tb_Mapa[[#This Row],[SEI]]&amp;Mapa!CM$3),Atualizações!$E$1:$E$2994),"NÃO")</f>
        <v>NÃO</v>
      </c>
      <c r="AU35" s="161" t="str" cm="1">
        <f t="array" ref="AU35">IFERROR(LOOKUP(2,1/(Atualizações!$H$1:$H$2994=Tb_Mapa[[#This Row],[SEI]]&amp;Mapa!CN$3),Atualizações!$E$1:$E$2994),"NÃO")</f>
        <v>NÃO</v>
      </c>
      <c r="AV35" s="161" t="str" cm="1">
        <f t="array" ref="AV35">IFERROR(LOOKUP(2,1/(Atualizações!$H$1:$H$2994=Tb_Mapa[[#This Row],[SEI]]&amp;Mapa!CO$3),Atualizações!$E$1:$E$2994),"NÃO")</f>
        <v>NÃO</v>
      </c>
      <c r="AW35" s="161" t="str" cm="1">
        <f t="array" ref="AW35">IFERROR(LOOKUP(2,1/(Atualizações!$H$1:$H$2994=Tb_Mapa[[#This Row],[SEI]]&amp;Mapa!CP$3),Atualizações!$E$1:$E$2994),"NÃO")</f>
        <v>NÃO</v>
      </c>
      <c r="AX35" s="161" t="str" cm="1">
        <f t="array" ref="AX35">IFERROR(LOOKUP(2,1/(Atualizações!$H$1:$H$2994=Tb_Mapa[[#This Row],[SEI]]&amp;Mapa!CQ$3),Atualizações!$E$1:$E$2994),"NÃO")</f>
        <v>NÃO</v>
      </c>
    </row>
    <row r="36" spans="2:50" ht="32.25" hidden="1" customHeight="1">
      <c r="B36" s="676" t="s">
        <v>814</v>
      </c>
      <c r="C36" s="676" t="str">
        <f>_xlfn.XLOOKUP(Tb_Mapa[[#This Row],[SEI]],Tb_Portfólio[SEI],Tb_Portfólio[Portfólio 2025],"",0)</f>
        <v>Não</v>
      </c>
      <c r="D36" s="158" t="str">
        <f>_xlfn.XLOOKUP(Tb_Mapa[[#This Row],[SEI]],Tb_Portfólio[SEI],Tb_Portfólio[Portfólio 2026],"",0)</f>
        <v>Não</v>
      </c>
      <c r="E36" s="162" t="str">
        <f>_xlfn.XLOOKUP(Tb_Mapa[[#This Row],[SEI]],Tb_Portfólio[SEI],Tb_Portfólio[PROJETO],"",0)</f>
        <v>Audiência Concentrada (sistema socioeducativo)</v>
      </c>
      <c r="F36" s="143" t="str">
        <f>INDEX(Projetos!$G$3:$G$129,MATCH(B36,Projetos!$A$3:$A$129,0))</f>
        <v>Valdirene Daufemback</v>
      </c>
      <c r="G36" s="160" t="s">
        <v>1712</v>
      </c>
      <c r="H36" s="166" t="str">
        <f>INDEX(Projetos!$T$3:$T$129,MATCH(B36,Projetos!$A$3:$A$129,0))</f>
        <v>Fazendo Justiça</v>
      </c>
      <c r="I36" s="310">
        <f>INDEX(Projetos!$M$3:$M$129,MATCH(Mapa!B75,Projetos!$A$3:$A$129,0))</f>
        <v>45688</v>
      </c>
      <c r="J36" s="164" t="str">
        <f>IF(Tb_Mapa[[#This Row],[SITUAÇÃO]]="Finalizado", "Data atualizada", IFERROR(IF(I36&lt;$CN$3,"Atualizar data de encerramento","Data atualizada"),"Sem informação"))</f>
        <v>Data atualizada</v>
      </c>
      <c r="K36" s="311">
        <f>INDEX(Projetos!$N$3:$N$129,MATCH(Tb_Mapa[[#This Row],[SEI]],Projetos!$A$3:$A$129,0))</f>
        <v>1</v>
      </c>
      <c r="L36" s="311">
        <f>INDEX(Projetos!$O$3:$O$129,MATCH(Tb_Mapa[[#This Row],[SEI]],Projetos!$A$3:$A$129,0))</f>
        <v>1</v>
      </c>
      <c r="M36" s="165" t="str">
        <f>_xlfn.XLOOKUP(Tb_Mapa[[#This Row],[SEI]],Tb_Portfólio[SEI],Tb_Portfólio[Situação],"N/A",0)</f>
        <v>Finalizado</v>
      </c>
      <c r="N36" s="161" t="str" cm="1">
        <f t="array" ref="N36">IFERROR(LOOKUP(2,1/(Atualizações!$H$1:$H$486=Mapa!$B75&amp;Mapa!BG$3),Atualizações!$E$1:$E$486),"NÃO")</f>
        <v>NÃO</v>
      </c>
      <c r="O36" s="161"/>
      <c r="P36" s="161"/>
      <c r="Q36" s="161"/>
      <c r="R36" s="161"/>
      <c r="S36" s="161"/>
      <c r="T36" s="161"/>
      <c r="U36" s="161"/>
      <c r="V36" s="161"/>
      <c r="W36" s="161"/>
      <c r="X36" s="161"/>
      <c r="Y36" s="161"/>
      <c r="Z36" s="161" t="str" cm="1">
        <f t="array" ref="Z36">IFERROR(LOOKUP(2,1/(Atualizações!$H$1:$H$1029=Mapa!$B75&amp;Mapa!BS$3),Atualizações!$E$1:$E$1029),"NÃO")</f>
        <v>NÃO</v>
      </c>
      <c r="AA36" s="161" t="str" cm="1">
        <f t="array" ref="AA36">IFERROR(LOOKUP(2,1/(Atualizações!$H$1:$H$1029=Mapa!$B75&amp;Mapa!BT$3),Atualizações!$E$1:$E$1029),"NÃO")</f>
        <v>NÃO</v>
      </c>
      <c r="AB36" s="161" t="str" cm="1">
        <f t="array" ref="AB36">IFERROR(LOOKUP(2,1/(Atualizações!$H$1:$H$1029=Mapa!$B75&amp;Mapa!BU$3),Atualizações!$E$1:$E$1029),"NÃO")</f>
        <v>NÃO</v>
      </c>
      <c r="AC36" s="161" t="str" cm="1">
        <f t="array" ref="AC36">IFERROR(LOOKUP(2,1/(Atualizações!$H$1:$H$1029=Mapa!$B75&amp;Mapa!BV$3),Atualizações!$E$1:$E$1029),"NÃO")</f>
        <v>NÃO</v>
      </c>
      <c r="AD36" s="161" t="str" cm="1">
        <f t="array" ref="AD36">IFERROR(LOOKUP(2,1/(Atualizações!$H$1:$H$1029=Mapa!$B75&amp;Mapa!BW$3),Atualizações!$E$1:$E$1029),"NÃO")</f>
        <v>NÃO</v>
      </c>
      <c r="AE36" s="161" t="str" cm="1">
        <f t="array" ref="AE36">IFERROR(LOOKUP(2,1/(Atualizações!$H$1:$H$1029=Mapa!$B75&amp;Mapa!BX$3),Atualizações!$E$1:$E$1029),"NÃO")</f>
        <v>NÃO</v>
      </c>
      <c r="AF36" s="161" t="str" cm="1">
        <f t="array" ref="AF36">IFERROR(LOOKUP(2,1/(Atualizações!$H$1:$H$1029=Mapa!$B75&amp;Mapa!BY$3),Atualizações!$E$1:$E$1029),"NÃO")</f>
        <v>NÃO</v>
      </c>
      <c r="AG36" s="161" t="str" cm="1">
        <f t="array" ref="AG36">IFERROR(LOOKUP(2,1/(Atualizações!$H$1:$H$1029=Mapa!$B75&amp;Mapa!BZ$3),Atualizações!$E$1:$E$1029),"NÃO")</f>
        <v>NÃO</v>
      </c>
      <c r="AH36" s="161" t="str" cm="1">
        <f t="array" ref="AH36">IFERROR(LOOKUP(2,1/(Atualizações!$H$1:$H$1029=Mapa!$B75&amp;Mapa!CA$3),Atualizações!$E$1:$E$1029),"NÃO")</f>
        <v>NÃO</v>
      </c>
      <c r="AI36" s="161" t="str" cm="1">
        <f t="array" ref="AI36">IFERROR(LOOKUP(2,1/(Atualizações!$H$1:$H$1029=Mapa!$B75&amp;Mapa!CB$3),Atualizações!$E$1:$E$1029),"NÃO")</f>
        <v>NÃO</v>
      </c>
      <c r="AJ36" s="161" t="str" cm="1">
        <f t="array" ref="AJ36">IFERROR(LOOKUP(2,1/(Atualizações!$H$1:$H$1029=Mapa!$B75&amp;Mapa!CC$3),Atualizações!$E$1:$E$1029),"NÃO")</f>
        <v>NÃO</v>
      </c>
      <c r="AK36" s="161" t="str" cm="1">
        <f t="array" ref="AK36">IFERROR(LOOKUP(2,1/(Atualizações!$H$1:$H$1029=Mapa!$B75&amp;Mapa!CD$3),Atualizações!$E$1:$E$1029),"NÃO")</f>
        <v>NÃO</v>
      </c>
      <c r="AL36" s="161" t="str" cm="1">
        <f t="array" ref="AL36">IFERROR(LOOKUP(2,1/(Atualizações!$H$1:$H$1265=Mapa!$B75&amp;Mapa!CE$3),Atualizações!$E$1:$E$2994),"NÃO")</f>
        <v>NÃO</v>
      </c>
      <c r="AM36" s="161" t="str" cm="1">
        <f t="array" ref="AM36">IFERROR(LOOKUP(2,1/(Atualizações!$H$1:$H$2994=Tb_Mapa[[#This Row],[SEI]]&amp;Mapa!CF$3),Atualizações!$E$1:$E$2994),"NÃO")</f>
        <v>NÃO</v>
      </c>
      <c r="AN36" s="161" t="str" cm="1">
        <f t="array" ref="AN36">IFERROR(LOOKUP(2,1/(Atualizações!$H$1:$H$2994=Tb_Mapa[[#This Row],[SEI]]&amp;Mapa!CG$3),Atualizações!$E$1:$E$2994),"NÃO")</f>
        <v>NÃO</v>
      </c>
      <c r="AO36" s="161" t="str" cm="1">
        <f t="array" ref="AO36">IFERROR(LOOKUP(2,1/(Atualizações!$H$1:$H$2994=Tb_Mapa[[#This Row],[SEI]]&amp;Mapa!CH$3),Atualizações!$E$1:$E$2994),"NÃO")</f>
        <v>NÃO</v>
      </c>
      <c r="AP36" s="161" t="str" cm="1">
        <f t="array" ref="AP36">IFERROR(LOOKUP(2,1/(Atualizações!$H$1:$H$2994=Tb_Mapa[[#This Row],[SEI]]&amp;Mapa!CI$3),Atualizações!$E$1:$E$2994),"NÃO")</f>
        <v>NÃO</v>
      </c>
      <c r="AQ36" s="161" t="str" cm="1">
        <f t="array" ref="AQ36">IFERROR(LOOKUP(2,1/(Atualizações!$H$1:$H$2994=Tb_Mapa[[#This Row],[SEI]]&amp;Mapa!CJ$3),Atualizações!$E$1:$E$2994),"NÃO")</f>
        <v>NÃO</v>
      </c>
      <c r="AR36" s="161" t="str" cm="1">
        <f t="array" ref="AR36">IFERROR(LOOKUP(2,1/(Atualizações!$H$1:$H$2994=Tb_Mapa[[#This Row],[SEI]]&amp;Mapa!CK$3),Atualizações!$E$1:$E$2994),"NÃO")</f>
        <v>NÃO</v>
      </c>
      <c r="AS36" s="161" t="str" cm="1">
        <f t="array" ref="AS36">IFERROR(LOOKUP(2,1/(Atualizações!$H$1:$H$2994=Tb_Mapa[[#This Row],[SEI]]&amp;Mapa!CL$3),Atualizações!$E$1:$E$2994),"NÃO")</f>
        <v>NÃO</v>
      </c>
      <c r="AT36" s="161" t="str" cm="1">
        <f t="array" ref="AT36">IFERROR(LOOKUP(2,1/(Atualizações!$H$1:$H$2994=Tb_Mapa[[#This Row],[SEI]]&amp;Mapa!CM$3),Atualizações!$E$1:$E$2994),"NÃO")</f>
        <v>NÃO</v>
      </c>
      <c r="AU36" s="161" t="str" cm="1">
        <f t="array" ref="AU36">IFERROR(LOOKUP(2,1/(Atualizações!$H$1:$H$2994=Tb_Mapa[[#This Row],[SEI]]&amp;Mapa!CN$3),Atualizações!$E$1:$E$2994),"NÃO")</f>
        <v>NÃO</v>
      </c>
      <c r="AV36" s="161" t="str" cm="1">
        <f t="array" ref="AV36">IFERROR(LOOKUP(2,1/(Atualizações!$H$1:$H$2994=Tb_Mapa[[#This Row],[SEI]]&amp;Mapa!CO$3),Atualizações!$E$1:$E$2994),"NÃO")</f>
        <v>NÃO</v>
      </c>
      <c r="AW36" s="161" t="str" cm="1">
        <f t="array" ref="AW36">IFERROR(LOOKUP(2,1/(Atualizações!$H$1:$H$2994=Tb_Mapa[[#This Row],[SEI]]&amp;Mapa!CP$3),Atualizações!$E$1:$E$2994),"NÃO")</f>
        <v>NÃO</v>
      </c>
      <c r="AX36" s="161" t="str" cm="1">
        <f t="array" ref="AX36">IFERROR(LOOKUP(2,1/(Atualizações!$H$1:$H$2994=Tb_Mapa[[#This Row],[SEI]]&amp;Mapa!CQ$3),Atualizações!$E$1:$E$2994),"NÃO")</f>
        <v>NÃO</v>
      </c>
    </row>
    <row r="37" spans="2:50" ht="32.25" hidden="1" customHeight="1">
      <c r="B37" s="676" t="s">
        <v>810</v>
      </c>
      <c r="C37" s="676" t="str">
        <f>_xlfn.XLOOKUP(Tb_Mapa[[#This Row],[SEI]],Tb_Portfólio[SEI],Tb_Portfólio[Portfólio 2025],"",0)</f>
        <v>Não</v>
      </c>
      <c r="D37" s="158" t="str">
        <f>_xlfn.XLOOKUP(Tb_Mapa[[#This Row],[SEI]],Tb_Portfólio[SEI],Tb_Portfólio[Portfólio 2026],"",0)</f>
        <v>Não</v>
      </c>
      <c r="E37" s="162" t="str">
        <f>_xlfn.XLOOKUP(Tb_Mapa[[#This Row],[SEI]],Tb_Portfólio[SEI],Tb_Portfólio[PROJETO],"",0)</f>
        <v>Central de Vagas (sistema socioeducativo)</v>
      </c>
      <c r="F37" s="143" t="str">
        <f>INDEX(Projetos!$G$3:$G$129,MATCH(B37,Projetos!$A$3:$A$129,0))</f>
        <v>Valdirene Daufemback</v>
      </c>
      <c r="G37" s="160" t="s">
        <v>1712</v>
      </c>
      <c r="H37" s="166" t="str">
        <f>INDEX(Projetos!$T$3:$T$129,MATCH(B37,Projetos!$A$3:$A$129,0))</f>
        <v>Fazendo Justiça</v>
      </c>
      <c r="I37" s="310">
        <f>INDEX(Projetos!$M$3:$M$129,MATCH(Mapa!B74,Projetos!$A$3:$A$129,0))</f>
        <v>45433</v>
      </c>
      <c r="J37" s="164" t="str">
        <f>IF(Tb_Mapa[[#This Row],[SITUAÇÃO]]="Finalizado", "Data atualizada", IFERROR(IF(I37&lt;$CN$3,"Atualizar data de encerramento","Data atualizada"),"Sem informação"))</f>
        <v>Data atualizada</v>
      </c>
      <c r="K37" s="311">
        <f>INDEX(Projetos!$N$3:$N$129,MATCH(Tb_Mapa[[#This Row],[SEI]],Projetos!$A$3:$A$129,0))</f>
        <v>1</v>
      </c>
      <c r="L37" s="311">
        <f>INDEX(Projetos!$O$3:$O$129,MATCH(Tb_Mapa[[#This Row],[SEI]],Projetos!$A$3:$A$129,0))</f>
        <v>1</v>
      </c>
      <c r="M37" s="165" t="str">
        <f>_xlfn.XLOOKUP(Tb_Mapa[[#This Row],[SEI]],Tb_Portfólio[SEI],Tb_Portfólio[Situação],"N/A",0)</f>
        <v>Finalizado</v>
      </c>
      <c r="N37" s="161" t="str" cm="1">
        <f t="array" ref="N37">IFERROR(LOOKUP(2,1/(Atualizações!$H$1:$H$486=Mapa!$B74&amp;Mapa!BG$3),Atualizações!$E$1:$E$486),"NÃO")</f>
        <v>NÃO</v>
      </c>
      <c r="O37" s="161"/>
      <c r="P37" s="161"/>
      <c r="Q37" s="161"/>
      <c r="R37" s="161"/>
      <c r="S37" s="161"/>
      <c r="T37" s="161"/>
      <c r="U37" s="161"/>
      <c r="V37" s="161"/>
      <c r="W37" s="161"/>
      <c r="X37" s="161"/>
      <c r="Y37" s="161"/>
      <c r="Z37" s="161" t="str" cm="1">
        <f t="array" ref="Z37">IFERROR(LOOKUP(2,1/(Atualizações!$H$1:$H$1029=Mapa!$B74&amp;Mapa!BS$3),Atualizações!$E$1:$E$1029),"NÃO")</f>
        <v>NÃO</v>
      </c>
      <c r="AA37" s="161" t="str" cm="1">
        <f t="array" ref="AA37">IFERROR(LOOKUP(2,1/(Atualizações!$H$1:$H$1029=Mapa!$B74&amp;Mapa!BT$3),Atualizações!$E$1:$E$1029),"NÃO")</f>
        <v>NÃO</v>
      </c>
      <c r="AB37" s="161" t="str" cm="1">
        <f t="array" ref="AB37">IFERROR(LOOKUP(2,1/(Atualizações!$H$1:$H$1029=Mapa!$B74&amp;Mapa!BU$3),Atualizações!$E$1:$E$1029),"NÃO")</f>
        <v>NÃO</v>
      </c>
      <c r="AC37" s="161" t="str" cm="1">
        <f t="array" ref="AC37">IFERROR(LOOKUP(2,1/(Atualizações!$H$1:$H$1029=Mapa!$B74&amp;Mapa!BV$3),Atualizações!$E$1:$E$1029),"NÃO")</f>
        <v>NÃO</v>
      </c>
      <c r="AD37" s="161" t="str" cm="1">
        <f t="array" ref="AD37">IFERROR(LOOKUP(2,1/(Atualizações!$H$1:$H$1029=Mapa!$B74&amp;Mapa!BW$3),Atualizações!$E$1:$E$1029),"NÃO")</f>
        <v>NÃO</v>
      </c>
      <c r="AE37" s="161" t="str" cm="1">
        <f t="array" ref="AE37">IFERROR(LOOKUP(2,1/(Atualizações!$H$1:$H$1029=Mapa!$B74&amp;Mapa!BX$3),Atualizações!$E$1:$E$1029),"NÃO")</f>
        <v>NÃO</v>
      </c>
      <c r="AF37" s="161" t="str" cm="1">
        <f t="array" ref="AF37">IFERROR(LOOKUP(2,1/(Atualizações!$H$1:$H$1029=Mapa!$B74&amp;Mapa!BY$3),Atualizações!$E$1:$E$1029),"NÃO")</f>
        <v>NÃO</v>
      </c>
      <c r="AG37" s="161" t="str" cm="1">
        <f t="array" ref="AG37">IFERROR(LOOKUP(2,1/(Atualizações!$H$1:$H$1029=Mapa!$B74&amp;Mapa!BZ$3),Atualizações!$E$1:$E$1029),"NÃO")</f>
        <v>NÃO</v>
      </c>
      <c r="AH37" s="161" t="str" cm="1">
        <f t="array" ref="AH37">IFERROR(LOOKUP(2,1/(Atualizações!$H$1:$H$1029=Mapa!$B74&amp;Mapa!CA$3),Atualizações!$E$1:$E$1029),"NÃO")</f>
        <v>NÃO</v>
      </c>
      <c r="AI37" s="161" t="str" cm="1">
        <f t="array" ref="AI37">IFERROR(LOOKUP(2,1/(Atualizações!$H$1:$H$1029=Mapa!$B74&amp;Mapa!CB$3),Atualizações!$E$1:$E$1029),"NÃO")</f>
        <v>NÃO</v>
      </c>
      <c r="AJ37" s="161" t="str" cm="1">
        <f t="array" ref="AJ37">IFERROR(LOOKUP(2,1/(Atualizações!$H$1:$H$1029=Mapa!$B74&amp;Mapa!CC$3),Atualizações!$E$1:$E$1029),"NÃO")</f>
        <v>NÃO</v>
      </c>
      <c r="AK37" s="161" t="str" cm="1">
        <f t="array" ref="AK37">IFERROR(LOOKUP(2,1/(Atualizações!$H$1:$H$1029=Mapa!$B74&amp;Mapa!CD$3),Atualizações!$E$1:$E$1029),"NÃO")</f>
        <v>NÃO</v>
      </c>
      <c r="AL37" s="161" t="str" cm="1">
        <f t="array" ref="AL37">IFERROR(LOOKUP(2,1/(Atualizações!$H$1:$H$1265=Mapa!$B74&amp;Mapa!CE$3),Atualizações!$E$1:$E$2994),"NÃO")</f>
        <v>NÃO</v>
      </c>
      <c r="AM37" s="161" t="str" cm="1">
        <f t="array" ref="AM37">IFERROR(LOOKUP(2,1/(Atualizações!$H$1:$H$2994=Tb_Mapa[[#This Row],[SEI]]&amp;Mapa!CF$3),Atualizações!$E$1:$E$2994),"NÃO")</f>
        <v>NÃO</v>
      </c>
      <c r="AN37" s="161" t="str" cm="1">
        <f t="array" ref="AN37">IFERROR(LOOKUP(2,1/(Atualizações!$H$1:$H$2994=Tb_Mapa[[#This Row],[SEI]]&amp;Mapa!CG$3),Atualizações!$E$1:$E$2994),"NÃO")</f>
        <v>NÃO</v>
      </c>
      <c r="AO37" s="161" t="str" cm="1">
        <f t="array" ref="AO37">IFERROR(LOOKUP(2,1/(Atualizações!$H$1:$H$2994=Tb_Mapa[[#This Row],[SEI]]&amp;Mapa!CH$3),Atualizações!$E$1:$E$2994),"NÃO")</f>
        <v>NÃO</v>
      </c>
      <c r="AP37" s="161" t="str" cm="1">
        <f t="array" ref="AP37">IFERROR(LOOKUP(2,1/(Atualizações!$H$1:$H$2994=Tb_Mapa[[#This Row],[SEI]]&amp;Mapa!CI$3),Atualizações!$E$1:$E$2994),"NÃO")</f>
        <v>NÃO</v>
      </c>
      <c r="AQ37" s="161" t="str" cm="1">
        <f t="array" ref="AQ37">IFERROR(LOOKUP(2,1/(Atualizações!$H$1:$H$2994=Tb_Mapa[[#This Row],[SEI]]&amp;Mapa!CJ$3),Atualizações!$E$1:$E$2994),"NÃO")</f>
        <v>NÃO</v>
      </c>
      <c r="AR37" s="161" t="str" cm="1">
        <f t="array" ref="AR37">IFERROR(LOOKUP(2,1/(Atualizações!$H$1:$H$2994=Tb_Mapa[[#This Row],[SEI]]&amp;Mapa!CK$3),Atualizações!$E$1:$E$2994),"NÃO")</f>
        <v>NÃO</v>
      </c>
      <c r="AS37" s="161" t="str" cm="1">
        <f t="array" ref="AS37">IFERROR(LOOKUP(2,1/(Atualizações!$H$1:$H$2994=Tb_Mapa[[#This Row],[SEI]]&amp;Mapa!CL$3),Atualizações!$E$1:$E$2994),"NÃO")</f>
        <v>NÃO</v>
      </c>
      <c r="AT37" s="161" t="str" cm="1">
        <f t="array" ref="AT37">IFERROR(LOOKUP(2,1/(Atualizações!$H$1:$H$2994=Tb_Mapa[[#This Row],[SEI]]&amp;Mapa!CM$3),Atualizações!$E$1:$E$2994),"NÃO")</f>
        <v>NÃO</v>
      </c>
      <c r="AU37" s="161" t="str" cm="1">
        <f t="array" ref="AU37">IFERROR(LOOKUP(2,1/(Atualizações!$H$1:$H$2994=Tb_Mapa[[#This Row],[SEI]]&amp;Mapa!CN$3),Atualizações!$E$1:$E$2994),"NÃO")</f>
        <v>NÃO</v>
      </c>
      <c r="AV37" s="161" t="str" cm="1">
        <f t="array" ref="AV37">IFERROR(LOOKUP(2,1/(Atualizações!$H$1:$H$2994=Tb_Mapa[[#This Row],[SEI]]&amp;Mapa!CO$3),Atualizações!$E$1:$E$2994),"NÃO")</f>
        <v>NÃO</v>
      </c>
      <c r="AW37" s="161" t="str" cm="1">
        <f t="array" ref="AW37">IFERROR(LOOKUP(2,1/(Atualizações!$H$1:$H$2994=Tb_Mapa[[#This Row],[SEI]]&amp;Mapa!CP$3),Atualizações!$E$1:$E$2994),"NÃO")</f>
        <v>NÃO</v>
      </c>
      <c r="AX37" s="161" t="str" cm="1">
        <f t="array" ref="AX37">IFERROR(LOOKUP(2,1/(Atualizações!$H$1:$H$2994=Tb_Mapa[[#This Row],[SEI]]&amp;Mapa!CQ$3),Atualizações!$E$1:$E$2994),"NÃO")</f>
        <v>NÃO</v>
      </c>
    </row>
    <row r="38" spans="2:50" ht="32.25" hidden="1" customHeight="1">
      <c r="B38" s="676" t="s">
        <v>805</v>
      </c>
      <c r="C38" s="676" t="str">
        <f>_xlfn.XLOOKUP(Tb_Mapa[[#This Row],[SEI]],Tb_Portfólio[SEI],Tb_Portfólio[Portfólio 2025],"",0)</f>
        <v>Não</v>
      </c>
      <c r="D38" s="158" t="str">
        <f>_xlfn.XLOOKUP(Tb_Mapa[[#This Row],[SEI]],Tb_Portfólio[SEI],Tb_Portfólio[Portfólio 2026],"",0)</f>
        <v>Não</v>
      </c>
      <c r="E38" s="162" t="str">
        <f>_xlfn.XLOOKUP(Tb_Mapa[[#This Row],[SEI]],Tb_Portfólio[SEI],Tb_Portfólio[PROJETO],"",0)</f>
        <v>Atendimento Inicial e Núcleo de Atendimento Integrado (sistema socioeducativo)</v>
      </c>
      <c r="F38" s="143" t="str">
        <f>INDEX(Projetos!$G$3:$G$129,MATCH(B38,Projetos!$A$3:$A$129,0))</f>
        <v>Valdirene Daufemback</v>
      </c>
      <c r="G38" s="160" t="s">
        <v>1712</v>
      </c>
      <c r="H38" s="166" t="str">
        <f>INDEX(Projetos!$T$3:$T$129,MATCH(B38,Projetos!$A$3:$A$129,0))</f>
        <v>Fazendo Justiça</v>
      </c>
      <c r="I38" s="310">
        <f>INDEX(Projetos!$M$3:$M$129,MATCH(Mapa!B73,Projetos!$A$3:$A$129,0))</f>
        <v>45716</v>
      </c>
      <c r="J38" s="164" t="str">
        <f>IF(Tb_Mapa[[#This Row],[SITUAÇÃO]]="Finalizado", "Data atualizada", IFERROR(IF(I38&lt;$CN$3,"Atualizar data de encerramento","Data atualizada"),"Sem informação"))</f>
        <v>Data atualizada</v>
      </c>
      <c r="K38" s="311">
        <f>INDEX(Projetos!$N$3:$N$129,MATCH(Tb_Mapa[[#This Row],[SEI]],Projetos!$A$3:$A$129,0))</f>
        <v>1</v>
      </c>
      <c r="L38" s="311">
        <f>INDEX(Projetos!$O$3:$O$129,MATCH(Tb_Mapa[[#This Row],[SEI]],Projetos!$A$3:$A$129,0))</f>
        <v>1</v>
      </c>
      <c r="M38" s="165" t="str">
        <f>_xlfn.XLOOKUP(Tb_Mapa[[#This Row],[SEI]],Tb_Portfólio[SEI],Tb_Portfólio[Situação],"N/A",0)</f>
        <v>Finalizado</v>
      </c>
      <c r="N38" s="161" t="str" cm="1">
        <f t="array" ref="N38">IFERROR(LOOKUP(2,1/(Atualizações!$H$1:$H$486=Mapa!$B73&amp;Mapa!BG$3),Atualizações!$E$1:$E$486),"NÃO")</f>
        <v>NÃO</v>
      </c>
      <c r="O38" s="161"/>
      <c r="P38" s="161"/>
      <c r="Q38" s="161"/>
      <c r="R38" s="161"/>
      <c r="S38" s="161"/>
      <c r="T38" s="161"/>
      <c r="U38" s="161"/>
      <c r="V38" s="161"/>
      <c r="W38" s="161"/>
      <c r="X38" s="161"/>
      <c r="Y38" s="161"/>
      <c r="Z38" s="161" t="str" cm="1">
        <f t="array" ref="Z38">IFERROR(LOOKUP(2,1/(Atualizações!$H$1:$H$1029=Mapa!$B73&amp;Mapa!BS$3),Atualizações!$E$1:$E$1029),"NÃO")</f>
        <v>NÃO</v>
      </c>
      <c r="AA38" s="161" t="str" cm="1">
        <f t="array" ref="AA38">IFERROR(LOOKUP(2,1/(Atualizações!$H$1:$H$1029=Mapa!$B73&amp;Mapa!BT$3),Atualizações!$E$1:$E$1029),"NÃO")</f>
        <v>NÃO</v>
      </c>
      <c r="AB38" s="161" t="str" cm="1">
        <f t="array" ref="AB38">IFERROR(LOOKUP(2,1/(Atualizações!$H$1:$H$1029=Mapa!$B73&amp;Mapa!BU$3),Atualizações!$E$1:$E$1029),"NÃO")</f>
        <v>NÃO</v>
      </c>
      <c r="AC38" s="161" t="str" cm="1">
        <f t="array" ref="AC38">IFERROR(LOOKUP(2,1/(Atualizações!$H$1:$H$1029=Mapa!$B73&amp;Mapa!BV$3),Atualizações!$E$1:$E$1029),"NÃO")</f>
        <v>NÃO</v>
      </c>
      <c r="AD38" s="161" t="str" cm="1">
        <f t="array" ref="AD38">IFERROR(LOOKUP(2,1/(Atualizações!$H$1:$H$1029=Mapa!$B73&amp;Mapa!BW$3),Atualizações!$E$1:$E$1029),"NÃO")</f>
        <v>NÃO</v>
      </c>
      <c r="AE38" s="161" t="str" cm="1">
        <f t="array" ref="AE38">IFERROR(LOOKUP(2,1/(Atualizações!$H$1:$H$1029=Mapa!$B73&amp;Mapa!BX$3),Atualizações!$E$1:$E$1029),"NÃO")</f>
        <v>NÃO</v>
      </c>
      <c r="AF38" s="161" t="str" cm="1">
        <f t="array" ref="AF38">IFERROR(LOOKUP(2,1/(Atualizações!$H$1:$H$1029=Mapa!$B73&amp;Mapa!BY$3),Atualizações!$E$1:$E$1029),"NÃO")</f>
        <v>NÃO</v>
      </c>
      <c r="AG38" s="161" t="str" cm="1">
        <f t="array" ref="AG38">IFERROR(LOOKUP(2,1/(Atualizações!$H$1:$H$1029=Mapa!$B73&amp;Mapa!BZ$3),Atualizações!$E$1:$E$1029),"NÃO")</f>
        <v>NÃO</v>
      </c>
      <c r="AH38" s="161" t="str" cm="1">
        <f t="array" ref="AH38">IFERROR(LOOKUP(2,1/(Atualizações!$H$1:$H$1029=Mapa!$B73&amp;Mapa!CA$3),Atualizações!$E$1:$E$1029),"NÃO")</f>
        <v>NÃO</v>
      </c>
      <c r="AI38" s="161" t="str" cm="1">
        <f t="array" ref="AI38">IFERROR(LOOKUP(2,1/(Atualizações!$H$1:$H$1029=Mapa!$B73&amp;Mapa!CB$3),Atualizações!$E$1:$E$1029),"NÃO")</f>
        <v>NÃO</v>
      </c>
      <c r="AJ38" s="161" t="str" cm="1">
        <f t="array" ref="AJ38">IFERROR(LOOKUP(2,1/(Atualizações!$H$1:$H$1029=Mapa!$B73&amp;Mapa!CC$3),Atualizações!$E$1:$E$1029),"NÃO")</f>
        <v>NÃO</v>
      </c>
      <c r="AK38" s="161" t="str" cm="1">
        <f t="array" ref="AK38">IFERROR(LOOKUP(2,1/(Atualizações!$H$1:$H$1029=Mapa!$B73&amp;Mapa!CD$3),Atualizações!$E$1:$E$1029),"NÃO")</f>
        <v>NÃO</v>
      </c>
      <c r="AL38" s="161" t="str" cm="1">
        <f t="array" ref="AL38">IFERROR(LOOKUP(2,1/(Atualizações!$H$1:$H$1265=Mapa!$B73&amp;Mapa!CE$3),Atualizações!$E$1:$E$2994),"NÃO")</f>
        <v>NÃO</v>
      </c>
      <c r="AM38" s="161" t="str" cm="1">
        <f t="array" ref="AM38">IFERROR(LOOKUP(2,1/(Atualizações!$H$1:$H$2994=Tb_Mapa[[#This Row],[SEI]]&amp;Mapa!CF$3),Atualizações!$E$1:$E$2994),"NÃO")</f>
        <v>NÃO</v>
      </c>
      <c r="AN38" s="161" t="str" cm="1">
        <f t="array" ref="AN38">IFERROR(LOOKUP(2,1/(Atualizações!$H$1:$H$2994=Tb_Mapa[[#This Row],[SEI]]&amp;Mapa!CG$3),Atualizações!$E$1:$E$2994),"NÃO")</f>
        <v>NÃO</v>
      </c>
      <c r="AO38" s="161" t="str" cm="1">
        <f t="array" ref="AO38">IFERROR(LOOKUP(2,1/(Atualizações!$H$1:$H$2994=Tb_Mapa[[#This Row],[SEI]]&amp;Mapa!CH$3),Atualizações!$E$1:$E$2994),"NÃO")</f>
        <v>NÃO</v>
      </c>
      <c r="AP38" s="161" t="str" cm="1">
        <f t="array" ref="AP38">IFERROR(LOOKUP(2,1/(Atualizações!$H$1:$H$2994=Tb_Mapa[[#This Row],[SEI]]&amp;Mapa!CI$3),Atualizações!$E$1:$E$2994),"NÃO")</f>
        <v>NÃO</v>
      </c>
      <c r="AQ38" s="161" t="str" cm="1">
        <f t="array" ref="AQ38">IFERROR(LOOKUP(2,1/(Atualizações!$H$1:$H$2994=Tb_Mapa[[#This Row],[SEI]]&amp;Mapa!CJ$3),Atualizações!$E$1:$E$2994),"NÃO")</f>
        <v>NÃO</v>
      </c>
      <c r="AR38" s="161" t="str" cm="1">
        <f t="array" ref="AR38">IFERROR(LOOKUP(2,1/(Atualizações!$H$1:$H$2994=Tb_Mapa[[#This Row],[SEI]]&amp;Mapa!CK$3),Atualizações!$E$1:$E$2994),"NÃO")</f>
        <v>NÃO</v>
      </c>
      <c r="AS38" s="161" t="str" cm="1">
        <f t="array" ref="AS38">IFERROR(LOOKUP(2,1/(Atualizações!$H$1:$H$2994=Tb_Mapa[[#This Row],[SEI]]&amp;Mapa!CL$3),Atualizações!$E$1:$E$2994),"NÃO")</f>
        <v>NÃO</v>
      </c>
      <c r="AT38" s="161" t="str" cm="1">
        <f t="array" ref="AT38">IFERROR(LOOKUP(2,1/(Atualizações!$H$1:$H$2994=Tb_Mapa[[#This Row],[SEI]]&amp;Mapa!CM$3),Atualizações!$E$1:$E$2994),"NÃO")</f>
        <v>NÃO</v>
      </c>
      <c r="AU38" s="161" t="str" cm="1">
        <f t="array" ref="AU38">IFERROR(LOOKUP(2,1/(Atualizações!$H$1:$H$2994=Tb_Mapa[[#This Row],[SEI]]&amp;Mapa!CN$3),Atualizações!$E$1:$E$2994),"NÃO")</f>
        <v>NÃO</v>
      </c>
      <c r="AV38" s="161" t="str" cm="1">
        <f t="array" ref="AV38">IFERROR(LOOKUP(2,1/(Atualizações!$H$1:$H$2994=Tb_Mapa[[#This Row],[SEI]]&amp;Mapa!CO$3),Atualizações!$E$1:$E$2994),"NÃO")</f>
        <v>NÃO</v>
      </c>
      <c r="AW38" s="161" t="str" cm="1">
        <f t="array" ref="AW38">IFERROR(LOOKUP(2,1/(Atualizações!$H$1:$H$2994=Tb_Mapa[[#This Row],[SEI]]&amp;Mapa!CP$3),Atualizações!$E$1:$E$2994),"NÃO")</f>
        <v>NÃO</v>
      </c>
      <c r="AX38" s="161" t="str" cm="1">
        <f t="array" ref="AX38">IFERROR(LOOKUP(2,1/(Atualizações!$H$1:$H$2994=Tb_Mapa[[#This Row],[SEI]]&amp;Mapa!CQ$3),Atualizações!$E$1:$E$2994),"NÃO")</f>
        <v>NÃO</v>
      </c>
    </row>
    <row r="39" spans="2:50" ht="51.75" hidden="1" customHeight="1">
      <c r="B39" s="676" t="s">
        <v>796</v>
      </c>
      <c r="C39" s="676" t="str">
        <f>_xlfn.XLOOKUP(Tb_Mapa[[#This Row],[SEI]],Tb_Portfólio[SEI],Tb_Portfólio[Portfólio 2025],"",0)</f>
        <v>Não</v>
      </c>
      <c r="D39" s="158" t="str">
        <f>_xlfn.XLOOKUP(Tb_Mapa[[#This Row],[SEI]],Tb_Portfólio[SEI],Tb_Portfólio[Portfólio 2026],"",0)</f>
        <v>Não</v>
      </c>
      <c r="E39" s="162" t="str">
        <f>_xlfn.XLOOKUP(Tb_Mapa[[#This Row],[SEI]],Tb_Portfólio[SEI],Tb_Portfólio[PROJETO],"",0)</f>
        <v>Mutirão Processual Penal (sistema penal)</v>
      </c>
      <c r="F39" s="143" t="str">
        <f>INDEX(Projetos!$G$3:$G$129,MATCH(B39,Projetos!$A$3:$A$129,0))</f>
        <v>Valdirene Daufemback</v>
      </c>
      <c r="G39" s="160" t="s">
        <v>1712</v>
      </c>
      <c r="H39" s="166" t="str">
        <f>INDEX(Projetos!$T$3:$T$129,MATCH(B39,Projetos!$A$3:$A$129,0))</f>
        <v>Fazendo Justiça</v>
      </c>
      <c r="I39" s="310">
        <f>INDEX(Projetos!$M$3:$M$129,MATCH(Mapa!B71,Projetos!$A$3:$A$129,0))</f>
        <v>45913</v>
      </c>
      <c r="J39" s="164" t="str">
        <f>IF(Tb_Mapa[[#This Row],[SITUAÇÃO]]="Finalizado", "Data atualizada", IFERROR(IF(I39&lt;$CN$3,"Atualizar data de encerramento","Data atualizada"),"Sem informação"))</f>
        <v>Data atualizada</v>
      </c>
      <c r="K39" s="311">
        <f>INDEX(Projetos!$N$3:$N$129,MATCH(Tb_Mapa[[#This Row],[SEI]],Projetos!$A$3:$A$129,0))</f>
        <v>1</v>
      </c>
      <c r="L39" s="311">
        <f>INDEX(Projetos!$O$3:$O$129,MATCH(Tb_Mapa[[#This Row],[SEI]],Projetos!$A$3:$A$129,0))</f>
        <v>1</v>
      </c>
      <c r="M39" s="165" t="str">
        <f>_xlfn.XLOOKUP(Tb_Mapa[[#This Row],[SEI]],Tb_Portfólio[SEI],Tb_Portfólio[Situação],"N/A",0)</f>
        <v>Finalizado</v>
      </c>
      <c r="N39" s="161" t="str" cm="1">
        <f t="array" ref="N39">IFERROR(LOOKUP(2,1/(Atualizações!$H$1:$H$486=Mapa!$B71&amp;Mapa!BG$3),Atualizações!$E$1:$E$486),"NÃO")</f>
        <v>NÃO</v>
      </c>
      <c r="O39" s="161"/>
      <c r="P39" s="161"/>
      <c r="Q39" s="161"/>
      <c r="R39" s="161"/>
      <c r="S39" s="161"/>
      <c r="T39" s="161"/>
      <c r="U39" s="161"/>
      <c r="V39" s="161"/>
      <c r="W39" s="161"/>
      <c r="X39" s="161"/>
      <c r="Y39" s="161"/>
      <c r="Z39" s="161" t="str" cm="1">
        <f t="array" ref="Z39">IFERROR(LOOKUP(2,1/(Atualizações!$H$1:$H$1029=Mapa!$B71&amp;Mapa!BS$3),Atualizações!$E$1:$E$1029),"NÃO")</f>
        <v>NÃO</v>
      </c>
      <c r="AA39" s="161" t="str" cm="1">
        <f t="array" ref="AA39">IFERROR(LOOKUP(2,1/(Atualizações!$H$1:$H$1029=Mapa!$B71&amp;Mapa!BT$3),Atualizações!$E$1:$E$1029),"NÃO")</f>
        <v>NÃO</v>
      </c>
      <c r="AB39" s="161" t="str" cm="1">
        <f t="array" ref="AB39">IFERROR(LOOKUP(2,1/(Atualizações!$H$1:$H$1029=Mapa!$B71&amp;Mapa!BU$3),Atualizações!$E$1:$E$1029),"NÃO")</f>
        <v>NÃO</v>
      </c>
      <c r="AC39" s="161" t="str" cm="1">
        <f t="array" ref="AC39">IFERROR(LOOKUP(2,1/(Atualizações!$H$1:$H$1029=Mapa!$B71&amp;Mapa!BV$3),Atualizações!$E$1:$E$1029),"NÃO")</f>
        <v>NÃO</v>
      </c>
      <c r="AD39" s="161" t="str" cm="1">
        <f t="array" ref="AD39">IFERROR(LOOKUP(2,1/(Atualizações!$H$1:$H$1029=Mapa!$B71&amp;Mapa!BW$3),Atualizações!$E$1:$E$1029),"NÃO")</f>
        <v>NÃO</v>
      </c>
      <c r="AE39" s="161" t="str" cm="1">
        <f t="array" ref="AE39">IFERROR(LOOKUP(2,1/(Atualizações!$H$1:$H$1029=Mapa!$B71&amp;Mapa!BX$3),Atualizações!$E$1:$E$1029),"NÃO")</f>
        <v>NÃO</v>
      </c>
      <c r="AF39" s="161" t="str" cm="1">
        <f t="array" ref="AF39">IFERROR(LOOKUP(2,1/(Atualizações!$H$1:$H$1029=Mapa!$B71&amp;Mapa!BY$3),Atualizações!$E$1:$E$1029),"NÃO")</f>
        <v>NÃO</v>
      </c>
      <c r="AG39" s="161" t="str" cm="1">
        <f t="array" ref="AG39">IFERROR(LOOKUP(2,1/(Atualizações!$H$1:$H$1029=Mapa!$B71&amp;Mapa!BZ$3),Atualizações!$E$1:$E$1029),"NÃO")</f>
        <v>NÃO</v>
      </c>
      <c r="AH39" s="161" t="str" cm="1">
        <f t="array" ref="AH39">IFERROR(LOOKUP(2,1/(Atualizações!$H$1:$H$1029=Mapa!$B71&amp;Mapa!CA$3),Atualizações!$E$1:$E$1029),"NÃO")</f>
        <v>NÃO</v>
      </c>
      <c r="AI39" s="161" t="str" cm="1">
        <f t="array" ref="AI39">IFERROR(LOOKUP(2,1/(Atualizações!$H$1:$H$1029=Mapa!$B71&amp;Mapa!CB$3),Atualizações!$E$1:$E$1029),"NÃO")</f>
        <v>NÃO</v>
      </c>
      <c r="AJ39" s="161" cm="1">
        <f t="array" ref="AJ39">IFERROR(LOOKUP(2,1/(Atualizações!$H$1:$H$1029=Mapa!$B71&amp;Mapa!CC$3),Atualizações!$E$1:$E$1029),"NÃO")</f>
        <v>7.3499999999999996E-2</v>
      </c>
      <c r="AK39" s="161" t="str" cm="1">
        <f t="array" ref="AK39">IFERROR(LOOKUP(2,1/(Atualizações!$H$1:$H$1029=Mapa!$B71&amp;Mapa!CD$3),Atualizações!$E$1:$E$1029),"NÃO")</f>
        <v>NÃO</v>
      </c>
      <c r="AL39" s="161" t="str" cm="1">
        <f t="array" ref="AL39">IFERROR(LOOKUP(2,1/(Atualizações!$H$1:$H$1265=Mapa!$B71&amp;Mapa!CE$3),Atualizações!$E$1:$E$2994),"NÃO")</f>
        <v>NÃO</v>
      </c>
      <c r="AM39" s="161" t="str" cm="1">
        <f t="array" ref="AM39">IFERROR(LOOKUP(2,1/(Atualizações!$H$1:$H$2994=Tb_Mapa[[#This Row],[SEI]]&amp;Mapa!CF$3),Atualizações!$E$1:$E$2994),"NÃO")</f>
        <v>NÃO</v>
      </c>
      <c r="AN39" s="161" t="str" cm="1">
        <f t="array" ref="AN39">IFERROR(LOOKUP(2,1/(Atualizações!$H$1:$H$2994=Tb_Mapa[[#This Row],[SEI]]&amp;Mapa!CG$3),Atualizações!$E$1:$E$2994),"NÃO")</f>
        <v>NÃO</v>
      </c>
      <c r="AO39" s="161" t="str" cm="1">
        <f t="array" ref="AO39">IFERROR(LOOKUP(2,1/(Atualizações!$H$1:$H$2994=Tb_Mapa[[#This Row],[SEI]]&amp;Mapa!CH$3),Atualizações!$E$1:$E$2994),"NÃO")</f>
        <v>NÃO</v>
      </c>
      <c r="AP39" s="161" t="str" cm="1">
        <f t="array" ref="AP39">IFERROR(LOOKUP(2,1/(Atualizações!$H$1:$H$2994=Tb_Mapa[[#This Row],[SEI]]&amp;Mapa!CI$3),Atualizações!$E$1:$E$2994),"NÃO")</f>
        <v>NÃO</v>
      </c>
      <c r="AQ39" s="161" t="str" cm="1">
        <f t="array" ref="AQ39">IFERROR(LOOKUP(2,1/(Atualizações!$H$1:$H$2994=Tb_Mapa[[#This Row],[SEI]]&amp;Mapa!CJ$3),Atualizações!$E$1:$E$2994),"NÃO")</f>
        <v>NÃO</v>
      </c>
      <c r="AR39" s="161" t="str" cm="1">
        <f t="array" ref="AR39">IFERROR(LOOKUP(2,1/(Atualizações!$H$1:$H$2994=Tb_Mapa[[#This Row],[SEI]]&amp;Mapa!CK$3),Atualizações!$E$1:$E$2994),"NÃO")</f>
        <v>NÃO</v>
      </c>
      <c r="AS39" s="161" t="str" cm="1">
        <f t="array" ref="AS39">IFERROR(LOOKUP(2,1/(Atualizações!$H$1:$H$2994=Tb_Mapa[[#This Row],[SEI]]&amp;Mapa!CL$3),Atualizações!$E$1:$E$2994),"NÃO")</f>
        <v>NÃO</v>
      </c>
      <c r="AT39" s="161" t="str" cm="1">
        <f t="array" ref="AT39">IFERROR(LOOKUP(2,1/(Atualizações!$H$1:$H$2994=Tb_Mapa[[#This Row],[SEI]]&amp;Mapa!CM$3),Atualizações!$E$1:$E$2994),"NÃO")</f>
        <v>NÃO</v>
      </c>
      <c r="AU39" s="161" t="str" cm="1">
        <f t="array" ref="AU39">IFERROR(LOOKUP(2,1/(Atualizações!$H$1:$H$2994=Tb_Mapa[[#This Row],[SEI]]&amp;Mapa!CN$3),Atualizações!$E$1:$E$2994),"NÃO")</f>
        <v>NÃO</v>
      </c>
      <c r="AV39" s="161" t="str" cm="1">
        <f t="array" ref="AV39">IFERROR(LOOKUP(2,1/(Atualizações!$H$1:$H$2994=Tb_Mapa[[#This Row],[SEI]]&amp;Mapa!CO$3),Atualizações!$E$1:$E$2994),"NÃO")</f>
        <v>NÃO</v>
      </c>
      <c r="AW39" s="161" t="str" cm="1">
        <f t="array" ref="AW39">IFERROR(LOOKUP(2,1/(Atualizações!$H$1:$H$2994=Tb_Mapa[[#This Row],[SEI]]&amp;Mapa!CP$3),Atualizações!$E$1:$E$2994),"NÃO")</f>
        <v>NÃO</v>
      </c>
      <c r="AX39" s="161" t="str" cm="1">
        <f t="array" ref="AX39">IFERROR(LOOKUP(2,1/(Atualizações!$H$1:$H$2994=Tb_Mapa[[#This Row],[SEI]]&amp;Mapa!CQ$3),Atualizações!$E$1:$E$2994),"NÃO")</f>
        <v>NÃO</v>
      </c>
    </row>
    <row r="40" spans="2:50" ht="32.25" hidden="1" customHeight="1">
      <c r="B40" s="676" t="s">
        <v>792</v>
      </c>
      <c r="C40" s="676" t="str">
        <f>_xlfn.XLOOKUP(Tb_Mapa[[#This Row],[SEI]],Tb_Portfólio[SEI],Tb_Portfólio[Portfólio 2025],"",0)</f>
        <v>Não</v>
      </c>
      <c r="D40" s="158" t="str">
        <f>_xlfn.XLOOKUP(Tb_Mapa[[#This Row],[SEI]],Tb_Portfólio[SEI],Tb_Portfólio[Portfólio 2026],"",0)</f>
        <v>Não</v>
      </c>
      <c r="E40" s="162" t="str">
        <f>_xlfn.XLOOKUP(Tb_Mapa[[#This Row],[SEI]],Tb_Portfólio[SEI],Tb_Portfólio[PROJETO],"",0)</f>
        <v>Alternativas Penais (sistema penal)</v>
      </c>
      <c r="F40" s="143" t="str">
        <f>INDEX(Projetos!$G$3:$G$129,MATCH(B40,Projetos!$A$3:$A$129,0))</f>
        <v>Valdirene Daufemback</v>
      </c>
      <c r="G40" s="160" t="s">
        <v>1712</v>
      </c>
      <c r="H40" s="166" t="str">
        <f>INDEX(Projetos!$T$3:$T$129,MATCH(B40,Projetos!$A$3:$A$129,0))</f>
        <v>Fazendo Justiça</v>
      </c>
      <c r="I40" s="310" t="str">
        <f>INDEX(Projetos!$M$3:$M$129,MATCH(Mapa!B62,Projetos!$A$3:$A$129,0))</f>
        <v>15/12/2026</v>
      </c>
      <c r="J40" s="164" t="str">
        <f>IF(Tb_Mapa[[#This Row],[SITUAÇÃO]]="Finalizado", "Data atualizada", IFERROR(IF(I40&lt;$CN$3,"Atualizar data de encerramento","Data atualizada"),"Sem informação"))</f>
        <v>Data atualizada</v>
      </c>
      <c r="K40" s="311">
        <f>INDEX(Projetos!$N$3:$N$129,MATCH(Tb_Mapa[[#This Row],[SEI]],Projetos!$A$3:$A$129,0))</f>
        <v>1</v>
      </c>
      <c r="L40" s="311">
        <f>INDEX(Projetos!$O$3:$O$129,MATCH(Tb_Mapa[[#This Row],[SEI]],Projetos!$A$3:$A$129,0))</f>
        <v>1</v>
      </c>
      <c r="M40" s="165" t="str">
        <f>_xlfn.XLOOKUP(Tb_Mapa[[#This Row],[SEI]],Tb_Portfólio[SEI],Tb_Portfólio[Situação],"N/A",0)</f>
        <v>Finalizado</v>
      </c>
      <c r="N40" s="161" t="str" cm="1">
        <f t="array" ref="N40">IFERROR(LOOKUP(2,1/(Atualizações!$H$1:$H$486=Mapa!$B62&amp;Mapa!BG$3),Atualizações!$E$1:$E$486),"NÃO")</f>
        <v>NÃO</v>
      </c>
      <c r="O40" s="161"/>
      <c r="P40" s="161"/>
      <c r="Q40" s="161"/>
      <c r="R40" s="161"/>
      <c r="S40" s="161"/>
      <c r="T40" s="161"/>
      <c r="U40" s="161"/>
      <c r="V40" s="161"/>
      <c r="W40" s="161"/>
      <c r="X40" s="161"/>
      <c r="Y40" s="161"/>
      <c r="Z40" s="161" cm="1">
        <f t="array" ref="Z40">IFERROR(LOOKUP(2,1/(Atualizações!$H$1:$H$1029=Mapa!$B62&amp;Mapa!BS$3),Atualizações!$E$1:$E$1029),"NÃO")</f>
        <v>0.52100000000000002</v>
      </c>
      <c r="AA40" s="161" cm="1">
        <f t="array" ref="AA40">IFERROR(LOOKUP(2,1/(Atualizações!$H$1:$H$1029=Mapa!$B62&amp;Mapa!BT$3),Atualizações!$E$1:$E$1029),"NÃO")</f>
        <v>0.53800000000000003</v>
      </c>
      <c r="AB40" s="161" cm="1">
        <f t="array" ref="AB40">IFERROR(LOOKUP(2,1/(Atualizações!$H$1:$H$1029=Mapa!$B62&amp;Mapa!BU$3),Atualizações!$E$1:$E$1029),"NÃO")</f>
        <v>0.53800000000000003</v>
      </c>
      <c r="AC40" s="161" cm="1">
        <f t="array" ref="AC40">IFERROR(LOOKUP(2,1/(Atualizações!$H$1:$H$1029=Mapa!$B62&amp;Mapa!BV$3),Atualizações!$E$1:$E$1029),"NÃO")</f>
        <v>0.56000000000000005</v>
      </c>
      <c r="AD40" s="161" cm="1">
        <f t="array" ref="AD40">IFERROR(LOOKUP(2,1/(Atualizações!$H$1:$H$1029=Mapa!$B62&amp;Mapa!BW$3),Atualizações!$E$1:$E$1029),"NÃO")</f>
        <v>0.57299999999999995</v>
      </c>
      <c r="AE40" s="161" cm="1">
        <f t="array" ref="AE40">IFERROR(LOOKUP(2,1/(Atualizações!$H$1:$H$1029=Mapa!$B62&amp;Mapa!BX$3),Atualizações!$E$1:$E$1029),"NÃO")</f>
        <v>0.59199999999999997</v>
      </c>
      <c r="AF40" s="161" cm="1">
        <f t="array" ref="AF40">IFERROR(LOOKUP(2,1/(Atualizações!$H$1:$H$1029=Mapa!$B62&amp;Mapa!BY$3),Atualizações!$E$1:$E$1029),"NÃO")</f>
        <v>0.61299999999999999</v>
      </c>
      <c r="AG40" s="161" cm="1">
        <f t="array" ref="AG40">IFERROR(LOOKUP(2,1/(Atualizações!$H$1:$H$1029=Mapa!$B62&amp;Mapa!BZ$3),Atualizações!$E$1:$E$1029),"NÃO")</f>
        <v>0.63</v>
      </c>
      <c r="AH40" s="161" cm="1">
        <f t="array" ref="AH40">IFERROR(LOOKUP(2,1/(Atualizações!$H$1:$H$1029=Mapa!$B62&amp;Mapa!CA$3),Atualizações!$E$1:$E$1029),"NÃO")</f>
        <v>0.6</v>
      </c>
      <c r="AI40" s="161" cm="1">
        <f t="array" ref="AI40">IFERROR(LOOKUP(2,1/(Atualizações!$H$1:$H$1029=Mapa!$B62&amp;Mapa!CB$3),Atualizações!$E$1:$E$1029),"NÃO")</f>
        <v>0.6</v>
      </c>
      <c r="AJ40" s="161" cm="1">
        <f t="array" ref="AJ40">IFERROR(LOOKUP(2,1/(Atualizações!$H$1:$H$1029=Mapa!$B62&amp;Mapa!CC$3),Atualizações!$E$1:$E$1029),"NÃO")</f>
        <v>0.6</v>
      </c>
      <c r="AK40" s="161" cm="1">
        <f t="array" ref="AK40">IFERROR(LOOKUP(2,1/(Atualizações!$H$1:$H$1029=Mapa!$B62&amp;Mapa!CD$3),Atualizações!$E$1:$E$1029),"NÃO")</f>
        <v>0.86</v>
      </c>
      <c r="AL40" s="161" cm="1">
        <f t="array" ref="AL40">IFERROR(LOOKUP(2,1/(Atualizações!$H$1:$H$1265=Mapa!$B62&amp;Mapa!CE$3),Atualizações!$E$1:$E$2994),"NÃO")</f>
        <v>0.87</v>
      </c>
      <c r="AM40" s="161" t="str" cm="1">
        <f t="array" ref="AM40">IFERROR(LOOKUP(2,1/(Atualizações!$H$1:$H$2994=Tb_Mapa[[#This Row],[SEI]]&amp;Mapa!CF$3),Atualizações!$E$1:$E$2994),"NÃO")</f>
        <v>NÃO</v>
      </c>
      <c r="AN40" s="161" t="str" cm="1">
        <f t="array" ref="AN40">IFERROR(LOOKUP(2,1/(Atualizações!$H$1:$H$2994=Tb_Mapa[[#This Row],[SEI]]&amp;Mapa!CG$3),Atualizações!$E$1:$E$2994),"NÃO")</f>
        <v>NÃO</v>
      </c>
      <c r="AO40" s="161" t="str" cm="1">
        <f t="array" ref="AO40">IFERROR(LOOKUP(2,1/(Atualizações!$H$1:$H$2994=Tb_Mapa[[#This Row],[SEI]]&amp;Mapa!CH$3),Atualizações!$E$1:$E$2994),"NÃO")</f>
        <v>NÃO</v>
      </c>
      <c r="AP40" s="161" t="str" cm="1">
        <f t="array" ref="AP40">IFERROR(LOOKUP(2,1/(Atualizações!$H$1:$H$2994=Tb_Mapa[[#This Row],[SEI]]&amp;Mapa!CI$3),Atualizações!$E$1:$E$2994),"NÃO")</f>
        <v>NÃO</v>
      </c>
      <c r="AQ40" s="161" t="str" cm="1">
        <f t="array" ref="AQ40">IFERROR(LOOKUP(2,1/(Atualizações!$H$1:$H$2994=Tb_Mapa[[#This Row],[SEI]]&amp;Mapa!CJ$3),Atualizações!$E$1:$E$2994),"NÃO")</f>
        <v>NÃO</v>
      </c>
      <c r="AR40" s="161" t="str" cm="1">
        <f t="array" ref="AR40">IFERROR(LOOKUP(2,1/(Atualizações!$H$1:$H$2994=Tb_Mapa[[#This Row],[SEI]]&amp;Mapa!CK$3),Atualizações!$E$1:$E$2994),"NÃO")</f>
        <v>NÃO</v>
      </c>
      <c r="AS40" s="161" t="str" cm="1">
        <f t="array" ref="AS40">IFERROR(LOOKUP(2,1/(Atualizações!$H$1:$H$2994=Tb_Mapa[[#This Row],[SEI]]&amp;Mapa!CL$3),Atualizações!$E$1:$E$2994),"NÃO")</f>
        <v>NÃO</v>
      </c>
      <c r="AT40" s="161" t="str" cm="1">
        <f t="array" ref="AT40">IFERROR(LOOKUP(2,1/(Atualizações!$H$1:$H$2994=Tb_Mapa[[#This Row],[SEI]]&amp;Mapa!CM$3),Atualizações!$E$1:$E$2994),"NÃO")</f>
        <v>NÃO</v>
      </c>
      <c r="AU40" s="161" t="str" cm="1">
        <f t="array" ref="AU40">IFERROR(LOOKUP(2,1/(Atualizações!$H$1:$H$2994=Tb_Mapa[[#This Row],[SEI]]&amp;Mapa!CN$3),Atualizações!$E$1:$E$2994),"NÃO")</f>
        <v>NÃO</v>
      </c>
      <c r="AV40" s="161" t="str" cm="1">
        <f t="array" ref="AV40">IFERROR(LOOKUP(2,1/(Atualizações!$H$1:$H$2994=Tb_Mapa[[#This Row],[SEI]]&amp;Mapa!CO$3),Atualizações!$E$1:$E$2994),"NÃO")</f>
        <v>NÃO</v>
      </c>
      <c r="AW40" s="161" t="str" cm="1">
        <f t="array" ref="AW40">IFERROR(LOOKUP(2,1/(Atualizações!$H$1:$H$2994=Tb_Mapa[[#This Row],[SEI]]&amp;Mapa!CP$3),Atualizações!$E$1:$E$2994),"NÃO")</f>
        <v>NÃO</v>
      </c>
      <c r="AX40" s="161" t="str" cm="1">
        <f t="array" ref="AX40">IFERROR(LOOKUP(2,1/(Atualizações!$H$1:$H$2994=Tb_Mapa[[#This Row],[SEI]]&amp;Mapa!CQ$3),Atualizações!$E$1:$E$2994),"NÃO")</f>
        <v>NÃO</v>
      </c>
    </row>
    <row r="41" spans="2:50" ht="32.25" hidden="1" customHeight="1">
      <c r="B41" s="676" t="s">
        <v>781</v>
      </c>
      <c r="C41" s="676" t="str">
        <f>_xlfn.XLOOKUP(Tb_Mapa[[#This Row],[SEI]],Tb_Portfólio[SEI],Tb_Portfólio[Portfólio 2025],"",0)</f>
        <v>Não</v>
      </c>
      <c r="D41" s="158" t="str">
        <f>_xlfn.XLOOKUP(Tb_Mapa[[#This Row],[SEI]],Tb_Portfólio[SEI],Tb_Portfólio[Portfólio 2026],"",0)</f>
        <v>Não</v>
      </c>
      <c r="E41" s="162" t="str">
        <f>_xlfn.XLOOKUP(Tb_Mapa[[#This Row],[SEI]],Tb_Portfólio[SEI],Tb_Portfólio[PROJETO],"",0)</f>
        <v>Audiência de Custódia (sistema penal)</v>
      </c>
      <c r="F41" s="143" t="str">
        <f>INDEX(Projetos!$G$3:$G$129,MATCH(B41,Projetos!$A$3:$A$129,0))</f>
        <v>Valdirene Daufemback</v>
      </c>
      <c r="G41" s="160" t="s">
        <v>1712</v>
      </c>
      <c r="H41" s="166" t="str">
        <f>INDEX(Projetos!$T$3:$T$129,MATCH(B41,Projetos!$A$3:$A$129,0))</f>
        <v>Fazendo Justiça</v>
      </c>
      <c r="I41" s="310">
        <f>INDEX(Projetos!$M$3:$M$129,MATCH(Mapa!B61,Projetos!$A$3:$A$129,0))</f>
        <v>46233</v>
      </c>
      <c r="J41" s="164" t="str">
        <f>IF(Tb_Mapa[[#This Row],[SITUAÇÃO]]="Finalizado", "Data atualizada", IFERROR(IF(I41&lt;$CN$3,"Atualizar data de encerramento","Data atualizada"),"Sem informação"))</f>
        <v>Data atualizada</v>
      </c>
      <c r="K41" s="311">
        <f>INDEX(Projetos!$N$3:$N$129,MATCH(Tb_Mapa[[#This Row],[SEI]],Projetos!$A$3:$A$129,0))</f>
        <v>1</v>
      </c>
      <c r="L41" s="311">
        <f>INDEX(Projetos!$O$3:$O$129,MATCH(Tb_Mapa[[#This Row],[SEI]],Projetos!$A$3:$A$129,0))</f>
        <v>1</v>
      </c>
      <c r="M41" s="165" t="str">
        <f>_xlfn.XLOOKUP(Tb_Mapa[[#This Row],[SEI]],Tb_Portfólio[SEI],Tb_Portfólio[Situação],"N/A",0)</f>
        <v>Finalizado</v>
      </c>
      <c r="N41" s="161" t="str" cm="1">
        <f t="array" ref="N41">IFERROR(LOOKUP(2,1/(Atualizações!$H$1:$H$486=Mapa!$B61&amp;Mapa!BG$3),Atualizações!$E$1:$E$486),"NÃO")</f>
        <v>NÃO</v>
      </c>
      <c r="O41" s="161"/>
      <c r="P41" s="161"/>
      <c r="Q41" s="161"/>
      <c r="R41" s="161"/>
      <c r="S41" s="161"/>
      <c r="T41" s="161"/>
      <c r="U41" s="161"/>
      <c r="V41" s="161"/>
      <c r="W41" s="161"/>
      <c r="X41" s="161"/>
      <c r="Y41" s="161"/>
      <c r="Z41" s="161" cm="1">
        <f t="array" ref="Z41">IFERROR(LOOKUP(2,1/(Atualizações!$H$1:$H$1029=Mapa!$B61&amp;Mapa!BS$3),Atualizações!$E$1:$E$1029),"NÃO")</f>
        <v>0.46</v>
      </c>
      <c r="AA41" s="161" cm="1">
        <f t="array" ref="AA41">IFERROR(LOOKUP(2,1/(Atualizações!$H$1:$H$1029=Mapa!$B61&amp;Mapa!BT$3),Atualizações!$E$1:$E$1029),"NÃO")</f>
        <v>0.48</v>
      </c>
      <c r="AB41" s="161" t="str" cm="1">
        <f t="array" ref="AB41">IFERROR(LOOKUP(2,1/(Atualizações!$H$1:$H$1029=Mapa!$B61&amp;Mapa!BU$3),Atualizações!$E$1:$E$1029),"NÃO")</f>
        <v>NÃO</v>
      </c>
      <c r="AC41" s="161" cm="1">
        <f t="array" ref="AC41">IFERROR(LOOKUP(2,1/(Atualizações!$H$1:$H$1029=Mapa!$B61&amp;Mapa!BV$3),Atualizações!$E$1:$E$1029),"NÃO")</f>
        <v>0.54</v>
      </c>
      <c r="AD41" s="161" t="str" cm="1">
        <f t="array" ref="AD41">IFERROR(LOOKUP(2,1/(Atualizações!$H$1:$H$1029=Mapa!$B61&amp;Mapa!BW$3),Atualizações!$E$1:$E$1029),"NÃO")</f>
        <v>NÃO</v>
      </c>
      <c r="AE41" s="161" t="str" cm="1">
        <f t="array" ref="AE41">IFERROR(LOOKUP(2,1/(Atualizações!$H$1:$H$1029=Mapa!$B61&amp;Mapa!BX$3),Atualizações!$E$1:$E$1029),"NÃO")</f>
        <v>NÃO</v>
      </c>
      <c r="AF41" s="161" t="str" cm="1">
        <f t="array" ref="AF41">IFERROR(LOOKUP(2,1/(Atualizações!$H$1:$H$1029=Mapa!$B61&amp;Mapa!BY$3),Atualizações!$E$1:$E$1029),"NÃO")</f>
        <v>NÃO</v>
      </c>
      <c r="AG41" s="161" cm="1">
        <f t="array" ref="AG41">IFERROR(LOOKUP(2,1/(Atualizações!$H$1:$H$1029=Mapa!$B61&amp;Mapa!BZ$3),Atualizações!$E$1:$E$1029),"NÃO")</f>
        <v>0.76</v>
      </c>
      <c r="AH41" s="161" t="str" cm="1">
        <f t="array" ref="AH41">IFERROR(LOOKUP(2,1/(Atualizações!$H$1:$H$1029=Mapa!$B61&amp;Mapa!CA$3),Atualizações!$E$1:$E$1029),"NÃO")</f>
        <v>NÃO</v>
      </c>
      <c r="AI41" s="161" t="str" cm="1">
        <f t="array" ref="AI41">IFERROR(LOOKUP(2,1/(Atualizações!$H$1:$H$1029=Mapa!$B61&amp;Mapa!CB$3),Atualizações!$E$1:$E$1029),"NÃO")</f>
        <v>NÃO</v>
      </c>
      <c r="AJ41" s="161" t="str" cm="1">
        <f t="array" ref="AJ41">IFERROR(LOOKUP(2,1/(Atualizações!$H$1:$H$1029=Mapa!$B61&amp;Mapa!CC$3),Atualizações!$E$1:$E$1029),"NÃO")</f>
        <v>NÃO</v>
      </c>
      <c r="AK41" s="161" cm="1">
        <f t="array" ref="AK41">IFERROR(LOOKUP(2,1/(Atualizações!$H$1:$H$1029=Mapa!$B61&amp;Mapa!CD$3),Atualizações!$E$1:$E$1029),"NÃO")</f>
        <v>1</v>
      </c>
      <c r="AL41" s="161" t="str" cm="1">
        <f t="array" ref="AL41">IFERROR(LOOKUP(2,1/(Atualizações!$H$1:$H$1265=Mapa!$B61&amp;Mapa!CE$3),Atualizações!$E$1:$E$2994),"NÃO")</f>
        <v>NÃO</v>
      </c>
      <c r="AM41" s="161" t="str" cm="1">
        <f t="array" ref="AM41">IFERROR(LOOKUP(2,1/(Atualizações!$H$1:$H$2994=Tb_Mapa[[#This Row],[SEI]]&amp;Mapa!CF$3),Atualizações!$E$1:$E$2994),"NÃO")</f>
        <v>NÃO</v>
      </c>
      <c r="AN41" s="161" t="str" cm="1">
        <f t="array" ref="AN41">IFERROR(LOOKUP(2,1/(Atualizações!$H$1:$H$2994=Tb_Mapa[[#This Row],[SEI]]&amp;Mapa!CG$3),Atualizações!$E$1:$E$2994),"NÃO")</f>
        <v>NÃO</v>
      </c>
      <c r="AO41" s="161" t="str" cm="1">
        <f t="array" ref="AO41">IFERROR(LOOKUP(2,1/(Atualizações!$H$1:$H$2994=Tb_Mapa[[#This Row],[SEI]]&amp;Mapa!CH$3),Atualizações!$E$1:$E$2994),"NÃO")</f>
        <v>NÃO</v>
      </c>
      <c r="AP41" s="161" t="str" cm="1">
        <f t="array" ref="AP41">IFERROR(LOOKUP(2,1/(Atualizações!$H$1:$H$2994=Tb_Mapa[[#This Row],[SEI]]&amp;Mapa!CI$3),Atualizações!$E$1:$E$2994),"NÃO")</f>
        <v>NÃO</v>
      </c>
      <c r="AQ41" s="161" t="str" cm="1">
        <f t="array" ref="AQ41">IFERROR(LOOKUP(2,1/(Atualizações!$H$1:$H$2994=Tb_Mapa[[#This Row],[SEI]]&amp;Mapa!CJ$3),Atualizações!$E$1:$E$2994),"NÃO")</f>
        <v>NÃO</v>
      </c>
      <c r="AR41" s="161" t="str" cm="1">
        <f t="array" ref="AR41">IFERROR(LOOKUP(2,1/(Atualizações!$H$1:$H$2994=Tb_Mapa[[#This Row],[SEI]]&amp;Mapa!CK$3),Atualizações!$E$1:$E$2994),"NÃO")</f>
        <v>NÃO</v>
      </c>
      <c r="AS41" s="161" t="str" cm="1">
        <f t="array" ref="AS41">IFERROR(LOOKUP(2,1/(Atualizações!$H$1:$H$2994=Tb_Mapa[[#This Row],[SEI]]&amp;Mapa!CL$3),Atualizações!$E$1:$E$2994),"NÃO")</f>
        <v>NÃO</v>
      </c>
      <c r="AT41" s="161" t="str" cm="1">
        <f t="array" ref="AT41">IFERROR(LOOKUP(2,1/(Atualizações!$H$1:$H$2994=Tb_Mapa[[#This Row],[SEI]]&amp;Mapa!CM$3),Atualizações!$E$1:$E$2994),"NÃO")</f>
        <v>NÃO</v>
      </c>
      <c r="AU41" s="161" t="str" cm="1">
        <f t="array" ref="AU41">IFERROR(LOOKUP(2,1/(Atualizações!$H$1:$H$2994=Tb_Mapa[[#This Row],[SEI]]&amp;Mapa!CN$3),Atualizações!$E$1:$E$2994),"NÃO")</f>
        <v>NÃO</v>
      </c>
      <c r="AV41" s="161" t="str" cm="1">
        <f t="array" ref="AV41">IFERROR(LOOKUP(2,1/(Atualizações!$H$1:$H$2994=Tb_Mapa[[#This Row],[SEI]]&amp;Mapa!CO$3),Atualizações!$E$1:$E$2994),"NÃO")</f>
        <v>NÃO</v>
      </c>
      <c r="AW41" s="161" t="str" cm="1">
        <f t="array" ref="AW41">IFERROR(LOOKUP(2,1/(Atualizações!$H$1:$H$2994=Tb_Mapa[[#This Row],[SEI]]&amp;Mapa!CP$3),Atualizações!$E$1:$E$2994),"NÃO")</f>
        <v>NÃO</v>
      </c>
      <c r="AX41" s="161" t="str" cm="1">
        <f t="array" ref="AX41">IFERROR(LOOKUP(2,1/(Atualizações!$H$1:$H$2994=Tb_Mapa[[#This Row],[SEI]]&amp;Mapa!CQ$3),Atualizações!$E$1:$E$2994),"NÃO")</f>
        <v>NÃO</v>
      </c>
    </row>
    <row r="42" spans="2:50" ht="32.25" hidden="1" customHeight="1">
      <c r="B42" s="143" t="s">
        <v>70</v>
      </c>
      <c r="C42" s="158" t="str">
        <f>_xlfn.XLOOKUP(Tb_Mapa[[#This Row],[SEI]],Tb_Portfólio[SEI],Tb_Portfólio[Portfólio 2025],"",0)</f>
        <v>Sim</v>
      </c>
      <c r="D42" s="158" t="str">
        <f>_xlfn.XLOOKUP(Tb_Mapa[[#This Row],[SEI]],Tb_Portfólio[SEI],Tb_Portfólio[Portfólio 2026],"",0)</f>
        <v>Sim</v>
      </c>
      <c r="E42" s="162" t="str">
        <f>_xlfn.XLOOKUP(Tb_Mapa[[#This Row],[SEI]],Tb_Portfólio[SEI],Tb_Portfólio[PROJETO],"",0)</f>
        <v>Mapa Nacional do Tribunal do Júri</v>
      </c>
      <c r="F42" s="143" t="str">
        <f>INDEX(Projetos!$G$3:$G$129,MATCH(Tb_Mapa[[#This Row],[SEI]],Projetos!$A$3:$A$129,0))</f>
        <v>Thiago Gontijo Vieira</v>
      </c>
      <c r="G42" s="163" t="s">
        <v>1710</v>
      </c>
      <c r="H42" s="166">
        <f>INDEX(Projetos!$T$3:$T$129,MATCH(B42,Projetos!$A$3:$A$129,0))</f>
        <v>0</v>
      </c>
      <c r="I42" s="310">
        <f>INDEX(Projetos!$M$3:$M$129,MATCH(Mapa!B107,Projetos!$A$3:$A$129,0))</f>
        <v>46379</v>
      </c>
      <c r="J42" s="164" t="str">
        <f ca="1">IF(Tb_Mapa[[#This Row],[SITUAÇÃO]]="Finalizado", "Data atualizada", IFERROR(IF(Tb_Mapa[[#This Row],[DATA DE TÉRMINO]]&lt;$I$1,"Atualizar data de encerramento","Data atualizada"),"Sem informação"))</f>
        <v>Data atualizada</v>
      </c>
      <c r="K42" s="311">
        <f>INDEX(Projetos!$N$3:$N$129,MATCH(Tb_Mapa[[#This Row],[SEI]],Projetos!$A$3:$A$129,0))</f>
        <v>0.81</v>
      </c>
      <c r="L42" s="311">
        <f>INDEX(Projetos!$O$3:$O$129,MATCH(Tb_Mapa[[#This Row],[SEI]],Projetos!$A$3:$A$129,0))</f>
        <v>0.89</v>
      </c>
      <c r="M42" s="165" t="str">
        <f ca="1">_xlfn.XLOOKUP(Tb_Mapa[[#This Row],[SEI]],Tb_Portfólio[SEI],Tb_Portfólio[Situação],"N/A",0)</f>
        <v>No prazo</v>
      </c>
      <c r="N42" s="161" t="str" cm="1">
        <f t="array" ref="N42">IFERROR(LOOKUP(2,1/(Atualizações!$H$1:$H$486=Mapa!$B29&amp;Mapa!BG$3),Atualizações!$E$1:$E$486),"NÃO")</f>
        <v>NÃO</v>
      </c>
      <c r="O42" s="161" t="str" cm="1">
        <f t="array" ref="O42">IFERROR(LOOKUP(2,1/(Atualizações!$H$1:$H$580=Mapa!$B29&amp;Mapa!BH$3),Atualizações!$E$1:$E$580),"NÃO")</f>
        <v>NÃO</v>
      </c>
      <c r="P42" s="161" t="str" cm="1">
        <f t="array" ref="P42">IFERROR(LOOKUP(2,1/(Atualizações!$H$1:$H$580=Mapa!$B29&amp;Mapa!BI$3),Atualizações!$E$1:$E$580),"NÃO")</f>
        <v>NÃO</v>
      </c>
      <c r="Q42" s="161" t="str" cm="1">
        <f t="array" ref="Q42">IFERROR(LOOKUP(2,1/(Atualizações!$H$1:$H$580=Mapa!$B29&amp;Mapa!BJ$3),Atualizações!$E$1:$E$580),"NÃO")</f>
        <v>NÃO</v>
      </c>
      <c r="R42" s="161" t="str" cm="1">
        <f t="array" ref="R42">IFERROR(LOOKUP(2,1/(Atualizações!$H$1:$H$580=Mapa!$B29&amp;Mapa!BK$3),Atualizações!$E$1:$E$580),"NÃO")</f>
        <v>NÃO</v>
      </c>
      <c r="S42" s="161" t="str" cm="1">
        <f t="array" ref="S42">IFERROR(LOOKUP(2,1/(Atualizações!$H$1:$H$580=Mapa!$B29&amp;Mapa!BL$3),Atualizações!$E$1:$E$580),"NÃO")</f>
        <v>NÃO</v>
      </c>
      <c r="T42" s="161" t="str" cm="1">
        <f t="array" ref="T42">IFERROR(LOOKUP(2,1/(Atualizações!$H$1:$H$580=Mapa!$B29&amp;Mapa!BM$3),Atualizações!$E$1:$E$580),"NÃO")</f>
        <v>NÃO</v>
      </c>
      <c r="U42" s="161" t="str" cm="1">
        <f t="array" ref="U42">IFERROR(LOOKUP(2,1/(Atualizações!$H$1:$H$580=Mapa!$B29&amp;Mapa!BN$3),Atualizações!$E$1:$E$580),"NÃO")</f>
        <v>NÃO</v>
      </c>
      <c r="V42" s="161" t="str" cm="1">
        <f t="array" ref="V42">IFERROR(LOOKUP(2,1/(Atualizações!$H$1:$H$580=Mapa!$B29&amp;Mapa!BO$3),Atualizações!$E$1:$E$580),"NÃO")</f>
        <v>NÃO</v>
      </c>
      <c r="W42" s="161" t="str" cm="1">
        <f t="array" ref="W42">IFERROR(LOOKUP(2,1/(Atualizações!$H$1:$H$580=Mapa!$B29&amp;Mapa!BP$3),Atualizações!$E$1:$E$580),"NÃO")</f>
        <v>NÃO</v>
      </c>
      <c r="X42" s="161" t="str" cm="1">
        <f t="array" ref="X42">IFERROR(LOOKUP(2,1/(Atualizações!$H$1:$H$580=Mapa!$B29&amp;Mapa!BQ$3),Atualizações!$E$1:$E$580),"NÃO")</f>
        <v>NÃO</v>
      </c>
      <c r="Y42" s="161" t="str" cm="1">
        <f t="array" ref="Y42">IFERROR(LOOKUP(2,1/(Atualizações!$H$1:$H$580=Mapa!$B29&amp;Mapa!BR$3),Atualizações!$E$1:$E$580),"NÃO")</f>
        <v>NÃO</v>
      </c>
      <c r="Z42" s="161" cm="1">
        <f t="array" ref="Z42">IFERROR(LOOKUP(2,1/(Atualizações!$H$1:$H$1029=Mapa!$B29&amp;Mapa!BS$3),Atualizações!$E$1:$E$1029),"NÃO")</f>
        <v>1</v>
      </c>
      <c r="AA42" s="161" t="str" cm="1">
        <f t="array" ref="AA42">IFERROR(LOOKUP(2,1/(Atualizações!$H$1:$H$1029=Mapa!$B29&amp;Mapa!BT$3),Atualizações!$E$1:$E$1029),"NÃO")</f>
        <v>NÃO</v>
      </c>
      <c r="AB42" s="161" t="str" cm="1">
        <f t="array" ref="AB42">IFERROR(LOOKUP(2,1/(Atualizações!$H$1:$H$1029=Mapa!$B29&amp;Mapa!BU$3),Atualizações!$E$1:$E$1029),"NÃO")</f>
        <v>NÃO</v>
      </c>
      <c r="AC42" s="161" t="str" cm="1">
        <f t="array" ref="AC42">IFERROR(LOOKUP(2,1/(Atualizações!$H$1:$H$1029=Mapa!$B29&amp;Mapa!BV$3),Atualizações!$E$1:$E$1029),"NÃO")</f>
        <v>NÃO</v>
      </c>
      <c r="AD42" s="161" t="str" cm="1">
        <f t="array" ref="AD42">IFERROR(LOOKUP(2,1/(Atualizações!$H$1:$H$1029=Mapa!$B29&amp;Mapa!BW$3),Atualizações!$E$1:$E$1029),"NÃO")</f>
        <v>NÃO</v>
      </c>
      <c r="AE42" s="161" t="str" cm="1">
        <f t="array" ref="AE42">IFERROR(LOOKUP(2,1/(Atualizações!$H$1:$H$1029=Mapa!$B29&amp;Mapa!BX$3),Atualizações!$E$1:$E$1029),"NÃO")</f>
        <v>NÃO</v>
      </c>
      <c r="AF42" s="161" t="str" cm="1">
        <f t="array" ref="AF42">IFERROR(LOOKUP(2,1/(Atualizações!$H$1:$H$1029=Mapa!$B29&amp;Mapa!BY$3),Atualizações!$E$1:$E$1029),"NÃO")</f>
        <v>NÃO</v>
      </c>
      <c r="AG42" s="161" t="str" cm="1">
        <f t="array" ref="AG42">IFERROR(LOOKUP(2,1/(Atualizações!$H$1:$H$1029=Mapa!$B29&amp;Mapa!BZ$3),Atualizações!$E$1:$E$1029),"NÃO")</f>
        <v>NÃO</v>
      </c>
      <c r="AH42" s="161" t="str" cm="1">
        <f t="array" ref="AH42">IFERROR(LOOKUP(2,1/(Atualizações!$H$1:$H$1029=Mapa!$B29&amp;Mapa!CA$3),Atualizações!$E$1:$E$1029),"NÃO")</f>
        <v>NÃO</v>
      </c>
      <c r="AI42" s="161" t="str" cm="1">
        <f t="array" ref="AI42">IFERROR(LOOKUP(2,1/(Atualizações!$H$1:$H$1029=Mapa!$B29&amp;Mapa!CB$3),Atualizações!$E$1:$E$1029),"NÃO")</f>
        <v>NÃO</v>
      </c>
      <c r="AJ42" s="161" t="str" cm="1">
        <f t="array" ref="AJ42">IFERROR(LOOKUP(2,1/(Atualizações!$H$1:$H$1029=Mapa!$B29&amp;Mapa!CC$3),Atualizações!$E$1:$E$1029),"NÃO")</f>
        <v>NÃO</v>
      </c>
      <c r="AK42" s="161" t="str" cm="1">
        <f t="array" ref="AK42">IFERROR(LOOKUP(2,1/(Atualizações!$H$1:$H$1029=Mapa!$B29&amp;Mapa!CD$3),Atualizações!$E$1:$E$1029),"NÃO")</f>
        <v>NÃO</v>
      </c>
      <c r="AL42" s="161" t="str" cm="1">
        <f t="array" ref="AL42">IFERROR(LOOKUP(2,1/(Atualizações!$H$1:$H$1265=Mapa!$B29&amp;Mapa!CE$3),Atualizações!$E$1:$E$2994),"NÃO")</f>
        <v>NÃO</v>
      </c>
      <c r="AM42" s="161" t="str" cm="1">
        <f t="array" ref="AM42">IFERROR(LOOKUP(2,1/(Atualizações!$H$1:$H$2994=Tb_Mapa[[#This Row],[SEI]]&amp;Mapa!CF$3),Atualizações!$E$1:$E$2994),"NÃO")</f>
        <v>NÃO</v>
      </c>
      <c r="AN42" s="161" t="str" cm="1">
        <f t="array" ref="AN42">IFERROR(LOOKUP(2,1/(Atualizações!$H$1:$H$2994=Tb_Mapa[[#This Row],[SEI]]&amp;Mapa!CG$3),Atualizações!$E$1:$E$2994),"NÃO")</f>
        <v>NÃO</v>
      </c>
      <c r="AO42" s="161" t="str" cm="1">
        <f t="array" ref="AO42">IFERROR(LOOKUP(2,1/(Atualizações!$H$1:$H$2994=Tb_Mapa[[#This Row],[SEI]]&amp;Mapa!CH$3),Atualizações!$E$1:$E$2994),"NÃO")</f>
        <v>NÃO</v>
      </c>
      <c r="AP42" s="161" t="str" cm="1">
        <f t="array" ref="AP42">IFERROR(LOOKUP(2,1/(Atualizações!$H$1:$H$2994=Tb_Mapa[[#This Row],[SEI]]&amp;Mapa!CI$3),Atualizações!$E$1:$E$2994),"NÃO")</f>
        <v>NÃO</v>
      </c>
      <c r="AQ42" s="161" t="str" cm="1">
        <f t="array" ref="AQ42">IFERROR(LOOKUP(2,1/(Atualizações!$H$1:$H$2994=Tb_Mapa[[#This Row],[SEI]]&amp;Mapa!CJ$3),Atualizações!$E$1:$E$2994),"NÃO")</f>
        <v>NÃO</v>
      </c>
      <c r="AR42" s="161" t="str" cm="1">
        <f t="array" ref="AR42">IFERROR(LOOKUP(2,1/(Atualizações!$H$1:$H$2994=Tb_Mapa[[#This Row],[SEI]]&amp;Mapa!CK$3),Atualizações!$E$1:$E$2994),"NÃO")</f>
        <v>NÃO</v>
      </c>
      <c r="AS42" s="161" t="str" cm="1">
        <f t="array" ref="AS42">IFERROR(LOOKUP(2,1/(Atualizações!$H$1:$H$2994=Tb_Mapa[[#This Row],[SEI]]&amp;Mapa!CL$3),Atualizações!$E$1:$E$2994),"NÃO")</f>
        <v>NÃO</v>
      </c>
      <c r="AT42" s="161" t="str" cm="1">
        <f t="array" ref="AT42">IFERROR(LOOKUP(2,1/(Atualizações!$H$1:$H$2994=Tb_Mapa[[#This Row],[SEI]]&amp;Mapa!CM$3),Atualizações!$E$1:$E$2994),"NÃO")</f>
        <v>NÃO</v>
      </c>
      <c r="AU42" s="161" t="str" cm="1">
        <f t="array" ref="AU42">IFERROR(LOOKUP(2,1/(Atualizações!$H$1:$H$2994=Tb_Mapa[[#This Row],[SEI]]&amp;Mapa!CN$3),Atualizações!$E$1:$E$2994),"NÃO")</f>
        <v>NÃO</v>
      </c>
      <c r="AV42" s="161" t="str" cm="1">
        <f t="array" ref="AV42">IFERROR(LOOKUP(2,1/(Atualizações!$H$1:$H$2994=Tb_Mapa[[#This Row],[SEI]]&amp;Mapa!CO$3),Atualizações!$E$1:$E$2994),"NÃO")</f>
        <v>NÃO</v>
      </c>
      <c r="AW42" s="161" t="str" cm="1">
        <f t="array" ref="AW42">IFERROR(LOOKUP(2,1/(Atualizações!$H$1:$H$2994=Tb_Mapa[[#This Row],[SEI]]&amp;Mapa!CP$3),Atualizações!$E$1:$E$2994),"NÃO")</f>
        <v>NÃO</v>
      </c>
      <c r="AX42" s="161" t="str" cm="1">
        <f t="array" ref="AX42">IFERROR(LOOKUP(2,1/(Atualizações!$H$1:$H$2994=Tb_Mapa[[#This Row],[SEI]]&amp;Mapa!CQ$3),Atualizações!$E$1:$E$2994),"NÃO")</f>
        <v>NÃO</v>
      </c>
    </row>
    <row r="43" spans="2:50" ht="32.25" customHeight="1">
      <c r="B43" s="676" t="s">
        <v>189</v>
      </c>
      <c r="C43" s="676" t="str">
        <f>_xlfn.XLOOKUP(Tb_Mapa[[#This Row],[SEI]],Tb_Portfólio[SEI],Tb_Portfólio[Portfólio 2025],"",0)</f>
        <v>Sim</v>
      </c>
      <c r="D43" s="158" t="str">
        <f>_xlfn.XLOOKUP(Tb_Mapa[[#This Row],[SEI]],Tb_Portfólio[SEI],Tb_Portfólio[Portfólio 2026],"",0)</f>
        <v>Sim</v>
      </c>
      <c r="E43" s="162" t="str">
        <f>_xlfn.XLOOKUP(Tb_Mapa[[#This Row],[SEI]],Tb_Portfólio[SEI],Tb_Portfólio[PROJETO],"",0)</f>
        <v>Gestão de Clientes</v>
      </c>
      <c r="F43" s="143" t="str">
        <f>INDEX(Projetos!$G$3:$G$129,MATCH(Tb_Mapa[[#This Row],[SEI]],Projetos!$A$3:$A$129,0))</f>
        <v>Cristiany dos Santos Souza</v>
      </c>
      <c r="G43" s="160" t="s">
        <v>1717</v>
      </c>
      <c r="H43" s="166" t="str">
        <f>INDEX(Projetos!$T$3:$T$129,MATCH(B43,Projetos!$A$3:$A$129,0))</f>
        <v>Justiça 4.0</v>
      </c>
      <c r="I43" s="310">
        <f>INDEX(Projetos!$M$3:$M$129,MATCH(Mapa!B113,Projetos!$A$3:$A$129,0))</f>
        <v>46387</v>
      </c>
      <c r="J43" s="164" t="str">
        <f>IF(Tb_Mapa[[#This Row],[SITUAÇÃO]]="Finalizado", "Data atualizada", IFERROR(IF(I43&lt;$CN$3,"Atualizar data de encerramento","Data atualizada"),"Sem informação"))</f>
        <v>Data atualizada</v>
      </c>
      <c r="K43" s="311">
        <f>INDEX(Projetos!$N$3:$N$129,MATCH(Mapa!B113,Projetos!$A$3:$A$129,0))</f>
        <v>0.56000000000000005</v>
      </c>
      <c r="L43" s="311">
        <f>INDEX(Projetos!$O$3:$O$129,MATCH(Mapa!B113,Projetos!$A$3:$A$129,0))</f>
        <v>0.56000000000000005</v>
      </c>
      <c r="M43" s="165" t="str">
        <f>_xlfn.XLOOKUP(Tb_Mapa[[#This Row],[SEI]],Tb_Portfólio[SEI],Tb_Portfólio[Situação],"N/A",0)</f>
        <v>Finalizado</v>
      </c>
      <c r="N43" s="161" t="str" cm="1">
        <f t="array" ref="N43">IFERROR(LOOKUP(2,1/(Atualizações!$H$1:$H$486=Mapa!$B107&amp;Mapa!BG$3),Atualizações!$E$1:$E$486),"NÃO")</f>
        <v>NÃO</v>
      </c>
      <c r="O43" s="161"/>
      <c r="P43" s="161"/>
      <c r="Q43" s="161"/>
      <c r="R43" s="161"/>
      <c r="S43" s="161"/>
      <c r="T43" s="161"/>
      <c r="U43" s="161"/>
      <c r="V43" s="161"/>
      <c r="W43" s="161"/>
      <c r="X43" s="161"/>
      <c r="Y43" s="161"/>
      <c r="Z43" s="161"/>
      <c r="AA43" s="691"/>
      <c r="AB43" s="691"/>
      <c r="AC43" s="691"/>
      <c r="AD43" s="691"/>
      <c r="AE43" s="161" cm="1">
        <f t="array" ref="AE43">IFERROR(LOOKUP(2,1/(Atualizações!$H$1:$H$1029=Mapa!$B107&amp;Mapa!BX$3),Atualizações!$E$1:$E$1029),"NÃO")</f>
        <v>0.33800000000000002</v>
      </c>
      <c r="AF43" s="161" cm="1">
        <f t="array" ref="AF43">IFERROR(LOOKUP(2,1/(Atualizações!$H$1:$H$1029=Mapa!$B107&amp;Mapa!BY$3),Atualizações!$E$1:$E$1029),"NÃO")</f>
        <v>0.33800000000000002</v>
      </c>
      <c r="AG43" s="161" cm="1">
        <f t="array" ref="AG43">IFERROR(LOOKUP(2,1/(Atualizações!$H$1:$H$1029=Mapa!$B107&amp;Mapa!BZ$3),Atualizações!$E$1:$E$1029),"NÃO")</f>
        <v>0.33800000000000002</v>
      </c>
      <c r="AH43" s="161" cm="1">
        <f t="array" ref="AH43">IFERROR(LOOKUP(2,1/(Atualizações!$H$1:$H$1029=Mapa!$B107&amp;Mapa!CA$3),Atualizações!$E$1:$E$1029),"NÃO")</f>
        <v>0.39</v>
      </c>
      <c r="AI43" s="161" cm="1">
        <f t="array" ref="AI43">IFERROR(LOOKUP(2,1/(Atualizações!$H$1:$H$1029=Mapa!$B107&amp;Mapa!CB$3),Atualizações!$E$1:$E$1029),"NÃO")</f>
        <v>0.51</v>
      </c>
      <c r="AJ43" s="161" cm="1">
        <f t="array" ref="AJ43">IFERROR(LOOKUP(2,1/(Atualizações!$H$1:$H$1029=Mapa!$B107&amp;Mapa!CC$3),Atualizações!$E$1:$E$1029),"NÃO")</f>
        <v>0.52</v>
      </c>
      <c r="AK43" s="161" cm="1">
        <f t="array" ref="AK43">IFERROR(LOOKUP(2,1/(Atualizações!$H$1:$H$1029=Mapa!$B107&amp;Mapa!CD$3),Atualizações!$E$1:$E$1029),"NÃO")</f>
        <v>0.47</v>
      </c>
      <c r="AL43" s="161" cm="1">
        <f t="array" ref="AL43">IFERROR(LOOKUP(2,1/(Atualizações!$H$1:$H$1265=Mapa!$B107&amp;Mapa!CE$3),Atualizações!$E$1:$E$2994),"NÃO")</f>
        <v>0.47</v>
      </c>
      <c r="AM43" s="161" cm="1">
        <f t="array" ref="AM43">IFERROR(LOOKUP(2,1/(Atualizações!$H$1:$H$2994=Tb_Mapa[[#This Row],[SEI]]&amp;Mapa!CF$3),Atualizações!$E$1:$E$2994),"NÃO")</f>
        <v>1</v>
      </c>
      <c r="AN43" s="161" t="str" cm="1">
        <f t="array" ref="AN43">IFERROR(LOOKUP(2,1/(Atualizações!$H$1:$H$2994=Tb_Mapa[[#This Row],[SEI]]&amp;Mapa!CG$3),Atualizações!$E$1:$E$2994),"NÃO")</f>
        <v>NÃO</v>
      </c>
      <c r="AO43" s="161" t="str" cm="1">
        <f t="array" ref="AO43">IFERROR(LOOKUP(2,1/(Atualizações!$H$1:$H$2994=Tb_Mapa[[#This Row],[SEI]]&amp;Mapa!CH$3),Atualizações!$E$1:$E$2994),"NÃO")</f>
        <v>NÃO</v>
      </c>
      <c r="AP43" s="161" t="str" cm="1">
        <f t="array" ref="AP43">IFERROR(LOOKUP(2,1/(Atualizações!$H$1:$H$2994=Tb_Mapa[[#This Row],[SEI]]&amp;Mapa!CI$3),Atualizações!$E$1:$E$2994),"NÃO")</f>
        <v>NÃO</v>
      </c>
      <c r="AQ43" s="161" t="str" cm="1">
        <f t="array" ref="AQ43">IFERROR(LOOKUP(2,1/(Atualizações!$H$1:$H$2994=Tb_Mapa[[#This Row],[SEI]]&amp;Mapa!CJ$3),Atualizações!$E$1:$E$2994),"NÃO")</f>
        <v>NÃO</v>
      </c>
      <c r="AR43" s="161" t="str" cm="1">
        <f t="array" ref="AR43">IFERROR(LOOKUP(2,1/(Atualizações!$H$1:$H$2994=Tb_Mapa[[#This Row],[SEI]]&amp;Mapa!CK$3),Atualizações!$E$1:$E$2994),"NÃO")</f>
        <v>NÃO</v>
      </c>
      <c r="AS43" s="161" t="str" cm="1">
        <f t="array" ref="AS43">IFERROR(LOOKUP(2,1/(Atualizações!$H$1:$H$2994=Tb_Mapa[[#This Row],[SEI]]&amp;Mapa!CL$3),Atualizações!$E$1:$E$2994),"NÃO")</f>
        <v>NÃO</v>
      </c>
      <c r="AT43" s="161" t="str" cm="1">
        <f t="array" ref="AT43">IFERROR(LOOKUP(2,1/(Atualizações!$H$1:$H$2994=Tb_Mapa[[#This Row],[SEI]]&amp;Mapa!CM$3),Atualizações!$E$1:$E$2994),"NÃO")</f>
        <v>NÃO</v>
      </c>
      <c r="AU43" s="161" t="str" cm="1">
        <f t="array" ref="AU43">IFERROR(LOOKUP(2,1/(Atualizações!$H$1:$H$2994=Tb_Mapa[[#This Row],[SEI]]&amp;Mapa!CN$3),Atualizações!$E$1:$E$2994),"NÃO")</f>
        <v>NÃO</v>
      </c>
      <c r="AV43" s="161" t="str" cm="1">
        <f t="array" ref="AV43">IFERROR(LOOKUP(2,1/(Atualizações!$H$1:$H$2994=Tb_Mapa[[#This Row],[SEI]]&amp;Mapa!CO$3),Atualizações!$E$1:$E$2994),"NÃO")</f>
        <v>NÃO</v>
      </c>
      <c r="AW43" s="161" t="str" cm="1">
        <f t="array" ref="AW43">IFERROR(LOOKUP(2,1/(Atualizações!$H$1:$H$2994=Tb_Mapa[[#This Row],[SEI]]&amp;Mapa!CP$3),Atualizações!$E$1:$E$2994),"NÃO")</f>
        <v>NÃO</v>
      </c>
      <c r="AX43" s="161" t="str" cm="1">
        <f t="array" ref="AX43">IFERROR(LOOKUP(2,1/(Atualizações!$H$1:$H$2994=Tb_Mapa[[#This Row],[SEI]]&amp;Mapa!CQ$3),Atualizações!$E$1:$E$2994),"NÃO")</f>
        <v>NÃO</v>
      </c>
    </row>
    <row r="44" spans="2:50" ht="32.25" hidden="1" customHeight="1">
      <c r="B44" s="676" t="s">
        <v>281</v>
      </c>
      <c r="C44" s="676" t="str">
        <f>_xlfn.XLOOKUP(Tb_Mapa[[#This Row],[SEI]],Tb_Portfólio[SEI],Tb_Portfólio[Portfólio 2025],"",0)</f>
        <v>Sim</v>
      </c>
      <c r="D44" s="158" t="str">
        <f>_xlfn.XLOOKUP(Tb_Mapa[[#This Row],[SEI]],Tb_Portfólio[SEI],Tb_Portfólio[Portfólio 2026],"",0)</f>
        <v>Sim</v>
      </c>
      <c r="E44" s="162" t="str">
        <f>_xlfn.XLOOKUP(Tb_Mapa[[#This Row],[SEI]],Tb_Portfólio[SEI],Tb_Portfólio[PROJETO],"",0)</f>
        <v>Fortalecimento da Segurança Cibernética e da Transparência para Governança e Efetividade da Atuação do Poder Judiciário (Projeto BRA/24/021)</v>
      </c>
      <c r="F44" s="143" t="str">
        <f>INDEX(Projetos!$G$3:$G$129,MATCH(Tb_Mapa[[#This Row],[SEI]],Projetos!$A$3:$A$129,0))</f>
        <v>A definir</v>
      </c>
      <c r="G44" s="160" t="s">
        <v>1713</v>
      </c>
      <c r="H44" s="166">
        <f>INDEX(Projetos!$T$3:$T$129,MATCH(B44,Projetos!$A$3:$A$129,0))</f>
        <v>0</v>
      </c>
      <c r="I44" s="310">
        <f>INDEX(Projetos!$M$3:$M$129,MATCH(Tb_Mapa[[#This Row],[SEI]],Projetos!$A$3:$A$129,0))</f>
        <v>47118</v>
      </c>
      <c r="J44" s="164" t="str">
        <f ca="1">IF(Tb_Mapa[[#This Row],[SITUAÇÃO]]="Finalizado", "Data atualizada", IFERROR(IF(Tb_Mapa[[#This Row],[DATA DE TÉRMINO]]&lt;$I$1,"Atualizar data de encerramento","Data atualizada"),"Sem informação"))</f>
        <v>Data atualizada</v>
      </c>
      <c r="K44" s="311">
        <f>INDEX(Projetos!$N$3:$N$129,MATCH(Tb_Mapa[[#This Row],[SEI]],Projetos!$A$3:$A$129,0))</f>
        <v>0</v>
      </c>
      <c r="L44" s="311">
        <f>INDEX(Projetos!$O$3:$O$129,MATCH(Tb_Mapa[[#This Row],[SEI]],Projetos!$A$3:$A$129,0))</f>
        <v>0</v>
      </c>
      <c r="M44" s="165" t="str">
        <f ca="1">_xlfn.XLOOKUP(Tb_Mapa[[#This Row],[SEI]],Tb_Portfólio[SEI],Tb_Portfólio[Situação],"N/A",0)</f>
        <v>Autorizado</v>
      </c>
      <c r="N44" s="161" t="str" cm="1">
        <f t="array" ref="N44">IFERROR(LOOKUP(2,1/(Atualizações!$H$1:$H$486=Mapa!$B110&amp;Mapa!BG$3),Atualizações!$E$1:$E$486),"NÃO")</f>
        <v>NÃO</v>
      </c>
      <c r="O44" s="161"/>
      <c r="P44" s="161"/>
      <c r="Q44" s="161"/>
      <c r="R44" s="161"/>
      <c r="S44" s="161"/>
      <c r="T44" s="161"/>
      <c r="U44" s="161"/>
      <c r="V44" s="161"/>
      <c r="W44" s="161"/>
      <c r="X44" s="161"/>
      <c r="Y44" s="161"/>
      <c r="Z44" s="161"/>
      <c r="AA44" s="691"/>
      <c r="AB44" s="691"/>
      <c r="AC44" s="691"/>
      <c r="AD44" s="691"/>
      <c r="AE44" s="691"/>
      <c r="AF44" s="691"/>
      <c r="AG44" s="691"/>
      <c r="AH44" s="161" cm="1">
        <f t="array" ref="AH44">IFERROR(LOOKUP(2,1/(Atualizações!$H$1:$H$1029=Mapa!$B110&amp;Mapa!CA$3),Atualizações!$E$1:$E$1029),"NÃO")</f>
        <v>0.4</v>
      </c>
      <c r="AI44" s="161" cm="1">
        <f t="array" ref="AI44">IFERROR(LOOKUP(2,1/(Atualizações!$H$1:$H$1029=Mapa!$B110&amp;Mapa!CB$3),Atualizações!$E$1:$E$1029),"NÃO")</f>
        <v>0.4</v>
      </c>
      <c r="AJ44" s="161" cm="1">
        <f t="array" ref="AJ44">IFERROR(LOOKUP(2,1/(Atualizações!$H$1:$H$1029=Mapa!$B110&amp;Mapa!CC$3),Atualizações!$E$1:$E$1029),"NÃO")</f>
        <v>0.4</v>
      </c>
      <c r="AK44" s="161" cm="1">
        <f t="array" ref="AK44">IFERROR(LOOKUP(2,1/(Atualizações!$H$1:$H$1029=Mapa!$B110&amp;Mapa!CD$3),Atualizações!$E$1:$E$1029),"NÃO")</f>
        <v>0.4</v>
      </c>
      <c r="AL44" s="161" cm="1">
        <f t="array" ref="AL44">IFERROR(LOOKUP(2,1/(Atualizações!$H$1:$H$1265=Mapa!$B110&amp;Mapa!CE$3),Atualizações!$E$1:$E$2994),"NÃO")</f>
        <v>0.44</v>
      </c>
      <c r="AM44" s="161" t="str" cm="1">
        <f t="array" ref="AM44">IFERROR(LOOKUP(2,1/(Atualizações!$H$1:$H$2994=Tb_Mapa[[#This Row],[SEI]]&amp;Mapa!CF$3),Atualizações!$E$1:$E$2994),"NÃO")</f>
        <v>NÃO</v>
      </c>
      <c r="AN44" s="161" t="str" cm="1">
        <f t="array" ref="AN44">IFERROR(LOOKUP(2,1/(Atualizações!$H$1:$H$2994=Tb_Mapa[[#This Row],[SEI]]&amp;Mapa!CG$3),Atualizações!$E$1:$E$2994),"NÃO")</f>
        <v>NÃO</v>
      </c>
      <c r="AO44" s="161" t="str" cm="1">
        <f t="array" ref="AO44">IFERROR(LOOKUP(2,1/(Atualizações!$H$1:$H$2994=Tb_Mapa[[#This Row],[SEI]]&amp;Mapa!CH$3),Atualizações!$E$1:$E$2994),"NÃO")</f>
        <v>NÃO</v>
      </c>
      <c r="AP44" s="161" t="str" cm="1">
        <f t="array" ref="AP44">IFERROR(LOOKUP(2,1/(Atualizações!$H$1:$H$2994=Tb_Mapa[[#This Row],[SEI]]&amp;Mapa!CI$3),Atualizações!$E$1:$E$2994),"NÃO")</f>
        <v>NÃO</v>
      </c>
      <c r="AQ44" s="161" t="str" cm="1">
        <f t="array" ref="AQ44">IFERROR(LOOKUP(2,1/(Atualizações!$H$1:$H$2994=Tb_Mapa[[#This Row],[SEI]]&amp;Mapa!CJ$3),Atualizações!$E$1:$E$2994),"NÃO")</f>
        <v>NÃO</v>
      </c>
      <c r="AR44" s="161" t="str" cm="1">
        <f t="array" ref="AR44">IFERROR(LOOKUP(2,1/(Atualizações!$H$1:$H$2994=Tb_Mapa[[#This Row],[SEI]]&amp;Mapa!CK$3),Atualizações!$E$1:$E$2994),"NÃO")</f>
        <v>NÃO</v>
      </c>
      <c r="AS44" s="161" t="str" cm="1">
        <f t="array" ref="AS44">IFERROR(LOOKUP(2,1/(Atualizações!$H$1:$H$2994=Tb_Mapa[[#This Row],[SEI]]&amp;Mapa!CL$3),Atualizações!$E$1:$E$2994),"NÃO")</f>
        <v>NÃO</v>
      </c>
      <c r="AT44" s="161" t="str" cm="1">
        <f t="array" ref="AT44">IFERROR(LOOKUP(2,1/(Atualizações!$H$1:$H$2994=Tb_Mapa[[#This Row],[SEI]]&amp;Mapa!CM$3),Atualizações!$E$1:$E$2994),"NÃO")</f>
        <v>NÃO</v>
      </c>
      <c r="AU44" s="161" t="str" cm="1">
        <f t="array" ref="AU44">IFERROR(LOOKUP(2,1/(Atualizações!$H$1:$H$2994=Tb_Mapa[[#This Row],[SEI]]&amp;Mapa!CN$3),Atualizações!$E$1:$E$2994),"NÃO")</f>
        <v>NÃO</v>
      </c>
      <c r="AV44" s="161" t="str" cm="1">
        <f t="array" ref="AV44">IFERROR(LOOKUP(2,1/(Atualizações!$H$1:$H$2994=Tb_Mapa[[#This Row],[SEI]]&amp;Mapa!CO$3),Atualizações!$E$1:$E$2994),"NÃO")</f>
        <v>NÃO</v>
      </c>
      <c r="AW44" s="161" t="str" cm="1">
        <f t="array" ref="AW44">IFERROR(LOOKUP(2,1/(Atualizações!$H$1:$H$2994=Tb_Mapa[[#This Row],[SEI]]&amp;Mapa!CP$3),Atualizações!$E$1:$E$2994),"NÃO")</f>
        <v>NÃO</v>
      </c>
      <c r="AX44" s="161" t="str" cm="1">
        <f t="array" ref="AX44">IFERROR(LOOKUP(2,1/(Atualizações!$H$1:$H$2994=Tb_Mapa[[#This Row],[SEI]]&amp;Mapa!CQ$3),Atualizações!$E$1:$E$2994),"NÃO")</f>
        <v>NÃO</v>
      </c>
    </row>
    <row r="45" spans="2:50" ht="32.25" hidden="1" customHeight="1">
      <c r="B45" s="676" t="s">
        <v>882</v>
      </c>
      <c r="C45" s="676" t="str">
        <f>_xlfn.XLOOKUP(Tb_Mapa[[#This Row],[SEI]],Tb_Portfólio[SEI],Tb_Portfólio[Portfólio 2025],"",0)</f>
        <v>Não</v>
      </c>
      <c r="D45" s="158" t="str">
        <f>_xlfn.XLOOKUP(Tb_Mapa[[#This Row],[SEI]],Tb_Portfólio[SEI],Tb_Portfólio[Portfólio 2026],"",0)</f>
        <v>Sim</v>
      </c>
      <c r="E45" s="162" t="str">
        <f>_xlfn.XLOOKUP(Tb_Mapa[[#This Row],[SEI]],Tb_Portfólio[SEI],Tb_Portfólio[PROJETO],"",0)</f>
        <v>Programa Fazendo Justiça - Projeto BRA/23/017</v>
      </c>
      <c r="F45" s="143" t="str">
        <f>INDEX(Projetos!$G$3:$G$129,MATCH(Tb_Mapa[[#This Row],[SEI]],Projetos!$A$3:$A$129,0))</f>
        <v>Renata Chiarinelli Laurino</v>
      </c>
      <c r="G45" s="160" t="s">
        <v>1710</v>
      </c>
      <c r="H45" s="166" t="str">
        <f>INDEX(Projetos!$T$3:$T$129,MATCH(B45,Projetos!$A$3:$A$129,0))</f>
        <v>Fazendo Justiça</v>
      </c>
      <c r="I45" s="310">
        <f>INDEX(Projetos!$M$3:$M$129,MATCH(Tb_Mapa[[#This Row],[SEI]],Projetos!$A$3:$A$129,0))</f>
        <v>46387</v>
      </c>
      <c r="J45" s="164" t="str">
        <f ca="1">IF(Tb_Mapa[[#This Row],[SITUAÇÃO]]="Finalizado", "Data atualizada", IFERROR(IF(Tb_Mapa[[#This Row],[DATA DE TÉRMINO]]&lt;$I$1,"Atualizar data de encerramento","Data atualizada"),"Sem informação"))</f>
        <v>Data atualizada</v>
      </c>
      <c r="K45" s="311">
        <f>INDEX(Projetos!$N$3:$N$129,MATCH(Tb_Mapa[[#This Row],[SEI]],Projetos!$A$3:$A$129,0))</f>
        <v>0</v>
      </c>
      <c r="L45" s="311">
        <f>INDEX(Projetos!$O$3:$O$129,MATCH(Tb_Mapa[[#This Row],[SEI]],Projetos!$A$3:$A$129,0))</f>
        <v>0</v>
      </c>
      <c r="M45" s="165" t="str">
        <f ca="1">_xlfn.XLOOKUP(Tb_Mapa[[#This Row],[SEI]],Tb_Portfólio[SEI],Tb_Portfólio[Situação],"N/A",0)</f>
        <v>Autorizado</v>
      </c>
      <c r="N45" s="161" t="str" cm="1">
        <f t="array" ref="N45">IFERROR(LOOKUP(2,1/(Atualizações!$H$1:$H$486=Mapa!$B117&amp;Mapa!BG$3),Atualizações!$E$1:$E$486),"NÃO")</f>
        <v>NÃO</v>
      </c>
      <c r="O45" s="161"/>
      <c r="P45" s="161"/>
      <c r="Q45" s="161"/>
      <c r="R45" s="161"/>
      <c r="S45" s="161"/>
      <c r="T45" s="161"/>
      <c r="U45" s="161"/>
      <c r="V45" s="161"/>
      <c r="W45" s="161"/>
      <c r="X45" s="161"/>
      <c r="Y45" s="161"/>
      <c r="Z45" s="161"/>
      <c r="AA45" s="691"/>
      <c r="AB45" s="691"/>
      <c r="AC45" s="691"/>
      <c r="AD45" s="691"/>
      <c r="AE45" s="691"/>
      <c r="AF45" s="691"/>
      <c r="AG45" s="691"/>
      <c r="AH45" s="691"/>
      <c r="AI45" s="691"/>
      <c r="AJ45" s="691"/>
      <c r="AK45" s="161" cm="1">
        <f t="array" ref="AK45">IFERROR(LOOKUP(2,1/(Atualizações!$H$1:$H$1029=Mapa!$B117&amp;Mapa!CD$3),Atualizações!$E$1:$E$1029),"NÃO")</f>
        <v>0.51</v>
      </c>
      <c r="AL45" s="161" cm="1">
        <f t="array" ref="AL45">IFERROR(LOOKUP(2,1/(Atualizações!$H$1:$H$1265=Mapa!$B117&amp;Mapa!CE$3),Atualizações!$E$1:$E$2994),"NÃO")</f>
        <v>0.51</v>
      </c>
      <c r="AM45" s="161" cm="1">
        <f t="array" ref="AM45">IFERROR(LOOKUP(2,1/(Atualizações!$H$1:$H$2994=Tb_Mapa[[#This Row],[SEI]]&amp;Mapa!CF$3),Atualizações!$E$1:$E$2994),"NÃO")</f>
        <v>0</v>
      </c>
      <c r="AN45" s="161" t="str" cm="1">
        <f t="array" ref="AN45">IFERROR(LOOKUP(2,1/(Atualizações!$H$1:$H$2994=Tb_Mapa[[#This Row],[SEI]]&amp;Mapa!CG$3),Atualizações!$E$1:$E$2994),"NÃO")</f>
        <v>NÃO</v>
      </c>
      <c r="AO45" s="161" t="str" cm="1">
        <f t="array" ref="AO45">IFERROR(LOOKUP(2,1/(Atualizações!$H$1:$H$2994=Tb_Mapa[[#This Row],[SEI]]&amp;Mapa!CH$3),Atualizações!$E$1:$E$2994),"NÃO")</f>
        <v>NÃO</v>
      </c>
      <c r="AP45" s="161" t="str" cm="1">
        <f t="array" ref="AP45">IFERROR(LOOKUP(2,1/(Atualizações!$H$1:$H$2994=Tb_Mapa[[#This Row],[SEI]]&amp;Mapa!CI$3),Atualizações!$E$1:$E$2994),"NÃO")</f>
        <v>NÃO</v>
      </c>
      <c r="AQ45" s="161" t="str" cm="1">
        <f t="array" ref="AQ45">IFERROR(LOOKUP(2,1/(Atualizações!$H$1:$H$2994=Tb_Mapa[[#This Row],[SEI]]&amp;Mapa!CJ$3),Atualizações!$E$1:$E$2994),"NÃO")</f>
        <v>NÃO</v>
      </c>
      <c r="AR45" s="161" t="str" cm="1">
        <f t="array" ref="AR45">IFERROR(LOOKUP(2,1/(Atualizações!$H$1:$H$2994=Tb_Mapa[[#This Row],[SEI]]&amp;Mapa!CK$3),Atualizações!$E$1:$E$2994),"NÃO")</f>
        <v>NÃO</v>
      </c>
      <c r="AS45" s="161" t="str" cm="1">
        <f t="array" ref="AS45">IFERROR(LOOKUP(2,1/(Atualizações!$H$1:$H$2994=Tb_Mapa[[#This Row],[SEI]]&amp;Mapa!CL$3),Atualizações!$E$1:$E$2994),"NÃO")</f>
        <v>NÃO</v>
      </c>
      <c r="AT45" s="161" t="str" cm="1">
        <f t="array" ref="AT45">IFERROR(LOOKUP(2,1/(Atualizações!$H$1:$H$2994=Tb_Mapa[[#This Row],[SEI]]&amp;Mapa!CM$3),Atualizações!$E$1:$E$2994),"NÃO")</f>
        <v>NÃO</v>
      </c>
      <c r="AU45" s="161" t="str" cm="1">
        <f t="array" ref="AU45">IFERROR(LOOKUP(2,1/(Atualizações!$H$1:$H$2994=Tb_Mapa[[#This Row],[SEI]]&amp;Mapa!CN$3),Atualizações!$E$1:$E$2994),"NÃO")</f>
        <v>NÃO</v>
      </c>
      <c r="AV45" s="161" t="str" cm="1">
        <f t="array" ref="AV45">IFERROR(LOOKUP(2,1/(Atualizações!$H$1:$H$2994=Tb_Mapa[[#This Row],[SEI]]&amp;Mapa!CO$3),Atualizações!$E$1:$E$2994),"NÃO")</f>
        <v>NÃO</v>
      </c>
      <c r="AW45" s="161" t="str" cm="1">
        <f t="array" ref="AW45">IFERROR(LOOKUP(2,1/(Atualizações!$H$1:$H$2994=Tb_Mapa[[#This Row],[SEI]]&amp;Mapa!CP$3),Atualizações!$E$1:$E$2994),"NÃO")</f>
        <v>NÃO</v>
      </c>
      <c r="AX45" s="161" t="str" cm="1">
        <f t="array" ref="AX45">IFERROR(LOOKUP(2,1/(Atualizações!$H$1:$H$2994=Tb_Mapa[[#This Row],[SEI]]&amp;Mapa!CQ$3),Atualizações!$E$1:$E$2994),"NÃO")</f>
        <v>NÃO</v>
      </c>
    </row>
    <row r="46" spans="2:50" ht="32.25" hidden="1" customHeight="1">
      <c r="B46" s="676" t="s">
        <v>994</v>
      </c>
      <c r="C46" s="676" t="str">
        <f>_xlfn.XLOOKUP(Tb_Mapa[[#This Row],[SEI]],Tb_Portfólio[SEI],Tb_Portfólio[Portfólio 2025],"",0)</f>
        <v>Não</v>
      </c>
      <c r="D46" s="158" t="str">
        <f>_xlfn.XLOOKUP(Tb_Mapa[[#This Row],[SEI]],Tb_Portfólio[SEI],Tb_Portfólio[Portfólio 2026],"",0)</f>
        <v>Sim</v>
      </c>
      <c r="E46" s="162" t="str">
        <f>_xlfn.XLOOKUP(Tb_Mapa[[#This Row],[SEI]],Tb_Portfólio[SEI],Tb_Portfólio[PROJETO],"",0)</f>
        <v>Cadastro Nacional de Intérpretes e Tradutores de língua Indígenas do Poder Judiciário (CNITI)</v>
      </c>
      <c r="F46" s="143" t="str">
        <f>INDEX(Projetos!$G$3:$G$129,MATCH(B46,Projetos!$A$3:$A$129,0))</f>
        <v>Andréa Brasil</v>
      </c>
      <c r="G46" s="160"/>
      <c r="H46" s="166">
        <f>INDEX(Projetos!$T$3:$T$129,MATCH(B46,Projetos!$A$3:$A$129,0))</f>
        <v>0</v>
      </c>
      <c r="I46" s="310">
        <f>INDEX(Projetos!$M$3:$M$129,MATCH(Tb_Mapa[[#This Row],[SEI]],Projetos!$A$3:$A$129,0))</f>
        <v>46376</v>
      </c>
      <c r="J46" s="164" t="str">
        <f ca="1">IF(Tb_Mapa[[#This Row],[SITUAÇÃO]]="Finalizado", "Data atualizada", IFERROR(IF(Tb_Mapa[[#This Row],[DATA DE TÉRMINO]]&lt;$I$1,"Atualizar data de encerramento","Data atualizada"),"Sem informação"))</f>
        <v>Data atualizada</v>
      </c>
      <c r="K46" s="311">
        <f>INDEX(Projetos!$N$3:$N$129,MATCH(Tb_Mapa[[#This Row],[SEI]],Projetos!$A$3:$A$129,0))</f>
        <v>0</v>
      </c>
      <c r="L46" s="311">
        <f>INDEX(Projetos!$O$3:$O$129,MATCH(Tb_Mapa[[#This Row],[SEI]],Projetos!$A$3:$A$129,0))</f>
        <v>0</v>
      </c>
      <c r="M46" s="165" t="str">
        <f ca="1">_xlfn.XLOOKUP(Tb_Mapa[[#This Row],[SEI]],Tb_Portfólio[SEI],Tb_Portfólio[Situação],"N/A",0)</f>
        <v>Autorizado</v>
      </c>
      <c r="N46" s="161" t="str" cm="1">
        <f t="array" ref="N46">IFERROR(LOOKUP(2,1/(Atualizações!$H$1:$H$486=Mapa!$B127&amp;Mapa!BG$3),Atualizações!$E$1:$E$486),"NÃO")</f>
        <v>NÃO</v>
      </c>
      <c r="O46" s="161"/>
      <c r="P46" s="161"/>
      <c r="Q46" s="161"/>
      <c r="R46" s="161"/>
      <c r="S46" s="161"/>
      <c r="T46" s="161"/>
      <c r="U46" s="161"/>
      <c r="V46" s="161"/>
      <c r="W46" s="161"/>
      <c r="X46" s="161"/>
      <c r="Y46" s="161"/>
      <c r="Z46" s="161"/>
      <c r="AA46" s="691"/>
      <c r="AB46" s="691"/>
      <c r="AC46" s="691"/>
      <c r="AD46" s="691"/>
      <c r="AE46" s="691"/>
      <c r="AF46" s="691"/>
      <c r="AG46" s="691"/>
      <c r="AH46" s="691"/>
      <c r="AI46" s="691"/>
      <c r="AJ46" s="691"/>
      <c r="AK46" s="691"/>
      <c r="AL46" s="691" t="str" cm="1">
        <f t="array" ref="AL46">IFERROR(LOOKUP(2,1/(Atualizações!$H$1:$H$1265=Mapa!$B127&amp;Mapa!CE$3),Atualizações!$E$1:$E$2994),"NÃO")</f>
        <v>NÃO</v>
      </c>
      <c r="AM46" s="161" t="str" cm="1">
        <f t="array" ref="AM46">IFERROR(LOOKUP(2,1/(Atualizações!$H$1:$H$2994=Tb_Mapa[[#This Row],[SEI]]&amp;Mapa!CF$3),Atualizações!$E$1:$E$2994),"NÃO")</f>
        <v>NÃO</v>
      </c>
      <c r="AN46" s="161" t="str" cm="1">
        <f t="array" ref="AN46">IFERROR(LOOKUP(2,1/(Atualizações!$H$1:$H$2994=Tb_Mapa[[#This Row],[SEI]]&amp;Mapa!CG$3),Atualizações!$E$1:$E$2994),"NÃO")</f>
        <v>NÃO</v>
      </c>
      <c r="AO46" s="161" t="str" cm="1">
        <f t="array" ref="AO46">IFERROR(LOOKUP(2,1/(Atualizações!$H$1:$H$2994=Tb_Mapa[[#This Row],[SEI]]&amp;Mapa!CH$3),Atualizações!$E$1:$E$2994),"NÃO")</f>
        <v>NÃO</v>
      </c>
      <c r="AP46" s="161" cm="1">
        <f t="array" ref="AP46">IFERROR(LOOKUP(2,1/(Atualizações!$H$1:$H$2994=Tb_Mapa[[#This Row],[SEI]]&amp;Mapa!CI$3),Atualizações!$E$1:$E$2994),"NÃO")</f>
        <v>0</v>
      </c>
      <c r="AQ46" s="161" t="str" cm="1">
        <f t="array" ref="AQ46">IFERROR(LOOKUP(2,1/(Atualizações!$H$1:$H$2994=Tb_Mapa[[#This Row],[SEI]]&amp;Mapa!CJ$3),Atualizações!$E$1:$E$2994),"NÃO")</f>
        <v>NÃO</v>
      </c>
      <c r="AR46" s="161" t="str" cm="1">
        <f t="array" ref="AR46">IFERROR(LOOKUP(2,1/(Atualizações!$H$1:$H$2994=Tb_Mapa[[#This Row],[SEI]]&amp;Mapa!CK$3),Atualizações!$E$1:$E$2994),"NÃO")</f>
        <v>NÃO</v>
      </c>
      <c r="AS46" s="161" t="str" cm="1">
        <f t="array" ref="AS46">IFERROR(LOOKUP(2,1/(Atualizações!$H$1:$H$2994=Tb_Mapa[[#This Row],[SEI]]&amp;Mapa!CL$3),Atualizações!$E$1:$E$2994),"NÃO")</f>
        <v>NÃO</v>
      </c>
      <c r="AT46" s="161" t="str" cm="1">
        <f t="array" ref="AT46">IFERROR(LOOKUP(2,1/(Atualizações!$H$1:$H$2994=Tb_Mapa[[#This Row],[SEI]]&amp;Mapa!CM$3),Atualizações!$E$1:$E$2994),"NÃO")</f>
        <v>NÃO</v>
      </c>
      <c r="AU46" s="161" t="str" cm="1">
        <f t="array" ref="AU46">IFERROR(LOOKUP(2,1/(Atualizações!$H$1:$H$2994=Tb_Mapa[[#This Row],[SEI]]&amp;Mapa!CN$3),Atualizações!$E$1:$E$2994),"NÃO")</f>
        <v>NÃO</v>
      </c>
      <c r="AV46" s="161" t="str" cm="1">
        <f t="array" ref="AV46">IFERROR(LOOKUP(2,1/(Atualizações!$H$1:$H$2994=Tb_Mapa[[#This Row],[SEI]]&amp;Mapa!CO$3),Atualizações!$E$1:$E$2994),"NÃO")</f>
        <v>NÃO</v>
      </c>
      <c r="AW46" s="161" t="str" cm="1">
        <f t="array" ref="AW46">IFERROR(LOOKUP(2,1/(Atualizações!$H$1:$H$2994=Tb_Mapa[[#This Row],[SEI]]&amp;Mapa!CP$3),Atualizações!$E$1:$E$2994),"NÃO")</f>
        <v>NÃO</v>
      </c>
      <c r="AX46" s="161" t="str" cm="1">
        <f t="array" ref="AX46">IFERROR(LOOKUP(2,1/(Atualizações!$H$1:$H$2994=Tb_Mapa[[#This Row],[SEI]]&amp;Mapa!CQ$3),Atualizações!$E$1:$E$2994),"NÃO")</f>
        <v>NÃO</v>
      </c>
    </row>
    <row r="47" spans="2:50" ht="32.25" hidden="1" customHeight="1">
      <c r="B47" s="676" t="s">
        <v>1004</v>
      </c>
      <c r="C47" s="676" t="str">
        <f>_xlfn.XLOOKUP(Tb_Mapa[[#This Row],[SEI]],Tb_Portfólio[SEI],Tb_Portfólio[Portfólio 2025],"",0)</f>
        <v>Não</v>
      </c>
      <c r="D47" s="158" t="str">
        <f>_xlfn.XLOOKUP(Tb_Mapa[[#This Row],[SEI]],Tb_Portfólio[SEI],Tb_Portfólio[Portfólio 2026],"",0)</f>
        <v>Sim</v>
      </c>
      <c r="E47" s="162" t="str">
        <f>_xlfn.XLOOKUP(Tb_Mapa[[#This Row],[SEI]],Tb_Portfólio[SEI],Tb_Portfólio[PROJETO],"",0)</f>
        <v>Justiça Itinerante Cooperativa na Amazônia Legal - Edição 2026</v>
      </c>
      <c r="F47" s="143" t="str">
        <f>INDEX(Projetos!$G$3:$G$129,MATCH(B47,Projetos!$A$3:$A$129,0))</f>
        <v>Thais Martins Bosch</v>
      </c>
      <c r="G47" s="160" t="s">
        <v>1711</v>
      </c>
      <c r="H47" s="166">
        <f>INDEX(Projetos!$T$3:$T$129,MATCH(B47,Projetos!$A$3:$A$129,0))</f>
        <v>0</v>
      </c>
      <c r="I47" s="310">
        <f>INDEX(Projetos!$M$3:$M$129,MATCH(Tb_Mapa[[#This Row],[SEI]],Projetos!$A$3:$A$129,0))</f>
        <v>46295</v>
      </c>
      <c r="J47" s="164" t="str">
        <f ca="1">IF(Tb_Mapa[[#This Row],[SITUAÇÃO]]="Finalizado", "Data atualizada", IFERROR(IF(Tb_Mapa[[#This Row],[DATA DE TÉRMINO]]&lt;$I$1,"Atualizar data de encerramento","Data atualizada"),"Sem informação"))</f>
        <v>Data atualizada</v>
      </c>
      <c r="K47" s="311">
        <f>INDEX(Projetos!$N$3:$N$129,MATCH(Tb_Mapa[[#This Row],[SEI]],Projetos!$A$3:$A$129,0))</f>
        <v>0</v>
      </c>
      <c r="L47" s="311">
        <f>INDEX(Projetos!$O$3:$O$129,MATCH(Tb_Mapa[[#This Row],[SEI]],Projetos!$A$3:$A$129,0))</f>
        <v>0</v>
      </c>
      <c r="M47" s="165" t="str">
        <f ca="1">_xlfn.XLOOKUP(Tb_Mapa[[#This Row],[SEI]],Tb_Portfólio[SEI],Tb_Portfólio[Situação],"N/A",0)</f>
        <v>Autorizado</v>
      </c>
      <c r="N47" s="161" t="str" cm="1">
        <f t="array" ref="N47">IFERROR(LOOKUP(2,1/(Atualizações!$H$1:$H$486=Mapa!$B128&amp;Mapa!BG$3),Atualizações!$E$1:$E$486),"NÃO")</f>
        <v>NÃO</v>
      </c>
      <c r="O47" s="161"/>
      <c r="P47" s="161"/>
      <c r="Q47" s="161"/>
      <c r="R47" s="161"/>
      <c r="S47" s="161"/>
      <c r="T47" s="161"/>
      <c r="U47" s="161"/>
      <c r="V47" s="161"/>
      <c r="W47" s="161"/>
      <c r="X47" s="161"/>
      <c r="Y47" s="161"/>
      <c r="Z47" s="161"/>
      <c r="AA47" s="691"/>
      <c r="AB47" s="691"/>
      <c r="AC47" s="691"/>
      <c r="AD47" s="691"/>
      <c r="AE47" s="691"/>
      <c r="AF47" s="691"/>
      <c r="AG47" s="691"/>
      <c r="AH47" s="691"/>
      <c r="AI47" s="691"/>
      <c r="AJ47" s="691"/>
      <c r="AK47" s="691"/>
      <c r="AL47" s="691" t="str" cm="1">
        <f t="array" ref="AL47">IFERROR(LOOKUP(2,1/(Atualizações!$H$1:$H$1265=Mapa!$B128&amp;Mapa!CE$3),Atualizações!$E$1:$E$2994),"NÃO")</f>
        <v>NÃO</v>
      </c>
      <c r="AM47" s="161" t="str" cm="1">
        <f t="array" ref="AM47">IFERROR(LOOKUP(2,1/(Atualizações!$H$1:$H$2994=Tb_Mapa[[#This Row],[SEI]]&amp;Mapa!CF$3),Atualizações!$E$1:$E$2994),"NÃO")</f>
        <v>NÃO</v>
      </c>
      <c r="AN47" s="161" t="str" cm="1">
        <f t="array" ref="AN47">IFERROR(LOOKUP(2,1/(Atualizações!$H$1:$H$2994=Tb_Mapa[[#This Row],[SEI]]&amp;Mapa!CG$3),Atualizações!$E$1:$E$2994),"NÃO")</f>
        <v>NÃO</v>
      </c>
      <c r="AO47" s="161" t="str" cm="1">
        <f t="array" ref="AO47">IFERROR(LOOKUP(2,1/(Atualizações!$H$1:$H$2994=Tb_Mapa[[#This Row],[SEI]]&amp;Mapa!CH$3),Atualizações!$E$1:$E$2994),"NÃO")</f>
        <v>NÃO</v>
      </c>
      <c r="AP47" s="161" cm="1">
        <f t="array" ref="AP47">IFERROR(LOOKUP(2,1/(Atualizações!$H$1:$H$2994=Tb_Mapa[[#This Row],[SEI]]&amp;Mapa!CI$3),Atualizações!$E$1:$E$2994),"NÃO")</f>
        <v>0</v>
      </c>
      <c r="AQ47" s="161" t="str" cm="1">
        <f t="array" ref="AQ47">IFERROR(LOOKUP(2,1/(Atualizações!$H$1:$H$2994=Tb_Mapa[[#This Row],[SEI]]&amp;Mapa!CJ$3),Atualizações!$E$1:$E$2994),"NÃO")</f>
        <v>NÃO</v>
      </c>
      <c r="AR47" s="161" t="str" cm="1">
        <f t="array" ref="AR47">IFERROR(LOOKUP(2,1/(Atualizações!$H$1:$H$2994=Tb_Mapa[[#This Row],[SEI]]&amp;Mapa!CK$3),Atualizações!$E$1:$E$2994),"NÃO")</f>
        <v>NÃO</v>
      </c>
      <c r="AS47" s="161" t="str" cm="1">
        <f t="array" ref="AS47">IFERROR(LOOKUP(2,1/(Atualizações!$H$1:$H$2994=Tb_Mapa[[#This Row],[SEI]]&amp;Mapa!CL$3),Atualizações!$E$1:$E$2994),"NÃO")</f>
        <v>NÃO</v>
      </c>
      <c r="AT47" s="161" t="str" cm="1">
        <f t="array" ref="AT47">IFERROR(LOOKUP(2,1/(Atualizações!$H$1:$H$2994=Tb_Mapa[[#This Row],[SEI]]&amp;Mapa!CM$3),Atualizações!$E$1:$E$2994),"NÃO")</f>
        <v>NÃO</v>
      </c>
      <c r="AU47" s="161" t="str" cm="1">
        <f t="array" ref="AU47">IFERROR(LOOKUP(2,1/(Atualizações!$H$1:$H$2994=Tb_Mapa[[#This Row],[SEI]]&amp;Mapa!CN$3),Atualizações!$E$1:$E$2994),"NÃO")</f>
        <v>NÃO</v>
      </c>
      <c r="AV47" s="161" t="str" cm="1">
        <f t="array" ref="AV47">IFERROR(LOOKUP(2,1/(Atualizações!$H$1:$H$2994=Tb_Mapa[[#This Row],[SEI]]&amp;Mapa!CO$3),Atualizações!$E$1:$E$2994),"NÃO")</f>
        <v>NÃO</v>
      </c>
      <c r="AW47" s="161" t="str" cm="1">
        <f t="array" ref="AW47">IFERROR(LOOKUP(2,1/(Atualizações!$H$1:$H$2994=Tb_Mapa[[#This Row],[SEI]]&amp;Mapa!CP$3),Atualizações!$E$1:$E$2994),"NÃO")</f>
        <v>NÃO</v>
      </c>
      <c r="AX47" s="161" t="str" cm="1">
        <f t="array" ref="AX47">IFERROR(LOOKUP(2,1/(Atualizações!$H$1:$H$2994=Tb_Mapa[[#This Row],[SEI]]&amp;Mapa!CQ$3),Atualizações!$E$1:$E$2994),"NÃO")</f>
        <v>NÃO</v>
      </c>
    </row>
    <row r="48" spans="2:50" ht="32.25" hidden="1" customHeight="1">
      <c r="B48" s="676" t="s">
        <v>1010</v>
      </c>
      <c r="C48" s="676" t="str">
        <f>_xlfn.XLOOKUP(Tb_Mapa[[#This Row],[SEI]],Tb_Portfólio[SEI],Tb_Portfólio[Portfólio 2025],"",0)</f>
        <v>Não</v>
      </c>
      <c r="D48" s="158" t="str">
        <f>_xlfn.XLOOKUP(Tb_Mapa[[#This Row],[SEI]],Tb_Portfólio[SEI],Tb_Portfólio[Portfólio 2026],"",0)</f>
        <v>Sim</v>
      </c>
      <c r="E48" s="162" t="str">
        <f>_xlfn.XLOOKUP(Tb_Mapa[[#This Row],[SEI]],Tb_Portfólio[SEI],Tb_Portfólio[PROJETO],"",0)</f>
        <v>Aliança Lilás</v>
      </c>
      <c r="F48" s="143" t="str">
        <f>INDEX(Projetos!$G$3:$G$129,MATCH(B48,Projetos!$A$3:$A$129,0))</f>
        <v>Anne Klean Alexandra Mendes</v>
      </c>
      <c r="G48" s="160" t="s">
        <v>1711</v>
      </c>
      <c r="H48" s="143">
        <f>INDEX(Projetos!$T$3:$T$129,MATCH(B48,Projetos!$A$3:$A$129,0))</f>
        <v>0</v>
      </c>
      <c r="I48" s="310">
        <f>INDEX(Projetos!$M$3:$M$129,MATCH(Tb_Mapa[[#This Row],[SEI]],Projetos!$A$3:$A$129,0))</f>
        <v>46741</v>
      </c>
      <c r="J48" s="164" t="str">
        <f ca="1">IF(Tb_Mapa[[#This Row],[SITUAÇÃO]]="Finalizado", "Data atualizada", IFERROR(IF(Tb_Mapa[[#This Row],[DATA DE TÉRMINO]]&lt;$I$1,"Atualizar data de encerramento","Data atualizada"),"Sem informação"))</f>
        <v>Data atualizada</v>
      </c>
      <c r="K48" s="311">
        <f>INDEX(Projetos!$N$3:$N$129,MATCH(Tb_Mapa[[#This Row],[SEI]],Projetos!$A$3:$A$129,0))</f>
        <v>0</v>
      </c>
      <c r="L48" s="311">
        <f>INDEX(Projetos!$O$3:$O$129,MATCH(Tb_Mapa[[#This Row],[SEI]],Projetos!$A$3:$A$129,0))</f>
        <v>0</v>
      </c>
      <c r="M48" s="165" t="str">
        <f ca="1">_xlfn.XLOOKUP(Tb_Mapa[[#This Row],[SEI]],Tb_Portfólio[SEI],Tb_Portfólio[Situação],"N/A",0)</f>
        <v>Autorizado</v>
      </c>
      <c r="N48" s="161" t="str" cm="1">
        <f t="array" ref="N48">IFERROR(LOOKUP(2,1/(Atualizações!$H$1:$H$486=Mapa!$B129&amp;Mapa!BG$3),Atualizações!$E$1:$E$486),"NÃO")</f>
        <v>NÃO</v>
      </c>
      <c r="O48" s="161"/>
      <c r="P48" s="161"/>
      <c r="Q48" s="161"/>
      <c r="R48" s="161"/>
      <c r="S48" s="161"/>
      <c r="T48" s="161"/>
      <c r="U48" s="161"/>
      <c r="V48" s="161"/>
      <c r="W48" s="161"/>
      <c r="X48" s="161"/>
      <c r="Y48" s="161"/>
      <c r="Z48" s="161"/>
      <c r="AA48" s="691"/>
      <c r="AB48" s="691"/>
      <c r="AC48" s="691"/>
      <c r="AD48" s="691"/>
      <c r="AE48" s="691"/>
      <c r="AF48" s="691"/>
      <c r="AG48" s="691"/>
      <c r="AH48" s="691"/>
      <c r="AI48" s="691"/>
      <c r="AJ48" s="691"/>
      <c r="AK48" s="691"/>
      <c r="AL48" s="691" t="str" cm="1">
        <f t="array" ref="AL48">IFERROR(LOOKUP(2,1/(Atualizações!$H$1:$H$1265=Mapa!$B129&amp;Mapa!CE$3),Atualizações!$E$1:$E$2994),"NÃO")</f>
        <v>NÃO</v>
      </c>
      <c r="AM48" s="161" t="str" cm="1">
        <f t="array" ref="AM48">IFERROR(LOOKUP(2,1/(Atualizações!$H$1:$H$2994=Tb_Mapa[[#This Row],[SEI]]&amp;Mapa!CF$3),Atualizações!$E$1:$E$2994),"NÃO")</f>
        <v>NÃO</v>
      </c>
      <c r="AN48" s="161" t="str" cm="1">
        <f t="array" ref="AN48">IFERROR(LOOKUP(2,1/(Atualizações!$H$1:$H$2994=Tb_Mapa[[#This Row],[SEI]]&amp;Mapa!CG$3),Atualizações!$E$1:$E$2994),"NÃO")</f>
        <v>NÃO</v>
      </c>
      <c r="AO48" s="161" t="str" cm="1">
        <f t="array" ref="AO48">IFERROR(LOOKUP(2,1/(Atualizações!$H$1:$H$2994=Tb_Mapa[[#This Row],[SEI]]&amp;Mapa!CH$3),Atualizações!$E$1:$E$2994),"NÃO")</f>
        <v>NÃO</v>
      </c>
      <c r="AP48" s="161" cm="1">
        <f t="array" ref="AP48">IFERROR(LOOKUP(2,1/(Atualizações!$H$1:$H$2994=Tb_Mapa[[#This Row],[SEI]]&amp;Mapa!CI$3),Atualizações!$E$1:$E$2994),"NÃO")</f>
        <v>0</v>
      </c>
      <c r="AQ48" s="161" t="str" cm="1">
        <f t="array" ref="AQ48">IFERROR(LOOKUP(2,1/(Atualizações!$H$1:$H$2994=Tb_Mapa[[#This Row],[SEI]]&amp;Mapa!CJ$3),Atualizações!$E$1:$E$2994),"NÃO")</f>
        <v>NÃO</v>
      </c>
      <c r="AR48" s="161" t="str" cm="1">
        <f t="array" ref="AR48">IFERROR(LOOKUP(2,1/(Atualizações!$H$1:$H$2994=Tb_Mapa[[#This Row],[SEI]]&amp;Mapa!CK$3),Atualizações!$E$1:$E$2994),"NÃO")</f>
        <v>NÃO</v>
      </c>
      <c r="AS48" s="161" t="str" cm="1">
        <f t="array" ref="AS48">IFERROR(LOOKUP(2,1/(Atualizações!$H$1:$H$2994=Tb_Mapa[[#This Row],[SEI]]&amp;Mapa!CL$3),Atualizações!$E$1:$E$2994),"NÃO")</f>
        <v>NÃO</v>
      </c>
      <c r="AT48" s="161" t="str" cm="1">
        <f t="array" ref="AT48">IFERROR(LOOKUP(2,1/(Atualizações!$H$1:$H$2994=Tb_Mapa[[#This Row],[SEI]]&amp;Mapa!CM$3),Atualizações!$E$1:$E$2994),"NÃO")</f>
        <v>NÃO</v>
      </c>
      <c r="AU48" s="161" t="str" cm="1">
        <f t="array" ref="AU48">IFERROR(LOOKUP(2,1/(Atualizações!$H$1:$H$2994=Tb_Mapa[[#This Row],[SEI]]&amp;Mapa!CN$3),Atualizações!$E$1:$E$2994),"NÃO")</f>
        <v>NÃO</v>
      </c>
      <c r="AV48" s="161" t="str" cm="1">
        <f t="array" ref="AV48">IFERROR(LOOKUP(2,1/(Atualizações!$H$1:$H$2994=Tb_Mapa[[#This Row],[SEI]]&amp;Mapa!CO$3),Atualizações!$E$1:$E$2994),"NÃO")</f>
        <v>NÃO</v>
      </c>
      <c r="AW48" s="161" t="str" cm="1">
        <f t="array" ref="AW48">IFERROR(LOOKUP(2,1/(Atualizações!$H$1:$H$2994=Tb_Mapa[[#This Row],[SEI]]&amp;Mapa!CP$3),Atualizações!$E$1:$E$2994),"NÃO")</f>
        <v>NÃO</v>
      </c>
      <c r="AX48" s="161" t="str" cm="1">
        <f t="array" ref="AX48">IFERROR(LOOKUP(2,1/(Atualizações!$H$1:$H$2994=Tb_Mapa[[#This Row],[SEI]]&amp;Mapa!CQ$3),Atualizações!$E$1:$E$2994),"NÃO")</f>
        <v>NÃO</v>
      </c>
    </row>
    <row r="49" spans="2:50" ht="30" hidden="1">
      <c r="B49" s="676" t="s">
        <v>1021</v>
      </c>
      <c r="C49" s="676" t="str">
        <f>_xlfn.XLOOKUP(Tb_Mapa[[#This Row],[SEI]],Tb_Portfólio[SEI],Tb_Portfólio[Portfólio 2025],"",0)</f>
        <v>Não</v>
      </c>
      <c r="D49" s="158" t="str">
        <f>_xlfn.XLOOKUP(Tb_Mapa[[#This Row],[SEI]],Tb_Portfólio[SEI],Tb_Portfólio[Portfólio 2026],"",0)</f>
        <v>Sim</v>
      </c>
      <c r="E49" s="162" t="str">
        <f>_xlfn.XLOOKUP(Tb_Mapa[[#This Row],[SEI]],Tb_Portfólio[SEI],Tb_Portfólio[PROJETO],"",0)</f>
        <v>Programa Justiça Carbono Zero no âmbito do CNJ</v>
      </c>
      <c r="F49" s="143" t="str">
        <f>INDEX(Projetos!$G$3:$G$129,MATCH(B49,Projetos!$A$3:$A$129,0))</f>
        <v>Renata Maroja Stochiero</v>
      </c>
      <c r="G49" s="682" t="s">
        <v>1711</v>
      </c>
      <c r="H49" s="166">
        <f>INDEX(Projetos!$T$3:$T$129,MATCH(B49,Projetos!$A$3:$A$129,0))</f>
        <v>0</v>
      </c>
      <c r="I49" s="310">
        <f>INDEX(Projetos!$M$3:$M$129,MATCH(Tb_Mapa[[#This Row],[SEI]],Projetos!$A$3:$A$129,0))</f>
        <v>46234</v>
      </c>
      <c r="J49" s="164" t="str">
        <f ca="1">IF(Tb_Mapa[[#This Row],[SITUAÇÃO]]="Finalizado", "Data atualizada", IFERROR(IF(Tb_Mapa[[#This Row],[DATA DE TÉRMINO]]&lt;$I$1,"Atualizar data de encerramento","Data atualizada"),"Sem informação"))</f>
        <v>Data atualizada</v>
      </c>
      <c r="K49" s="311">
        <f>INDEX(Projetos!$N$3:$N$129,MATCH(Tb_Mapa[[#This Row],[SEI]],Projetos!$A$3:$A$129,0))</f>
        <v>0</v>
      </c>
      <c r="L49" s="311">
        <f>INDEX(Projetos!$O$3:$O$129,MATCH(Tb_Mapa[[#This Row],[SEI]],Projetos!$A$3:$A$129,0))</f>
        <v>0</v>
      </c>
      <c r="M49" s="165" t="str">
        <f ca="1">_xlfn.XLOOKUP(Tb_Mapa[[#This Row],[SEI]],Tb_Portfólio[SEI],Tb_Portfólio[Situação],"N/A",0)</f>
        <v>Autorizado</v>
      </c>
      <c r="N49" s="128" t="str" cm="1">
        <f t="array" ref="N49">IFERROR(LOOKUP(2,1/(Atualizações!$H$1:$H$486=Mapa!$B130&amp;Mapa!BG$3),Atualizações!$E$1:$E$486),"NÃO")</f>
        <v>NÃO</v>
      </c>
      <c r="O49" s="161"/>
      <c r="P49" s="161"/>
      <c r="Q49" s="161"/>
      <c r="R49" s="161"/>
      <c r="S49" s="161"/>
      <c r="T49" s="161"/>
      <c r="U49" s="161"/>
      <c r="V49" s="161"/>
      <c r="W49" s="161"/>
      <c r="X49" s="161"/>
      <c r="Y49" s="161"/>
      <c r="Z49" s="161"/>
      <c r="AA49" s="691"/>
      <c r="AB49" s="691"/>
      <c r="AC49" s="691"/>
      <c r="AD49" s="691"/>
      <c r="AE49" s="691"/>
      <c r="AF49" s="691"/>
      <c r="AG49" s="691"/>
      <c r="AH49" s="691"/>
      <c r="AI49" s="691"/>
      <c r="AJ49" s="691"/>
      <c r="AK49" s="691"/>
      <c r="AL49" s="691" t="str" cm="1">
        <f t="array" ref="AL49">IFERROR(LOOKUP(2,1/(Atualizações!$H$1:$H$1265=Mapa!$B130&amp;Mapa!CE$3),Atualizações!$E$1:$E$2994),"NÃO")</f>
        <v>NÃO</v>
      </c>
      <c r="AM49" s="161" t="str" cm="1">
        <f t="array" ref="AM49">IFERROR(LOOKUP(2,1/(Atualizações!$H$1:$H$2994=Tb_Mapa[[#This Row],[SEI]]&amp;Mapa!CF$3),Atualizações!$E$1:$E$2994),"NÃO")</f>
        <v>NÃO</v>
      </c>
      <c r="AN49" s="161" t="str" cm="1">
        <f t="array" ref="AN49">IFERROR(LOOKUP(2,1/(Atualizações!$H$1:$H$2994=Tb_Mapa[[#This Row],[SEI]]&amp;Mapa!CG$3),Atualizações!$E$1:$E$2994),"NÃO")</f>
        <v>NÃO</v>
      </c>
      <c r="AO49" s="161" t="str" cm="1">
        <f t="array" ref="AO49">IFERROR(LOOKUP(2,1/(Atualizações!$H$1:$H$2994=Tb_Mapa[[#This Row],[SEI]]&amp;Mapa!CH$3),Atualizações!$E$1:$E$2994),"NÃO")</f>
        <v>NÃO</v>
      </c>
      <c r="AP49" s="161" cm="1">
        <f t="array" ref="AP49">IFERROR(LOOKUP(2,1/(Atualizações!$H$1:$H$2994=Tb_Mapa[[#This Row],[SEI]]&amp;Mapa!CI$3),Atualizações!$E$1:$E$2994),"NÃO")</f>
        <v>0</v>
      </c>
      <c r="AQ49" s="161" t="str" cm="1">
        <f t="array" ref="AQ49">IFERROR(LOOKUP(2,1/(Atualizações!$H$1:$H$2994=Tb_Mapa[[#This Row],[SEI]]&amp;Mapa!CJ$3),Atualizações!$E$1:$E$2994),"NÃO")</f>
        <v>NÃO</v>
      </c>
      <c r="AR49" s="161" t="str" cm="1">
        <f t="array" ref="AR49">IFERROR(LOOKUP(2,1/(Atualizações!$H$1:$H$2994=Tb_Mapa[[#This Row],[SEI]]&amp;Mapa!CK$3),Atualizações!$E$1:$E$2994),"NÃO")</f>
        <v>NÃO</v>
      </c>
      <c r="AS49" s="161" t="str" cm="1">
        <f t="array" ref="AS49">IFERROR(LOOKUP(2,1/(Atualizações!$H$1:$H$2994=Tb_Mapa[[#This Row],[SEI]]&amp;Mapa!CL$3),Atualizações!$E$1:$E$2994),"NÃO")</f>
        <v>NÃO</v>
      </c>
      <c r="AT49" s="161" t="str" cm="1">
        <f t="array" ref="AT49">IFERROR(LOOKUP(2,1/(Atualizações!$H$1:$H$2994=Tb_Mapa[[#This Row],[SEI]]&amp;Mapa!CM$3),Atualizações!$E$1:$E$2994),"NÃO")</f>
        <v>NÃO</v>
      </c>
      <c r="AU49" s="161" t="str" cm="1">
        <f t="array" ref="AU49">IFERROR(LOOKUP(2,1/(Atualizações!$H$1:$H$2994=Tb_Mapa[[#This Row],[SEI]]&amp;Mapa!CN$3),Atualizações!$E$1:$E$2994),"NÃO")</f>
        <v>NÃO</v>
      </c>
      <c r="AV49" s="161" t="str" cm="1">
        <f t="array" ref="AV49">IFERROR(LOOKUP(2,1/(Atualizações!$H$1:$H$2994=Tb_Mapa[[#This Row],[SEI]]&amp;Mapa!CO$3),Atualizações!$E$1:$E$2994),"NÃO")</f>
        <v>NÃO</v>
      </c>
      <c r="AW49" s="161" t="str" cm="1">
        <f t="array" ref="AW49">IFERROR(LOOKUP(2,1/(Atualizações!$H$1:$H$2994=Tb_Mapa[[#This Row],[SEI]]&amp;Mapa!CP$3),Atualizações!$E$1:$E$2994),"NÃO")</f>
        <v>NÃO</v>
      </c>
      <c r="AX49" s="161" t="str" cm="1">
        <f t="array" ref="AX49">IFERROR(LOOKUP(2,1/(Atualizações!$H$1:$H$2994=Tb_Mapa[[#This Row],[SEI]]&amp;Mapa!CQ$3),Atualizações!$E$1:$E$2994),"NÃO")</f>
        <v>NÃO</v>
      </c>
    </row>
    <row r="50" spans="2:50" ht="32.25" hidden="1" customHeight="1">
      <c r="B50" s="537" t="s">
        <v>1031</v>
      </c>
      <c r="C50" s="51" t="str">
        <f>_xlfn.XLOOKUP(Tb_Mapa[[#This Row],[SEI]],Tb_Portfólio[SEI],Tb_Portfólio[Portfólio 2025],"",0)</f>
        <v>Não</v>
      </c>
      <c r="D50" s="158" t="str">
        <f>_xlfn.XLOOKUP(Tb_Mapa[[#This Row],[SEI]],Tb_Portfólio[SEI],Tb_Portfólio[Portfólio 2026],"",0)</f>
        <v>Sim</v>
      </c>
      <c r="E50" s="162" t="str">
        <f>_xlfn.XLOOKUP(Tb_Mapa[[#This Row],[SEI]],Tb_Portfólio[SEI],Tb_Portfólio[PROJETO],"",0)</f>
        <v>8ª Edição da Série Justiça Pesquisa</v>
      </c>
      <c r="F50" s="143" t="str">
        <f>INDEX(Projetos!$G$3:$G$129,MATCH(B50,Projetos!$A$3:$A$129,0))</f>
        <v>Gabriela Moreira de Azevedo Soares</v>
      </c>
      <c r="G50" s="682" t="s">
        <v>1711</v>
      </c>
      <c r="H50" s="166">
        <f>INDEX(Projetos!$T$3:$T$129,MATCH(B50,Projetos!$A$3:$A$129,0))</f>
        <v>0</v>
      </c>
      <c r="I50" s="310">
        <f>INDEX(Projetos!$M$3:$M$129,MATCH(Tb_Mapa[[#This Row],[SEI]],Projetos!$A$3:$A$129,0))</f>
        <v>46740</v>
      </c>
      <c r="J50" s="164" t="str">
        <f ca="1">IF(Tb_Mapa[[#This Row],[SITUAÇÃO]]="Finalizado", "Data atualizada", IFERROR(IF(Tb_Mapa[[#This Row],[DATA DE TÉRMINO]]&lt;$I$1,"Atualizar data de encerramento","Data atualizada"),"Sem informação"))</f>
        <v>Data atualizada</v>
      </c>
      <c r="K50" s="311">
        <f>INDEX(Projetos!$N$3:$N$129,MATCH(Tb_Mapa[[#This Row],[SEI]],Projetos!$A$3:$A$129,0))</f>
        <v>0</v>
      </c>
      <c r="L50" s="311">
        <f>INDEX(Projetos!$O$3:$O$129,MATCH(Tb_Mapa[[#This Row],[SEI]],Projetos!$A$3:$A$129,0))</f>
        <v>0</v>
      </c>
      <c r="M50" s="165" t="str">
        <f ca="1">_xlfn.XLOOKUP(Tb_Mapa[[#This Row],[SEI]],Tb_Portfólio[SEI],Tb_Portfólio[Situação],"N/A",0)</f>
        <v>Autorizado</v>
      </c>
      <c r="N50" s="128" t="str" cm="1">
        <f t="array" ref="N50">IFERROR(LOOKUP(2,1/(Atualizações!$H$1:$H$486=Mapa!$B131&amp;Mapa!BG$3),Atualizações!$E$1:$E$486),"NÃO")</f>
        <v>NÃO</v>
      </c>
      <c r="O50" s="161"/>
      <c r="P50" s="161"/>
      <c r="Q50" s="161"/>
      <c r="R50" s="161"/>
      <c r="S50" s="161"/>
      <c r="T50" s="161"/>
      <c r="U50" s="161"/>
      <c r="V50" s="161"/>
      <c r="W50" s="161"/>
      <c r="X50" s="161"/>
      <c r="Y50" s="161"/>
      <c r="Z50" s="161"/>
      <c r="AA50" s="691"/>
      <c r="AB50" s="691"/>
      <c r="AC50" s="691"/>
      <c r="AD50" s="691"/>
      <c r="AE50" s="691"/>
      <c r="AF50" s="691"/>
      <c r="AG50" s="691"/>
      <c r="AH50" s="691"/>
      <c r="AI50" s="691"/>
      <c r="AJ50" s="691"/>
      <c r="AK50" s="691"/>
      <c r="AL50" s="691" t="str" cm="1">
        <f t="array" ref="AL50">IFERROR(LOOKUP(2,1/(Atualizações!$H$1:$H$1265=Mapa!$B131&amp;Mapa!CE$3),Atualizações!$E$1:$E$2994),"NÃO")</f>
        <v>NÃO</v>
      </c>
      <c r="AM50" s="161" t="str" cm="1">
        <f t="array" ref="AM50">IFERROR(LOOKUP(2,1/(Atualizações!$H$1:$H$2994=Tb_Mapa[[#This Row],[SEI]]&amp;Mapa!CF$3),Atualizações!$E$1:$E$2994),"NÃO")</f>
        <v>NÃO</v>
      </c>
      <c r="AN50" s="161" t="str" cm="1">
        <f t="array" ref="AN50">IFERROR(LOOKUP(2,1/(Atualizações!$H$1:$H$2994=Tb_Mapa[[#This Row],[SEI]]&amp;Mapa!CG$3),Atualizações!$E$1:$E$2994),"NÃO")</f>
        <v>NÃO</v>
      </c>
      <c r="AO50" s="161" t="str" cm="1">
        <f t="array" ref="AO50">IFERROR(LOOKUP(2,1/(Atualizações!$H$1:$H$2994=Tb_Mapa[[#This Row],[SEI]]&amp;Mapa!CH$3),Atualizações!$E$1:$E$2994),"NÃO")</f>
        <v>NÃO</v>
      </c>
      <c r="AP50" s="161" t="str" cm="1">
        <f t="array" ref="AP50">IFERROR(LOOKUP(2,1/(Atualizações!$H$1:$H$2994=Tb_Mapa[[#This Row],[SEI]]&amp;Mapa!CI$3),Atualizações!$E$1:$E$2994),"NÃO")</f>
        <v>NÃO</v>
      </c>
      <c r="AQ50" s="161" cm="1">
        <f t="array" ref="AQ50">IFERROR(LOOKUP(2,1/(Atualizações!$H$1:$H$2994=Tb_Mapa[[#This Row],[SEI]]&amp;Mapa!CJ$3),Atualizações!$E$1:$E$2994),"NÃO")</f>
        <v>0</v>
      </c>
      <c r="AR50" s="161" t="str" cm="1">
        <f t="array" ref="AR50">IFERROR(LOOKUP(2,1/(Atualizações!$H$1:$H$2994=Tb_Mapa[[#This Row],[SEI]]&amp;Mapa!CK$3),Atualizações!$E$1:$E$2994),"NÃO")</f>
        <v>NÃO</v>
      </c>
      <c r="AS50" s="161" t="str" cm="1">
        <f t="array" ref="AS50">IFERROR(LOOKUP(2,1/(Atualizações!$H$1:$H$2994=Tb_Mapa[[#This Row],[SEI]]&amp;Mapa!CL$3),Atualizações!$E$1:$E$2994),"NÃO")</f>
        <v>NÃO</v>
      </c>
      <c r="AT50" s="161" t="str" cm="1">
        <f t="array" ref="AT50">IFERROR(LOOKUP(2,1/(Atualizações!$H$1:$H$2994=Tb_Mapa[[#This Row],[SEI]]&amp;Mapa!CM$3),Atualizações!$E$1:$E$2994),"NÃO")</f>
        <v>NÃO</v>
      </c>
      <c r="AU50" s="161" t="str" cm="1">
        <f t="array" ref="AU50">IFERROR(LOOKUP(2,1/(Atualizações!$H$1:$H$2994=Tb_Mapa[[#This Row],[SEI]]&amp;Mapa!CN$3),Atualizações!$E$1:$E$2994),"NÃO")</f>
        <v>NÃO</v>
      </c>
      <c r="AV50" s="161" t="str" cm="1">
        <f t="array" ref="AV50">IFERROR(LOOKUP(2,1/(Atualizações!$H$1:$H$2994=Tb_Mapa[[#This Row],[SEI]]&amp;Mapa!CO$3),Atualizações!$E$1:$E$2994),"NÃO")</f>
        <v>NÃO</v>
      </c>
      <c r="AW50" s="161" t="str" cm="1">
        <f t="array" ref="AW50">IFERROR(LOOKUP(2,1/(Atualizações!$H$1:$H$2994=Tb_Mapa[[#This Row],[SEI]]&amp;Mapa!CP$3),Atualizações!$E$1:$E$2994),"NÃO")</f>
        <v>NÃO</v>
      </c>
      <c r="AX50" s="161" t="str" cm="1">
        <f t="array" ref="AX50">IFERROR(LOOKUP(2,1/(Atualizações!$H$1:$H$2994=Tb_Mapa[[#This Row],[SEI]]&amp;Mapa!CQ$3),Atualizações!$E$1:$E$2994),"NÃO")</f>
        <v>NÃO</v>
      </c>
    </row>
    <row r="51" spans="2:50" ht="50.1" customHeight="1">
      <c r="B51" s="149" t="s">
        <v>458</v>
      </c>
      <c r="C51" s="169" t="str">
        <f>_xlfn.XLOOKUP(Tb_Mapa[[#This Row],[SEI]],Tb_Portfólio[SEI],Tb_Portfólio[Portfólio 2025],"",0)</f>
        <v>Sim</v>
      </c>
      <c r="D51" s="158" t="str">
        <f>_xlfn.XLOOKUP(Tb_Mapa[[#This Row],[SEI]],Tb_Portfólio[SEI],Tb_Portfólio[Portfólio 2026],"",0)</f>
        <v>Sim</v>
      </c>
      <c r="E51" s="162" t="str">
        <f>_xlfn.XLOOKUP(Tb_Mapa[[#This Row],[SEI]],Tb_Portfólio[SEI],Tb_Portfólio[PROJETO],"",0)</f>
        <v>SNGB - Melhorias evolutivas</v>
      </c>
      <c r="F51" s="143" t="str">
        <f>INDEX(Projetos!$G$3:$G$129,MATCH(Tb_Mapa[[#This Row],[SEI]],Projetos!$A$3:$A$129,0))</f>
        <v>Alexandre Alves de Oliveira</v>
      </c>
      <c r="G51" s="714" t="s">
        <v>1717</v>
      </c>
      <c r="H51" s="166" t="str">
        <f>INDEX(Projetos!$T$3:$T$129,MATCH(B51,Projetos!$A$3:$A$129,0))</f>
        <v>Justiça 4.0</v>
      </c>
      <c r="I51" s="310">
        <f>INDEX(Projetos!$M$3:$M$129,MATCH(Mapa!B13,Projetos!$A$3:$A$129,0))</f>
        <v>46387</v>
      </c>
      <c r="J51" s="164" t="str">
        <f>IF(Tb_Mapa[[#This Row],[SITUAÇÃO]]="Finalizado", "Data atualizada", IFERROR(IF(Tb_Mapa[[#This Row],[DATA DE TÉRMINO]]&lt;$I$1,"Atualizar data de encerramento","Data atualizada"),"Sem informação"))</f>
        <v>Data atualizada</v>
      </c>
      <c r="K51" s="311">
        <f>INDEX(Projetos!$N$3:$N$129,MATCH(Tb_Mapa[[#This Row],[SEI]],Projetos!$A$3:$A$129,0))</f>
        <v>1</v>
      </c>
      <c r="L51" s="311">
        <f>INDEX(Projetos!$O$3:$O$129,MATCH(Tb_Mapa[[#This Row],[SEI]],Projetos!$A$3:$A$129,0))</f>
        <v>1</v>
      </c>
      <c r="M51" s="165" t="str">
        <f>_xlfn.XLOOKUP(Tb_Mapa[[#This Row],[SEI]],Tb_Portfólio[SEI],Tb_Portfólio[Situação],"N/A",0)</f>
        <v>Finalizado</v>
      </c>
      <c r="N51" s="128" t="str" cm="1">
        <f t="array" ref="N51">IFERROR(LOOKUP(2,1/(Atualizações!$H$1:$H$486=Mapa!$B55&amp;Mapa!BG$3),Atualizações!$E$1:$E$486),"NÃO")</f>
        <v>NÃO</v>
      </c>
      <c r="O51" s="161" t="str" cm="1">
        <f t="array" ref="O51">IFERROR(LOOKUP(2,1/(Atualizações!$H$1:$H$580=Mapa!$B55&amp;Mapa!BH$3),Atualizações!$E$1:$E$580),"NÃO")</f>
        <v>NÃO</v>
      </c>
      <c r="P51" s="161" t="str" cm="1">
        <f t="array" ref="P51">IFERROR(LOOKUP(2,1/(Atualizações!$H$1:$H$580=Mapa!$B55&amp;Mapa!BI$3),Atualizações!$E$1:$E$580),"NÃO")</f>
        <v>NÃO</v>
      </c>
      <c r="Q51" s="161" t="str" cm="1">
        <f t="array" ref="Q51">IFERROR(LOOKUP(2,1/(Atualizações!$H$1:$H$580=Mapa!$B55&amp;Mapa!BJ$3),Atualizações!$E$1:$E$580),"NÃO")</f>
        <v>NÃO</v>
      </c>
      <c r="R51" s="161" t="str" cm="1">
        <f t="array" ref="R51">IFERROR(LOOKUP(2,1/(Atualizações!$H$1:$H$580=Mapa!$B55&amp;Mapa!BK$3),Atualizações!$E$1:$E$580),"NÃO")</f>
        <v>NÃO</v>
      </c>
      <c r="S51" s="161" t="str" cm="1">
        <f t="array" ref="S51">IFERROR(LOOKUP(2,1/(Atualizações!$H$1:$H$580=Mapa!$B55&amp;Mapa!BL$3),Atualizações!$E$1:$E$580),"NÃO")</f>
        <v>NÃO</v>
      </c>
      <c r="T51" s="161" t="str" cm="1">
        <f t="array" ref="T51">IFERROR(LOOKUP(2,1/(Atualizações!$H$1:$H$580=Mapa!$B55&amp;Mapa!BM$3),Atualizações!$E$1:$E$580),"NÃO")</f>
        <v>NÃO</v>
      </c>
      <c r="U51" s="161" cm="1">
        <f t="array" ref="U51">IFERROR(LOOKUP(2,1/(Atualizações!$H$1:$H$580=Mapa!$B55&amp;Mapa!BN$3),Atualizações!$E$1:$E$580),"NÃO")</f>
        <v>0.71499999999999997</v>
      </c>
      <c r="V51" s="161" cm="1">
        <f t="array" ref="V51">IFERROR(LOOKUP(2,1/(Atualizações!$H$1:$H$580=Mapa!$B55&amp;Mapa!BO$3),Atualizações!$E$1:$E$580),"NÃO")</f>
        <v>0.78500000000000003</v>
      </c>
      <c r="W51" s="161" cm="1">
        <f t="array" ref="W51">IFERROR(LOOKUP(2,1/(Atualizações!$H$1:$H$580=Mapa!$B55&amp;Mapa!BP$3),Atualizações!$E$1:$E$580),"NÃO")</f>
        <v>0.86</v>
      </c>
      <c r="X51" s="161" cm="1">
        <f t="array" ref="X51">IFERROR(LOOKUP(2,1/(Atualizações!$H$1:$H$580=Mapa!$B55&amp;Mapa!BQ$3),Atualizações!$E$1:$E$580),"NÃO")</f>
        <v>0.85499999999999998</v>
      </c>
      <c r="Y51" s="161" cm="1">
        <f t="array" ref="Y51">IFERROR(LOOKUP(2,1/(Atualizações!$H$1:$H$580=Mapa!$B55&amp;Mapa!BR$3),Atualizações!$E$1:$E$580),"NÃO")</f>
        <v>0.88900000000000001</v>
      </c>
      <c r="Z51" s="161" cm="1">
        <f t="array" ref="Z51">IFERROR(LOOKUP(2,1/(Atualizações!$H$1:$H$1029=Mapa!$B55&amp;Mapa!BS$3),Atualizações!$E$1:$E$1029),"NÃO")</f>
        <v>0.80600000000000005</v>
      </c>
      <c r="AA51" s="161" cm="1">
        <f t="array" ref="AA51">IFERROR(LOOKUP(2,1/(Atualizações!$H$1:$H$1029=Mapa!$B55&amp;Mapa!BT$3),Atualizações!$E$1:$E$1029),"NÃO")</f>
        <v>0.81200000000000006</v>
      </c>
      <c r="AB51" s="161" cm="1">
        <f t="array" ref="AB51">IFERROR(LOOKUP(2,1/(Atualizações!$H$1:$H$1029=Mapa!$B55&amp;Mapa!BU$3),Atualizações!$E$1:$E$1029),"NÃO")</f>
        <v>0.82299999999999995</v>
      </c>
      <c r="AC51" s="161" cm="1">
        <f t="array" ref="AC51">IFERROR(LOOKUP(2,1/(Atualizações!$H$1:$H$1029=Mapa!$B55&amp;Mapa!BV$3),Atualizações!$E$1:$E$1029),"NÃO")</f>
        <v>0.83199999999999996</v>
      </c>
      <c r="AD51" s="161" cm="1">
        <f t="array" ref="AD51">IFERROR(LOOKUP(2,1/(Atualizações!$H$1:$H$1029=Mapa!$B55&amp;Mapa!BW$3),Atualizações!$E$1:$E$1029),"NÃO")</f>
        <v>0.83499999999999996</v>
      </c>
      <c r="AE51" s="161" cm="1">
        <f t="array" ref="AE51">IFERROR(LOOKUP(2,1/(Atualizações!$H$1:$H$1029=Mapa!$B55&amp;Mapa!BX$3),Atualizações!$E$1:$E$1029),"NÃO")</f>
        <v>0.84499999999999997</v>
      </c>
      <c r="AF51" s="161" cm="1">
        <f t="array" ref="AF51">IFERROR(LOOKUP(2,1/(Atualizações!$H$1:$H$1029=Mapa!$B55&amp;Mapa!BY$3),Atualizações!$E$1:$E$1029),"NÃO")</f>
        <v>0.871</v>
      </c>
      <c r="AG51" s="161" cm="1">
        <f t="array" ref="AG51">IFERROR(LOOKUP(2,1/(Atualizações!$H$1:$H$1029=Mapa!$B55&amp;Mapa!BZ$3),Atualizações!$E$1:$E$1029),"NÃO")</f>
        <v>0.86099999999999999</v>
      </c>
      <c r="AH51" s="161" cm="1">
        <f t="array" ref="AH51">IFERROR(LOOKUP(2,1/(Atualizações!$H$1:$H$1029=Mapa!$B55&amp;Mapa!CA$3),Atualizações!$E$1:$E$1029),"NÃO")</f>
        <v>0.62</v>
      </c>
      <c r="AI51" s="161" cm="1">
        <f t="array" ref="AI51">IFERROR(LOOKUP(2,1/(Atualizações!$H$1:$H$1029=Mapa!$B55&amp;Mapa!CB$3),Atualizações!$E$1:$E$1029),"NÃO")</f>
        <v>0.94</v>
      </c>
      <c r="AJ51" s="161" cm="1">
        <f t="array" ref="AJ51">IFERROR(LOOKUP(2,1/(Atualizações!$H$1:$H$1029=Mapa!$B55&amp;Mapa!CC$3),Atualizações!$E$1:$E$1029),"NÃO")</f>
        <v>0.94</v>
      </c>
      <c r="AK51" s="161" cm="1">
        <f t="array" ref="AK51">IFERROR(LOOKUP(2,1/(Atualizações!$H$1:$H$1029=Mapa!$B55&amp;Mapa!CD$3),Atualizações!$E$1:$E$1029),"NÃO")</f>
        <v>0.9</v>
      </c>
      <c r="AL51" s="161" cm="1">
        <f t="array" ref="AL51">IFERROR(LOOKUP(2,1/(Atualizações!$H$1:$H$1265=Mapa!$B55&amp;Mapa!CE$3),Atualizações!$E$1:$E$2994),"NÃO")</f>
        <v>0.91</v>
      </c>
      <c r="AM51" s="161" cm="1">
        <f t="array" ref="AM51">IFERROR(LOOKUP(2,1/(Atualizações!$H$1:$H$2994=Tb_Mapa[[#This Row],[SEI]]&amp;Mapa!CF$3),Atualizações!$E$1:$E$2994),"NÃO")</f>
        <v>0.85</v>
      </c>
      <c r="AN51" s="161" cm="1">
        <f t="array" ref="AN51">IFERROR(LOOKUP(2,1/(Atualizações!$H$1:$H$2994=Tb_Mapa[[#This Row],[SEI]]&amp;Mapa!CG$3),Atualizações!$E$1:$E$2994),"NÃO")</f>
        <v>0.9</v>
      </c>
      <c r="AO51" s="161" cm="1">
        <f t="array" ref="AO51">IFERROR(LOOKUP(2,1/(Atualizações!$H$1:$H$2994=Tb_Mapa[[#This Row],[SEI]]&amp;Mapa!CH$3),Atualizações!$E$1:$E$2994),"NÃO")</f>
        <v>1</v>
      </c>
      <c r="AP51" s="161" t="str" cm="1">
        <f t="array" ref="AP51">IFERROR(LOOKUP(2,1/(Atualizações!$H$1:$H$2994=Tb_Mapa[[#This Row],[SEI]]&amp;Mapa!CI$3),Atualizações!$E$1:$E$2994),"NÃO")</f>
        <v>NÃO</v>
      </c>
      <c r="AQ51" s="161" t="str" cm="1">
        <f t="array" ref="AQ51">IFERROR(LOOKUP(2,1/(Atualizações!$H$1:$H$2994=Tb_Mapa[[#This Row],[SEI]]&amp;Mapa!CJ$3),Atualizações!$E$1:$E$2994),"NÃO")</f>
        <v>NÃO</v>
      </c>
      <c r="AR51" s="161" t="str" cm="1">
        <f t="array" ref="AR51">IFERROR(LOOKUP(2,1/(Atualizações!$H$1:$H$2994=Tb_Mapa[[#This Row],[SEI]]&amp;Mapa!CK$3),Atualizações!$E$1:$E$2994),"NÃO")</f>
        <v>NÃO</v>
      </c>
      <c r="AS51" s="161" t="str" cm="1">
        <f t="array" ref="AS51">IFERROR(LOOKUP(2,1/(Atualizações!$H$1:$H$2994=Tb_Mapa[[#This Row],[SEI]]&amp;Mapa!CL$3),Atualizações!$E$1:$E$2994),"NÃO")</f>
        <v>NÃO</v>
      </c>
      <c r="AT51" s="161" t="str" cm="1">
        <f t="array" ref="AT51">IFERROR(LOOKUP(2,1/(Atualizações!$H$1:$H$2994=Tb_Mapa[[#This Row],[SEI]]&amp;Mapa!CM$3),Atualizações!$E$1:$E$2994),"NÃO")</f>
        <v>NÃO</v>
      </c>
      <c r="AU51" s="161" t="str" cm="1">
        <f t="array" ref="AU51">IFERROR(LOOKUP(2,1/(Atualizações!$H$1:$H$2994=Tb_Mapa[[#This Row],[SEI]]&amp;Mapa!CN$3),Atualizações!$E$1:$E$2994),"NÃO")</f>
        <v>NÃO</v>
      </c>
      <c r="AV51" s="161" t="str" cm="1">
        <f t="array" ref="AV51">IFERROR(LOOKUP(2,1/(Atualizações!$H$1:$H$2994=Tb_Mapa[[#This Row],[SEI]]&amp;Mapa!CO$3),Atualizações!$E$1:$E$2994),"NÃO")</f>
        <v>NÃO</v>
      </c>
      <c r="AW51" s="161" t="str" cm="1">
        <f t="array" ref="AW51">IFERROR(LOOKUP(2,1/(Atualizações!$H$1:$H$2994=Tb_Mapa[[#This Row],[SEI]]&amp;Mapa!CP$3),Atualizações!$E$1:$E$2994),"NÃO")</f>
        <v>NÃO</v>
      </c>
      <c r="AX51" s="161" t="str" cm="1">
        <f t="array" ref="AX51">IFERROR(LOOKUP(2,1/(Atualizações!$H$1:$H$2994=Tb_Mapa[[#This Row],[SEI]]&amp;Mapa!CQ$3),Atualizações!$E$1:$E$2994),"NÃO")</f>
        <v>NÃO</v>
      </c>
    </row>
    <row r="52" spans="2:50" ht="32.25" hidden="1" customHeight="1">
      <c r="B52" s="676" t="s">
        <v>675</v>
      </c>
      <c r="C52" s="676" t="str">
        <f>_xlfn.XLOOKUP(Tb_Mapa[[#This Row],[SEI]],Tb_Portfólio[SEI],Tb_Portfólio[Portfólio 2025],"",0)</f>
        <v>Sim</v>
      </c>
      <c r="D52" s="158" t="str">
        <f>_xlfn.XLOOKUP(Tb_Mapa[[#This Row],[SEI]],Tb_Portfólio[SEI],Tb_Portfólio[Portfólio 2026],"",0)</f>
        <v>Não</v>
      </c>
      <c r="E52" s="162" t="str">
        <f>_xlfn.XLOOKUP(Tb_Mapa[[#This Row],[SEI]],Tb_Portfólio[SEI],Tb_Portfólio[PROJETO],"",0)</f>
        <v>Pesquisa IA 2024 - Mapeamento dos projetos de Inteligência Artificial em desenvolvimento pelos tribunais brasileiros</v>
      </c>
      <c r="F52" s="170" t="str">
        <f>INDEX(Projetos!$G$3:$G$129,MATCH(B52,Projetos!$A$3:$A$129,0))</f>
        <v>Cristiany dos Santos Souza</v>
      </c>
      <c r="G52" s="686" t="s">
        <v>1715</v>
      </c>
      <c r="H52" s="314" t="str">
        <f>INDEX(Projetos!$T$3:$T$129,MATCH(B52,Projetos!$A$3:$A$129,0))</f>
        <v>Justiça 4.0</v>
      </c>
      <c r="I52" s="310">
        <f>INDEX(Projetos!$M$3:$M$129,MATCH(Mapa!B97,Projetos!$A$3:$A$129,0))</f>
        <v>45866</v>
      </c>
      <c r="J52" s="164" t="str">
        <f>IF(Tb_Mapa[[#This Row],[SITUAÇÃO]]="Finalizado", "Data atualizada", IFERROR(IF(I52&lt;$CN$3,"Atualizar data de encerramento","Data atualizada"),"Sem informação"))</f>
        <v>Data atualizada</v>
      </c>
      <c r="K52" s="311">
        <f>INDEX(Projetos!$N$3:$N$129,MATCH(Tb_Mapa[[#This Row],[SEI]],Projetos!$A$3:$A$129,0))</f>
        <v>0.98</v>
      </c>
      <c r="L52" s="311">
        <f>INDEX(Projetos!$O$3:$O$129,MATCH(Tb_Mapa[[#This Row],[SEI]],Projetos!$A$3:$A$129,0))</f>
        <v>1</v>
      </c>
      <c r="M52" s="165" t="str">
        <f>_xlfn.XLOOKUP(Tb_Mapa[[#This Row],[SEI]],Tb_Portfólio[SEI],Tb_Portfólio[Situação],"N/A",0)</f>
        <v>Finalizado</v>
      </c>
      <c r="N52" s="128" t="str" cm="1">
        <f t="array" ref="N52">IFERROR(LOOKUP(2,1/(Atualizações!$H$1:$H$486=Mapa!$B97&amp;Mapa!BG$3),Atualizações!$E$1:$E$486),"NÃO")</f>
        <v>NÃO</v>
      </c>
      <c r="O52" s="161"/>
      <c r="P52" s="161"/>
      <c r="Q52" s="161"/>
      <c r="R52" s="161"/>
      <c r="S52" s="161"/>
      <c r="T52" s="161"/>
      <c r="U52" s="161"/>
      <c r="V52" s="161"/>
      <c r="W52" s="161"/>
      <c r="X52" s="161"/>
      <c r="Y52" s="161"/>
      <c r="Z52" s="161" cm="1">
        <f t="array" ref="Z52">IFERROR(LOOKUP(2,1/(Atualizações!$H$1:$H$1029=Mapa!$B97&amp;Mapa!BS$3),Atualizações!$E$1:$E$1029),"NÃO")</f>
        <v>0.89500000000000002</v>
      </c>
      <c r="AA52" s="161" cm="1">
        <f t="array" ref="AA52">IFERROR(LOOKUP(2,1/(Atualizações!$H$1:$H$1029=Mapa!$B97&amp;Mapa!BT$3),Atualizações!$E$1:$E$1029),"NÃO")</f>
        <v>0.89400000000000002</v>
      </c>
      <c r="AB52" s="161" cm="1">
        <f t="array" ref="AB52">IFERROR(LOOKUP(2,1/(Atualizações!$H$1:$H$1029=Mapa!$B97&amp;Mapa!BU$3),Atualizações!$E$1:$E$1029),"NÃO")</f>
        <v>0.91100000000000003</v>
      </c>
      <c r="AC52" s="161" cm="1">
        <f t="array" ref="AC52">IFERROR(LOOKUP(2,1/(Atualizações!$H$1:$H$1029=Mapa!$B97&amp;Mapa!BV$3),Atualizações!$E$1:$E$1029),"NÃO")</f>
        <v>0.93200000000000005</v>
      </c>
      <c r="AD52" s="161" cm="1">
        <f t="array" ref="AD52">IFERROR(LOOKUP(2,1/(Atualizações!$H$1:$H$1029=Mapa!$B97&amp;Mapa!BW$3),Atualizações!$E$1:$E$1029),"NÃO")</f>
        <v>0.94899999999999995</v>
      </c>
      <c r="AE52" s="161" cm="1">
        <f t="array" ref="AE52">IFERROR(LOOKUP(2,1/(Atualizações!$H$1:$H$1029=Mapa!$B97&amp;Mapa!BX$3),Atualizações!$E$1:$E$1029),"NÃO")</f>
        <v>0.95499999999999996</v>
      </c>
      <c r="AF52" s="161" cm="1">
        <f t="array" ref="AF52">IFERROR(LOOKUP(2,1/(Atualizações!$H$1:$H$1029=Mapa!$B97&amp;Mapa!BY$3),Atualizações!$E$1:$E$1029),"NÃO")</f>
        <v>0.95499999999999996</v>
      </c>
      <c r="AG52" s="161" cm="1">
        <f t="array" ref="AG52">IFERROR(LOOKUP(2,1/(Atualizações!$H$1:$H$1029=Mapa!$B97&amp;Mapa!BZ$3),Atualizações!$E$1:$E$1029),"NÃO")</f>
        <v>0.99</v>
      </c>
      <c r="AH52" s="161" cm="1">
        <f t="array" ref="AH52">IFERROR(LOOKUP(2,1/(Atualizações!$H$1:$H$1029=Mapa!$B97&amp;Mapa!CA$3),Atualizações!$E$1:$E$1029),"NÃO")</f>
        <v>1</v>
      </c>
      <c r="AI52" s="161" t="str" cm="1">
        <f t="array" ref="AI52">IFERROR(LOOKUP(2,1/(Atualizações!$H$1:$H$1029=Mapa!$B97&amp;Mapa!CB$3),Atualizações!$E$1:$E$1029),"NÃO")</f>
        <v>NÃO</v>
      </c>
      <c r="AJ52" s="161" t="str" cm="1">
        <f t="array" ref="AJ52">IFERROR(LOOKUP(2,1/(Atualizações!$H$1:$H$1029=Mapa!$B97&amp;Mapa!CC$3),Atualizações!$E$1:$E$1029),"NÃO")</f>
        <v>NÃO</v>
      </c>
      <c r="AK52" s="161" t="str" cm="1">
        <f t="array" ref="AK52">IFERROR(LOOKUP(2,1/(Atualizações!$H$1:$H$1029=Mapa!$B97&amp;Mapa!CD$3),Atualizações!$E$1:$E$1029),"NÃO")</f>
        <v>NÃO</v>
      </c>
      <c r="AL52" s="161" t="str" cm="1">
        <f t="array" ref="AL52">IFERROR(LOOKUP(2,1/(Atualizações!$H$1:$H$1265=Mapa!$B97&amp;Mapa!CE$3),Atualizações!$E$1:$E$2994),"NÃO")</f>
        <v>NÃO</v>
      </c>
      <c r="AM52" s="161" t="str" cm="1">
        <f t="array" ref="AM52">IFERROR(LOOKUP(2,1/(Atualizações!$H$1:$H$2994=Tb_Mapa[[#This Row],[SEI]]&amp;Mapa!CF$3),Atualizações!$E$1:$E$2994),"NÃO")</f>
        <v>NÃO</v>
      </c>
      <c r="AN52" s="161" t="str" cm="1">
        <f t="array" ref="AN52">IFERROR(LOOKUP(2,1/(Atualizações!$H$1:$H$2994=Tb_Mapa[[#This Row],[SEI]]&amp;Mapa!CG$3),Atualizações!$E$1:$E$2994),"NÃO")</f>
        <v>NÃO</v>
      </c>
      <c r="AO52" s="161" t="str" cm="1">
        <f t="array" ref="AO52">IFERROR(LOOKUP(2,1/(Atualizações!$H$1:$H$2994=Tb_Mapa[[#This Row],[SEI]]&amp;Mapa!CH$3),Atualizações!$E$1:$E$2994),"NÃO")</f>
        <v>NÃO</v>
      </c>
      <c r="AP52" s="161" t="str" cm="1">
        <f t="array" ref="AP52">IFERROR(LOOKUP(2,1/(Atualizações!$H$1:$H$2994=Tb_Mapa[[#This Row],[SEI]]&amp;Mapa!CI$3),Atualizações!$E$1:$E$2994),"NÃO")</f>
        <v>NÃO</v>
      </c>
      <c r="AQ52" s="161" t="str" cm="1">
        <f t="array" ref="AQ52">IFERROR(LOOKUP(2,1/(Atualizações!$H$1:$H$2994=Tb_Mapa[[#This Row],[SEI]]&amp;Mapa!CJ$3),Atualizações!$E$1:$E$2994),"NÃO")</f>
        <v>NÃO</v>
      </c>
      <c r="AR52" s="161" t="str" cm="1">
        <f t="array" ref="AR52">IFERROR(LOOKUP(2,1/(Atualizações!$H$1:$H$2994=Tb_Mapa[[#This Row],[SEI]]&amp;Mapa!CK$3),Atualizações!$E$1:$E$2994),"NÃO")</f>
        <v>NÃO</v>
      </c>
      <c r="AS52" s="161" t="str" cm="1">
        <f t="array" ref="AS52">IFERROR(LOOKUP(2,1/(Atualizações!$H$1:$H$2994=Tb_Mapa[[#This Row],[SEI]]&amp;Mapa!CL$3),Atualizações!$E$1:$E$2994),"NÃO")</f>
        <v>NÃO</v>
      </c>
      <c r="AT52" s="161" t="str" cm="1">
        <f t="array" ref="AT52">IFERROR(LOOKUP(2,1/(Atualizações!$H$1:$H$2994=Tb_Mapa[[#This Row],[SEI]]&amp;Mapa!CM$3),Atualizações!$E$1:$E$2994),"NÃO")</f>
        <v>NÃO</v>
      </c>
      <c r="AU52" s="161" t="str" cm="1">
        <f t="array" ref="AU52">IFERROR(LOOKUP(2,1/(Atualizações!$H$1:$H$2994=Tb_Mapa[[#This Row],[SEI]]&amp;Mapa!CN$3),Atualizações!$E$1:$E$2994),"NÃO")</f>
        <v>NÃO</v>
      </c>
      <c r="AV52" s="161" t="str" cm="1">
        <f t="array" ref="AV52">IFERROR(LOOKUP(2,1/(Atualizações!$H$1:$H$2994=Tb_Mapa[[#This Row],[SEI]]&amp;Mapa!CO$3),Atualizações!$E$1:$E$2994),"NÃO")</f>
        <v>NÃO</v>
      </c>
      <c r="AW52" s="161" t="str" cm="1">
        <f t="array" ref="AW52">IFERROR(LOOKUP(2,1/(Atualizações!$H$1:$H$2994=Tb_Mapa[[#This Row],[SEI]]&amp;Mapa!CP$3),Atualizações!$E$1:$E$2994),"NÃO")</f>
        <v>NÃO</v>
      </c>
      <c r="AX52" s="161" t="str" cm="1">
        <f t="array" ref="AX52">IFERROR(LOOKUP(2,1/(Atualizações!$H$1:$H$2994=Tb_Mapa[[#This Row],[SEI]]&amp;Mapa!CQ$3),Atualizações!$E$1:$E$2994),"NÃO")</f>
        <v>NÃO</v>
      </c>
    </row>
    <row r="53" spans="2:50" ht="32.25" hidden="1" customHeight="1">
      <c r="B53" s="169" t="s">
        <v>668</v>
      </c>
      <c r="C53" s="169" t="str">
        <f>_xlfn.XLOOKUP(Tb_Mapa[[#This Row],[SEI]],Tb_Portfólio[SEI],Tb_Portfólio[Portfólio 2025],"",0)</f>
        <v>Não</v>
      </c>
      <c r="D53" s="158" t="str">
        <f>_xlfn.XLOOKUP(Tb_Mapa[[#This Row],[SEI]],Tb_Portfólio[SEI],Tb_Portfólio[Portfólio 2026],"",0)</f>
        <v>Não</v>
      </c>
      <c r="E53" s="162" t="str">
        <f>_xlfn.XLOOKUP(Tb_Mapa[[#This Row],[SEI]],Tb_Portfólio[SEI],Tb_Portfólio[PROJETO],"",0)</f>
        <v>Selo Linguagem Simples</v>
      </c>
      <c r="F53" s="170" t="str">
        <f>INDEX(Projetos!$G$3:$G$129,MATCH(B53,Projetos!$A$3:$A$129,0))</f>
        <v>Carolina Schincariol Scacchetti</v>
      </c>
      <c r="G53" s="686" t="s">
        <v>1712</v>
      </c>
      <c r="H53" s="314">
        <f>INDEX(Projetos!$T$3:$T$129,MATCH(B53,Projetos!$A$3:$A$129,0))</f>
        <v>0</v>
      </c>
      <c r="I53" s="310">
        <f>INDEX(Projetos!$M$3:$M$129,MATCH(Mapa!B44,Projetos!$A$3:$A$129,0))</f>
        <v>47118</v>
      </c>
      <c r="J53" s="164" t="str">
        <f>IF(Tb_Mapa[[#This Row],[SITUAÇÃO]]="Finalizado", "Data atualizada", IFERROR(IF(I53&lt;$CN$3,"Atualizar data de encerramento","Data atualizada"),"Sem informação"))</f>
        <v>Data atualizada</v>
      </c>
      <c r="K53" s="311">
        <f>INDEX(Projetos!$N$3:$N$129,MATCH(Tb_Mapa[[#This Row],[SEI]],Projetos!$A$3:$A$129,0))</f>
        <v>1</v>
      </c>
      <c r="L53" s="311">
        <f>INDEX(Projetos!$O$3:$O$129,MATCH(Tb_Mapa[[#This Row],[SEI]],Projetos!$A$3:$A$129,0))</f>
        <v>1</v>
      </c>
      <c r="M53" s="165" t="str">
        <f>_xlfn.XLOOKUP(Tb_Mapa[[#This Row],[SEI]],Tb_Portfólio[SEI],Tb_Portfólio[Situação],"N/A",0)</f>
        <v>Finalizado</v>
      </c>
      <c r="N53" s="128" t="str" cm="1">
        <f t="array" ref="N53">IFERROR(LOOKUP(2,1/(Atualizações!$H$1:$H$486=Mapa!$B44&amp;Mapa!BG$3),Atualizações!$E$1:$E$486),"NÃO")</f>
        <v>NÃO</v>
      </c>
      <c r="O53" s="161" t="str" cm="1">
        <f t="array" ref="O53">IFERROR(LOOKUP(2,1/(Atualizações!$H$1:$H$580=Mapa!$B44&amp;Mapa!BH$3),Atualizações!$E$1:$E$580),"NÃO")</f>
        <v>NÃO</v>
      </c>
      <c r="P53" s="161" t="str" cm="1">
        <f t="array" ref="P53">IFERROR(LOOKUP(2,1/(Atualizações!$H$1:$H$580=Mapa!$B44&amp;Mapa!BI$3),Atualizações!$E$1:$E$580),"NÃO")</f>
        <v>NÃO</v>
      </c>
      <c r="Q53" s="161" t="str" cm="1">
        <f t="array" ref="Q53">IFERROR(LOOKUP(2,1/(Atualizações!$H$1:$H$580=Mapa!$B44&amp;Mapa!BJ$3),Atualizações!$E$1:$E$580),"NÃO")</f>
        <v>NÃO</v>
      </c>
      <c r="R53" s="161" t="str" cm="1">
        <f t="array" ref="R53">IFERROR(LOOKUP(2,1/(Atualizações!$H$1:$H$580=Mapa!$B44&amp;Mapa!BK$3),Atualizações!$E$1:$E$580),"NÃO")</f>
        <v>NÃO</v>
      </c>
      <c r="S53" s="161" t="str" cm="1">
        <f t="array" ref="S53">IFERROR(LOOKUP(2,1/(Atualizações!$H$1:$H$580=Mapa!$B44&amp;Mapa!BL$3),Atualizações!$E$1:$E$580),"NÃO")</f>
        <v>NÃO</v>
      </c>
      <c r="T53" s="161" t="str" cm="1">
        <f t="array" ref="T53">IFERROR(LOOKUP(2,1/(Atualizações!$H$1:$H$580=Mapa!$B44&amp;Mapa!BM$3),Atualizações!$E$1:$E$580),"NÃO")</f>
        <v>NÃO</v>
      </c>
      <c r="U53" s="161" t="str" cm="1">
        <f t="array" ref="U53">IFERROR(LOOKUP(2,1/(Atualizações!$H$1:$H$580=Mapa!$B44&amp;Mapa!BN$3),Atualizações!$E$1:$E$580),"NÃO")</f>
        <v>NÃO</v>
      </c>
      <c r="V53" s="161" t="str" cm="1">
        <f t="array" ref="V53">IFERROR(LOOKUP(2,1/(Atualizações!$H$1:$H$580=Mapa!$B44&amp;Mapa!BO$3),Atualizações!$E$1:$E$580),"NÃO")</f>
        <v>NÃO</v>
      </c>
      <c r="W53" s="161" t="str" cm="1">
        <f t="array" ref="W53">IFERROR(LOOKUP(2,1/(Atualizações!$H$1:$H$580=Mapa!$B44&amp;Mapa!BP$3),Atualizações!$E$1:$E$580),"NÃO")</f>
        <v>NÃO</v>
      </c>
      <c r="X53" s="161" t="str" cm="1">
        <f t="array" ref="X53">IFERROR(LOOKUP(2,1/(Atualizações!$H$1:$H$580=Mapa!$B44&amp;Mapa!BQ$3),Atualizações!$E$1:$E$580),"NÃO")</f>
        <v>NÃO</v>
      </c>
      <c r="Y53" s="161" t="str" cm="1">
        <f t="array" ref="Y53">IFERROR(LOOKUP(2,1/(Atualizações!$H$1:$H$580=Mapa!$B44&amp;Mapa!BR$3),Atualizações!$E$1:$E$580),"NÃO")</f>
        <v>NÃO</v>
      </c>
      <c r="Z53" s="161" t="str" cm="1">
        <f t="array" ref="Z53">IFERROR(LOOKUP(2,1/(Atualizações!$H$1:$H$1029=Mapa!$B44&amp;Mapa!BS$3),Atualizações!$E$1:$E$1029),"NÃO")</f>
        <v>NÃO</v>
      </c>
      <c r="AA53" s="161" t="str" cm="1">
        <f t="array" ref="AA53">IFERROR(LOOKUP(2,1/(Atualizações!$H$1:$H$1029=Mapa!$B44&amp;Mapa!BT$3),Atualizações!$E$1:$E$1029),"NÃO")</f>
        <v>NÃO</v>
      </c>
      <c r="AB53" s="161" t="str" cm="1">
        <f t="array" ref="AB53">IFERROR(LOOKUP(2,1/(Atualizações!$H$1:$H$1029=Mapa!$B44&amp;Mapa!BU$3),Atualizações!$E$1:$E$1029),"NÃO")</f>
        <v>NÃO</v>
      </c>
      <c r="AC53" s="161" t="str" cm="1">
        <f t="array" ref="AC53">IFERROR(LOOKUP(2,1/(Atualizações!$H$1:$H$1029=Mapa!$B44&amp;Mapa!BV$3),Atualizações!$E$1:$E$1029),"NÃO")</f>
        <v>NÃO</v>
      </c>
      <c r="AD53" s="161" t="str" cm="1">
        <f t="array" ref="AD53">IFERROR(LOOKUP(2,1/(Atualizações!$H$1:$H$1029=Mapa!$B44&amp;Mapa!BW$3),Atualizações!$E$1:$E$1029),"NÃO")</f>
        <v>NÃO</v>
      </c>
      <c r="AE53" s="161" t="str" cm="1">
        <f t="array" ref="AE53">IFERROR(LOOKUP(2,1/(Atualizações!$H$1:$H$1029=Mapa!$B44&amp;Mapa!BX$3),Atualizações!$E$1:$E$1029),"NÃO")</f>
        <v>NÃO</v>
      </c>
      <c r="AF53" s="161" t="str" cm="1">
        <f t="array" ref="AF53">IFERROR(LOOKUP(2,1/(Atualizações!$H$1:$H$1029=Mapa!$B44&amp;Mapa!BY$3),Atualizações!$E$1:$E$1029),"NÃO")</f>
        <v>NÃO</v>
      </c>
      <c r="AG53" s="161" t="str" cm="1">
        <f t="array" ref="AG53">IFERROR(LOOKUP(2,1/(Atualizações!$H$1:$H$1029=Mapa!$B44&amp;Mapa!BZ$3),Atualizações!$E$1:$E$1029),"NÃO")</f>
        <v>NÃO</v>
      </c>
      <c r="AH53" s="161" t="str" cm="1">
        <f t="array" ref="AH53">IFERROR(LOOKUP(2,1/(Atualizações!$H$1:$H$1029=Mapa!$B44&amp;Mapa!CA$3),Atualizações!$E$1:$E$1029),"NÃO")</f>
        <v>NÃO</v>
      </c>
      <c r="AI53" s="161" cm="1">
        <f t="array" ref="AI53">IFERROR(LOOKUP(2,1/(Atualizações!$H$1:$H$1029=Mapa!$B44&amp;Mapa!CB$3),Atualizações!$E$1:$E$1029),"NÃO")</f>
        <v>0</v>
      </c>
      <c r="AJ53" s="161" t="str" cm="1">
        <f t="array" ref="AJ53">IFERROR(LOOKUP(2,1/(Atualizações!$H$1:$H$1029=Mapa!$B44&amp;Mapa!CC$3),Atualizações!$E$1:$E$1029),"NÃO")</f>
        <v>NÃO</v>
      </c>
      <c r="AK53" s="161" t="str" cm="1">
        <f t="array" ref="AK53">IFERROR(LOOKUP(2,1/(Atualizações!$H$1:$H$1029=Mapa!$B44&amp;Mapa!CD$3),Atualizações!$E$1:$E$1029),"NÃO")</f>
        <v>NÃO</v>
      </c>
      <c r="AL53" s="161" t="str" cm="1">
        <f t="array" ref="AL53">IFERROR(LOOKUP(2,1/(Atualizações!$H$1:$H$1265=Mapa!$B44&amp;Mapa!CE$3),Atualizações!$E$1:$E$2994),"NÃO")</f>
        <v>NÃO</v>
      </c>
      <c r="AM53" s="161" t="str" cm="1">
        <f t="array" ref="AM53">IFERROR(LOOKUP(2,1/(Atualizações!$H$1:$H$2994=Tb_Mapa[[#This Row],[SEI]]&amp;Mapa!CF$3),Atualizações!$E$1:$E$2994),"NÃO")</f>
        <v>NÃO</v>
      </c>
      <c r="AN53" s="161" t="str" cm="1">
        <f t="array" ref="AN53">IFERROR(LOOKUP(2,1/(Atualizações!$H$1:$H$2994=Tb_Mapa[[#This Row],[SEI]]&amp;Mapa!CG$3),Atualizações!$E$1:$E$2994),"NÃO")</f>
        <v>NÃO</v>
      </c>
      <c r="AO53" s="161" t="str" cm="1">
        <f t="array" ref="AO53">IFERROR(LOOKUP(2,1/(Atualizações!$H$1:$H$2994=Tb_Mapa[[#This Row],[SEI]]&amp;Mapa!CH$3),Atualizações!$E$1:$E$2994),"NÃO")</f>
        <v>NÃO</v>
      </c>
      <c r="AP53" s="161" t="str" cm="1">
        <f t="array" ref="AP53">IFERROR(LOOKUP(2,1/(Atualizações!$H$1:$H$2994=Tb_Mapa[[#This Row],[SEI]]&amp;Mapa!CI$3),Atualizações!$E$1:$E$2994),"NÃO")</f>
        <v>NÃO</v>
      </c>
      <c r="AQ53" s="161" t="str" cm="1">
        <f t="array" ref="AQ53">IFERROR(LOOKUP(2,1/(Atualizações!$H$1:$H$2994=Tb_Mapa[[#This Row],[SEI]]&amp;Mapa!CJ$3),Atualizações!$E$1:$E$2994),"NÃO")</f>
        <v>NÃO</v>
      </c>
      <c r="AR53" s="161" t="str" cm="1">
        <f t="array" ref="AR53">IFERROR(LOOKUP(2,1/(Atualizações!$H$1:$H$2994=Tb_Mapa[[#This Row],[SEI]]&amp;Mapa!CK$3),Atualizações!$E$1:$E$2994),"NÃO")</f>
        <v>NÃO</v>
      </c>
      <c r="AS53" s="161" t="str" cm="1">
        <f t="array" ref="AS53">IFERROR(LOOKUP(2,1/(Atualizações!$H$1:$H$2994=Tb_Mapa[[#This Row],[SEI]]&amp;Mapa!CL$3),Atualizações!$E$1:$E$2994),"NÃO")</f>
        <v>NÃO</v>
      </c>
      <c r="AT53" s="161" t="str" cm="1">
        <f t="array" ref="AT53">IFERROR(LOOKUP(2,1/(Atualizações!$H$1:$H$2994=Tb_Mapa[[#This Row],[SEI]]&amp;Mapa!CM$3),Atualizações!$E$1:$E$2994),"NÃO")</f>
        <v>NÃO</v>
      </c>
      <c r="AU53" s="161" t="str" cm="1">
        <f t="array" ref="AU53">IFERROR(LOOKUP(2,1/(Atualizações!$H$1:$H$2994=Tb_Mapa[[#This Row],[SEI]]&amp;Mapa!CN$3),Atualizações!$E$1:$E$2994),"NÃO")</f>
        <v>NÃO</v>
      </c>
      <c r="AV53" s="161" t="str" cm="1">
        <f t="array" ref="AV53">IFERROR(LOOKUP(2,1/(Atualizações!$H$1:$H$2994=Tb_Mapa[[#This Row],[SEI]]&amp;Mapa!CO$3),Atualizações!$E$1:$E$2994),"NÃO")</f>
        <v>NÃO</v>
      </c>
      <c r="AW53" s="161" t="str" cm="1">
        <f t="array" ref="AW53">IFERROR(LOOKUP(2,1/(Atualizações!$H$1:$H$2994=Tb_Mapa[[#This Row],[SEI]]&amp;Mapa!CP$3),Atualizações!$E$1:$E$2994),"NÃO")</f>
        <v>NÃO</v>
      </c>
      <c r="AX53" s="161" t="str" cm="1">
        <f t="array" ref="AX53">IFERROR(LOOKUP(2,1/(Atualizações!$H$1:$H$2994=Tb_Mapa[[#This Row],[SEI]]&amp;Mapa!CQ$3),Atualizações!$E$1:$E$2994),"NÃO")</f>
        <v>NÃO</v>
      </c>
    </row>
    <row r="54" spans="2:50" ht="32.25" hidden="1" customHeight="1">
      <c r="B54" s="158" t="s">
        <v>358</v>
      </c>
      <c r="C54" s="158" t="str">
        <f>_xlfn.XLOOKUP(Tb_Mapa[[#This Row],[SEI]],Tb_Portfólio[SEI],Tb_Portfólio[Portfólio 2025],"",0)</f>
        <v>Sim</v>
      </c>
      <c r="D54" s="158" t="str">
        <f>_xlfn.XLOOKUP(Tb_Mapa[[#This Row],[SEI]],Tb_Portfólio[SEI],Tb_Portfólio[Portfólio 2026],"",0)</f>
        <v>Sim</v>
      </c>
      <c r="E54" s="341" t="str">
        <f>_xlfn.XLOOKUP(Tb_Mapa[[#This Row],[SEI]],Tb_Portfólio[SEI],Tb_Portfólio[PROJETO],"",0)</f>
        <v>Prevjud - Automação de Processos Previdenciários - Justiça 4.0</v>
      </c>
      <c r="F54" s="143" t="str">
        <f>INDEX(Projetos!$G$3:$G$129,MATCH(Tb_Mapa[[#This Row],[SEI]],Projetos!$A$3:$A$129,0))</f>
        <v>Wallace Fernando Carlos da Silva</v>
      </c>
      <c r="G54" s="686" t="s">
        <v>1710</v>
      </c>
      <c r="H54" s="314" t="str">
        <f>INDEX(Projetos!$T$3:$T$129,MATCH(B54,Projetos!$A$3:$A$129,0))</f>
        <v>Justiça 4.0</v>
      </c>
      <c r="I54" s="310" t="str">
        <f>INDEX(Projetos!$M$3:$M$129,MATCH(Tb_Mapa[[#This Row],[SEI]],Projetos!$A$3:$A$129,0))</f>
        <v>31/03/2026</v>
      </c>
      <c r="J54" s="164" t="str">
        <f>IF(Tb_Mapa[[#This Row],[SITUAÇÃO]]="Finalizado", "Data atualizada", IFERROR(IF(Tb_Mapa[[#This Row],[DATA DE TÉRMINO]]&lt;$I$1,"Atualizar data de encerramento","Data atualizada"),"Sem informação"))</f>
        <v>Data atualizada</v>
      </c>
      <c r="K54" s="311">
        <f>INDEX(Projetos!$N$3:$N$129,MATCH(Tb_Mapa[[#This Row],[SEI]],Projetos!$A$3:$A$129,0))</f>
        <v>0.99</v>
      </c>
      <c r="L54" s="311">
        <f>INDEX(Projetos!$O$3:$O$129,MATCH(Tb_Mapa[[#This Row],[SEI]],Projetos!$A$3:$A$129,0))</f>
        <v>1</v>
      </c>
      <c r="M54" s="165" t="str">
        <f>_xlfn.XLOOKUP(Tb_Mapa[[#This Row],[SEI]],Tb_Portfólio[SEI],Tb_Portfólio[Situação],"N/A",0)</f>
        <v>Finalizado</v>
      </c>
      <c r="N54" s="128" t="str" cm="1">
        <f t="array" ref="N54">IFERROR(LOOKUP(2,1/(Atualizações!$H$1:$H$486=Mapa!$B21&amp;Mapa!BG$3),Atualizações!$E$1:$E$486),"NÃO")</f>
        <v>NÃO</v>
      </c>
      <c r="O54" s="161" t="str" cm="1">
        <f t="array" ref="O54">IFERROR(LOOKUP(2,1/(Atualizações!$H$1:$H$580=Mapa!$B21&amp;Mapa!BH$3),Atualizações!$E$1:$E$580),"NÃO")</f>
        <v>NÃO</v>
      </c>
      <c r="P54" s="161" t="str" cm="1">
        <f t="array" ref="P54">IFERROR(LOOKUP(2,1/(Atualizações!$H$1:$H$580=Mapa!$B21&amp;Mapa!BI$3),Atualizações!$E$1:$E$580),"NÃO")</f>
        <v>NÃO</v>
      </c>
      <c r="Q54" s="161" t="str" cm="1">
        <f t="array" ref="Q54">IFERROR(LOOKUP(2,1/(Atualizações!$H$1:$H$580=Mapa!$B21&amp;Mapa!BJ$3),Atualizações!$E$1:$E$580),"NÃO")</f>
        <v>NÃO</v>
      </c>
      <c r="R54" s="161" t="str" cm="1">
        <f t="array" ref="R54">IFERROR(LOOKUP(2,1/(Atualizações!$H$1:$H$580=Mapa!$B21&amp;Mapa!BK$3),Atualizações!$E$1:$E$580),"NÃO")</f>
        <v>NÃO</v>
      </c>
      <c r="S54" s="161" t="str" cm="1">
        <f t="array" ref="S54">IFERROR(LOOKUP(2,1/(Atualizações!$H$1:$H$580=Mapa!$B21&amp;Mapa!BL$3),Atualizações!$E$1:$E$580),"NÃO")</f>
        <v>NÃO</v>
      </c>
      <c r="T54" s="161" t="str" cm="1">
        <f t="array" ref="T54">IFERROR(LOOKUP(2,1/(Atualizações!$H$1:$H$580=Mapa!$B21&amp;Mapa!BM$3),Atualizações!$E$1:$E$580),"NÃO")</f>
        <v>NÃO</v>
      </c>
      <c r="U54" s="161" t="str" cm="1">
        <f t="array" ref="U54">IFERROR(LOOKUP(2,1/(Atualizações!$H$1:$H$580=Mapa!$B21&amp;Mapa!BN$3),Atualizações!$E$1:$E$580),"NÃO")</f>
        <v>NÃO</v>
      </c>
      <c r="V54" s="161" t="str" cm="1">
        <f t="array" ref="V54">IFERROR(LOOKUP(2,1/(Atualizações!$H$1:$H$580=Mapa!$B21&amp;Mapa!BO$3),Atualizações!$E$1:$E$580),"NÃO")</f>
        <v>NÃO</v>
      </c>
      <c r="W54" s="161" t="str" cm="1">
        <f t="array" ref="W54">IFERROR(LOOKUP(2,1/(Atualizações!$H$1:$H$580=Mapa!$B21&amp;Mapa!BP$3),Atualizações!$E$1:$E$580),"NÃO")</f>
        <v>NÃO</v>
      </c>
      <c r="X54" s="161" t="str" cm="1">
        <f t="array" ref="X54">IFERROR(LOOKUP(2,1/(Atualizações!$H$1:$H$580=Mapa!$B21&amp;Mapa!BQ$3),Atualizações!$E$1:$E$580),"NÃO")</f>
        <v>NÃO</v>
      </c>
      <c r="Y54" s="161" t="str" cm="1">
        <f t="array" ref="Y54">IFERROR(LOOKUP(2,1/(Atualizações!$H$1:$H$580=Mapa!$B21&amp;Mapa!BR$3),Atualizações!$E$1:$E$580),"NÃO")</f>
        <v>NÃO</v>
      </c>
      <c r="Z54" s="161" cm="1">
        <f t="array" ref="Z54">IFERROR(LOOKUP(2,1/(Atualizações!$H$1:$H$1029=Mapa!$B21&amp;Mapa!BS$3),Atualizações!$E$1:$E$1029),"NÃO")</f>
        <v>1</v>
      </c>
      <c r="AA54" s="161" t="str" cm="1">
        <f t="array" ref="AA54">IFERROR(LOOKUP(2,1/(Atualizações!$H$1:$H$1029=Mapa!$B21&amp;Mapa!BT$3),Atualizações!$E$1:$E$1029),"NÃO")</f>
        <v>NÃO</v>
      </c>
      <c r="AB54" s="161" t="str" cm="1">
        <f t="array" ref="AB54">IFERROR(LOOKUP(2,1/(Atualizações!$H$1:$H$1029=Mapa!$B21&amp;Mapa!BU$3),Atualizações!$E$1:$E$1029),"NÃO")</f>
        <v>NÃO</v>
      </c>
      <c r="AC54" s="161" t="str" cm="1">
        <f t="array" ref="AC54">IFERROR(LOOKUP(2,1/(Atualizações!$H$1:$H$1029=Mapa!$B21&amp;Mapa!BV$3),Atualizações!$E$1:$E$1029),"NÃO")</f>
        <v>NÃO</v>
      </c>
      <c r="AD54" s="161" t="str" cm="1">
        <f t="array" ref="AD54">IFERROR(LOOKUP(2,1/(Atualizações!$H$1:$H$1029=Mapa!$B21&amp;Mapa!BW$3),Atualizações!$E$1:$E$1029),"NÃO")</f>
        <v>NÃO</v>
      </c>
      <c r="AE54" s="161" t="str" cm="1">
        <f t="array" ref="AE54">IFERROR(LOOKUP(2,1/(Atualizações!$H$1:$H$1029=Mapa!$B21&amp;Mapa!BX$3),Atualizações!$E$1:$E$1029),"NÃO")</f>
        <v>NÃO</v>
      </c>
      <c r="AF54" s="161" t="str" cm="1">
        <f t="array" ref="AF54">IFERROR(LOOKUP(2,1/(Atualizações!$H$1:$H$1029=Mapa!$B21&amp;Mapa!BY$3),Atualizações!$E$1:$E$1029),"NÃO")</f>
        <v>NÃO</v>
      </c>
      <c r="AG54" s="161" t="str" cm="1">
        <f t="array" ref="AG54">IFERROR(LOOKUP(2,1/(Atualizações!$H$1:$H$1029=Mapa!$B21&amp;Mapa!BZ$3),Atualizações!$E$1:$E$1029),"NÃO")</f>
        <v>NÃO</v>
      </c>
      <c r="AH54" s="161" t="str" cm="1">
        <f t="array" ref="AH54">IFERROR(LOOKUP(2,1/(Atualizações!$H$1:$H$1029=Mapa!$B21&amp;Mapa!CA$3),Atualizações!$E$1:$E$1029),"NÃO")</f>
        <v>NÃO</v>
      </c>
      <c r="AI54" s="161" t="str" cm="1">
        <f t="array" ref="AI54">IFERROR(LOOKUP(2,1/(Atualizações!$H$1:$H$1029=Mapa!$B21&amp;Mapa!CB$3),Atualizações!$E$1:$E$1029),"NÃO")</f>
        <v>NÃO</v>
      </c>
      <c r="AJ54" s="161" t="str" cm="1">
        <f t="array" ref="AJ54">IFERROR(LOOKUP(2,1/(Atualizações!$H$1:$H$1029=Mapa!$B21&amp;Mapa!CC$3),Atualizações!$E$1:$E$1029),"NÃO")</f>
        <v>NÃO</v>
      </c>
      <c r="AK54" s="161" t="str" cm="1">
        <f t="array" ref="AK54">IFERROR(LOOKUP(2,1/(Atualizações!$H$1:$H$1029=Mapa!$B21&amp;Mapa!CD$3),Atualizações!$E$1:$E$1029),"NÃO")</f>
        <v>NÃO</v>
      </c>
      <c r="AL54" s="161" t="str" cm="1">
        <f t="array" ref="AL54">IFERROR(LOOKUP(2,1/(Atualizações!$H$1:$H$1265=Mapa!$B21&amp;Mapa!CE$3),Atualizações!$E$1:$E$2994),"NÃO")</f>
        <v>NÃO</v>
      </c>
      <c r="AM54" s="161" t="str" cm="1">
        <f t="array" ref="AM54">IFERROR(LOOKUP(2,1/(Atualizações!$H$1:$H$2994=Tb_Mapa[[#This Row],[SEI]]&amp;Mapa!CF$3),Atualizações!$E$1:$E$2994),"NÃO")</f>
        <v>NÃO</v>
      </c>
      <c r="AN54" s="161" cm="1">
        <f t="array" ref="AN54">IFERROR(LOOKUP(2,1/(Atualizações!$H$1:$H$2994=Tb_Mapa[[#This Row],[SEI]]&amp;Mapa!CG$3),Atualizações!$E$1:$E$2994),"NÃO")</f>
        <v>0.98</v>
      </c>
      <c r="AO54" s="161" cm="1">
        <f t="array" ref="AO54">IFERROR(LOOKUP(2,1/(Atualizações!$H$1:$H$2994=Tb_Mapa[[#This Row],[SEI]]&amp;Mapa!CH$3),Atualizações!$E$1:$E$2994),"NÃO")</f>
        <v>0.99</v>
      </c>
      <c r="AP54" s="161" cm="1">
        <f t="array" ref="AP54">IFERROR(LOOKUP(2,1/(Atualizações!$H$1:$H$2994=Tb_Mapa[[#This Row],[SEI]]&amp;Mapa!CI$3),Atualizações!$E$1:$E$2994),"NÃO")</f>
        <v>1</v>
      </c>
      <c r="AQ54" s="161" t="str" cm="1">
        <f t="array" ref="AQ54">IFERROR(LOOKUP(2,1/(Atualizações!$H$1:$H$2994=Tb_Mapa[[#This Row],[SEI]]&amp;Mapa!CJ$3),Atualizações!$E$1:$E$2994),"NÃO")</f>
        <v>NÃO</v>
      </c>
      <c r="AR54" s="161" t="str" cm="1">
        <f t="array" ref="AR54">IFERROR(LOOKUP(2,1/(Atualizações!$H$1:$H$2994=Tb_Mapa[[#This Row],[SEI]]&amp;Mapa!CK$3),Atualizações!$E$1:$E$2994),"NÃO")</f>
        <v>NÃO</v>
      </c>
      <c r="AS54" s="161" t="str" cm="1">
        <f t="array" ref="AS54">IFERROR(LOOKUP(2,1/(Atualizações!$H$1:$H$2994=Tb_Mapa[[#This Row],[SEI]]&amp;Mapa!CL$3),Atualizações!$E$1:$E$2994),"NÃO")</f>
        <v>NÃO</v>
      </c>
      <c r="AT54" s="161" t="str" cm="1">
        <f t="array" ref="AT54">IFERROR(LOOKUP(2,1/(Atualizações!$H$1:$H$2994=Tb_Mapa[[#This Row],[SEI]]&amp;Mapa!CM$3),Atualizações!$E$1:$E$2994),"NÃO")</f>
        <v>NÃO</v>
      </c>
      <c r="AU54" s="161" t="str" cm="1">
        <f t="array" ref="AU54">IFERROR(LOOKUP(2,1/(Atualizações!$H$1:$H$2994=Tb_Mapa[[#This Row],[SEI]]&amp;Mapa!CN$3),Atualizações!$E$1:$E$2994),"NÃO")</f>
        <v>NÃO</v>
      </c>
      <c r="AV54" s="161" t="str" cm="1">
        <f t="array" ref="AV54">IFERROR(LOOKUP(2,1/(Atualizações!$H$1:$H$2994=Tb_Mapa[[#This Row],[SEI]]&amp;Mapa!CO$3),Atualizações!$E$1:$E$2994),"NÃO")</f>
        <v>NÃO</v>
      </c>
      <c r="AW54" s="161" t="str" cm="1">
        <f t="array" ref="AW54">IFERROR(LOOKUP(2,1/(Atualizações!$H$1:$H$2994=Tb_Mapa[[#This Row],[SEI]]&amp;Mapa!CP$3),Atualizações!$E$1:$E$2994),"NÃO")</f>
        <v>NÃO</v>
      </c>
      <c r="AX54" s="161" t="str" cm="1">
        <f t="array" ref="AX54">IFERROR(LOOKUP(2,1/(Atualizações!$H$1:$H$2994=Tb_Mapa[[#This Row],[SEI]]&amp;Mapa!CQ$3),Atualizações!$E$1:$E$2994),"NÃO")</f>
        <v>NÃO</v>
      </c>
    </row>
    <row r="55" spans="2:50" ht="32.25" hidden="1" customHeight="1">
      <c r="B55" s="403" t="s">
        <v>638</v>
      </c>
      <c r="C55" s="167" t="str">
        <f>_xlfn.XLOOKUP(Tb_Mapa[[#This Row],[SEI]],Tb_Portfólio[SEI],Tb_Portfólio[Portfólio 2025],"",0)</f>
        <v>Sim</v>
      </c>
      <c r="D55" s="158" t="str">
        <f>_xlfn.XLOOKUP(Tb_Mapa[[#This Row],[SEI]],Tb_Portfólio[SEI],Tb_Portfólio[Portfólio 2026],"",0)</f>
        <v>Sim</v>
      </c>
      <c r="E55" s="162" t="str">
        <f>_xlfn.XLOOKUP(Tb_Mapa[[#This Row],[SEI]],Tb_Portfólio[SEI],Tb_Portfólio[PROJETO],"",0)</f>
        <v>Sisperjud</v>
      </c>
      <c r="F55" s="143" t="str">
        <f>INDEX(Projetos!$G$3:$G$129,MATCH(Tb_Mapa[[#This Row],[SEI]],Projetos!$A$3:$A$129,0))</f>
        <v>Wallace Fernando Carlos da Silva</v>
      </c>
      <c r="G55" s="686" t="s">
        <v>1710</v>
      </c>
      <c r="H55" s="314" t="str">
        <f>INDEX(Projetos!$T$3:$T$129,MATCH(B55,Projetos!$A$3:$A$129,0))</f>
        <v>Justiça 4.0</v>
      </c>
      <c r="I55" s="310">
        <f>INDEX(Projetos!$M$3:$M$129,MATCH(Tb_Mapa[[#This Row],[SEI]],Projetos!$A$3:$A$129,0))</f>
        <v>46352</v>
      </c>
      <c r="J55" s="164" t="str">
        <f ca="1">IF(Tb_Mapa[[#This Row],[SITUAÇÃO]]="Finalizado", "Data atualizada", IFERROR(IF(Tb_Mapa[[#This Row],[DATA DE TÉRMINO]]&lt;$I$1,"Atualizar data de encerramento","Data atualizada"),"Sem informação"))</f>
        <v>Data atualizada</v>
      </c>
      <c r="K55" s="311">
        <f>INDEX(Projetos!$N$3:$N$129,MATCH(Tb_Mapa[[#This Row],[SEI]],Projetos!$A$3:$A$129,0))</f>
        <v>1</v>
      </c>
      <c r="L55" s="311">
        <f>INDEX(Projetos!$O$3:$O$129,MATCH(Tb_Mapa[[#This Row],[SEI]],Projetos!$A$3:$A$129,0))</f>
        <v>0.91</v>
      </c>
      <c r="M55" s="165" t="str">
        <f ca="1">_xlfn.XLOOKUP(Tb_Mapa[[#This Row],[SEI]],Tb_Portfólio[SEI],Tb_Portfólio[Situação],"N/A",0)</f>
        <v>Em atenção</v>
      </c>
      <c r="N55" s="128" t="str" cm="1">
        <f t="array" ref="N55">IFERROR(LOOKUP(2,1/(Atualizações!$H$1:$H$486=Mapa!$B40&amp;Mapa!BG$3),Atualizações!$E$1:$E$486),"NÃO")</f>
        <v>NÃO</v>
      </c>
      <c r="O55" s="161" t="str" cm="1">
        <f t="array" ref="O55">IFERROR(LOOKUP(2,1/(Atualizações!$H$1:$H$580=Mapa!$B40&amp;Mapa!BH$3),Atualizações!$E$1:$E$580),"NÃO")</f>
        <v>NÃO</v>
      </c>
      <c r="P55" s="161" t="str" cm="1">
        <f t="array" ref="P55">IFERROR(LOOKUP(2,1/(Atualizações!$H$1:$H$580=Mapa!$B40&amp;Mapa!BI$3),Atualizações!$E$1:$E$580),"NÃO")</f>
        <v>NÃO</v>
      </c>
      <c r="Q55" s="161" t="str" cm="1">
        <f t="array" ref="Q55">IFERROR(LOOKUP(2,1/(Atualizações!$H$1:$H$580=Mapa!$B40&amp;Mapa!BJ$3),Atualizações!$E$1:$E$580),"NÃO")</f>
        <v>NÃO</v>
      </c>
      <c r="R55" s="161" t="str" cm="1">
        <f t="array" ref="R55">IFERROR(LOOKUP(2,1/(Atualizações!$H$1:$H$580=Mapa!$B40&amp;Mapa!BK$3),Atualizações!$E$1:$E$580),"NÃO")</f>
        <v>NÃO</v>
      </c>
      <c r="S55" s="161" t="str" cm="1">
        <f t="array" ref="S55">IFERROR(LOOKUP(2,1/(Atualizações!$H$1:$H$580=Mapa!$B40&amp;Mapa!BL$3),Atualizações!$E$1:$E$580),"NÃO")</f>
        <v>NÃO</v>
      </c>
      <c r="T55" s="161" t="str" cm="1">
        <f t="array" ref="T55">IFERROR(LOOKUP(2,1/(Atualizações!$H$1:$H$580=Mapa!$B40&amp;Mapa!BM$3),Atualizações!$E$1:$E$580),"NÃO")</f>
        <v>NÃO</v>
      </c>
      <c r="U55" s="161" t="str" cm="1">
        <f t="array" ref="U55">IFERROR(LOOKUP(2,1/(Atualizações!$H$1:$H$580=Mapa!$B40&amp;Mapa!BN$3),Atualizações!$E$1:$E$580),"NÃO")</f>
        <v>NÃO</v>
      </c>
      <c r="V55" s="161" t="str" cm="1">
        <f t="array" ref="V55">IFERROR(LOOKUP(2,1/(Atualizações!$H$1:$H$580=Mapa!$B40&amp;Mapa!BO$3),Atualizações!$E$1:$E$580),"NÃO")</f>
        <v>NÃO</v>
      </c>
      <c r="W55" s="161" t="str" cm="1">
        <f t="array" ref="W55">IFERROR(LOOKUP(2,1/(Atualizações!$H$1:$H$580=Mapa!$B40&amp;Mapa!BP$3),Atualizações!$E$1:$E$580),"NÃO")</f>
        <v>NÃO</v>
      </c>
      <c r="X55" s="161" t="str" cm="1">
        <f t="array" ref="X55">IFERROR(LOOKUP(2,1/(Atualizações!$H$1:$H$580=Mapa!$B40&amp;Mapa!BQ$3),Atualizações!$E$1:$E$580),"NÃO")</f>
        <v>NÃO</v>
      </c>
      <c r="Y55" s="161" t="str" cm="1">
        <f t="array" ref="Y55">IFERROR(LOOKUP(2,1/(Atualizações!$H$1:$H$580=Mapa!$B40&amp;Mapa!BR$3),Atualizações!$E$1:$E$580),"NÃO")</f>
        <v>NÃO</v>
      </c>
      <c r="Z55" s="161" cm="1">
        <f t="array" ref="Z55">IFERROR(LOOKUP(2,1/(Atualizações!$H$1:$H$1029=Mapa!$B40&amp;Mapa!BS$3),Atualizações!$E$1:$E$1029),"NÃO")</f>
        <v>1</v>
      </c>
      <c r="AA55" s="161" t="str" cm="1">
        <f t="array" ref="AA55">IFERROR(LOOKUP(2,1/(Atualizações!$H$1:$H$1029=Mapa!$B40&amp;Mapa!BT$3),Atualizações!$E$1:$E$1029),"NÃO")</f>
        <v>NÃO</v>
      </c>
      <c r="AB55" s="161" t="str" cm="1">
        <f t="array" ref="AB55">IFERROR(LOOKUP(2,1/(Atualizações!$H$1:$H$1029=Mapa!$B40&amp;Mapa!BU$3),Atualizações!$E$1:$E$1029),"NÃO")</f>
        <v>NÃO</v>
      </c>
      <c r="AC55" s="161" t="str" cm="1">
        <f t="array" ref="AC55">IFERROR(LOOKUP(2,1/(Atualizações!$H$1:$H$1029=Mapa!$B40&amp;Mapa!BV$3),Atualizações!$E$1:$E$1029),"NÃO")</f>
        <v>NÃO</v>
      </c>
      <c r="AD55" s="161" t="str" cm="1">
        <f t="array" ref="AD55">IFERROR(LOOKUP(2,1/(Atualizações!$H$1:$H$1029=Mapa!$B40&amp;Mapa!BW$3),Atualizações!$E$1:$E$1029),"NÃO")</f>
        <v>NÃO</v>
      </c>
      <c r="AE55" s="161" t="str" cm="1">
        <f t="array" ref="AE55">IFERROR(LOOKUP(2,1/(Atualizações!$H$1:$H$1029=Mapa!$B40&amp;Mapa!BX$3),Atualizações!$E$1:$E$1029),"NÃO")</f>
        <v>NÃO</v>
      </c>
      <c r="AF55" s="161" t="str" cm="1">
        <f t="array" ref="AF55">IFERROR(LOOKUP(2,1/(Atualizações!$H$1:$H$1029=Mapa!$B40&amp;Mapa!BY$3),Atualizações!$E$1:$E$1029),"NÃO")</f>
        <v>NÃO</v>
      </c>
      <c r="AG55" s="161" t="str" cm="1">
        <f t="array" ref="AG55">IFERROR(LOOKUP(2,1/(Atualizações!$H$1:$H$1029=Mapa!$B40&amp;Mapa!BZ$3),Atualizações!$E$1:$E$1029),"NÃO")</f>
        <v>NÃO</v>
      </c>
      <c r="AH55" s="161" t="str" cm="1">
        <f t="array" ref="AH55">IFERROR(LOOKUP(2,1/(Atualizações!$H$1:$H$1029=Mapa!$B40&amp;Mapa!CA$3),Atualizações!$E$1:$E$1029),"NÃO")</f>
        <v>NÃO</v>
      </c>
      <c r="AI55" s="161" t="str" cm="1">
        <f t="array" ref="AI55">IFERROR(LOOKUP(2,1/(Atualizações!$H$1:$H$1029=Mapa!$B40&amp;Mapa!CB$3),Atualizações!$E$1:$E$1029),"NÃO")</f>
        <v>NÃO</v>
      </c>
      <c r="AJ55" s="161" t="str" cm="1">
        <f t="array" ref="AJ55">IFERROR(LOOKUP(2,1/(Atualizações!$H$1:$H$1029=Mapa!$B40&amp;Mapa!CC$3),Atualizações!$E$1:$E$1029),"NÃO")</f>
        <v>NÃO</v>
      </c>
      <c r="AK55" s="161" t="str" cm="1">
        <f t="array" ref="AK55">IFERROR(LOOKUP(2,1/(Atualizações!$H$1:$H$1029=Mapa!$B40&amp;Mapa!CD$3),Atualizações!$E$1:$E$1029),"NÃO")</f>
        <v>NÃO</v>
      </c>
      <c r="AL55" s="161" t="str" cm="1">
        <f t="array" ref="AL55">IFERROR(LOOKUP(2,1/(Atualizações!$H$1:$H$1265=Mapa!$B40&amp;Mapa!CE$3),Atualizações!$E$1:$E$2994),"NÃO")</f>
        <v>NÃO</v>
      </c>
      <c r="AM55" s="161" cm="1">
        <f t="array" ref="AM55">IFERROR(LOOKUP(2,1/(Atualizações!$H$1:$H$2994=Tb_Mapa[[#This Row],[SEI]]&amp;Mapa!CF$3),Atualizações!$E$1:$E$2994),"NÃO")</f>
        <v>0.93</v>
      </c>
      <c r="AN55" s="161" cm="1">
        <f t="array" ref="AN55">IFERROR(LOOKUP(2,1/(Atualizações!$H$1:$H$2994=Tb_Mapa[[#This Row],[SEI]]&amp;Mapa!CG$3),Atualizações!$E$1:$E$2994),"NÃO")</f>
        <v>0.94</v>
      </c>
      <c r="AO55" s="161" cm="1">
        <f t="array" ref="AO55">IFERROR(LOOKUP(2,1/(Atualizações!$H$1:$H$2994=Tb_Mapa[[#This Row],[SEI]]&amp;Mapa!CH$3),Atualizações!$E$1:$E$2994),"NÃO")</f>
        <v>0.94</v>
      </c>
      <c r="AP55" s="161" cm="1">
        <f t="array" ref="AP55">IFERROR(LOOKUP(2,1/(Atualizações!$H$1:$H$2994=Tb_Mapa[[#This Row],[SEI]]&amp;Mapa!CI$3),Atualizações!$E$1:$E$2994),"NÃO")</f>
        <v>0.91</v>
      </c>
      <c r="AQ55" s="161" cm="1">
        <f t="array" ref="AQ55">IFERROR(LOOKUP(2,1/(Atualizações!$H$1:$H$2994=Tb_Mapa[[#This Row],[SEI]]&amp;Mapa!CJ$3),Atualizações!$E$1:$E$2994),"NÃO")</f>
        <v>0.91</v>
      </c>
      <c r="AR55" s="161" t="str" cm="1">
        <f t="array" ref="AR55">IFERROR(LOOKUP(2,1/(Atualizações!$H$1:$H$2994=Tb_Mapa[[#This Row],[SEI]]&amp;Mapa!CK$3),Atualizações!$E$1:$E$2994),"NÃO")</f>
        <v>NÃO</v>
      </c>
      <c r="AS55" s="161" t="str" cm="1">
        <f t="array" ref="AS55">IFERROR(LOOKUP(2,1/(Atualizações!$H$1:$H$2994=Tb_Mapa[[#This Row],[SEI]]&amp;Mapa!CL$3),Atualizações!$E$1:$E$2994),"NÃO")</f>
        <v>NÃO</v>
      </c>
      <c r="AT55" s="161" t="str" cm="1">
        <f t="array" ref="AT55">IFERROR(LOOKUP(2,1/(Atualizações!$H$1:$H$2994=Tb_Mapa[[#This Row],[SEI]]&amp;Mapa!CM$3),Atualizações!$E$1:$E$2994),"NÃO")</f>
        <v>NÃO</v>
      </c>
      <c r="AU55" s="161" t="str" cm="1">
        <f t="array" ref="AU55">IFERROR(LOOKUP(2,1/(Atualizações!$H$1:$H$2994=Tb_Mapa[[#This Row],[SEI]]&amp;Mapa!CN$3),Atualizações!$E$1:$E$2994),"NÃO")</f>
        <v>NÃO</v>
      </c>
      <c r="AV55" s="161" t="str" cm="1">
        <f t="array" ref="AV55">IFERROR(LOOKUP(2,1/(Atualizações!$H$1:$H$2994=Tb_Mapa[[#This Row],[SEI]]&amp;Mapa!CO$3),Atualizações!$E$1:$E$2994),"NÃO")</f>
        <v>NÃO</v>
      </c>
      <c r="AW55" s="161" t="str" cm="1">
        <f t="array" ref="AW55">IFERROR(LOOKUP(2,1/(Atualizações!$H$1:$H$2994=Tb_Mapa[[#This Row],[SEI]]&amp;Mapa!CP$3),Atualizações!$E$1:$E$2994),"NÃO")</f>
        <v>NÃO</v>
      </c>
      <c r="AX55" s="161" t="str" cm="1">
        <f t="array" ref="AX55">IFERROR(LOOKUP(2,1/(Atualizações!$H$1:$H$2994=Tb_Mapa[[#This Row],[SEI]]&amp;Mapa!CQ$3),Atualizações!$E$1:$E$2994),"NÃO")</f>
        <v>NÃO</v>
      </c>
    </row>
    <row r="56" spans="2:50" ht="32.25" hidden="1" customHeight="1">
      <c r="B56" s="709" t="s">
        <v>714</v>
      </c>
      <c r="C56" s="158" t="str">
        <f>_xlfn.XLOOKUP(Tb_Mapa[[#This Row],[SEI]],Tb_Portfólio[SEI],Tb_Portfólio[Portfólio 2025],"",0)</f>
        <v>Sim</v>
      </c>
      <c r="D56" s="158" t="str">
        <f>_xlfn.XLOOKUP(Tb_Mapa[[#This Row],[SEI]],Tb_Portfólio[SEI],Tb_Portfólio[Portfólio 2026],"",0)</f>
        <v>Sim</v>
      </c>
      <c r="E56" s="162" t="str">
        <f>_xlfn.XLOOKUP(Tb_Mapa[[#This Row],[SEI]],Tb_Portfólio[SEI],Tb_Portfólio[PROJETO],"",0)</f>
        <v>Programa Novos Caminhos</v>
      </c>
      <c r="F56" s="143" t="str">
        <f>INDEX(Projetos!$G$3:$G$129,MATCH(Tb_Mapa[[#This Row],[SEI]],Projetos!$A$3:$A$129,0))</f>
        <v>Caio Henrique Faustino da Silva</v>
      </c>
      <c r="G56" s="686" t="s">
        <v>1711</v>
      </c>
      <c r="H56" s="314">
        <f>INDEX(Projetos!$T$3:$T$129,MATCH(B56,Projetos!$A$3:$A$129,0))</f>
        <v>0</v>
      </c>
      <c r="I56" s="310">
        <f>INDEX(Projetos!$M$3:$M$129,MATCH(Mapa!B120,Projetos!$A$3:$A$129,0))</f>
        <v>46376</v>
      </c>
      <c r="J56" s="164" t="str">
        <f ca="1">IF(Tb_Mapa[[#This Row],[SITUAÇÃO]]="Finalizado", "Data atualizada", IFERROR(IF(Tb_Mapa[[#This Row],[DATA DE TÉRMINO]]&lt;$I$1,"Atualizar data de encerramento","Data atualizada"),"Sem informação"))</f>
        <v>Data atualizada</v>
      </c>
      <c r="K56" s="311">
        <f>INDEX(Projetos!$N$3:$N$129,MATCH(Tb_Mapa[[#This Row],[SEI]],Projetos!$A$3:$A$129,0))</f>
        <v>0.94</v>
      </c>
      <c r="L56" s="311">
        <f>INDEX(Projetos!$O$3:$O$129,MATCH(Tb_Mapa[[#This Row],[SEI]],Projetos!$A$3:$A$129,0))</f>
        <v>0.94</v>
      </c>
      <c r="M56" s="165" t="str">
        <f ca="1">_xlfn.XLOOKUP(Tb_Mapa[[#This Row],[SEI]],Tb_Portfólio[SEI],Tb_Portfólio[Situação],"N/A",0)</f>
        <v>No prazo</v>
      </c>
      <c r="N56" s="128" t="str" cm="1">
        <f t="array" ref="N56">IFERROR(LOOKUP(2,1/(Atualizações!$H$1:$H$486=Mapa!$B91&amp;Mapa!BG$3),Atualizações!$E$1:$E$486),"NÃO")</f>
        <v>NÃO</v>
      </c>
      <c r="O56" s="161"/>
      <c r="P56" s="161"/>
      <c r="Q56" s="161"/>
      <c r="R56" s="161"/>
      <c r="S56" s="161"/>
      <c r="T56" s="161"/>
      <c r="U56" s="161"/>
      <c r="V56" s="161"/>
      <c r="W56" s="161"/>
      <c r="X56" s="161"/>
      <c r="Y56" s="161"/>
      <c r="Z56" s="161" t="str" cm="1">
        <f t="array" ref="Z56">IFERROR(LOOKUP(2,1/(Atualizações!$H$1:$H$1029=Mapa!$B91&amp;Mapa!BS$3),Atualizações!$E$1:$E$1029),"NÃO")</f>
        <v>NÃO</v>
      </c>
      <c r="AA56" s="161" t="str" cm="1">
        <f t="array" ref="AA56">IFERROR(LOOKUP(2,1/(Atualizações!$H$1:$H$1029=Mapa!$B91&amp;Mapa!BT$3),Atualizações!$E$1:$E$1029),"NÃO")</f>
        <v>NÃO</v>
      </c>
      <c r="AB56" s="161" t="str" cm="1">
        <f t="array" ref="AB56">IFERROR(LOOKUP(2,1/(Atualizações!$H$1:$H$1029=Mapa!$B91&amp;Mapa!BU$3),Atualizações!$E$1:$E$1029),"NÃO")</f>
        <v>NÃO</v>
      </c>
      <c r="AC56" s="161" t="str" cm="1">
        <f t="array" ref="AC56">IFERROR(LOOKUP(2,1/(Atualizações!$H$1:$H$1029=Mapa!$B91&amp;Mapa!BV$3),Atualizações!$E$1:$E$1029),"NÃO")</f>
        <v>NÃO</v>
      </c>
      <c r="AD56" s="161" t="str" cm="1">
        <f t="array" ref="AD56">IFERROR(LOOKUP(2,1/(Atualizações!$H$1:$H$1029=Mapa!$B91&amp;Mapa!BW$3),Atualizações!$E$1:$E$1029),"NÃO")</f>
        <v>NÃO</v>
      </c>
      <c r="AE56" s="161" t="str" cm="1">
        <f t="array" ref="AE56">IFERROR(LOOKUP(2,1/(Atualizações!$H$1:$H$1029=Mapa!$B91&amp;Mapa!BX$3),Atualizações!$E$1:$E$1029),"NÃO")</f>
        <v>NÃO</v>
      </c>
      <c r="AF56" s="161" cm="1">
        <f t="array" ref="AF56">IFERROR(LOOKUP(2,1/(Atualizações!$H$1:$H$1029=Mapa!$B91&amp;Mapa!BY$3),Atualizações!$E$1:$E$1029),"NÃO")</f>
        <v>0</v>
      </c>
      <c r="AG56" s="161" t="str" cm="1">
        <f t="array" ref="AG56">IFERROR(LOOKUP(2,1/(Atualizações!$H$1:$H$1029=Mapa!$B91&amp;Mapa!BZ$3),Atualizações!$E$1:$E$1029),"NÃO")</f>
        <v>NÃO</v>
      </c>
      <c r="AH56" s="161" cm="1">
        <f t="array" ref="AH56">IFERROR(LOOKUP(2,1/(Atualizações!$H$1:$H$1029=Mapa!$B91&amp;Mapa!CA$3),Atualizações!$E$1:$E$1029),"NÃO")</f>
        <v>0.81</v>
      </c>
      <c r="AI56" s="161" cm="1">
        <f t="array" ref="AI56">IFERROR(LOOKUP(2,1/(Atualizações!$H$1:$H$1029=Mapa!$B91&amp;Mapa!CB$3),Atualizações!$E$1:$E$1029),"NÃO")</f>
        <v>1</v>
      </c>
      <c r="AJ56" s="161" t="str" cm="1">
        <f t="array" ref="AJ56">IFERROR(LOOKUP(2,1/(Atualizações!$H$1:$H$1029=Mapa!$B91&amp;Mapa!CC$3),Atualizações!$E$1:$E$1029),"NÃO")</f>
        <v>NÃO</v>
      </c>
      <c r="AK56" s="161" t="str" cm="1">
        <f t="array" ref="AK56">IFERROR(LOOKUP(2,1/(Atualizações!$H$1:$H$1029=Mapa!$B91&amp;Mapa!CD$3),Atualizações!$E$1:$E$1029),"NÃO")</f>
        <v>NÃO</v>
      </c>
      <c r="AL56" s="161" t="str" cm="1">
        <f t="array" ref="AL56">IFERROR(LOOKUP(2,1/(Atualizações!$H$1:$H$1265=Mapa!$B91&amp;Mapa!CE$3),Atualizações!$E$1:$E$2994),"NÃO")</f>
        <v>NÃO</v>
      </c>
      <c r="AM56" s="161" t="str" cm="1">
        <f t="array" ref="AM56">IFERROR(LOOKUP(2,1/(Atualizações!$H$1:$H$2994=Tb_Mapa[[#This Row],[SEI]]&amp;Mapa!CF$3),Atualizações!$E$1:$E$2994),"NÃO")</f>
        <v>NÃO</v>
      </c>
      <c r="AN56" s="161" t="str" cm="1">
        <f t="array" ref="AN56">IFERROR(LOOKUP(2,1/(Atualizações!$H$1:$H$2994=Tb_Mapa[[#This Row],[SEI]]&amp;Mapa!CG$3),Atualizações!$E$1:$E$2994),"NÃO")</f>
        <v>NÃO</v>
      </c>
      <c r="AO56" s="161" cm="1">
        <f t="array" ref="AO56">IFERROR(LOOKUP(2,1/(Atualizações!$H$1:$H$2994=Tb_Mapa[[#This Row],[SEI]]&amp;Mapa!CH$3),Atualizações!$E$1:$E$2994),"NÃO")</f>
        <v>0.94</v>
      </c>
      <c r="AP56" s="161" t="str" cm="1">
        <f t="array" ref="AP56">IFERROR(LOOKUP(2,1/(Atualizações!$H$1:$H$2994=Tb_Mapa[[#This Row],[SEI]]&amp;Mapa!CI$3),Atualizações!$E$1:$E$2994),"NÃO")</f>
        <v>NÃO</v>
      </c>
      <c r="AQ56" s="161" t="str" cm="1">
        <f t="array" ref="AQ56">IFERROR(LOOKUP(2,1/(Atualizações!$H$1:$H$2994=Tb_Mapa[[#This Row],[SEI]]&amp;Mapa!CJ$3),Atualizações!$E$1:$E$2994),"NÃO")</f>
        <v>NÃO</v>
      </c>
      <c r="AR56" s="161" t="str" cm="1">
        <f t="array" ref="AR56">IFERROR(LOOKUP(2,1/(Atualizações!$H$1:$H$2994=Tb_Mapa[[#This Row],[SEI]]&amp;Mapa!CK$3),Atualizações!$E$1:$E$2994),"NÃO")</f>
        <v>NÃO</v>
      </c>
      <c r="AS56" s="161" t="str" cm="1">
        <f t="array" ref="AS56">IFERROR(LOOKUP(2,1/(Atualizações!$H$1:$H$2994=Tb_Mapa[[#This Row],[SEI]]&amp;Mapa!CL$3),Atualizações!$E$1:$E$2994),"NÃO")</f>
        <v>NÃO</v>
      </c>
      <c r="AT56" s="161" t="str" cm="1">
        <f t="array" ref="AT56">IFERROR(LOOKUP(2,1/(Atualizações!$H$1:$H$2994=Tb_Mapa[[#This Row],[SEI]]&amp;Mapa!CM$3),Atualizações!$E$1:$E$2994),"NÃO")</f>
        <v>NÃO</v>
      </c>
      <c r="AU56" s="161" t="str" cm="1">
        <f t="array" ref="AU56">IFERROR(LOOKUP(2,1/(Atualizações!$H$1:$H$2994=Tb_Mapa[[#This Row],[SEI]]&amp;Mapa!CN$3),Atualizações!$E$1:$E$2994),"NÃO")</f>
        <v>NÃO</v>
      </c>
      <c r="AV56" s="161" t="str" cm="1">
        <f t="array" ref="AV56">IFERROR(LOOKUP(2,1/(Atualizações!$H$1:$H$2994=Tb_Mapa[[#This Row],[SEI]]&amp;Mapa!CO$3),Atualizações!$E$1:$E$2994),"NÃO")</f>
        <v>NÃO</v>
      </c>
      <c r="AW56" s="161" t="str" cm="1">
        <f t="array" ref="AW56">IFERROR(LOOKUP(2,1/(Atualizações!$H$1:$H$2994=Tb_Mapa[[#This Row],[SEI]]&amp;Mapa!CP$3),Atualizações!$E$1:$E$2994),"NÃO")</f>
        <v>NÃO</v>
      </c>
      <c r="AX56" s="161" t="str" cm="1">
        <f t="array" ref="AX56">IFERROR(LOOKUP(2,1/(Atualizações!$H$1:$H$2994=Tb_Mapa[[#This Row],[SEI]]&amp;Mapa!CQ$3),Atualizações!$E$1:$E$2994),"NÃO")</f>
        <v>NÃO</v>
      </c>
    </row>
    <row r="57" spans="2:50" ht="32.25" hidden="1" customHeight="1">
      <c r="B57" s="169" t="s">
        <v>533</v>
      </c>
      <c r="C57" s="169" t="str">
        <f>_xlfn.XLOOKUP(Tb_Mapa[[#This Row],[SEI]],Tb_Portfólio[SEI],Tb_Portfólio[Portfólio 2025],"",0)</f>
        <v>Sim</v>
      </c>
      <c r="D57" s="158" t="str">
        <f>_xlfn.XLOOKUP(Tb_Mapa[[#This Row],[SEI]],Tb_Portfólio[SEI],Tb_Portfólio[Portfólio 2026],"",0)</f>
        <v>Sim</v>
      </c>
      <c r="E57" s="162" t="str">
        <f>_xlfn.XLOOKUP(Tb_Mapa[[#This Row],[SEI]],Tb_Portfólio[SEI],Tb_Portfólio[PROJETO],"",0)</f>
        <v>Qualificação de Dados</v>
      </c>
      <c r="F57" s="143" t="str">
        <f>INDEX(Projetos!$G$3:$G$129,MATCH(Tb_Mapa[[#This Row],[SEI]],Projetos!$A$3:$A$129,0))</f>
        <v>Renato Toshiyuki Murasaki</v>
      </c>
      <c r="G57" s="715" t="s">
        <v>1710</v>
      </c>
      <c r="H57" s="314" t="str">
        <f>INDEX(Projetos!$T$3:$T$129,MATCH(B57,Projetos!$A$3:$A$129,0))</f>
        <v>Justiça 4.0</v>
      </c>
      <c r="I57" s="310">
        <f>INDEX(Projetos!$M$3:$M$129,MATCH(Tb_Mapa[[#This Row],[SEI]],Projetos!$A$3:$A$129,0))</f>
        <v>46386</v>
      </c>
      <c r="J57" s="164" t="str">
        <f ca="1">IF(Tb_Mapa[[#This Row],[SITUAÇÃO]]="Finalizado", "Data atualizada", IFERROR(IF(Tb_Mapa[[#This Row],[DATA DE TÉRMINO]]&lt;$I$1,"Atualizar data de encerramento","Data atualizada"),"Sem informação"))</f>
        <v>Data atualizada</v>
      </c>
      <c r="K57" s="311">
        <f>INDEX(Projetos!$N$3:$N$129,MATCH(Tb_Mapa[[#This Row],[SEI]],Projetos!$A$3:$A$129,0))</f>
        <v>0.75</v>
      </c>
      <c r="L57" s="311">
        <f>INDEX(Projetos!$O$3:$O$129,MATCH(Tb_Mapa[[#This Row],[SEI]],Projetos!$A$3:$A$129,0))</f>
        <v>0.66</v>
      </c>
      <c r="M57" s="165" t="str">
        <f ca="1">_xlfn.XLOOKUP(Tb_Mapa[[#This Row],[SEI]],Tb_Portfólio[SEI],Tb_Portfólio[Situação],"N/A",0)</f>
        <v>Em atenção</v>
      </c>
      <c r="N57" s="128" t="str" cm="1">
        <f t="array" ref="N57">IFERROR(LOOKUP(2,1/(Atualizações!$H$1:$H$486=Mapa!$B50&amp;Mapa!BG$3),Atualizações!$E$1:$E$486),"NÃO")</f>
        <v>NÃO</v>
      </c>
      <c r="O57" s="161" t="str" cm="1">
        <f t="array" ref="O57">IFERROR(LOOKUP(2,1/(Atualizações!$H$1:$H$580=Mapa!$B50&amp;Mapa!BH$3),Atualizações!$E$1:$E$580),"NÃO")</f>
        <v>NÃO</v>
      </c>
      <c r="P57" s="161" t="str" cm="1">
        <f t="array" ref="P57">IFERROR(LOOKUP(2,1/(Atualizações!$H$1:$H$580=Mapa!$B50&amp;Mapa!BI$3),Atualizações!$E$1:$E$580),"NÃO")</f>
        <v>NÃO</v>
      </c>
      <c r="Q57" s="161" t="str" cm="1">
        <f t="array" ref="Q57">IFERROR(LOOKUP(2,1/(Atualizações!$H$1:$H$580=Mapa!$B50&amp;Mapa!BJ$3),Atualizações!$E$1:$E$580),"NÃO")</f>
        <v>NÃO</v>
      </c>
      <c r="R57" s="161" t="str" cm="1">
        <f t="array" ref="R57">IFERROR(LOOKUP(2,1/(Atualizações!$H$1:$H$580=Mapa!$B50&amp;Mapa!BK$3),Atualizações!$E$1:$E$580),"NÃO")</f>
        <v>NÃO</v>
      </c>
      <c r="S57" s="161" t="str" cm="1">
        <f t="array" ref="S57">IFERROR(LOOKUP(2,1/(Atualizações!$H$1:$H$580=Mapa!$B50&amp;Mapa!BL$3),Atualizações!$E$1:$E$580),"NÃO")</f>
        <v>NÃO</v>
      </c>
      <c r="T57" s="161" t="str" cm="1">
        <f t="array" ref="T57">IFERROR(LOOKUP(2,1/(Atualizações!$H$1:$H$580=Mapa!$B50&amp;Mapa!BM$3),Atualizações!$E$1:$E$580),"NÃO")</f>
        <v>NÃO</v>
      </c>
      <c r="U57" s="161" t="str" cm="1">
        <f t="array" ref="U57">IFERROR(LOOKUP(2,1/(Atualizações!$H$1:$H$580=Mapa!$B50&amp;Mapa!BN$3),Atualizações!$E$1:$E$580),"NÃO")</f>
        <v>NÃO</v>
      </c>
      <c r="V57" s="161" t="str" cm="1">
        <f t="array" ref="V57">IFERROR(LOOKUP(2,1/(Atualizações!$H$1:$H$580=Mapa!$B50&amp;Mapa!BO$3),Atualizações!$E$1:$E$580),"NÃO")</f>
        <v>NÃO</v>
      </c>
      <c r="W57" s="161" t="str" cm="1">
        <f t="array" ref="W57">IFERROR(LOOKUP(2,1/(Atualizações!$H$1:$H$580=Mapa!$B50&amp;Mapa!BP$3),Atualizações!$E$1:$E$580),"NÃO")</f>
        <v>NÃO</v>
      </c>
      <c r="X57" s="161" t="str" cm="1">
        <f t="array" ref="X57">IFERROR(LOOKUP(2,1/(Atualizações!$H$1:$H$580=Mapa!$B50&amp;Mapa!BQ$3),Atualizações!$E$1:$E$580),"NÃO")</f>
        <v>NÃO</v>
      </c>
      <c r="Y57" s="161" t="str" cm="1">
        <f t="array" ref="Y57">IFERROR(LOOKUP(2,1/(Atualizações!$H$1:$H$580=Mapa!$B50&amp;Mapa!BR$3),Atualizações!$E$1:$E$580),"NÃO")</f>
        <v>NÃO</v>
      </c>
      <c r="Z57" s="161" t="str" cm="1">
        <f t="array" ref="Z57">IFERROR(LOOKUP(2,1/(Atualizações!$H$1:$H$1029=Mapa!$B50&amp;Mapa!BS$3),Atualizações!$E$1:$E$1029),"NÃO")</f>
        <v>NÃO</v>
      </c>
      <c r="AA57" s="161" t="str" cm="1">
        <f t="array" ref="AA57">IFERROR(LOOKUP(2,1/(Atualizações!$H$1:$H$1029=Mapa!$B50&amp;Mapa!BT$3),Atualizações!$E$1:$E$1029),"NÃO")</f>
        <v>NÃO</v>
      </c>
      <c r="AB57" s="161" t="str" cm="1">
        <f t="array" ref="AB57">IFERROR(LOOKUP(2,1/(Atualizações!$H$1:$H$1029=Mapa!$B50&amp;Mapa!BU$3),Atualizações!$E$1:$E$1029),"NÃO")</f>
        <v>NÃO</v>
      </c>
      <c r="AC57" s="161" t="str" cm="1">
        <f t="array" ref="AC57">IFERROR(LOOKUP(2,1/(Atualizações!$H$1:$H$1029=Mapa!$B50&amp;Mapa!BV$3),Atualizações!$E$1:$E$1029),"NÃO")</f>
        <v>NÃO</v>
      </c>
      <c r="AD57" s="161" t="str" cm="1">
        <f t="array" ref="AD57">IFERROR(LOOKUP(2,1/(Atualizações!$H$1:$H$1029=Mapa!$B50&amp;Mapa!BW$3),Atualizações!$E$1:$E$1029),"NÃO")</f>
        <v>NÃO</v>
      </c>
      <c r="AE57" s="161" t="str" cm="1">
        <f t="array" ref="AE57">IFERROR(LOOKUP(2,1/(Atualizações!$H$1:$H$1029=Mapa!$B50&amp;Mapa!BX$3),Atualizações!$E$1:$E$1029),"NÃO")</f>
        <v>NÃO</v>
      </c>
      <c r="AF57" s="161" t="str" cm="1">
        <f t="array" ref="AF57">IFERROR(LOOKUP(2,1/(Atualizações!$H$1:$H$1029=Mapa!$B50&amp;Mapa!BY$3),Atualizações!$E$1:$E$1029),"NÃO")</f>
        <v>NÃO</v>
      </c>
      <c r="AG57" s="161" t="str" cm="1">
        <f t="array" ref="AG57">IFERROR(LOOKUP(2,1/(Atualizações!$H$1:$H$1029=Mapa!$B50&amp;Mapa!BZ$3),Atualizações!$E$1:$E$1029),"NÃO")</f>
        <v>NÃO</v>
      </c>
      <c r="AH57" s="161" t="str" cm="1">
        <f t="array" ref="AH57">IFERROR(LOOKUP(2,1/(Atualizações!$H$1:$H$1029=Mapa!$B50&amp;Mapa!CA$3),Atualizações!$E$1:$E$1029),"NÃO")</f>
        <v>NÃO</v>
      </c>
      <c r="AI57" s="161" t="str" cm="1">
        <f t="array" ref="AI57">IFERROR(LOOKUP(2,1/(Atualizações!$H$1:$H$1029=Mapa!$B50&amp;Mapa!CB$3),Atualizações!$E$1:$E$1029),"NÃO")</f>
        <v>NÃO</v>
      </c>
      <c r="AJ57" s="161" t="str" cm="1">
        <f t="array" ref="AJ57">IFERROR(LOOKUP(2,1/(Atualizações!$H$1:$H$1029=Mapa!$B50&amp;Mapa!CC$3),Atualizações!$E$1:$E$1029),"NÃO")</f>
        <v>NÃO</v>
      </c>
      <c r="AK57" s="161" t="str" cm="1">
        <f t="array" ref="AK57">IFERROR(LOOKUP(2,1/(Atualizações!$H$1:$H$1029=Mapa!$B50&amp;Mapa!CD$3),Atualizações!$E$1:$E$1029),"NÃO")</f>
        <v>NÃO</v>
      </c>
      <c r="AL57" s="161" t="str" cm="1">
        <f t="array" ref="AL57">IFERROR(LOOKUP(2,1/(Atualizações!$H$1:$H$1265=Mapa!$B50&amp;Mapa!CE$3),Atualizações!$E$1:$E$2994),"NÃO")</f>
        <v>NÃO</v>
      </c>
      <c r="AM57" s="161" t="str" cm="1">
        <f t="array" ref="AM57">IFERROR(LOOKUP(2,1/(Atualizações!$H$1:$H$2994=Tb_Mapa[[#This Row],[SEI]]&amp;Mapa!CF$3),Atualizações!$E$1:$E$2994),"NÃO")</f>
        <v>NÃO</v>
      </c>
      <c r="AN57" s="161" cm="1">
        <f t="array" ref="AN57">IFERROR(LOOKUP(2,1/(Atualizações!$H$1:$H$2994=Tb_Mapa[[#This Row],[SEI]]&amp;Mapa!CG$3),Atualizações!$E$1:$E$2994),"NÃO")</f>
        <v>0.91</v>
      </c>
      <c r="AO57" s="161" cm="1">
        <f t="array" ref="AO57">IFERROR(LOOKUP(2,1/(Atualizações!$H$1:$H$2994=Tb_Mapa[[#This Row],[SEI]]&amp;Mapa!CH$3),Atualizações!$E$1:$E$2994),"NÃO")</f>
        <v>0.93</v>
      </c>
      <c r="AP57" s="161" cm="1">
        <f t="array" ref="AP57">IFERROR(LOOKUP(2,1/(Atualizações!$H$1:$H$2994=Tb_Mapa[[#This Row],[SEI]]&amp;Mapa!CI$3),Atualizações!$E$1:$E$2994),"NÃO")</f>
        <v>0.59</v>
      </c>
      <c r="AQ57" s="161" cm="1">
        <f t="array" ref="AQ57">IFERROR(LOOKUP(2,1/(Atualizações!$H$1:$H$2994=Tb_Mapa[[#This Row],[SEI]]&amp;Mapa!CJ$3),Atualizações!$E$1:$E$2994),"NÃO")</f>
        <v>0.66</v>
      </c>
      <c r="AR57" s="161" t="str" cm="1">
        <f t="array" ref="AR57">IFERROR(LOOKUP(2,1/(Atualizações!$H$1:$H$2994=Tb_Mapa[[#This Row],[SEI]]&amp;Mapa!CK$3),Atualizações!$E$1:$E$2994),"NÃO")</f>
        <v>NÃO</v>
      </c>
      <c r="AS57" s="161" t="str" cm="1">
        <f t="array" ref="AS57">IFERROR(LOOKUP(2,1/(Atualizações!$H$1:$H$2994=Tb_Mapa[[#This Row],[SEI]]&amp;Mapa!CL$3),Atualizações!$E$1:$E$2994),"NÃO")</f>
        <v>NÃO</v>
      </c>
      <c r="AT57" s="161" t="str" cm="1">
        <f t="array" ref="AT57">IFERROR(LOOKUP(2,1/(Atualizações!$H$1:$H$2994=Tb_Mapa[[#This Row],[SEI]]&amp;Mapa!CM$3),Atualizações!$E$1:$E$2994),"NÃO")</f>
        <v>NÃO</v>
      </c>
      <c r="AU57" s="161" t="str" cm="1">
        <f t="array" ref="AU57">IFERROR(LOOKUP(2,1/(Atualizações!$H$1:$H$2994=Tb_Mapa[[#This Row],[SEI]]&amp;Mapa!CN$3),Atualizações!$E$1:$E$2994),"NÃO")</f>
        <v>NÃO</v>
      </c>
      <c r="AV57" s="161" t="str" cm="1">
        <f t="array" ref="AV57">IFERROR(LOOKUP(2,1/(Atualizações!$H$1:$H$2994=Tb_Mapa[[#This Row],[SEI]]&amp;Mapa!CO$3),Atualizações!$E$1:$E$2994),"NÃO")</f>
        <v>NÃO</v>
      </c>
      <c r="AW57" s="161" t="str" cm="1">
        <f t="array" ref="AW57">IFERROR(LOOKUP(2,1/(Atualizações!$H$1:$H$2994=Tb_Mapa[[#This Row],[SEI]]&amp;Mapa!CP$3),Atualizações!$E$1:$E$2994),"NÃO")</f>
        <v>NÃO</v>
      </c>
      <c r="AX57" s="161" t="str" cm="1">
        <f t="array" ref="AX57">IFERROR(LOOKUP(2,1/(Atualizações!$H$1:$H$2994=Tb_Mapa[[#This Row],[SEI]]&amp;Mapa!CQ$3),Atualizações!$E$1:$E$2994),"NÃO")</f>
        <v>NÃO</v>
      </c>
    </row>
    <row r="58" spans="2:50" ht="32.25" hidden="1" customHeight="1">
      <c r="B58" s="143" t="s">
        <v>615</v>
      </c>
      <c r="C58" s="143" t="str">
        <f>_xlfn.XLOOKUP(Tb_Mapa[[#This Row],[SEI]],Tb_Portfólio[SEI],Tb_Portfólio[Portfólio 2025],"",0)</f>
        <v>Sim</v>
      </c>
      <c r="D58" s="158" t="str">
        <f>_xlfn.XLOOKUP(Tb_Mapa[[#This Row],[SEI]],Tb_Portfólio[SEI],Tb_Portfólio[Portfólio 2026],"",0)</f>
        <v>Não</v>
      </c>
      <c r="E58" s="162" t="str">
        <f>_xlfn.XLOOKUP(Tb_Mapa[[#This Row],[SEI]],Tb_Portfólio[SEI],Tb_Portfólio[PROJETO],"",0)</f>
        <v>Polícia Judicial Amiga dos Autistas</v>
      </c>
      <c r="F58" s="697" t="str">
        <f>INDEX(Projetos!$G$3:$G$129,MATCH(B58,Projetos!$A$3:$A$129,0))</f>
        <v>Fábio de Carvalho Rodrigues Paraguassu</v>
      </c>
      <c r="G58" s="703" t="s">
        <v>277</v>
      </c>
      <c r="H58" s="699">
        <f>INDEX(Projetos!$T$3:$T$129,MATCH(B58,Projetos!$A$3:$A$129,0))</f>
        <v>0</v>
      </c>
      <c r="I58" s="310">
        <f>INDEX(Projetos!$M$3:$M$129,MATCH(Mapa!B30,Projetos!$A$3:$A$129,0))</f>
        <v>46630</v>
      </c>
      <c r="J58" s="164" t="str">
        <f>IF(Tb_Mapa[[#This Row],[SITUAÇÃO]]="Finalizado", "Data atualizada", IFERROR(IF(I58&lt;$CN$3,"Atualizar data de encerramento","Data atualizada"),"Sem informação"))</f>
        <v>Data atualizada</v>
      </c>
      <c r="K58" s="311">
        <f>INDEX(Projetos!$N$3:$N$129,MATCH(Tb_Mapa[[#This Row],[SEI]],Projetos!$A$3:$A$129,0))</f>
        <v>1</v>
      </c>
      <c r="L58" s="311">
        <f>INDEX(Projetos!$O$3:$O$129,MATCH(Tb_Mapa[[#This Row],[SEI]],Projetos!$A$3:$A$129,0))</f>
        <v>1</v>
      </c>
      <c r="M58" s="165" t="str">
        <f>_xlfn.XLOOKUP(Tb_Mapa[[#This Row],[SEI]],Tb_Portfólio[SEI],Tb_Portfólio[Situação],"N/A",0)</f>
        <v>Finalizado</v>
      </c>
      <c r="N58" s="128" t="str" cm="1">
        <f t="array" ref="N58">IFERROR(LOOKUP(2,1/(Atualizações!$H$1:$H$486=Mapa!$B30&amp;Mapa!BG$3),Atualizações!$E$1:$E$486),"NÃO")</f>
        <v>NÃO</v>
      </c>
      <c r="O58" s="161" cm="1">
        <f t="array" ref="O58">IFERROR(LOOKUP(2,1/(Atualizações!$H$1:$H$580=Mapa!$B30&amp;Mapa!BH$3),Atualizações!$E$1:$E$580),"NÃO")</f>
        <v>0.98</v>
      </c>
      <c r="P58" s="161" t="str" cm="1">
        <f t="array" ref="P58">IFERROR(LOOKUP(2,1/(Atualizações!$H$1:$H$580=Mapa!$B30&amp;Mapa!BI$3),Atualizações!$E$1:$E$580),"NÃO")</f>
        <v>NÃO</v>
      </c>
      <c r="Q58" s="161" t="str" cm="1">
        <f t="array" ref="Q58">IFERROR(LOOKUP(2,1/(Atualizações!$H$1:$H$580=Mapa!$B30&amp;Mapa!BJ$3),Atualizações!$E$1:$E$580),"NÃO")</f>
        <v>NÃO</v>
      </c>
      <c r="R58" s="161" t="str" cm="1">
        <f t="array" ref="R58">IFERROR(LOOKUP(2,1/(Atualizações!$H$1:$H$580=Mapa!$B30&amp;Mapa!BK$3),Atualizações!$E$1:$E$580),"NÃO")</f>
        <v>NÃO</v>
      </c>
      <c r="S58" s="161" t="str" cm="1">
        <f t="array" ref="S58">IFERROR(LOOKUP(2,1/(Atualizações!$H$1:$H$580=Mapa!$B30&amp;Mapa!BL$3),Atualizações!$E$1:$E$580),"NÃO")</f>
        <v>NÃO</v>
      </c>
      <c r="T58" s="161" t="str" cm="1">
        <f t="array" ref="T58">IFERROR(LOOKUP(2,1/(Atualizações!$H$1:$H$580=Mapa!$B30&amp;Mapa!BM$3),Atualizações!$E$1:$E$580),"NÃO")</f>
        <v>NÃO</v>
      </c>
      <c r="U58" s="161" t="str" cm="1">
        <f t="array" ref="U58">IFERROR(LOOKUP(2,1/(Atualizações!$H$1:$H$580=Mapa!$B30&amp;Mapa!BN$3),Atualizações!$E$1:$E$580),"NÃO")</f>
        <v>NÃO</v>
      </c>
      <c r="V58" s="161" cm="1">
        <f t="array" ref="V58">IFERROR(LOOKUP(2,1/(Atualizações!$H$1:$H$580=Mapa!$B30&amp;Mapa!BO$3),Atualizações!$E$1:$E$580),"NÃO")</f>
        <v>0.97</v>
      </c>
      <c r="W58" s="161" cm="1">
        <f t="array" ref="W58">IFERROR(LOOKUP(2,1/(Atualizações!$H$1:$H$580=Mapa!$B30&amp;Mapa!BP$3),Atualizações!$E$1:$E$580),"NÃO")</f>
        <v>0.93</v>
      </c>
      <c r="X58" s="161" t="str" cm="1">
        <f t="array" ref="X58">IFERROR(LOOKUP(2,1/(Atualizações!$H$1:$H$580=Mapa!$B30&amp;Mapa!BQ$3),Atualizações!$E$1:$E$580),"NÃO")</f>
        <v>NÃO</v>
      </c>
      <c r="Y58" s="161" t="str" cm="1">
        <f t="array" ref="Y58">IFERROR(LOOKUP(2,1/(Atualizações!$H$1:$H$580=Mapa!$B30&amp;Mapa!BR$3),Atualizações!$E$1:$E$580),"NÃO")</f>
        <v>NÃO</v>
      </c>
      <c r="Z58" s="161" cm="1">
        <f t="array" ref="Z58">IFERROR(LOOKUP(2,1/(Atualizações!$H$1:$H$1029=Mapa!$B30&amp;Mapa!BS$3),Atualizações!$E$1:$E$1029),"NÃO")</f>
        <v>0.95</v>
      </c>
      <c r="AA58" s="161" t="str" cm="1">
        <f t="array" ref="AA58">IFERROR(LOOKUP(2,1/(Atualizações!$H$1:$H$1029=Mapa!$B30&amp;Mapa!BT$3),Atualizações!$E$1:$E$1029),"NÃO")</f>
        <v>NÃO</v>
      </c>
      <c r="AB58" s="161" t="str" cm="1">
        <f t="array" ref="AB58">IFERROR(LOOKUP(2,1/(Atualizações!$H$1:$H$1029=Mapa!$B30&amp;Mapa!BU$3),Atualizações!$E$1:$E$1029),"NÃO")</f>
        <v>NÃO</v>
      </c>
      <c r="AC58" s="161" cm="1">
        <f t="array" ref="AC58">IFERROR(LOOKUP(2,1/(Atualizações!$H$1:$H$1029=Mapa!$B30&amp;Mapa!BV$3),Atualizações!$E$1:$E$1029),"NÃO")</f>
        <v>0.97</v>
      </c>
      <c r="AD58" s="161" t="str" cm="1">
        <f t="array" ref="AD58">IFERROR(LOOKUP(2,1/(Atualizações!$H$1:$H$1029=Mapa!$B30&amp;Mapa!BW$3),Atualizações!$E$1:$E$1029),"NÃO")</f>
        <v>NÃO</v>
      </c>
      <c r="AE58" s="161" t="str" cm="1">
        <f t="array" ref="AE58">IFERROR(LOOKUP(2,1/(Atualizações!$H$1:$H$1029=Mapa!$B30&amp;Mapa!BX$3),Atualizações!$E$1:$E$1029),"NÃO")</f>
        <v>NÃO</v>
      </c>
      <c r="AF58" s="161" cm="1">
        <f t="array" ref="AF58">IFERROR(LOOKUP(2,1/(Atualizações!$H$1:$H$1029=Mapa!$B30&amp;Mapa!BY$3),Atualizações!$E$1:$E$1029),"NÃO")</f>
        <v>0.98</v>
      </c>
      <c r="AG58" s="161" t="str" cm="1">
        <f t="array" ref="AG58">IFERROR(LOOKUP(2,1/(Atualizações!$H$1:$H$1029=Mapa!$B30&amp;Mapa!BZ$3),Atualizações!$E$1:$E$1029),"NÃO")</f>
        <v>NÃO</v>
      </c>
      <c r="AH58" s="161" t="str" cm="1">
        <f t="array" ref="AH58">IFERROR(LOOKUP(2,1/(Atualizações!$H$1:$H$1029=Mapa!$B30&amp;Mapa!CA$3),Atualizações!$E$1:$E$1029),"NÃO")</f>
        <v>NÃO</v>
      </c>
      <c r="AI58" s="161" t="str" cm="1">
        <f t="array" ref="AI58">IFERROR(LOOKUP(2,1/(Atualizações!$H$1:$H$1029=Mapa!$B30&amp;Mapa!CB$3),Atualizações!$E$1:$E$1029),"NÃO")</f>
        <v>NÃO</v>
      </c>
      <c r="AJ58" s="161" t="str" cm="1">
        <f t="array" ref="AJ58">IFERROR(LOOKUP(2,1/(Atualizações!$H$1:$H$1029=Mapa!$B30&amp;Mapa!CC$3),Atualizações!$E$1:$E$1029),"NÃO")</f>
        <v>NÃO</v>
      </c>
      <c r="AK58" s="161" t="str" cm="1">
        <f t="array" ref="AK58">IFERROR(LOOKUP(2,1/(Atualizações!$H$1:$H$1029=Mapa!$B30&amp;Mapa!CD$3),Atualizações!$E$1:$E$1029),"NÃO")</f>
        <v>NÃO</v>
      </c>
      <c r="AL58" s="161" cm="1">
        <f t="array" ref="AL58">IFERROR(LOOKUP(2,1/(Atualizações!$H$1:$H$1265=Mapa!$B30&amp;Mapa!CE$3),Atualizações!$E$1:$E$2994),"NÃO")</f>
        <v>0.84</v>
      </c>
      <c r="AM58" s="161" t="str" cm="1">
        <f t="array" ref="AM58">IFERROR(LOOKUP(2,1/(Atualizações!$H$1:$H$2994=Tb_Mapa[[#This Row],[SEI]]&amp;Mapa!CF$3),Atualizações!$E$1:$E$2994),"NÃO")</f>
        <v>NÃO</v>
      </c>
      <c r="AN58" s="161" t="str" cm="1">
        <f t="array" ref="AN58">IFERROR(LOOKUP(2,1/(Atualizações!$H$1:$H$2994=Tb_Mapa[[#This Row],[SEI]]&amp;Mapa!CG$3),Atualizações!$E$1:$E$2994),"NÃO")</f>
        <v>NÃO</v>
      </c>
      <c r="AO58" s="161" t="str" cm="1">
        <f t="array" ref="AO58">IFERROR(LOOKUP(2,1/(Atualizações!$H$1:$H$2994=Tb_Mapa[[#This Row],[SEI]]&amp;Mapa!CH$3),Atualizações!$E$1:$E$2994),"NÃO")</f>
        <v>NÃO</v>
      </c>
      <c r="AP58" s="161" t="str" cm="1">
        <f t="array" ref="AP58">IFERROR(LOOKUP(2,1/(Atualizações!$H$1:$H$2994=Tb_Mapa[[#This Row],[SEI]]&amp;Mapa!CI$3),Atualizações!$E$1:$E$2994),"NÃO")</f>
        <v>NÃO</v>
      </c>
      <c r="AQ58" s="161" t="str" cm="1">
        <f t="array" ref="AQ58">IFERROR(LOOKUP(2,1/(Atualizações!$H$1:$H$2994=Tb_Mapa[[#This Row],[SEI]]&amp;Mapa!CJ$3),Atualizações!$E$1:$E$2994),"NÃO")</f>
        <v>NÃO</v>
      </c>
      <c r="AR58" s="161" t="str" cm="1">
        <f t="array" ref="AR58">IFERROR(LOOKUP(2,1/(Atualizações!$H$1:$H$2994=Tb_Mapa[[#This Row],[SEI]]&amp;Mapa!CK$3),Atualizações!$E$1:$E$2994),"NÃO")</f>
        <v>NÃO</v>
      </c>
      <c r="AS58" s="161" t="str" cm="1">
        <f t="array" ref="AS58">IFERROR(LOOKUP(2,1/(Atualizações!$H$1:$H$2994=Tb_Mapa[[#This Row],[SEI]]&amp;Mapa!CL$3),Atualizações!$E$1:$E$2994),"NÃO")</f>
        <v>NÃO</v>
      </c>
      <c r="AT58" s="161" t="str" cm="1">
        <f t="array" ref="AT58">IFERROR(LOOKUP(2,1/(Atualizações!$H$1:$H$2994=Tb_Mapa[[#This Row],[SEI]]&amp;Mapa!CM$3),Atualizações!$E$1:$E$2994),"NÃO")</f>
        <v>NÃO</v>
      </c>
      <c r="AU58" s="161" t="str" cm="1">
        <f t="array" ref="AU58">IFERROR(LOOKUP(2,1/(Atualizações!$H$1:$H$2994=Tb_Mapa[[#This Row],[SEI]]&amp;Mapa!CN$3),Atualizações!$E$1:$E$2994),"NÃO")</f>
        <v>NÃO</v>
      </c>
      <c r="AV58" s="161" t="str" cm="1">
        <f t="array" ref="AV58">IFERROR(LOOKUP(2,1/(Atualizações!$H$1:$H$2994=Tb_Mapa[[#This Row],[SEI]]&amp;Mapa!CO$3),Atualizações!$E$1:$E$2994),"NÃO")</f>
        <v>NÃO</v>
      </c>
      <c r="AW58" s="161" t="str" cm="1">
        <f t="array" ref="AW58">IFERROR(LOOKUP(2,1/(Atualizações!$H$1:$H$2994=Tb_Mapa[[#This Row],[SEI]]&amp;Mapa!CP$3),Atualizações!$E$1:$E$2994),"NÃO")</f>
        <v>NÃO</v>
      </c>
      <c r="AX58" s="161" t="str" cm="1">
        <f t="array" ref="AX58">IFERROR(LOOKUP(2,1/(Atualizações!$H$1:$H$2994=Tb_Mapa[[#This Row],[SEI]]&amp;Mapa!CQ$3),Atualizações!$E$1:$E$2994),"NÃO")</f>
        <v>NÃO</v>
      </c>
    </row>
    <row r="59" spans="2:50" ht="32.25" hidden="1" customHeight="1">
      <c r="B59" s="678" t="s">
        <v>609</v>
      </c>
      <c r="C59" s="678" t="str">
        <f>_xlfn.XLOOKUP(Tb_Mapa[[#This Row],[SEI]],Tb_Portfólio[SEI],Tb_Portfólio[Portfólio 2025],"",0)</f>
        <v>Sim</v>
      </c>
      <c r="D59" s="158" t="str">
        <f>_xlfn.XLOOKUP(Tb_Mapa[[#This Row],[SEI]],Tb_Portfólio[SEI],Tb_Portfólio[Portfólio 2026],"",0)</f>
        <v>Não</v>
      </c>
      <c r="E59" s="162" t="str">
        <f>_xlfn.XLOOKUP(Tb_Mapa[[#This Row],[SEI]],Tb_Portfólio[SEI],Tb_Portfólio[PROJETO],"",0)</f>
        <v>SPVATJUD</v>
      </c>
      <c r="F59" s="694" t="str">
        <f>INDEX(Projetos!$G$3:$G$129,MATCH(B59,Projetos!$A$3:$A$129,0))</f>
        <v>Carlo Borsoi Moura</v>
      </c>
      <c r="G59" s="684" t="s">
        <v>277</v>
      </c>
      <c r="H59" s="699" t="str">
        <f>INDEX(Projetos!$T$3:$T$129,MATCH(B59,Projetos!$A$3:$A$129,0))</f>
        <v>Justiça 4.0</v>
      </c>
      <c r="I59" s="310">
        <f>INDEX(Projetos!$M$3:$M$129,MATCH(Mapa!B13,Projetos!$A$3:$A$129,0))</f>
        <v>46387</v>
      </c>
      <c r="J59" s="164" t="str">
        <f>IF(Tb_Mapa[[#This Row],[SITUAÇÃO]]="Finalizado", "Data atualizada", IFERROR(IF(I59&lt;$CN$3,"Atualizar data de encerramento","Data atualizada"),"Sem informação"))</f>
        <v>Data atualizada</v>
      </c>
      <c r="K59" s="311">
        <f>INDEX(Projetos!$N$3:$N$129,MATCH(Tb_Mapa[[#This Row],[SEI]],Projetos!$A$3:$A$129,0))</f>
        <v>1</v>
      </c>
      <c r="L59" s="311">
        <f>INDEX(Projetos!$O$3:$O$129,MATCH(Tb_Mapa[[#This Row],[SEI]],Projetos!$A$3:$A$129,0))</f>
        <v>1</v>
      </c>
      <c r="M59" s="165" t="str">
        <f>_xlfn.XLOOKUP(Tb_Mapa[[#This Row],[SEI]],Tb_Portfólio[SEI],Tb_Portfólio[Situação],"N/A",0)</f>
        <v>Finalizado</v>
      </c>
      <c r="N59" s="128" t="str" cm="1">
        <f t="array" ref="N59">IFERROR(LOOKUP(2,1/(Atualizações!$H$1:$H$486=Mapa!$B13&amp;Mapa!BG$3),Atualizações!$E$1:$E$486),"NÃO")</f>
        <v>NÃO</v>
      </c>
      <c r="O59" s="205" t="str" cm="1">
        <f t="array" ref="O59">IFERROR(LOOKUP(2,1/(Atualizações!$H$1:$H$580=Mapa!$B13&amp;Mapa!BH$3),Atualizações!$E$1:$E$580),"NÃO")</f>
        <v>NÃO</v>
      </c>
      <c r="P59" s="205" t="str" cm="1">
        <f t="array" ref="P59">IFERROR(LOOKUP(2,1/(Atualizações!$H$1:$H$580=Mapa!$B13&amp;Mapa!BI$3),Atualizações!$E$1:$E$580),"NÃO")</f>
        <v>NÃO</v>
      </c>
      <c r="Q59" s="205" t="str" cm="1">
        <f t="array" ref="Q59">IFERROR(LOOKUP(2,1/(Atualizações!$H$1:$H$580=Mapa!$B13&amp;Mapa!BJ$3),Atualizações!$E$1:$E$580),"NÃO")</f>
        <v>NÃO</v>
      </c>
      <c r="R59" s="205" t="str" cm="1">
        <f t="array" ref="R59">IFERROR(LOOKUP(2,1/(Atualizações!$H$1:$H$580=Mapa!$B13&amp;Mapa!BK$3),Atualizações!$E$1:$E$580),"NÃO")</f>
        <v>NÃO</v>
      </c>
      <c r="S59" s="205" t="str" cm="1">
        <f t="array" ref="S59">IFERROR(LOOKUP(2,1/(Atualizações!$H$1:$H$580=Mapa!$B13&amp;Mapa!BL$3),Atualizações!$E$1:$E$580),"NÃO")</f>
        <v>NÃO</v>
      </c>
      <c r="T59" s="205" t="str" cm="1">
        <f t="array" ref="T59">IFERROR(LOOKUP(2,1/(Atualizações!$H$1:$H$580=Mapa!$B13&amp;Mapa!BM$3),Atualizações!$E$1:$E$580),"NÃO")</f>
        <v>NÃO</v>
      </c>
      <c r="U59" s="205" t="str" cm="1">
        <f t="array" ref="U59">IFERROR(LOOKUP(2,1/(Atualizações!$H$1:$H$580=Mapa!$B13&amp;Mapa!BN$3),Atualizações!$E$1:$E$580),"NÃO")</f>
        <v>NÃO</v>
      </c>
      <c r="V59" s="205" t="str" cm="1">
        <f t="array" ref="V59">IFERROR(LOOKUP(2,1/(Atualizações!$H$1:$H$580=Mapa!$B13&amp;Mapa!BO$3),Atualizações!$E$1:$E$580),"NÃO")</f>
        <v>NÃO</v>
      </c>
      <c r="W59" s="205" t="str" cm="1">
        <f t="array" ref="W59">IFERROR(LOOKUP(2,1/(Atualizações!$H$1:$H$580=Mapa!$B13&amp;Mapa!BP$3),Atualizações!$E$1:$E$580),"NÃO")</f>
        <v>NÃO</v>
      </c>
      <c r="X59" s="205" t="str" cm="1">
        <f t="array" ref="X59">IFERROR(LOOKUP(2,1/(Atualizações!$H$1:$H$580=Mapa!$B13&amp;Mapa!BQ$3),Atualizações!$E$1:$E$580),"NÃO")</f>
        <v>NÃO</v>
      </c>
      <c r="Y59" s="205" t="str" cm="1">
        <f t="array" ref="Y59">IFERROR(LOOKUP(2,1/(Atualizações!$H$1:$H$580=Mapa!$B13&amp;Mapa!BR$3),Atualizações!$E$1:$E$580),"NÃO")</f>
        <v>NÃO</v>
      </c>
      <c r="Z59" s="161" cm="1">
        <f t="array" ref="Z59">IFERROR(LOOKUP(2,1/(Atualizações!$H$1:$H$1029=Mapa!$B13&amp;Mapa!BS$3),Atualizações!$E$1:$E$1029),"NÃO")</f>
        <v>0.75</v>
      </c>
      <c r="AA59" s="161" t="str" cm="1">
        <f t="array" ref="AA59">IFERROR(LOOKUP(2,1/(Atualizações!$H$1:$H$1029=Mapa!$B13&amp;Mapa!BT$3),Atualizações!$E$1:$E$1029),"NÃO")</f>
        <v>NÃO</v>
      </c>
      <c r="AB59" s="161" t="str" cm="1">
        <f t="array" ref="AB59">IFERROR(LOOKUP(2,1/(Atualizações!$H$1:$H$1029=Mapa!$B13&amp;Mapa!BU$3),Atualizações!$E$1:$E$1029),"NÃO")</f>
        <v>NÃO</v>
      </c>
      <c r="AC59" s="161" t="str" cm="1">
        <f t="array" ref="AC59">IFERROR(LOOKUP(2,1/(Atualizações!$H$1:$H$1029=Mapa!$B13&amp;Mapa!BV$3),Atualizações!$E$1:$E$1029),"NÃO")</f>
        <v>NÃO</v>
      </c>
      <c r="AD59" s="161" t="str" cm="1">
        <f t="array" ref="AD59">IFERROR(LOOKUP(2,1/(Atualizações!$H$1:$H$1029=Mapa!$B13&amp;Mapa!BW$3),Atualizações!$E$1:$E$1029),"NÃO")</f>
        <v>NÃO</v>
      </c>
      <c r="AE59" s="161" t="str" cm="1">
        <f t="array" ref="AE59">IFERROR(LOOKUP(2,1/(Atualizações!$H$1:$H$1029=Mapa!$B13&amp;Mapa!BX$3),Atualizações!$E$1:$E$1029),"NÃO")</f>
        <v>NÃO</v>
      </c>
      <c r="AF59" s="161" t="str" cm="1">
        <f t="array" ref="AF59">IFERROR(LOOKUP(2,1/(Atualizações!$H$1:$H$1029=Mapa!$B13&amp;Mapa!BY$3),Atualizações!$E$1:$E$1029),"NÃO")</f>
        <v>NÃO</v>
      </c>
      <c r="AG59" s="161" cm="1">
        <f t="array" ref="AG59">IFERROR(LOOKUP(2,1/(Atualizações!$H$1:$H$1029=Mapa!$B13&amp;Mapa!BZ$3),Atualizações!$E$1:$E$1029),"NÃO")</f>
        <v>0.75</v>
      </c>
      <c r="AH59" s="161" t="str" cm="1">
        <f t="array" ref="AH59">IFERROR(LOOKUP(2,1/(Atualizações!$H$1:$H$1029=Mapa!$B13&amp;Mapa!CA$3),Atualizações!$E$1:$E$1029),"NÃO")</f>
        <v>NÃO</v>
      </c>
      <c r="AI59" s="161" t="str" cm="1">
        <f t="array" ref="AI59">IFERROR(LOOKUP(2,1/(Atualizações!$H$1:$H$1029=Mapa!$B13&amp;Mapa!CB$3),Atualizações!$E$1:$E$1029),"NÃO")</f>
        <v>NÃO</v>
      </c>
      <c r="AJ59" s="161" t="str" cm="1">
        <f t="array" ref="AJ59">IFERROR(LOOKUP(2,1/(Atualizações!$H$1:$H$1029=Mapa!$B13&amp;Mapa!CC$3),Atualizações!$E$1:$E$1029),"NÃO")</f>
        <v>NÃO</v>
      </c>
      <c r="AK59" s="161" t="str" cm="1">
        <f t="array" ref="AK59">IFERROR(LOOKUP(2,1/(Atualizações!$H$1:$H$1029=Mapa!$B13&amp;Mapa!CD$3),Atualizações!$E$1:$E$1029),"NÃO")</f>
        <v>NÃO</v>
      </c>
      <c r="AL59" s="161" cm="1">
        <f t="array" ref="AL59">IFERROR(LOOKUP(2,1/(Atualizações!$H$1:$H$1265=Mapa!$B13&amp;Mapa!CE$3),Atualizações!$E$1:$E$2994),"NÃO")</f>
        <v>0.6</v>
      </c>
      <c r="AM59" s="161" t="str" cm="1">
        <f t="array" ref="AM59">IFERROR(LOOKUP(2,1/(Atualizações!$H$1:$H$2994=Tb_Mapa[[#This Row],[SEI]]&amp;Mapa!CF$3),Atualizações!$E$1:$E$2994),"NÃO")</f>
        <v>NÃO</v>
      </c>
      <c r="AN59" s="161" t="str" cm="1">
        <f t="array" ref="AN59">IFERROR(LOOKUP(2,1/(Atualizações!$H$1:$H$2994=Tb_Mapa[[#This Row],[SEI]]&amp;Mapa!CG$3),Atualizações!$E$1:$E$2994),"NÃO")</f>
        <v>NÃO</v>
      </c>
      <c r="AO59" s="161" t="str" cm="1">
        <f t="array" ref="AO59">IFERROR(LOOKUP(2,1/(Atualizações!$H$1:$H$2994=Tb_Mapa[[#This Row],[SEI]]&amp;Mapa!CH$3),Atualizações!$E$1:$E$2994),"NÃO")</f>
        <v>NÃO</v>
      </c>
      <c r="AP59" s="161" t="str" cm="1">
        <f t="array" ref="AP59">IFERROR(LOOKUP(2,1/(Atualizações!$H$1:$H$2994=Tb_Mapa[[#This Row],[SEI]]&amp;Mapa!CI$3),Atualizações!$E$1:$E$2994),"NÃO")</f>
        <v>NÃO</v>
      </c>
      <c r="AQ59" s="161" t="str" cm="1">
        <f t="array" ref="AQ59">IFERROR(LOOKUP(2,1/(Atualizações!$H$1:$H$2994=Tb_Mapa[[#This Row],[SEI]]&amp;Mapa!CJ$3),Atualizações!$E$1:$E$2994),"NÃO")</f>
        <v>NÃO</v>
      </c>
      <c r="AR59" s="161" t="str" cm="1">
        <f t="array" ref="AR59">IFERROR(LOOKUP(2,1/(Atualizações!$H$1:$H$2994=Tb_Mapa[[#This Row],[SEI]]&amp;Mapa!CK$3),Atualizações!$E$1:$E$2994),"NÃO")</f>
        <v>NÃO</v>
      </c>
      <c r="AS59" s="161" t="str" cm="1">
        <f t="array" ref="AS59">IFERROR(LOOKUP(2,1/(Atualizações!$H$1:$H$2994=Tb_Mapa[[#This Row],[SEI]]&amp;Mapa!CL$3),Atualizações!$E$1:$E$2994),"NÃO")</f>
        <v>NÃO</v>
      </c>
      <c r="AT59" s="161" t="str" cm="1">
        <f t="array" ref="AT59">IFERROR(LOOKUP(2,1/(Atualizações!$H$1:$H$2994=Tb_Mapa[[#This Row],[SEI]]&amp;Mapa!CM$3),Atualizações!$E$1:$E$2994),"NÃO")</f>
        <v>NÃO</v>
      </c>
      <c r="AU59" s="161" t="str" cm="1">
        <f t="array" ref="AU59">IFERROR(LOOKUP(2,1/(Atualizações!$H$1:$H$2994=Tb_Mapa[[#This Row],[SEI]]&amp;Mapa!CN$3),Atualizações!$E$1:$E$2994),"NÃO")</f>
        <v>NÃO</v>
      </c>
      <c r="AV59" s="161" t="str" cm="1">
        <f t="array" ref="AV59">IFERROR(LOOKUP(2,1/(Atualizações!$H$1:$H$2994=Tb_Mapa[[#This Row],[SEI]]&amp;Mapa!CO$3),Atualizações!$E$1:$E$2994),"NÃO")</f>
        <v>NÃO</v>
      </c>
      <c r="AW59" s="161" t="str" cm="1">
        <f t="array" ref="AW59">IFERROR(LOOKUP(2,1/(Atualizações!$H$1:$H$2994=Tb_Mapa[[#This Row],[SEI]]&amp;Mapa!CP$3),Atualizações!$E$1:$E$2994),"NÃO")</f>
        <v>NÃO</v>
      </c>
      <c r="AX59" s="161" t="str" cm="1">
        <f t="array" ref="AX59">IFERROR(LOOKUP(2,1/(Atualizações!$H$1:$H$2994=Tb_Mapa[[#This Row],[SEI]]&amp;Mapa!CQ$3),Atualizações!$E$1:$E$2994),"NÃO")</f>
        <v>NÃO</v>
      </c>
    </row>
    <row r="60" spans="2:50" ht="32.25" hidden="1" customHeight="1">
      <c r="B60" s="24" t="s">
        <v>599</v>
      </c>
      <c r="C60" s="24" t="str">
        <f>_xlfn.XLOOKUP(Tb_Mapa[[#This Row],[SEI]],Tb_Portfólio[SEI],Tb_Portfólio[Portfólio 2025],"",0)</f>
        <v>Não</v>
      </c>
      <c r="D60" s="158" t="str">
        <f>_xlfn.XLOOKUP(Tb_Mapa[[#This Row],[SEI]],Tb_Portfólio[SEI],Tb_Portfólio[Portfólio 2026],"",0)</f>
        <v>Não</v>
      </c>
      <c r="E60" s="162" t="str">
        <f>_xlfn.XLOOKUP(Tb_Mapa[[#This Row],[SEI]],Tb_Portfólio[SEI],Tb_Portfólio[PROJETO],"",0)</f>
        <v>BNMP 3.0 – Banco Nacional de Medidas Penais e Prisões – Fase 2</v>
      </c>
      <c r="F60" s="170" t="str">
        <f>INDEX(Projetos!$G$3:$G$129,MATCH(B60,Projetos!$A$3:$A$129,0))</f>
        <v>Gleidson de Moura Porto</v>
      </c>
      <c r="G60" s="308" t="s">
        <v>277</v>
      </c>
      <c r="H60" s="314" t="str">
        <f>INDEX(Projetos!$T$3:$T$129,MATCH(B60,Projetos!$A$3:$A$129,0))</f>
        <v>Justiça 4.0</v>
      </c>
      <c r="I60" s="310">
        <f>INDEX(Projetos!$M$3:$M$129,MATCH(Mapa!B60,Projetos!$A$3:$A$129,0))</f>
        <v>45517</v>
      </c>
      <c r="J60" s="164" t="str">
        <f>IF(Tb_Mapa[[#This Row],[SITUAÇÃO]]="Finalizado", "Data atualizada", IFERROR(IF(I60&lt;$CN$3,"Atualizar data de encerramento","Data atualizada"),"Sem informação"))</f>
        <v>Data atualizada</v>
      </c>
      <c r="K60" s="311">
        <f>INDEX(Projetos!$N$3:$N$129,MATCH(Tb_Mapa[[#This Row],[SEI]],Projetos!$A$3:$A$129,0))</f>
        <v>1</v>
      </c>
      <c r="L60" s="311">
        <f>INDEX(Projetos!$O$3:$O$129,MATCH(Tb_Mapa[[#This Row],[SEI]],Projetos!$A$3:$A$129,0))</f>
        <v>1</v>
      </c>
      <c r="M60" s="165" t="str">
        <f>_xlfn.XLOOKUP(Tb_Mapa[[#This Row],[SEI]],Tb_Portfólio[SEI],Tb_Portfólio[Situação],"N/A",0)</f>
        <v>Finalizado</v>
      </c>
      <c r="N60" s="128" t="str" cm="1">
        <f t="array" ref="N60">IFERROR(LOOKUP(2,1/(Atualizações!$H$1:$H$486=Mapa!$B60&amp;Mapa!BG$3),Atualizações!$E$1:$E$486),"NÃO")</f>
        <v>NÃO</v>
      </c>
      <c r="O60" s="205"/>
      <c r="P60" s="205"/>
      <c r="Q60" s="205"/>
      <c r="R60" s="205"/>
      <c r="S60" s="205"/>
      <c r="T60" s="205"/>
      <c r="U60" s="205"/>
      <c r="V60" s="205"/>
      <c r="W60" s="205"/>
      <c r="X60" s="205"/>
      <c r="Y60" s="205"/>
      <c r="Z60" s="161" t="str" cm="1">
        <f t="array" ref="Z60">IFERROR(LOOKUP(2,1/(Atualizações!$H$1:$H$1029=Mapa!$B60&amp;Mapa!BS$3),Atualizações!$E$1:$E$1029),"NÃO")</f>
        <v>NÃO</v>
      </c>
      <c r="AA60" s="161" t="str" cm="1">
        <f t="array" ref="AA60">IFERROR(LOOKUP(2,1/(Atualizações!$H$1:$H$1029=Mapa!$B60&amp;Mapa!BT$3),Atualizações!$E$1:$E$1029),"NÃO")</f>
        <v>NÃO</v>
      </c>
      <c r="AB60" s="161" t="str" cm="1">
        <f t="array" ref="AB60">IFERROR(LOOKUP(2,1/(Atualizações!$H$1:$H$1029=Mapa!$B60&amp;Mapa!BU$3),Atualizações!$E$1:$E$1029),"NÃO")</f>
        <v>NÃO</v>
      </c>
      <c r="AC60" s="161" t="str" cm="1">
        <f t="array" ref="AC60">IFERROR(LOOKUP(2,1/(Atualizações!$H$1:$H$1029=Mapa!$B60&amp;Mapa!BV$3),Atualizações!$E$1:$E$1029),"NÃO")</f>
        <v>NÃO</v>
      </c>
      <c r="AD60" s="161" t="str" cm="1">
        <f t="array" ref="AD60">IFERROR(LOOKUP(2,1/(Atualizações!$H$1:$H$1029=Mapa!$B60&amp;Mapa!BW$3),Atualizações!$E$1:$E$1029),"NÃO")</f>
        <v>NÃO</v>
      </c>
      <c r="AE60" s="161" t="str" cm="1">
        <f t="array" ref="AE60">IFERROR(LOOKUP(2,1/(Atualizações!$H$1:$H$1029=Mapa!$B60&amp;Mapa!BX$3),Atualizações!$E$1:$E$1029),"NÃO")</f>
        <v>NÃO</v>
      </c>
      <c r="AF60" s="161" t="str" cm="1">
        <f t="array" ref="AF60">IFERROR(LOOKUP(2,1/(Atualizações!$H$1:$H$1029=Mapa!$B60&amp;Mapa!BY$3),Atualizações!$E$1:$E$1029),"NÃO")</f>
        <v>NÃO</v>
      </c>
      <c r="AG60" s="161" t="str" cm="1">
        <f t="array" ref="AG60">IFERROR(LOOKUP(2,1/(Atualizações!$H$1:$H$1029=Mapa!$B60&amp;Mapa!BZ$3),Atualizações!$E$1:$E$1029),"NÃO")</f>
        <v>NÃO</v>
      </c>
      <c r="AH60" s="161" t="str" cm="1">
        <f t="array" ref="AH60">IFERROR(LOOKUP(2,1/(Atualizações!$H$1:$H$1029=Mapa!$B60&amp;Mapa!CA$3),Atualizações!$E$1:$E$1029),"NÃO")</f>
        <v>NÃO</v>
      </c>
      <c r="AI60" s="161" t="str" cm="1">
        <f t="array" ref="AI60">IFERROR(LOOKUP(2,1/(Atualizações!$H$1:$H$1029=Mapa!$B60&amp;Mapa!CB$3),Atualizações!$E$1:$E$1029),"NÃO")</f>
        <v>NÃO</v>
      </c>
      <c r="AJ60" s="161" t="str" cm="1">
        <f t="array" ref="AJ60">IFERROR(LOOKUP(2,1/(Atualizações!$H$1:$H$1029=Mapa!$B60&amp;Mapa!CC$3),Atualizações!$E$1:$E$1029),"NÃO")</f>
        <v>NÃO</v>
      </c>
      <c r="AK60" s="161" t="str" cm="1">
        <f t="array" ref="AK60">IFERROR(LOOKUP(2,1/(Atualizações!$H$1:$H$1029=Mapa!$B60&amp;Mapa!CD$3),Atualizações!$E$1:$E$1029),"NÃO")</f>
        <v>NÃO</v>
      </c>
      <c r="AL60" s="161" t="str" cm="1">
        <f t="array" ref="AL60">IFERROR(LOOKUP(2,1/(Atualizações!$H$1:$H$1265=Mapa!$B60&amp;Mapa!CE$3),Atualizações!$E$1:$E$2994),"NÃO")</f>
        <v>NÃO</v>
      </c>
      <c r="AM60" s="161" t="str" cm="1">
        <f t="array" ref="AM60">IFERROR(LOOKUP(2,1/(Atualizações!$H$1:$H$2994=Tb_Mapa[[#This Row],[SEI]]&amp;Mapa!CF$3),Atualizações!$E$1:$E$2994),"NÃO")</f>
        <v>NÃO</v>
      </c>
      <c r="AN60" s="161" t="str" cm="1">
        <f t="array" ref="AN60">IFERROR(LOOKUP(2,1/(Atualizações!$H$1:$H$2994=Tb_Mapa[[#This Row],[SEI]]&amp;Mapa!CG$3),Atualizações!$E$1:$E$2994),"NÃO")</f>
        <v>NÃO</v>
      </c>
      <c r="AO60" s="161" t="str" cm="1">
        <f t="array" ref="AO60">IFERROR(LOOKUP(2,1/(Atualizações!$H$1:$H$2994=Tb_Mapa[[#This Row],[SEI]]&amp;Mapa!CH$3),Atualizações!$E$1:$E$2994),"NÃO")</f>
        <v>NÃO</v>
      </c>
      <c r="AP60" s="161" t="str" cm="1">
        <f t="array" ref="AP60">IFERROR(LOOKUP(2,1/(Atualizações!$H$1:$H$2994=Tb_Mapa[[#This Row],[SEI]]&amp;Mapa!CI$3),Atualizações!$E$1:$E$2994),"NÃO")</f>
        <v>NÃO</v>
      </c>
      <c r="AQ60" s="161" t="str" cm="1">
        <f t="array" ref="AQ60">IFERROR(LOOKUP(2,1/(Atualizações!$H$1:$H$2994=Tb_Mapa[[#This Row],[SEI]]&amp;Mapa!CJ$3),Atualizações!$E$1:$E$2994),"NÃO")</f>
        <v>NÃO</v>
      </c>
      <c r="AR60" s="161" t="str" cm="1">
        <f t="array" ref="AR60">IFERROR(LOOKUP(2,1/(Atualizações!$H$1:$H$2994=Tb_Mapa[[#This Row],[SEI]]&amp;Mapa!CK$3),Atualizações!$E$1:$E$2994),"NÃO")</f>
        <v>NÃO</v>
      </c>
      <c r="AS60" s="161" t="str" cm="1">
        <f t="array" ref="AS60">IFERROR(LOOKUP(2,1/(Atualizações!$H$1:$H$2994=Tb_Mapa[[#This Row],[SEI]]&amp;Mapa!CL$3),Atualizações!$E$1:$E$2994),"NÃO")</f>
        <v>NÃO</v>
      </c>
      <c r="AT60" s="161" t="str" cm="1">
        <f t="array" ref="AT60">IFERROR(LOOKUP(2,1/(Atualizações!$H$1:$H$2994=Tb_Mapa[[#This Row],[SEI]]&amp;Mapa!CM$3),Atualizações!$E$1:$E$2994),"NÃO")</f>
        <v>NÃO</v>
      </c>
      <c r="AU60" s="161" t="str" cm="1">
        <f t="array" ref="AU60">IFERROR(LOOKUP(2,1/(Atualizações!$H$1:$H$2994=Tb_Mapa[[#This Row],[SEI]]&amp;Mapa!CN$3),Atualizações!$E$1:$E$2994),"NÃO")</f>
        <v>NÃO</v>
      </c>
      <c r="AV60" s="161" t="str" cm="1">
        <f t="array" ref="AV60">IFERROR(LOOKUP(2,1/(Atualizações!$H$1:$H$2994=Tb_Mapa[[#This Row],[SEI]]&amp;Mapa!CO$3),Atualizações!$E$1:$E$2994),"NÃO")</f>
        <v>NÃO</v>
      </c>
      <c r="AW60" s="161" t="str" cm="1">
        <f t="array" ref="AW60">IFERROR(LOOKUP(2,1/(Atualizações!$H$1:$H$2994=Tb_Mapa[[#This Row],[SEI]]&amp;Mapa!CP$3),Atualizações!$E$1:$E$2994),"NÃO")</f>
        <v>NÃO</v>
      </c>
      <c r="AX60" s="161" t="str" cm="1">
        <f t="array" ref="AX60">IFERROR(LOOKUP(2,1/(Atualizações!$H$1:$H$2994=Tb_Mapa[[#This Row],[SEI]]&amp;Mapa!CQ$3),Atualizações!$E$1:$E$2994),"NÃO")</f>
        <v>NÃO</v>
      </c>
    </row>
    <row r="61" spans="2:50" ht="32.25" hidden="1" customHeight="1">
      <c r="B61" s="235" t="s">
        <v>589</v>
      </c>
      <c r="C61" s="678" t="str">
        <f>_xlfn.XLOOKUP(Tb_Mapa[[#This Row],[SEI]],Tb_Portfólio[SEI],Tb_Portfólio[Portfólio 2025],"",0)</f>
        <v>Sim</v>
      </c>
      <c r="D61" s="158" t="str">
        <f>_xlfn.XLOOKUP(Tb_Mapa[[#This Row],[SEI]],Tb_Portfólio[SEI],Tb_Portfólio[Portfólio 2026],"",0)</f>
        <v>Não</v>
      </c>
      <c r="E61" s="162" t="str">
        <f>_xlfn.XLOOKUP(Tb_Mapa[[#This Row],[SEI]],Tb_Portfólio[SEI],Tb_Portfólio[PROJETO],"",0)</f>
        <v>Pacto Nacional do Judiciário pelos Direitos Humanos - 2ª Fase</v>
      </c>
      <c r="F61" s="170" t="str">
        <f>INDEX(Projetos!$G$3:$G$129,MATCH(B61,Projetos!$A$3:$A$129,0))</f>
        <v>Luiz Victor do Espírito Santo Silva</v>
      </c>
      <c r="G61" s="307" t="s">
        <v>1710</v>
      </c>
      <c r="H61" s="166">
        <f>INDEX(Projetos!$T$3:$T$129,MATCH(B61,Projetos!$A$3:$A$129,0))</f>
        <v>0</v>
      </c>
      <c r="I61" s="310">
        <f>INDEX(Projetos!$M$3:$M$129,MATCH(Mapa!B42,Projetos!$A$3:$A$129,0))</f>
        <v>46658</v>
      </c>
      <c r="J61" s="164" t="str">
        <f>IF(Tb_Mapa[[#This Row],[SITUAÇÃO]]="Finalizado", "Data atualizada", IFERROR(IF(I61&lt;$CN$3,"Atualizar data de encerramento","Data atualizada"),"Sem informação"))</f>
        <v>Data atualizada</v>
      </c>
      <c r="K61" s="311">
        <f>INDEX(Projetos!$N$3:$N$129,MATCH(Tb_Mapa[[#This Row],[SEI]],Projetos!$A$3:$A$129,0))</f>
        <v>1</v>
      </c>
      <c r="L61" s="311">
        <f>INDEX(Projetos!$O$3:$O$129,MATCH(Tb_Mapa[[#This Row],[SEI]],Projetos!$A$3:$A$129,0))</f>
        <v>1</v>
      </c>
      <c r="M61" s="165" t="str">
        <f>_xlfn.XLOOKUP(Tb_Mapa[[#This Row],[SEI]],Tb_Portfólio[SEI],Tb_Portfólio[Situação],"N/A",0)</f>
        <v>Finalizado</v>
      </c>
      <c r="N61" s="128" t="str" cm="1">
        <f t="array" ref="N61">IFERROR(LOOKUP(2,1/(Atualizações!$H$1:$H$486=Mapa!$B42&amp;Mapa!BG$3),Atualizações!$E$1:$E$486),"NÃO")</f>
        <v>NÃO</v>
      </c>
      <c r="O61" s="205" cm="1">
        <f t="array" ref="O61">IFERROR(LOOKUP(2,1/(Atualizações!$H$1:$H$580=Mapa!$B42&amp;Mapa!BH$3),Atualizações!$E$1:$E$580),"NÃO")</f>
        <v>0</v>
      </c>
      <c r="P61" s="205" t="str" cm="1">
        <f t="array" ref="P61">IFERROR(LOOKUP(2,1/(Atualizações!$H$1:$H$580=Mapa!$B42&amp;Mapa!BI$3),Atualizações!$E$1:$E$580),"NÃO")</f>
        <v>NÃO</v>
      </c>
      <c r="Q61" s="205" t="str" cm="1">
        <f t="array" ref="Q61">IFERROR(LOOKUP(2,1/(Atualizações!$H$1:$H$580=Mapa!$B42&amp;Mapa!BJ$3),Atualizações!$E$1:$E$580),"NÃO")</f>
        <v>NÃO</v>
      </c>
      <c r="R61" s="205" cm="1">
        <f t="array" ref="R61">IFERROR(LOOKUP(2,1/(Atualizações!$H$1:$H$580=Mapa!$B42&amp;Mapa!BK$3),Atualizações!$E$1:$E$580),"NÃO")</f>
        <v>0.41</v>
      </c>
      <c r="S61" s="205" t="str" cm="1">
        <f t="array" ref="S61">IFERROR(LOOKUP(2,1/(Atualizações!$H$1:$H$580=Mapa!$B42&amp;Mapa!BL$3),Atualizações!$E$1:$E$580),"NÃO")</f>
        <v>NÃO</v>
      </c>
      <c r="T61" s="205" cm="1">
        <f t="array" ref="T61">IFERROR(LOOKUP(2,1/(Atualizações!$H$1:$H$580=Mapa!$B42&amp;Mapa!BM$3),Atualizações!$E$1:$E$580),"NÃO")</f>
        <v>0.41</v>
      </c>
      <c r="U61" s="205" t="str" cm="1">
        <f t="array" ref="U61">IFERROR(LOOKUP(2,1/(Atualizações!$H$1:$H$580=Mapa!$B42&amp;Mapa!BN$3),Atualizações!$E$1:$E$580),"NÃO")</f>
        <v>NÃO</v>
      </c>
      <c r="V61" s="205" t="str" cm="1">
        <f t="array" ref="V61">IFERROR(LOOKUP(2,1/(Atualizações!$H$1:$H$580=Mapa!$B42&amp;Mapa!BO$3),Atualizações!$E$1:$E$580),"NÃO")</f>
        <v>NÃO</v>
      </c>
      <c r="W61" s="205" cm="1">
        <f t="array" ref="W61">IFERROR(LOOKUP(2,1/(Atualizações!$H$1:$H$580=Mapa!$B42&amp;Mapa!BP$3),Atualizações!$E$1:$E$580),"NÃO")</f>
        <v>0.49</v>
      </c>
      <c r="X61" s="205" t="str" cm="1">
        <f t="array" ref="X61">IFERROR(LOOKUP(2,1/(Atualizações!$H$1:$H$580=Mapa!$B42&amp;Mapa!BQ$3),Atualizações!$E$1:$E$580),"NÃO")</f>
        <v>NÃO</v>
      </c>
      <c r="Y61" s="205" t="str" cm="1">
        <f t="array" ref="Y61">IFERROR(LOOKUP(2,1/(Atualizações!$H$1:$H$580=Mapa!$B42&amp;Mapa!BR$3),Atualizações!$E$1:$E$580),"NÃO")</f>
        <v>NÃO</v>
      </c>
      <c r="Z61" s="161" cm="1">
        <f t="array" ref="Z61">IFERROR(LOOKUP(2,1/(Atualizações!$H$1:$H$1029=Mapa!$B42&amp;Mapa!BS$3),Atualizações!$E$1:$E$1029),"NÃO")</f>
        <v>0.56000000000000005</v>
      </c>
      <c r="AA61" s="161" t="str" cm="1">
        <f t="array" ref="AA61">IFERROR(LOOKUP(2,1/(Atualizações!$H$1:$H$1029=Mapa!$B42&amp;Mapa!BT$3),Atualizações!$E$1:$E$1029),"NÃO")</f>
        <v>NÃO</v>
      </c>
      <c r="AB61" s="161" cm="1">
        <f t="array" ref="AB61">IFERROR(LOOKUP(2,1/(Atualizações!$H$1:$H$1029=Mapa!$B42&amp;Mapa!BU$3),Atualizações!$E$1:$E$1029),"NÃO")</f>
        <v>0.56000000000000005</v>
      </c>
      <c r="AC61" s="161" t="str" cm="1">
        <f t="array" ref="AC61">IFERROR(LOOKUP(2,1/(Atualizações!$H$1:$H$1029=Mapa!$B42&amp;Mapa!BV$3),Atualizações!$E$1:$E$1029),"NÃO")</f>
        <v>NÃO</v>
      </c>
      <c r="AD61" s="161" t="str" cm="1">
        <f t="array" ref="AD61">IFERROR(LOOKUP(2,1/(Atualizações!$H$1:$H$1029=Mapa!$B42&amp;Mapa!BW$3),Atualizações!$E$1:$E$1029),"NÃO")</f>
        <v>NÃO</v>
      </c>
      <c r="AE61" s="161" cm="1">
        <f t="array" ref="AE61">IFERROR(LOOKUP(2,1/(Atualizações!$H$1:$H$1029=Mapa!$B42&amp;Mapa!BX$3),Atualizações!$E$1:$E$1029),"NÃO")</f>
        <v>0.7</v>
      </c>
      <c r="AF61" s="161" t="str" cm="1">
        <f t="array" ref="AF61">IFERROR(LOOKUP(2,1/(Atualizações!$H$1:$H$1029=Mapa!$B42&amp;Mapa!BY$3),Atualizações!$E$1:$E$1029),"NÃO")</f>
        <v>NÃO</v>
      </c>
      <c r="AG61" s="161" cm="1">
        <f t="array" ref="AG61">IFERROR(LOOKUP(2,1/(Atualizações!$H$1:$H$1029=Mapa!$B42&amp;Mapa!BZ$3),Atualizações!$E$1:$E$1029),"NÃO")</f>
        <v>0.89</v>
      </c>
      <c r="AH61" s="161" t="str" cm="1">
        <f t="array" ref="AH61">IFERROR(LOOKUP(2,1/(Atualizações!$H$1:$H$1029=Mapa!$B42&amp;Mapa!CA$3),Atualizações!$E$1:$E$1029),"NÃO")</f>
        <v>NÃO</v>
      </c>
      <c r="AI61" s="161" t="str" cm="1">
        <f t="array" ref="AI61">IFERROR(LOOKUP(2,1/(Atualizações!$H$1:$H$1029=Mapa!$B42&amp;Mapa!CB$3),Atualizações!$E$1:$E$1029),"NÃO")</f>
        <v>NÃO</v>
      </c>
      <c r="AJ61" s="161" t="str" cm="1">
        <f t="array" ref="AJ61">IFERROR(LOOKUP(2,1/(Atualizações!$H$1:$H$1029=Mapa!$B42&amp;Mapa!CC$3),Atualizações!$E$1:$E$1029),"NÃO")</f>
        <v>NÃO</v>
      </c>
      <c r="AK61" s="161" t="str" cm="1">
        <f t="array" ref="AK61">IFERROR(LOOKUP(2,1/(Atualizações!$H$1:$H$1029=Mapa!$B42&amp;Mapa!CD$3),Atualizações!$E$1:$E$1029),"NÃO")</f>
        <v>NÃO</v>
      </c>
      <c r="AL61" s="161" t="str" cm="1">
        <f t="array" ref="AL61">IFERROR(LOOKUP(2,1/(Atualizações!$H$1:$H$1265=Mapa!$B42&amp;Mapa!CE$3),Atualizações!$E$1:$E$2994),"NÃO")</f>
        <v>NÃO</v>
      </c>
      <c r="AM61" s="161" t="str" cm="1">
        <f t="array" ref="AM61">IFERROR(LOOKUP(2,1/(Atualizações!$H$1:$H$2994=Tb_Mapa[[#This Row],[SEI]]&amp;Mapa!CF$3),Atualizações!$E$1:$E$2994),"NÃO")</f>
        <v>NÃO</v>
      </c>
      <c r="AN61" s="161" t="str" cm="1">
        <f t="array" ref="AN61">IFERROR(LOOKUP(2,1/(Atualizações!$H$1:$H$2994=Tb_Mapa[[#This Row],[SEI]]&amp;Mapa!CG$3),Atualizações!$E$1:$E$2994),"NÃO")</f>
        <v>NÃO</v>
      </c>
      <c r="AO61" s="161" t="str" cm="1">
        <f t="array" ref="AO61">IFERROR(LOOKUP(2,1/(Atualizações!$H$1:$H$2994=Tb_Mapa[[#This Row],[SEI]]&amp;Mapa!CH$3),Atualizações!$E$1:$E$2994),"NÃO")</f>
        <v>NÃO</v>
      </c>
      <c r="AP61" s="161" t="str" cm="1">
        <f t="array" ref="AP61">IFERROR(LOOKUP(2,1/(Atualizações!$H$1:$H$2994=Tb_Mapa[[#This Row],[SEI]]&amp;Mapa!CI$3),Atualizações!$E$1:$E$2994),"NÃO")</f>
        <v>NÃO</v>
      </c>
      <c r="AQ61" s="161" t="str" cm="1">
        <f t="array" ref="AQ61">IFERROR(LOOKUP(2,1/(Atualizações!$H$1:$H$2994=Tb_Mapa[[#This Row],[SEI]]&amp;Mapa!CJ$3),Atualizações!$E$1:$E$2994),"NÃO")</f>
        <v>NÃO</v>
      </c>
      <c r="AR61" s="161" t="str" cm="1">
        <f t="array" ref="AR61">IFERROR(LOOKUP(2,1/(Atualizações!$H$1:$H$2994=Tb_Mapa[[#This Row],[SEI]]&amp;Mapa!CK$3),Atualizações!$E$1:$E$2994),"NÃO")</f>
        <v>NÃO</v>
      </c>
      <c r="AS61" s="161" t="str" cm="1">
        <f t="array" ref="AS61">IFERROR(LOOKUP(2,1/(Atualizações!$H$1:$H$2994=Tb_Mapa[[#This Row],[SEI]]&amp;Mapa!CL$3),Atualizações!$E$1:$E$2994),"NÃO")</f>
        <v>NÃO</v>
      </c>
      <c r="AT61" s="161" t="str" cm="1">
        <f t="array" ref="AT61">IFERROR(LOOKUP(2,1/(Atualizações!$H$1:$H$2994=Tb_Mapa[[#This Row],[SEI]]&amp;Mapa!CM$3),Atualizações!$E$1:$E$2994),"NÃO")</f>
        <v>NÃO</v>
      </c>
      <c r="AU61" s="161" t="str" cm="1">
        <f t="array" ref="AU61">IFERROR(LOOKUP(2,1/(Atualizações!$H$1:$H$2994=Tb_Mapa[[#This Row],[SEI]]&amp;Mapa!CN$3),Atualizações!$E$1:$E$2994),"NÃO")</f>
        <v>NÃO</v>
      </c>
      <c r="AV61" s="161" t="str" cm="1">
        <f t="array" ref="AV61">IFERROR(LOOKUP(2,1/(Atualizações!$H$1:$H$2994=Tb_Mapa[[#This Row],[SEI]]&amp;Mapa!CO$3),Atualizações!$E$1:$E$2994),"NÃO")</f>
        <v>NÃO</v>
      </c>
      <c r="AW61" s="161" t="str" cm="1">
        <f t="array" ref="AW61">IFERROR(LOOKUP(2,1/(Atualizações!$H$1:$H$2994=Tb_Mapa[[#This Row],[SEI]]&amp;Mapa!CP$3),Atualizações!$E$1:$E$2994),"NÃO")</f>
        <v>NÃO</v>
      </c>
      <c r="AX61" s="161" t="str" cm="1">
        <f t="array" ref="AX61">IFERROR(LOOKUP(2,1/(Atualizações!$H$1:$H$2994=Tb_Mapa[[#This Row],[SEI]]&amp;Mapa!CQ$3),Atualizações!$E$1:$E$2994),"NÃO")</f>
        <v>NÃO</v>
      </c>
    </row>
    <row r="62" spans="2:50" ht="32.25" customHeight="1">
      <c r="B62" s="74" t="s">
        <v>257</v>
      </c>
      <c r="C62" s="23" t="str">
        <f>_xlfn.XLOOKUP(Tb_Mapa[[#This Row],[SEI]],Tb_Portfólio[SEI],Tb_Portfólio[Portfólio 2025],"",0)</f>
        <v>Sim</v>
      </c>
      <c r="D62" s="158" t="str">
        <f>_xlfn.XLOOKUP(Tb_Mapa[[#This Row],[SEI]],Tb_Portfólio[SEI],Tb_Portfólio[Portfólio 2026],"",0)</f>
        <v>Sim</v>
      </c>
      <c r="E62" s="342" t="str">
        <f>_xlfn.XLOOKUP(Tb_Mapa[[#This Row],[SEI]],Tb_Portfólio[SEI],Tb_Portfólio[PROJETO],"",0)</f>
        <v>SisPreq – Sistema de Precatórios e Requisições de Pequeno Valor</v>
      </c>
      <c r="F62" s="143" t="str">
        <f>INDEX(Projetos!$G$3:$G$129,MATCH(Tb_Mapa[[#This Row],[SEI]],Projetos!$A$3:$A$129,0))</f>
        <v>Artur Nascimento</v>
      </c>
      <c r="G62" s="160" t="s">
        <v>1717</v>
      </c>
      <c r="H62" s="166" t="str">
        <f>INDEX(Projetos!$T$3:$T$129,MATCH(B62,Projetos!$A$3:$A$129,0))</f>
        <v>Justiça 4.0</v>
      </c>
      <c r="I62" s="310" t="str">
        <f>INDEX(Projetos!$M$3:$M$129,MATCH(Tb_Mapa[[#This Row],[SEI]],Projetos!$A$3:$A$129,0))</f>
        <v>15/12/2026</v>
      </c>
      <c r="J62" s="164" t="str">
        <f ca="1">IF(Tb_Mapa[[#This Row],[SITUAÇÃO]]="Finalizado", "Data atualizada", IFERROR(IF(Tb_Mapa[[#This Row],[DATA DE TÉRMINO]]&lt;$I$1,"Atualizar data de encerramento","Data atualizada"),"Sem informação"))</f>
        <v>Data atualizada</v>
      </c>
      <c r="K62" s="311">
        <f>INDEX(Projetos!$N$3:$N$129,MATCH(Tb_Mapa[[#This Row],[SEI]],Projetos!$A$3:$A$129,0))</f>
        <v>0.77</v>
      </c>
      <c r="L62" s="311">
        <f>INDEX(Projetos!$O$3:$O$129,MATCH(Tb_Mapa[[#This Row],[SEI]],Projetos!$A$3:$A$129,0))</f>
        <v>0.5</v>
      </c>
      <c r="M62" s="165" t="str">
        <f ca="1">_xlfn.XLOOKUP(Tb_Mapa[[#This Row],[SEI]],Tb_Portfólio[SEI],Tb_Portfólio[Situação],"N/A",0)</f>
        <v>Atrasado ou Crítico</v>
      </c>
      <c r="N62" s="128" t="str" cm="1">
        <f t="array" ref="N62">IFERROR(LOOKUP(2,1/(Atualizações!$H$1:$H$486=Mapa!$B38&amp;Mapa!BG$3),Atualizações!$E$1:$E$486),"NÃO")</f>
        <v>NÃO</v>
      </c>
      <c r="O62" s="205" t="str" cm="1">
        <f t="array" ref="O62">IFERROR(LOOKUP(2,1/(Atualizações!$H$1:$H$580=Mapa!$B38&amp;Mapa!BH$3),Atualizações!$E$1:$E$580),"NÃO")</f>
        <v>NÃO</v>
      </c>
      <c r="P62" s="205" t="str" cm="1">
        <f t="array" ref="P62">IFERROR(LOOKUP(2,1/(Atualizações!$H$1:$H$580=Mapa!$B38&amp;Mapa!BI$3),Atualizações!$E$1:$E$580),"NÃO")</f>
        <v>NÃO</v>
      </c>
      <c r="Q62" s="205" t="str" cm="1">
        <f t="array" ref="Q62">IFERROR(LOOKUP(2,1/(Atualizações!$H$1:$H$580=Mapa!$B38&amp;Mapa!BJ$3),Atualizações!$E$1:$E$580),"NÃO")</f>
        <v>NÃO</v>
      </c>
      <c r="R62" s="205" t="str" cm="1">
        <f t="array" ref="R62">IFERROR(LOOKUP(2,1/(Atualizações!$H$1:$H$580=Mapa!$B38&amp;Mapa!BK$3),Atualizações!$E$1:$E$580),"NÃO")</f>
        <v>NÃO</v>
      </c>
      <c r="S62" s="205" t="str" cm="1">
        <f t="array" ref="S62">IFERROR(LOOKUP(2,1/(Atualizações!$H$1:$H$580=Mapa!$B38&amp;Mapa!BL$3),Atualizações!$E$1:$E$580),"NÃO")</f>
        <v>NÃO</v>
      </c>
      <c r="T62" s="205" t="str" cm="1">
        <f t="array" ref="T62">IFERROR(LOOKUP(2,1/(Atualizações!$H$1:$H$580=Mapa!$B38&amp;Mapa!BM$3),Atualizações!$E$1:$E$580),"NÃO")</f>
        <v>NÃO</v>
      </c>
      <c r="U62" s="205" t="str" cm="1">
        <f t="array" ref="U62">IFERROR(LOOKUP(2,1/(Atualizações!$H$1:$H$580=Mapa!$B38&amp;Mapa!BN$3),Atualizações!$E$1:$E$580),"NÃO")</f>
        <v>NÃO</v>
      </c>
      <c r="V62" s="205" t="str" cm="1">
        <f t="array" ref="V62">IFERROR(LOOKUP(2,1/(Atualizações!$H$1:$H$580=Mapa!$B38&amp;Mapa!BO$3),Atualizações!$E$1:$E$580),"NÃO")</f>
        <v>NÃO</v>
      </c>
      <c r="W62" s="205" t="str" cm="1">
        <f t="array" ref="W62">IFERROR(LOOKUP(2,1/(Atualizações!$H$1:$H$580=Mapa!$B38&amp;Mapa!BP$3),Atualizações!$E$1:$E$580),"NÃO")</f>
        <v>NÃO</v>
      </c>
      <c r="X62" s="205" t="str" cm="1">
        <f t="array" ref="X62">IFERROR(LOOKUP(2,1/(Atualizações!$H$1:$H$580=Mapa!$B38&amp;Mapa!BQ$3),Atualizações!$E$1:$E$580),"NÃO")</f>
        <v>NÃO</v>
      </c>
      <c r="Y62" s="205" t="str" cm="1">
        <f t="array" ref="Y62">IFERROR(LOOKUP(2,1/(Atualizações!$H$1:$H$580=Mapa!$B38&amp;Mapa!BR$3),Atualizações!$E$1:$E$580),"NÃO")</f>
        <v>NÃO</v>
      </c>
      <c r="Z62" s="161" cm="1">
        <f t="array" ref="Z62">IFERROR(LOOKUP(2,1/(Atualizações!$H$1:$H$1029=Mapa!$B38&amp;Mapa!BS$3),Atualizações!$E$1:$E$1029),"NÃO")</f>
        <v>1</v>
      </c>
      <c r="AA62" s="161" t="str" cm="1">
        <f t="array" ref="AA62">IFERROR(LOOKUP(2,1/(Atualizações!$H$1:$H$1029=Mapa!$B38&amp;Mapa!BT$3),Atualizações!$E$1:$E$1029),"NÃO")</f>
        <v>NÃO</v>
      </c>
      <c r="AB62" s="161" t="str" cm="1">
        <f t="array" ref="AB62">IFERROR(LOOKUP(2,1/(Atualizações!$H$1:$H$1029=Mapa!$B38&amp;Mapa!BU$3),Atualizações!$E$1:$E$1029),"NÃO")</f>
        <v>NÃO</v>
      </c>
      <c r="AC62" s="161" t="str" cm="1">
        <f t="array" ref="AC62">IFERROR(LOOKUP(2,1/(Atualizações!$H$1:$H$1029=Mapa!$B38&amp;Mapa!BV$3),Atualizações!$E$1:$E$1029),"NÃO")</f>
        <v>NÃO</v>
      </c>
      <c r="AD62" s="161" t="str" cm="1">
        <f t="array" ref="AD62">IFERROR(LOOKUP(2,1/(Atualizações!$H$1:$H$1029=Mapa!$B38&amp;Mapa!BW$3),Atualizações!$E$1:$E$1029),"NÃO")</f>
        <v>NÃO</v>
      </c>
      <c r="AE62" s="161" t="str" cm="1">
        <f t="array" ref="AE62">IFERROR(LOOKUP(2,1/(Atualizações!$H$1:$H$1029=Mapa!$B38&amp;Mapa!BX$3),Atualizações!$E$1:$E$1029),"NÃO")</f>
        <v>NÃO</v>
      </c>
      <c r="AF62" s="161" t="str" cm="1">
        <f t="array" ref="AF62">IFERROR(LOOKUP(2,1/(Atualizações!$H$1:$H$1029=Mapa!$B38&amp;Mapa!BY$3),Atualizações!$E$1:$E$1029),"NÃO")</f>
        <v>NÃO</v>
      </c>
      <c r="AG62" s="161" t="str" cm="1">
        <f t="array" ref="AG62">IFERROR(LOOKUP(2,1/(Atualizações!$H$1:$H$1029=Mapa!$B38&amp;Mapa!BZ$3),Atualizações!$E$1:$E$1029),"NÃO")</f>
        <v>NÃO</v>
      </c>
      <c r="AH62" s="161" t="str" cm="1">
        <f t="array" ref="AH62">IFERROR(LOOKUP(2,1/(Atualizações!$H$1:$H$1029=Mapa!$B38&amp;Mapa!CA$3),Atualizações!$E$1:$E$1029),"NÃO")</f>
        <v>NÃO</v>
      </c>
      <c r="AI62" s="161" t="str" cm="1">
        <f t="array" ref="AI62">IFERROR(LOOKUP(2,1/(Atualizações!$H$1:$H$1029=Mapa!$B38&amp;Mapa!CB$3),Atualizações!$E$1:$E$1029),"NÃO")</f>
        <v>NÃO</v>
      </c>
      <c r="AJ62" s="161" t="str" cm="1">
        <f t="array" ref="AJ62">IFERROR(LOOKUP(2,1/(Atualizações!$H$1:$H$1029=Mapa!$B38&amp;Mapa!CC$3),Atualizações!$E$1:$E$1029),"NÃO")</f>
        <v>NÃO</v>
      </c>
      <c r="AK62" s="161" t="str" cm="1">
        <f t="array" ref="AK62">IFERROR(LOOKUP(2,1/(Atualizações!$H$1:$H$1029=Mapa!$B38&amp;Mapa!CD$3),Atualizações!$E$1:$E$1029),"NÃO")</f>
        <v>NÃO</v>
      </c>
      <c r="AL62" s="161" t="str" cm="1">
        <f t="array" ref="AL62">IFERROR(LOOKUP(2,1/(Atualizações!$H$1:$H$1265=Mapa!$B38&amp;Mapa!CE$3),Atualizações!$E$1:$E$2994),"NÃO")</f>
        <v>NÃO</v>
      </c>
      <c r="AM62" s="161" t="str" cm="1">
        <f t="array" ref="AM62">IFERROR(LOOKUP(2,1/(Atualizações!$H$1:$H$2994=Tb_Mapa[[#This Row],[SEI]]&amp;Mapa!CF$3),Atualizações!$E$1:$E$2994),"NÃO")</f>
        <v>NÃO</v>
      </c>
      <c r="AN62" s="161" cm="1">
        <f t="array" ref="AN62">IFERROR(LOOKUP(2,1/(Atualizações!$H$1:$H$2994=Tb_Mapa[[#This Row],[SEI]]&amp;Mapa!CG$3),Atualizações!$E$1:$E$2994),"NÃO")</f>
        <v>0.89</v>
      </c>
      <c r="AO62" s="161" cm="1">
        <f t="array" ref="AO62">IFERROR(LOOKUP(2,1/(Atualizações!$H$1:$H$2994=Tb_Mapa[[#This Row],[SEI]]&amp;Mapa!CH$3),Atualizações!$E$1:$E$2994),"NÃO")</f>
        <v>0.89</v>
      </c>
      <c r="AP62" s="161" cm="1">
        <f t="array" ref="AP62">IFERROR(LOOKUP(2,1/(Atualizações!$H$1:$H$2994=Tb_Mapa[[#This Row],[SEI]]&amp;Mapa!CI$3),Atualizações!$E$1:$E$2994),"NÃO")</f>
        <v>0.65</v>
      </c>
      <c r="AQ62" s="161" cm="1">
        <f t="array" ref="AQ62">IFERROR(LOOKUP(2,1/(Atualizações!$H$1:$H$2994=Tb_Mapa[[#This Row],[SEI]]&amp;Mapa!CJ$3),Atualizações!$E$1:$E$2994),"NÃO")</f>
        <v>0.5</v>
      </c>
      <c r="AR62" s="161" t="str" cm="1">
        <f t="array" ref="AR62">IFERROR(LOOKUP(2,1/(Atualizações!$H$1:$H$2994=Tb_Mapa[[#This Row],[SEI]]&amp;Mapa!CK$3),Atualizações!$E$1:$E$2994),"NÃO")</f>
        <v>NÃO</v>
      </c>
      <c r="AS62" s="161" t="str" cm="1">
        <f t="array" ref="AS62">IFERROR(LOOKUP(2,1/(Atualizações!$H$1:$H$2994=Tb_Mapa[[#This Row],[SEI]]&amp;Mapa!CL$3),Atualizações!$E$1:$E$2994),"NÃO")</f>
        <v>NÃO</v>
      </c>
      <c r="AT62" s="161" t="str" cm="1">
        <f t="array" ref="AT62">IFERROR(LOOKUP(2,1/(Atualizações!$H$1:$H$2994=Tb_Mapa[[#This Row],[SEI]]&amp;Mapa!CM$3),Atualizações!$E$1:$E$2994),"NÃO")</f>
        <v>NÃO</v>
      </c>
      <c r="AU62" s="161" t="str" cm="1">
        <f t="array" ref="AU62">IFERROR(LOOKUP(2,1/(Atualizações!$H$1:$H$2994=Tb_Mapa[[#This Row],[SEI]]&amp;Mapa!CN$3),Atualizações!$E$1:$E$2994),"NÃO")</f>
        <v>NÃO</v>
      </c>
      <c r="AV62" s="161" t="str" cm="1">
        <f t="array" ref="AV62">IFERROR(LOOKUP(2,1/(Atualizações!$H$1:$H$2994=Tb_Mapa[[#This Row],[SEI]]&amp;Mapa!CO$3),Atualizações!$E$1:$E$2994),"NÃO")</f>
        <v>NÃO</v>
      </c>
      <c r="AW62" s="161" t="str" cm="1">
        <f t="array" ref="AW62">IFERROR(LOOKUP(2,1/(Atualizações!$H$1:$H$2994=Tb_Mapa[[#This Row],[SEI]]&amp;Mapa!CP$3),Atualizações!$E$1:$E$2994),"NÃO")</f>
        <v>NÃO</v>
      </c>
      <c r="AX62" s="161" t="str" cm="1">
        <f t="array" ref="AX62">IFERROR(LOOKUP(2,1/(Atualizações!$H$1:$H$2994=Tb_Mapa[[#This Row],[SEI]]&amp;Mapa!CQ$3),Atualizações!$E$1:$E$2994),"NÃO")</f>
        <v>NÃO</v>
      </c>
    </row>
    <row r="63" spans="2:50" ht="32.25" hidden="1" customHeight="1">
      <c r="B63" s="308" t="s">
        <v>570</v>
      </c>
      <c r="C63" s="678" t="str">
        <f>_xlfn.XLOOKUP(Tb_Mapa[[#This Row],[SEI]],Tb_Portfólio[SEI],Tb_Portfólio[Portfólio 2025],"",0)</f>
        <v>Não</v>
      </c>
      <c r="D63" s="158" t="str">
        <f>_xlfn.XLOOKUP(Tb_Mapa[[#This Row],[SEI]],Tb_Portfólio[SEI],Tb_Portfólio[Portfólio 2026],"",0)</f>
        <v>Não</v>
      </c>
      <c r="E63" s="162" t="str">
        <f>_xlfn.XLOOKUP(Tb_Mapa[[#This Row],[SEI]],Tb_Portfólio[SEI],Tb_Portfólio[PROJETO],"",0)</f>
        <v>Repositório Anticorrupção e Tecnologia do Poder Judiciário</v>
      </c>
      <c r="F63" s="694" t="str">
        <f>INDEX(Projetos!$G$3:$G$129,MATCH(B63,Projetos!$A$3:$A$129,0))</f>
        <v>Alexandre Nicoletti Dall’Ara</v>
      </c>
      <c r="G63" s="163" t="s">
        <v>1718</v>
      </c>
      <c r="H63" s="143" t="str">
        <f>INDEX(Projetos!$T$3:$T$129,MATCH(B63,Projetos!$A$3:$A$129,0))</f>
        <v>Justiça 4.0</v>
      </c>
      <c r="I63" s="310">
        <f>INDEX(Projetos!$M$3:$M$129,MATCH(Mapa!B9,Projetos!$A$3:$A$129,0))</f>
        <v>46011</v>
      </c>
      <c r="J63" s="164" t="str">
        <f>IF(Tb_Mapa[[#This Row],[SITUAÇÃO]]="Finalizado", "Data atualizada", IFERROR(IF(I63&lt;$CN$3,"Atualizar data de encerramento","Data atualizada"),"Sem informação"))</f>
        <v>Data atualizada</v>
      </c>
      <c r="K63" s="311">
        <f>INDEX(Projetos!$N$3:$N$129,MATCH(Tb_Mapa[[#This Row],[SEI]],Projetos!$A$3:$A$129,0))</f>
        <v>1</v>
      </c>
      <c r="L63" s="311">
        <f>INDEX(Projetos!$O$3:$O$129,MATCH(Tb_Mapa[[#This Row],[SEI]],Projetos!$A$3:$A$129,0))</f>
        <v>1</v>
      </c>
      <c r="M63" s="165" t="str">
        <f>_xlfn.XLOOKUP(Tb_Mapa[[#This Row],[SEI]],Tb_Portfólio[SEI],Tb_Portfólio[Situação],"N/A",0)</f>
        <v>Finalizado</v>
      </c>
      <c r="N63" s="128" t="str" cm="1">
        <f t="array" ref="N63">IFERROR(LOOKUP(2,1/(Atualizações!$H$1:$H$486=Mapa!$B9&amp;Mapa!BG$3),Atualizações!$E$1:$E$486),"NÃO")</f>
        <v>NÃO</v>
      </c>
      <c r="O63" s="205" t="str" cm="1">
        <f t="array" ref="O63">IFERROR(LOOKUP(2,1/(Atualizações!$H$1:$H$580=Mapa!$B9&amp;Mapa!BH$3),Atualizações!$E$1:$E$580),"NÃO")</f>
        <v>NÃO</v>
      </c>
      <c r="P63" s="205" t="str" cm="1">
        <f t="array" ref="P63">IFERROR(LOOKUP(2,1/(Atualizações!$H$1:$H$580=Mapa!$B9&amp;Mapa!BI$3),Atualizações!$E$1:$E$580),"NÃO")</f>
        <v>NÃO</v>
      </c>
      <c r="Q63" s="205" t="str" cm="1">
        <f t="array" ref="Q63">IFERROR(LOOKUP(2,1/(Atualizações!$H$1:$H$580=Mapa!$B9&amp;Mapa!BJ$3),Atualizações!$E$1:$E$580),"NÃO")</f>
        <v>NÃO</v>
      </c>
      <c r="R63" s="205" t="str" cm="1">
        <f t="array" ref="R63">IFERROR(LOOKUP(2,1/(Atualizações!$H$1:$H$580=Mapa!$B9&amp;Mapa!BK$3),Atualizações!$E$1:$E$580),"NÃO")</f>
        <v>NÃO</v>
      </c>
      <c r="S63" s="205" t="str" cm="1">
        <f t="array" ref="S63">IFERROR(LOOKUP(2,1/(Atualizações!$H$1:$H$580=Mapa!$B9&amp;Mapa!BL$3),Atualizações!$E$1:$E$580),"NÃO")</f>
        <v>NÃO</v>
      </c>
      <c r="T63" s="205" t="str" cm="1">
        <f t="array" ref="T63">IFERROR(LOOKUP(2,1/(Atualizações!$H$1:$H$580=Mapa!$B9&amp;Mapa!BM$3),Atualizações!$E$1:$E$580),"NÃO")</f>
        <v>NÃO</v>
      </c>
      <c r="U63" s="205" t="str" cm="1">
        <f t="array" ref="U63">IFERROR(LOOKUP(2,1/(Atualizações!$H$1:$H$580=Mapa!$B9&amp;Mapa!BN$3),Atualizações!$E$1:$E$580),"NÃO")</f>
        <v>NÃO</v>
      </c>
      <c r="V63" s="205" t="str" cm="1">
        <f t="array" ref="V63">IFERROR(LOOKUP(2,1/(Atualizações!$H$1:$H$580=Mapa!$B9&amp;Mapa!BO$3),Atualizações!$E$1:$E$580),"NÃO")</f>
        <v>NÃO</v>
      </c>
      <c r="W63" s="205" t="str" cm="1">
        <f t="array" ref="W63">IFERROR(LOOKUP(2,1/(Atualizações!$H$1:$H$580=Mapa!$B9&amp;Mapa!BP$3),Atualizações!$E$1:$E$580),"NÃO")</f>
        <v>NÃO</v>
      </c>
      <c r="X63" s="205" t="str" cm="1">
        <f t="array" ref="X63">IFERROR(LOOKUP(2,1/(Atualizações!$H$1:$H$580=Mapa!$B9&amp;Mapa!BQ$3),Atualizações!$E$1:$E$580),"NÃO")</f>
        <v>NÃO</v>
      </c>
      <c r="Y63" s="205" t="str" cm="1">
        <f t="array" ref="Y63">IFERROR(LOOKUP(2,1/(Atualizações!$H$1:$H$580=Mapa!$B9&amp;Mapa!BR$3),Atualizações!$E$1:$E$580),"NÃO")</f>
        <v>NÃO</v>
      </c>
      <c r="Z63" s="161" cm="1">
        <f t="array" ref="Z63">IFERROR(LOOKUP(2,1/(Atualizações!$H$1:$H$1029=Mapa!$B9&amp;Mapa!BS$3),Atualizações!$E$1:$E$1029),"NÃO")</f>
        <v>0.75</v>
      </c>
      <c r="AA63" s="161" t="str" cm="1">
        <f t="array" ref="AA63">IFERROR(LOOKUP(2,1/(Atualizações!$H$1:$H$1029=Mapa!$B9&amp;Mapa!BT$3),Atualizações!$E$1:$E$1029),"NÃO")</f>
        <v>NÃO</v>
      </c>
      <c r="AB63" s="161" t="str" cm="1">
        <f t="array" ref="AB63">IFERROR(LOOKUP(2,1/(Atualizações!$H$1:$H$1029=Mapa!$B9&amp;Mapa!BU$3),Atualizações!$E$1:$E$1029),"NÃO")</f>
        <v>NÃO</v>
      </c>
      <c r="AC63" s="161" t="str" cm="1">
        <f t="array" ref="AC63">IFERROR(LOOKUP(2,1/(Atualizações!$H$1:$H$1029=Mapa!$B9&amp;Mapa!BV$3),Atualizações!$E$1:$E$1029),"NÃO")</f>
        <v>NÃO</v>
      </c>
      <c r="AD63" s="161" t="str" cm="1">
        <f t="array" ref="AD63">IFERROR(LOOKUP(2,1/(Atualizações!$H$1:$H$1029=Mapa!$B9&amp;Mapa!BW$3),Atualizações!$E$1:$E$1029),"NÃO")</f>
        <v>NÃO</v>
      </c>
      <c r="AE63" s="161" t="str" cm="1">
        <f t="array" ref="AE63">IFERROR(LOOKUP(2,1/(Atualizações!$H$1:$H$1029=Mapa!$B9&amp;Mapa!BX$3),Atualizações!$E$1:$E$1029),"NÃO")</f>
        <v>NÃO</v>
      </c>
      <c r="AF63" s="161" t="str" cm="1">
        <f t="array" ref="AF63">IFERROR(LOOKUP(2,1/(Atualizações!$H$1:$H$1029=Mapa!$B9&amp;Mapa!BY$3),Atualizações!$E$1:$E$1029),"NÃO")</f>
        <v>NÃO</v>
      </c>
      <c r="AG63" s="161" cm="1">
        <f t="array" ref="AG63">IFERROR(LOOKUP(2,1/(Atualizações!$H$1:$H$1029=Mapa!$B9&amp;Mapa!BZ$3),Atualizações!$E$1:$E$1029),"NÃO")</f>
        <v>0.75</v>
      </c>
      <c r="AH63" s="161" t="str" cm="1">
        <f t="array" ref="AH63">IFERROR(LOOKUP(2,1/(Atualizações!$H$1:$H$1029=Mapa!$B9&amp;Mapa!CA$3),Atualizações!$E$1:$E$1029),"NÃO")</f>
        <v>NÃO</v>
      </c>
      <c r="AI63" s="161" t="str" cm="1">
        <f t="array" ref="AI63">IFERROR(LOOKUP(2,1/(Atualizações!$H$1:$H$1029=Mapa!$B9&amp;Mapa!CB$3),Atualizações!$E$1:$E$1029),"NÃO")</f>
        <v>NÃO</v>
      </c>
      <c r="AJ63" s="161" t="str" cm="1">
        <f t="array" ref="AJ63">IFERROR(LOOKUP(2,1/(Atualizações!$H$1:$H$1029=Mapa!$B9&amp;Mapa!CC$3),Atualizações!$E$1:$E$1029),"NÃO")</f>
        <v>NÃO</v>
      </c>
      <c r="AK63" s="161" t="str" cm="1">
        <f t="array" ref="AK63">IFERROR(LOOKUP(2,1/(Atualizações!$H$1:$H$1029=Mapa!$B9&amp;Mapa!CD$3),Atualizações!$E$1:$E$1029),"NÃO")</f>
        <v>NÃO</v>
      </c>
      <c r="AL63" s="161" cm="1">
        <f t="array" ref="AL63">IFERROR(LOOKUP(2,1/(Atualizações!$H$1:$H$1265=Mapa!$B9&amp;Mapa!CE$3),Atualizações!$E$1:$E$2994),"NÃO")</f>
        <v>1</v>
      </c>
      <c r="AM63" s="161" t="str" cm="1">
        <f t="array" ref="AM63">IFERROR(LOOKUP(2,1/(Atualizações!$H$1:$H$2994=Tb_Mapa[[#This Row],[SEI]]&amp;Mapa!CF$3),Atualizações!$E$1:$E$2994),"NÃO")</f>
        <v>NÃO</v>
      </c>
      <c r="AN63" s="161" t="str" cm="1">
        <f t="array" ref="AN63">IFERROR(LOOKUP(2,1/(Atualizações!$H$1:$H$2994=Tb_Mapa[[#This Row],[SEI]]&amp;Mapa!CG$3),Atualizações!$E$1:$E$2994),"NÃO")</f>
        <v>NÃO</v>
      </c>
      <c r="AO63" s="161" t="str" cm="1">
        <f t="array" ref="AO63">IFERROR(LOOKUP(2,1/(Atualizações!$H$1:$H$2994=Tb_Mapa[[#This Row],[SEI]]&amp;Mapa!CH$3),Atualizações!$E$1:$E$2994),"NÃO")</f>
        <v>NÃO</v>
      </c>
      <c r="AP63" s="161" t="str" cm="1">
        <f t="array" ref="AP63">IFERROR(LOOKUP(2,1/(Atualizações!$H$1:$H$2994=Tb_Mapa[[#This Row],[SEI]]&amp;Mapa!CI$3),Atualizações!$E$1:$E$2994),"NÃO")</f>
        <v>NÃO</v>
      </c>
      <c r="AQ63" s="161" t="str" cm="1">
        <f t="array" ref="AQ63">IFERROR(LOOKUP(2,1/(Atualizações!$H$1:$H$2994=Tb_Mapa[[#This Row],[SEI]]&amp;Mapa!CJ$3),Atualizações!$E$1:$E$2994),"NÃO")</f>
        <v>NÃO</v>
      </c>
      <c r="AR63" s="161" t="str" cm="1">
        <f t="array" ref="AR63">IFERROR(LOOKUP(2,1/(Atualizações!$H$1:$H$2994=Tb_Mapa[[#This Row],[SEI]]&amp;Mapa!CK$3),Atualizações!$E$1:$E$2994),"NÃO")</f>
        <v>NÃO</v>
      </c>
      <c r="AS63" s="161" t="str" cm="1">
        <f t="array" ref="AS63">IFERROR(LOOKUP(2,1/(Atualizações!$H$1:$H$2994=Tb_Mapa[[#This Row],[SEI]]&amp;Mapa!CL$3),Atualizações!$E$1:$E$2994),"NÃO")</f>
        <v>NÃO</v>
      </c>
      <c r="AT63" s="161" t="str" cm="1">
        <f t="array" ref="AT63">IFERROR(LOOKUP(2,1/(Atualizações!$H$1:$H$2994=Tb_Mapa[[#This Row],[SEI]]&amp;Mapa!CM$3),Atualizações!$E$1:$E$2994),"NÃO")</f>
        <v>NÃO</v>
      </c>
      <c r="AU63" s="161" t="str" cm="1">
        <f t="array" ref="AU63">IFERROR(LOOKUP(2,1/(Atualizações!$H$1:$H$2994=Tb_Mapa[[#This Row],[SEI]]&amp;Mapa!CN$3),Atualizações!$E$1:$E$2994),"NÃO")</f>
        <v>NÃO</v>
      </c>
      <c r="AV63" s="161" t="str" cm="1">
        <f t="array" ref="AV63">IFERROR(LOOKUP(2,1/(Atualizações!$H$1:$H$2994=Tb_Mapa[[#This Row],[SEI]]&amp;Mapa!CO$3),Atualizações!$E$1:$E$2994),"NÃO")</f>
        <v>NÃO</v>
      </c>
      <c r="AW63" s="161" t="str" cm="1">
        <f t="array" ref="AW63">IFERROR(LOOKUP(2,1/(Atualizações!$H$1:$H$2994=Tb_Mapa[[#This Row],[SEI]]&amp;Mapa!CP$3),Atualizações!$E$1:$E$2994),"NÃO")</f>
        <v>NÃO</v>
      </c>
      <c r="AX63" s="161" t="str" cm="1">
        <f t="array" ref="AX63">IFERROR(LOOKUP(2,1/(Atualizações!$H$1:$H$2994=Tb_Mapa[[#This Row],[SEI]]&amp;Mapa!CQ$3),Atualizações!$E$1:$E$2994),"NÃO")</f>
        <v>NÃO</v>
      </c>
    </row>
    <row r="64" spans="2:50" ht="32.25" hidden="1" customHeight="1">
      <c r="B64" s="65" t="s">
        <v>247</v>
      </c>
      <c r="C64" s="710" t="str">
        <f>_xlfn.XLOOKUP(Tb_Mapa[[#This Row],[SEI]],Tb_Portfólio[SEI],Tb_Portfólio[Portfólio 2025],"",0)</f>
        <v>Sim</v>
      </c>
      <c r="D64" s="158" t="str">
        <f>_xlfn.XLOOKUP(Tb_Mapa[[#This Row],[SEI]],Tb_Portfólio[SEI],Tb_Portfólio[Portfólio 2026],"",0)</f>
        <v>Sim</v>
      </c>
      <c r="E64" s="162" t="str">
        <f>_xlfn.XLOOKUP(Tb_Mapa[[#This Row],[SEI]],Tb_Portfólio[SEI],Tb_Portfólio[PROJETO],"",0)</f>
        <v>Portal de Serviços</v>
      </c>
      <c r="F64" s="143" t="str">
        <f>INDEX(Projetos!$G$3:$G$129,MATCH(Tb_Mapa[[#This Row],[SEI]],Projetos!$A$3:$A$129,0))</f>
        <v>Tania Essabbá</v>
      </c>
      <c r="G64" s="158" t="s">
        <v>1710</v>
      </c>
      <c r="H64" s="166" t="str">
        <f>INDEX(Projetos!$T$3:$T$129,MATCH(B64,Projetos!$A$3:$A$129,0))</f>
        <v>Justiça 4.0</v>
      </c>
      <c r="I64" s="310">
        <f>INDEX(Projetos!$M$3:$M$129,MATCH(Tb_Mapa[[#This Row],[SEI]],Projetos!$A$3:$A$129,0))</f>
        <v>46387</v>
      </c>
      <c r="J64" s="164" t="str">
        <f ca="1">IF(Tb_Mapa[[#This Row],[SITUAÇÃO]]="Finalizado", "Data atualizada", IFERROR(IF(Tb_Mapa[[#This Row],[DATA DE TÉRMINO]]&lt;$I$1,"Atualizar data de encerramento","Data atualizada"),"Sem informação"))</f>
        <v>Data atualizada</v>
      </c>
      <c r="K64" s="311">
        <f>INDEX(Projetos!$N$3:$N$129,MATCH(Tb_Mapa[[#This Row],[SEI]],Projetos!$A$3:$A$129,0))</f>
        <v>0.8</v>
      </c>
      <c r="L64" s="311">
        <f>INDEX(Projetos!$O$3:$O$129,MATCH(Tb_Mapa[[#This Row],[SEI]],Projetos!$A$3:$A$129,0))</f>
        <v>0.55000000000000004</v>
      </c>
      <c r="M64" s="165" t="str">
        <f ca="1">_xlfn.XLOOKUP(Tb_Mapa[[#This Row],[SEI]],Tb_Portfólio[SEI],Tb_Portfólio[Situação],"N/A",0)</f>
        <v>Atrasado ou Crítico</v>
      </c>
      <c r="N64" s="128" t="str" cm="1">
        <f t="array" ref="N64">IFERROR(LOOKUP(2,1/(Atualizações!$H$1:$H$486=Mapa!$B58&amp;Mapa!BG$3),Atualizações!$E$1:$E$486),"NÃO")</f>
        <v>NÃO</v>
      </c>
      <c r="O64" s="205" cm="1">
        <f t="array" ref="O64">IFERROR(LOOKUP(2,1/(Atualizações!$H$1:$H$580=Mapa!$B58&amp;Mapa!BH$3),Atualizações!$E$1:$E$580),"NÃO")</f>
        <v>0</v>
      </c>
      <c r="P64" s="205" t="str" cm="1">
        <f t="array" ref="P64">IFERROR(LOOKUP(2,1/(Atualizações!$H$1:$H$580=Mapa!$B58&amp;Mapa!BI$3),Atualizações!$E$1:$E$580),"NÃO")</f>
        <v>NÃO</v>
      </c>
      <c r="Q64" s="205" t="str" cm="1">
        <f t="array" ref="Q64">IFERROR(LOOKUP(2,1/(Atualizações!$H$1:$H$580=Mapa!$B58&amp;Mapa!BJ$3),Atualizações!$E$1:$E$580),"NÃO")</f>
        <v>NÃO</v>
      </c>
      <c r="R64" s="205" cm="1">
        <f t="array" ref="R64">IFERROR(LOOKUP(2,1/(Atualizações!$H$1:$H$580=Mapa!$B58&amp;Mapa!BK$3),Atualizações!$E$1:$E$580),"NÃO")</f>
        <v>0.59499999999999997</v>
      </c>
      <c r="S64" s="205" cm="1">
        <f t="array" ref="S64">IFERROR(LOOKUP(2,1/(Atualizações!$H$1:$H$580=Mapa!$B58&amp;Mapa!BL$3),Atualizações!$E$1:$E$580),"NÃO")</f>
        <v>0.63100000000000001</v>
      </c>
      <c r="T64" s="205" cm="1">
        <f t="array" ref="T64">IFERROR(LOOKUP(2,1/(Atualizações!$H$1:$H$580=Mapa!$B58&amp;Mapa!BM$3),Atualizações!$E$1:$E$580),"NÃO")</f>
        <v>0.67500000000000004</v>
      </c>
      <c r="U64" s="205" cm="1">
        <f t="array" ref="U64">IFERROR(LOOKUP(2,1/(Atualizações!$H$1:$H$580=Mapa!$B58&amp;Mapa!BN$3),Atualizações!$E$1:$E$580),"NÃO")</f>
        <v>0.76300000000000001</v>
      </c>
      <c r="V64" s="205" cm="1">
        <f t="array" ref="V64">IFERROR(LOOKUP(2,1/(Atualizações!$H$1:$H$580=Mapa!$B58&amp;Mapa!BO$3),Atualizações!$E$1:$E$580),"NÃO")</f>
        <v>0.78800000000000003</v>
      </c>
      <c r="W64" s="205" cm="1">
        <f t="array" ref="W64">IFERROR(LOOKUP(2,1/(Atualizações!$H$1:$H$580=Mapa!$B58&amp;Mapa!BP$3),Atualizações!$E$1:$E$580),"NÃO")</f>
        <v>0.89500000000000002</v>
      </c>
      <c r="X64" s="205" cm="1">
        <f t="array" ref="X64">IFERROR(LOOKUP(2,1/(Atualizações!$H$1:$H$580=Mapa!$B58&amp;Mapa!BQ$3),Atualizações!$E$1:$E$580),"NÃO")</f>
        <v>0.93569999999999998</v>
      </c>
      <c r="Y64" s="205" t="str" cm="1">
        <f t="array" ref="Y64">IFERROR(LOOKUP(2,1/(Atualizações!$H$1:$H$580=Mapa!$B58&amp;Mapa!BR$3),Atualizações!$E$1:$E$580),"NÃO")</f>
        <v>NÃO</v>
      </c>
      <c r="Z64" s="161" cm="1">
        <f t="array" ref="Z64">IFERROR(LOOKUP(2,1/(Atualizações!$H$1:$H$1029=Mapa!$B58&amp;Mapa!BS$3),Atualizações!$E$1:$E$1029),"NÃO")</f>
        <v>0.95699999999999996</v>
      </c>
      <c r="AA64" s="161" t="str" cm="1">
        <f t="array" ref="AA64">IFERROR(LOOKUP(2,1/(Atualizações!$H$1:$H$1029=Mapa!$B58&amp;Mapa!BT$3),Atualizações!$E$1:$E$1029),"NÃO")</f>
        <v>NÃO</v>
      </c>
      <c r="AB64" s="161" cm="1">
        <f t="array" ref="AB64">IFERROR(LOOKUP(2,1/(Atualizações!$H$1:$H$1029=Mapa!$B58&amp;Mapa!BU$3),Atualizações!$E$1:$E$1029),"NÃO")</f>
        <v>1</v>
      </c>
      <c r="AC64" s="161" t="str" cm="1">
        <f t="array" ref="AC64">IFERROR(LOOKUP(2,1/(Atualizações!$H$1:$H$1029=Mapa!$B58&amp;Mapa!BV$3),Atualizações!$E$1:$E$1029),"NÃO")</f>
        <v>NÃO</v>
      </c>
      <c r="AD64" s="161" t="str" cm="1">
        <f t="array" ref="AD64">IFERROR(LOOKUP(2,1/(Atualizações!$H$1:$H$1029=Mapa!$B58&amp;Mapa!BW$3),Atualizações!$E$1:$E$1029),"NÃO")</f>
        <v>NÃO</v>
      </c>
      <c r="AE64" s="161" t="str" cm="1">
        <f t="array" ref="AE64">IFERROR(LOOKUP(2,1/(Atualizações!$H$1:$H$1029=Mapa!$B58&amp;Mapa!BX$3),Atualizações!$E$1:$E$1029),"NÃO")</f>
        <v>NÃO</v>
      </c>
      <c r="AF64" s="161" t="str" cm="1">
        <f t="array" ref="AF64">IFERROR(LOOKUP(2,1/(Atualizações!$H$1:$H$1029=Mapa!$B58&amp;Mapa!BY$3),Atualizações!$E$1:$E$1029),"NÃO")</f>
        <v>NÃO</v>
      </c>
      <c r="AG64" s="161" t="str" cm="1">
        <f t="array" ref="AG64">IFERROR(LOOKUP(2,1/(Atualizações!$H$1:$H$1029=Mapa!$B58&amp;Mapa!BZ$3),Atualizações!$E$1:$E$1029),"NÃO")</f>
        <v>NÃO</v>
      </c>
      <c r="AH64" s="161" t="str" cm="1">
        <f t="array" ref="AH64">IFERROR(LOOKUP(2,1/(Atualizações!$H$1:$H$1029=Mapa!$B58&amp;Mapa!CA$3),Atualizações!$E$1:$E$1029),"NÃO")</f>
        <v>NÃO</v>
      </c>
      <c r="AI64" s="161" t="str" cm="1">
        <f t="array" ref="AI64">IFERROR(LOOKUP(2,1/(Atualizações!$H$1:$H$1029=Mapa!$B58&amp;Mapa!CB$3),Atualizações!$E$1:$E$1029),"NÃO")</f>
        <v>NÃO</v>
      </c>
      <c r="AJ64" s="161" t="str" cm="1">
        <f t="array" ref="AJ64">IFERROR(LOOKUP(2,1/(Atualizações!$H$1:$H$1029=Mapa!$B58&amp;Mapa!CC$3),Atualizações!$E$1:$E$1029),"NÃO")</f>
        <v>NÃO</v>
      </c>
      <c r="AK64" s="161" t="str" cm="1">
        <f t="array" ref="AK64">IFERROR(LOOKUP(2,1/(Atualizações!$H$1:$H$1029=Mapa!$B58&amp;Mapa!CD$3),Atualizações!$E$1:$E$1029),"NÃO")</f>
        <v>NÃO</v>
      </c>
      <c r="AL64" s="161" t="str" cm="1">
        <f t="array" ref="AL64">IFERROR(LOOKUP(2,1/(Atualizações!$H$1:$H$1265=Mapa!$B58&amp;Mapa!CE$3),Atualizações!$E$1:$E$2994),"NÃO")</f>
        <v>NÃO</v>
      </c>
      <c r="AM64" s="161" t="str" cm="1">
        <f t="array" ref="AM64">IFERROR(LOOKUP(2,1/(Atualizações!$H$1:$H$2994=Tb_Mapa[[#This Row],[SEI]]&amp;Mapa!CF$3),Atualizações!$E$1:$E$2994),"NÃO")</f>
        <v>NÃO</v>
      </c>
      <c r="AN64" s="161" cm="1">
        <f t="array" ref="AN64">IFERROR(LOOKUP(2,1/(Atualizações!$H$1:$H$2994=Tb_Mapa[[#This Row],[SEI]]&amp;Mapa!CG$3),Atualizações!$E$1:$E$2994),"NÃO")</f>
        <v>0.92</v>
      </c>
      <c r="AO64" s="161" cm="1">
        <f t="array" ref="AO64">IFERROR(LOOKUP(2,1/(Atualizações!$H$1:$H$2994=Tb_Mapa[[#This Row],[SEI]]&amp;Mapa!CH$3),Atualizações!$E$1:$E$2994),"NÃO")</f>
        <v>0.89</v>
      </c>
      <c r="AP64" s="161" cm="1">
        <f t="array" ref="AP64">IFERROR(LOOKUP(2,1/(Atualizações!$H$1:$H$2994=Tb_Mapa[[#This Row],[SEI]]&amp;Mapa!CI$3),Atualizações!$E$1:$E$2994),"NÃO")</f>
        <v>0.55000000000000004</v>
      </c>
      <c r="AQ64" s="161" cm="1">
        <f t="array" ref="AQ64">IFERROR(LOOKUP(2,1/(Atualizações!$H$1:$H$2994=Tb_Mapa[[#This Row],[SEI]]&amp;Mapa!CJ$3),Atualizações!$E$1:$E$2994),"NÃO")</f>
        <v>0.55000000000000004</v>
      </c>
      <c r="AR64" s="161" t="str" cm="1">
        <f t="array" ref="AR64">IFERROR(LOOKUP(2,1/(Atualizações!$H$1:$H$2994=Tb_Mapa[[#This Row],[SEI]]&amp;Mapa!CK$3),Atualizações!$E$1:$E$2994),"NÃO")</f>
        <v>NÃO</v>
      </c>
      <c r="AS64" s="161" t="str" cm="1">
        <f t="array" ref="AS64">IFERROR(LOOKUP(2,1/(Atualizações!$H$1:$H$2994=Tb_Mapa[[#This Row],[SEI]]&amp;Mapa!CL$3),Atualizações!$E$1:$E$2994),"NÃO")</f>
        <v>NÃO</v>
      </c>
      <c r="AT64" s="161" t="str" cm="1">
        <f t="array" ref="AT64">IFERROR(LOOKUP(2,1/(Atualizações!$H$1:$H$2994=Tb_Mapa[[#This Row],[SEI]]&amp;Mapa!CM$3),Atualizações!$E$1:$E$2994),"NÃO")</f>
        <v>NÃO</v>
      </c>
      <c r="AU64" s="161" t="str" cm="1">
        <f t="array" ref="AU64">IFERROR(LOOKUP(2,1/(Atualizações!$H$1:$H$2994=Tb_Mapa[[#This Row],[SEI]]&amp;Mapa!CN$3),Atualizações!$E$1:$E$2994),"NÃO")</f>
        <v>NÃO</v>
      </c>
      <c r="AV64" s="161" t="str" cm="1">
        <f t="array" ref="AV64">IFERROR(LOOKUP(2,1/(Atualizações!$H$1:$H$2994=Tb_Mapa[[#This Row],[SEI]]&amp;Mapa!CO$3),Atualizações!$E$1:$E$2994),"NÃO")</f>
        <v>NÃO</v>
      </c>
      <c r="AW64" s="161" t="str" cm="1">
        <f t="array" ref="AW64">IFERROR(LOOKUP(2,1/(Atualizações!$H$1:$H$2994=Tb_Mapa[[#This Row],[SEI]]&amp;Mapa!CP$3),Atualizações!$E$1:$E$2994),"NÃO")</f>
        <v>NÃO</v>
      </c>
      <c r="AX64" s="161" t="str" cm="1">
        <f t="array" ref="AX64">IFERROR(LOOKUP(2,1/(Atualizações!$H$1:$H$2994=Tb_Mapa[[#This Row],[SEI]]&amp;Mapa!CQ$3),Atualizações!$E$1:$E$2994),"NÃO")</f>
        <v>NÃO</v>
      </c>
    </row>
    <row r="65" spans="2:50" ht="32.25" hidden="1" customHeight="1">
      <c r="B65" s="46" t="s">
        <v>517</v>
      </c>
      <c r="C65" s="676" t="str">
        <f>_xlfn.XLOOKUP(Tb_Mapa[[#This Row],[SEI]],Tb_Portfólio[SEI],Tb_Portfólio[Portfólio 2025],"",0)</f>
        <v>Sim</v>
      </c>
      <c r="D65" s="158" t="str">
        <f>_xlfn.XLOOKUP(Tb_Mapa[[#This Row],[SEI]],Tb_Portfólio[SEI],Tb_Portfólio[Portfólio 2026],"",0)</f>
        <v>Sim</v>
      </c>
      <c r="E65" s="162" t="str">
        <f>_xlfn.XLOOKUP(Tb_Mapa[[#This Row],[SEI]],Tb_Portfólio[SEI],Tb_Portfólio[PROJETO],"",0)</f>
        <v>Domicílio Judicial Eletrônico - Melhorias Evolutivas</v>
      </c>
      <c r="F65" s="143" t="str">
        <f>INDEX(Projetos!$G$3:$G$129,MATCH(Tb_Mapa[[#This Row],[SEI]],Projetos!$A$3:$A$129,0))</f>
        <v>Diogo Medeiros</v>
      </c>
      <c r="G65" s="160" t="s">
        <v>1710</v>
      </c>
      <c r="H65" s="166" t="str">
        <f>INDEX(Projetos!$T$3:$T$129,MATCH(B65,Projetos!$A$3:$A$129,0))</f>
        <v>Justiça 4.0</v>
      </c>
      <c r="I65" s="310">
        <f>INDEX(Projetos!$M$3:$M$129,MATCH(Tb_Mapa[[#This Row],[SEI]],Projetos!$A$3:$A$129,0))</f>
        <v>46203</v>
      </c>
      <c r="J65" s="164" t="str">
        <f ca="1">IF(Tb_Mapa[[#This Row],[SITUAÇÃO]]="Finalizado", "Data atualizada", IFERROR(IF(Tb_Mapa[[#This Row],[DATA DE TÉRMINO]]&lt;$I$1,"Atualizar data de encerramento","Data atualizada"),"Sem informação"))</f>
        <v>Data atualizada</v>
      </c>
      <c r="K65" s="311">
        <f>INDEX(Projetos!$N$3:$N$129,MATCH(Tb_Mapa[[#This Row],[SEI]],Projetos!$A$3:$A$129,0))</f>
        <v>0.79</v>
      </c>
      <c r="L65" s="311">
        <f>INDEX(Projetos!$O$3:$O$129,MATCH(Tb_Mapa[[#This Row],[SEI]],Projetos!$A$3:$A$129,0))</f>
        <v>0.76</v>
      </c>
      <c r="M65" s="165" t="str">
        <f ca="1">_xlfn.XLOOKUP(Tb_Mapa[[#This Row],[SEI]],Tb_Portfólio[SEI],Tb_Portfólio[Situação],"N/A",0)</f>
        <v>No prazo</v>
      </c>
      <c r="N65" s="128" t="str" cm="1">
        <f t="array" ref="N65">IFERROR(LOOKUP(2,1/(Atualizações!$H$1:$H$486=Mapa!$B96&amp;Mapa!BG$3),Atualizações!$E$1:$E$486),"NÃO")</f>
        <v>NÃO</v>
      </c>
      <c r="O65" s="205"/>
      <c r="P65" s="205"/>
      <c r="Q65" s="205"/>
      <c r="R65" s="205"/>
      <c r="S65" s="205"/>
      <c r="T65" s="205"/>
      <c r="U65" s="205"/>
      <c r="V65" s="205"/>
      <c r="W65" s="205"/>
      <c r="X65" s="205"/>
      <c r="Y65" s="205"/>
      <c r="Z65" s="161" t="str" cm="1">
        <f t="array" ref="Z65">IFERROR(LOOKUP(2,1/(Atualizações!$H$1:$H$1029=Mapa!$B96&amp;Mapa!BS$3),Atualizações!$E$1:$E$1029),"NÃO")</f>
        <v>NÃO</v>
      </c>
      <c r="AA65" s="161" cm="1">
        <f t="array" ref="AA65">IFERROR(LOOKUP(2,1/(Atualizações!$H$1:$H$1029=Mapa!$B96&amp;Mapa!BT$3),Atualizações!$E$1:$E$1029),"NÃO")</f>
        <v>0.75</v>
      </c>
      <c r="AB65" s="161" cm="1">
        <f t="array" ref="AB65">IFERROR(LOOKUP(2,1/(Atualizações!$H$1:$H$1029=Mapa!$B96&amp;Mapa!BU$3),Atualizações!$E$1:$E$1029),"NÃO")</f>
        <v>0.75</v>
      </c>
      <c r="AC65" s="161" cm="1">
        <f t="array" ref="AC65">IFERROR(LOOKUP(2,1/(Atualizações!$H$1:$H$1029=Mapa!$B96&amp;Mapa!BV$3),Atualizações!$E$1:$E$1029),"NÃO")</f>
        <v>0.75</v>
      </c>
      <c r="AD65" s="161" cm="1">
        <f t="array" ref="AD65">IFERROR(LOOKUP(2,1/(Atualizações!$H$1:$H$1029=Mapa!$B96&amp;Mapa!BW$3),Atualizações!$E$1:$E$1029),"NÃO")</f>
        <v>0.75</v>
      </c>
      <c r="AE65" s="161" cm="1">
        <f t="array" ref="AE65">IFERROR(LOOKUP(2,1/(Atualizações!$H$1:$H$1029=Mapa!$B96&amp;Mapa!BX$3),Atualizações!$E$1:$E$1029),"NÃO")</f>
        <v>0.75</v>
      </c>
      <c r="AF65" s="161" cm="1">
        <f t="array" ref="AF65">IFERROR(LOOKUP(2,1/(Atualizações!$H$1:$H$1029=Mapa!$B96&amp;Mapa!BY$3),Atualizações!$E$1:$E$1029),"NÃO")</f>
        <v>0.75</v>
      </c>
      <c r="AG65" s="161" cm="1">
        <f t="array" ref="AG65">IFERROR(LOOKUP(2,1/(Atualizações!$H$1:$H$1029=Mapa!$B96&amp;Mapa!BZ$3),Atualizações!$E$1:$E$1029),"NÃO")</f>
        <v>0.75</v>
      </c>
      <c r="AH65" s="161" cm="1">
        <f t="array" ref="AH65">IFERROR(LOOKUP(2,1/(Atualizações!$H$1:$H$1029=Mapa!$B96&amp;Mapa!CA$3),Atualizações!$E$1:$E$1029),"NÃO")</f>
        <v>0.42</v>
      </c>
      <c r="AI65" s="161" cm="1">
        <f t="array" ref="AI65">IFERROR(LOOKUP(2,1/(Atualizações!$H$1:$H$1029=Mapa!$B96&amp;Mapa!CB$3),Atualizações!$E$1:$E$1029),"NÃO")</f>
        <v>0.63</v>
      </c>
      <c r="AJ65" s="161" cm="1">
        <f t="array" ref="AJ65">IFERROR(LOOKUP(2,1/(Atualizações!$H$1:$H$1029=Mapa!$B96&amp;Mapa!CC$3),Atualizações!$E$1:$E$1029),"NÃO")</f>
        <v>0.63</v>
      </c>
      <c r="AK65" s="161" cm="1">
        <f t="array" ref="AK65">IFERROR(LOOKUP(2,1/(Atualizações!$H$1:$H$1029=Mapa!$B96&amp;Mapa!CD$3),Atualizações!$E$1:$E$1029),"NÃO")</f>
        <v>0.53</v>
      </c>
      <c r="AL65" s="161" cm="1">
        <f t="array" ref="AL65">IFERROR(LOOKUP(2,1/(Atualizações!$H$1:$H$1265=Mapa!$B96&amp;Mapa!CE$3),Atualizações!$E$1:$E$2994),"NÃO")</f>
        <v>0.53</v>
      </c>
      <c r="AM65" s="161" t="str" cm="1">
        <f t="array" ref="AM65">IFERROR(LOOKUP(2,1/(Atualizações!$H$1:$H$2994=Tb_Mapa[[#This Row],[SEI]]&amp;Mapa!CF$3),Atualizações!$E$1:$E$2994),"NÃO")</f>
        <v>NÃO</v>
      </c>
      <c r="AN65" s="161" cm="1">
        <f t="array" ref="AN65">IFERROR(LOOKUP(2,1/(Atualizações!$H$1:$H$2994=Tb_Mapa[[#This Row],[SEI]]&amp;Mapa!CG$3),Atualizações!$E$1:$E$2994),"NÃO")</f>
        <v>0.87</v>
      </c>
      <c r="AO65" s="161" cm="1">
        <f t="array" ref="AO65">IFERROR(LOOKUP(2,1/(Atualizações!$H$1:$H$2994=Tb_Mapa[[#This Row],[SEI]]&amp;Mapa!CH$3),Atualizações!$E$1:$E$2994),"NÃO")</f>
        <v>0.88</v>
      </c>
      <c r="AP65" s="161" cm="1">
        <f t="array" ref="AP65">IFERROR(LOOKUP(2,1/(Atualizações!$H$1:$H$2994=Tb_Mapa[[#This Row],[SEI]]&amp;Mapa!CI$3),Atualizações!$E$1:$E$2994),"NÃO")</f>
        <v>0.88</v>
      </c>
      <c r="AQ65" s="161" cm="1">
        <f t="array" ref="AQ65">IFERROR(LOOKUP(2,1/(Atualizações!$H$1:$H$2994=Tb_Mapa[[#This Row],[SEI]]&amp;Mapa!CJ$3),Atualizações!$E$1:$E$2994),"NÃO")</f>
        <v>0.76</v>
      </c>
      <c r="AR65" s="161" t="str" cm="1">
        <f t="array" ref="AR65">IFERROR(LOOKUP(2,1/(Atualizações!$H$1:$H$2994=Tb_Mapa[[#This Row],[SEI]]&amp;Mapa!CK$3),Atualizações!$E$1:$E$2994),"NÃO")</f>
        <v>NÃO</v>
      </c>
      <c r="AS65" s="161" t="str" cm="1">
        <f t="array" ref="AS65">IFERROR(LOOKUP(2,1/(Atualizações!$H$1:$H$2994=Tb_Mapa[[#This Row],[SEI]]&amp;Mapa!CL$3),Atualizações!$E$1:$E$2994),"NÃO")</f>
        <v>NÃO</v>
      </c>
      <c r="AT65" s="161" t="str" cm="1">
        <f t="array" ref="AT65">IFERROR(LOOKUP(2,1/(Atualizações!$H$1:$H$2994=Tb_Mapa[[#This Row],[SEI]]&amp;Mapa!CM$3),Atualizações!$E$1:$E$2994),"NÃO")</f>
        <v>NÃO</v>
      </c>
      <c r="AU65" s="161" t="str" cm="1">
        <f t="array" ref="AU65">IFERROR(LOOKUP(2,1/(Atualizações!$H$1:$H$2994=Tb_Mapa[[#This Row],[SEI]]&amp;Mapa!CN$3),Atualizações!$E$1:$E$2994),"NÃO")</f>
        <v>NÃO</v>
      </c>
      <c r="AV65" s="161" t="str" cm="1">
        <f t="array" ref="AV65">IFERROR(LOOKUP(2,1/(Atualizações!$H$1:$H$2994=Tb_Mapa[[#This Row],[SEI]]&amp;Mapa!CO$3),Atualizações!$E$1:$E$2994),"NÃO")</f>
        <v>NÃO</v>
      </c>
      <c r="AW65" s="161" t="str" cm="1">
        <f t="array" ref="AW65">IFERROR(LOOKUP(2,1/(Atualizações!$H$1:$H$2994=Tb_Mapa[[#This Row],[SEI]]&amp;Mapa!CP$3),Atualizações!$E$1:$E$2994),"NÃO")</f>
        <v>NÃO</v>
      </c>
      <c r="AX65" s="161" t="str" cm="1">
        <f t="array" ref="AX65">IFERROR(LOOKUP(2,1/(Atualizações!$H$1:$H$2994=Tb_Mapa[[#This Row],[SEI]]&amp;Mapa!CQ$3),Atualizações!$E$1:$E$2994),"NÃO")</f>
        <v>NÃO</v>
      </c>
    </row>
    <row r="66" spans="2:50" ht="32.25" customHeight="1">
      <c r="B66" s="46" t="s">
        <v>396</v>
      </c>
      <c r="C66" s="51" t="str">
        <f>_xlfn.XLOOKUP(Tb_Mapa[[#This Row],[SEI]],Tb_Portfólio[SEI],Tb_Portfólio[Portfólio 2025],"",0)</f>
        <v>Sim</v>
      </c>
      <c r="D66" s="158" t="str">
        <f>_xlfn.XLOOKUP(Tb_Mapa[[#This Row],[SEI]],Tb_Portfólio[SEI],Tb_Portfólio[Portfólio 2026],"",0)</f>
        <v>Sim</v>
      </c>
      <c r="E66" s="162" t="str">
        <f>_xlfn.XLOOKUP(Tb_Mapa[[#This Row],[SEI]],Tb_Portfólio[SEI],Tb_Portfólio[PROJETO],"",0)</f>
        <v>CODEX - Melhorias Evolutivas e Corretivas</v>
      </c>
      <c r="F66" s="143" t="str">
        <f>INDEX(Projetos!$G$3:$G$129,MATCH(Tb_Mapa[[#This Row],[SEI]],Projetos!$A$3:$A$129,0))</f>
        <v>Marcos Cardoso</v>
      </c>
      <c r="G66" s="172" t="s">
        <v>1717</v>
      </c>
      <c r="H66" s="166" t="str">
        <f>INDEX(Projetos!$T$3:$T$129,MATCH(B66,Projetos!$A$3:$A$129,0))</f>
        <v>Justiça 4.0</v>
      </c>
      <c r="I66" s="310">
        <f>INDEX(Projetos!$M$3:$M$129,MATCH(Tb_Mapa[[#This Row],[SEI]],Projetos!$A$3:$A$129,0))</f>
        <v>46387</v>
      </c>
      <c r="J66" s="164" t="str">
        <f ca="1">IF(Tb_Mapa[[#This Row],[SITUAÇÃO]]="Finalizado", "Data atualizada", IFERROR(IF(Tb_Mapa[[#This Row],[DATA DE TÉRMINO]]&lt;$I$1,"Atualizar data de encerramento","Data atualizada"),"Sem informação"))</f>
        <v>Data atualizada</v>
      </c>
      <c r="K66" s="311">
        <f>INDEX(Projetos!$N$3:$N$129,MATCH(Tb_Mapa[[#This Row],[SEI]],Projetos!$A$3:$A$129,0))</f>
        <v>0.86</v>
      </c>
      <c r="L66" s="311">
        <f>INDEX(Projetos!$O$3:$O$129,MATCH(Tb_Mapa[[#This Row],[SEI]],Projetos!$A$3:$A$129,0))</f>
        <v>0.86</v>
      </c>
      <c r="M66" s="165" t="str">
        <f ca="1">_xlfn.XLOOKUP(Tb_Mapa[[#This Row],[SEI]],Tb_Portfólio[SEI],Tb_Portfólio[Situação],"N/A",0)</f>
        <v>No prazo</v>
      </c>
      <c r="N66" s="128" t="str" cm="1">
        <f t="array" ref="N66">IFERROR(LOOKUP(2,1/(Atualizações!$H$1:$H$486=Mapa!$B98&amp;Mapa!BG$3),Atualizações!$E$1:$E$486),"NÃO")</f>
        <v>NÃO</v>
      </c>
      <c r="O66" s="205"/>
      <c r="P66" s="205"/>
      <c r="Q66" s="205"/>
      <c r="R66" s="205"/>
      <c r="S66" s="205"/>
      <c r="T66" s="205"/>
      <c r="U66" s="205"/>
      <c r="V66" s="205"/>
      <c r="W66" s="205"/>
      <c r="X66" s="205"/>
      <c r="Y66" s="205"/>
      <c r="Z66" s="161" t="str" cm="1">
        <f t="array" ref="Z66">IFERROR(LOOKUP(2,1/(Atualizações!$H$1:$H$1029=Mapa!$B98&amp;Mapa!BS$3),Atualizações!$E$1:$E$1029),"NÃO")</f>
        <v>NÃO</v>
      </c>
      <c r="AA66" s="161" cm="1">
        <f t="array" ref="AA66">IFERROR(LOOKUP(2,1/(Atualizações!$H$1:$H$1029=Mapa!$B98&amp;Mapa!BT$3),Atualizações!$E$1:$E$1029),"NÃO")</f>
        <v>5.5E-2</v>
      </c>
      <c r="AB66" s="161" cm="1">
        <f t="array" ref="AB66">IFERROR(LOOKUP(2,1/(Atualizações!$H$1:$H$1029=Mapa!$B98&amp;Mapa!BU$3),Atualizações!$E$1:$E$1029),"NÃO")</f>
        <v>0.13900000000000001</v>
      </c>
      <c r="AC66" s="161" cm="1">
        <f t="array" ref="AC66">IFERROR(LOOKUP(2,1/(Atualizações!$H$1:$H$1029=Mapa!$B98&amp;Mapa!BV$3),Atualizações!$E$1:$E$1029),"NÃO")</f>
        <v>0.17</v>
      </c>
      <c r="AD66" s="161" cm="1">
        <f t="array" ref="AD66">IFERROR(LOOKUP(2,1/(Atualizações!$H$1:$H$1029=Mapa!$B98&amp;Mapa!BW$3),Atualizações!$E$1:$E$1029),"NÃO")</f>
        <v>0.24099999999999999</v>
      </c>
      <c r="AE66" s="161" cm="1">
        <f t="array" ref="AE66">IFERROR(LOOKUP(2,1/(Atualizações!$H$1:$H$1029=Mapa!$B98&amp;Mapa!BX$3),Atualizações!$E$1:$E$1029),"NÃO")</f>
        <v>0.33400000000000002</v>
      </c>
      <c r="AF66" s="161" cm="1">
        <f t="array" ref="AF66">IFERROR(LOOKUP(2,1/(Atualizações!$H$1:$H$1029=Mapa!$B98&amp;Mapa!BY$3),Atualizações!$E$1:$E$1029),"NÃO")</f>
        <v>0.42499999999999999</v>
      </c>
      <c r="AG66" s="161" cm="1">
        <f t="array" ref="AG66">IFERROR(LOOKUP(2,1/(Atualizações!$H$1:$H$1029=Mapa!$B98&amp;Mapa!BZ$3),Atualizações!$E$1:$E$1029),"NÃO")</f>
        <v>0.46700000000000003</v>
      </c>
      <c r="AH66" s="161" cm="1">
        <f t="array" ref="AH66">IFERROR(LOOKUP(2,1/(Atualizações!$H$1:$H$1029=Mapa!$B98&amp;Mapa!CA$3),Atualizações!$E$1:$E$1029),"NÃO")</f>
        <v>0.41</v>
      </c>
      <c r="AI66" s="161" cm="1">
        <f t="array" ref="AI66">IFERROR(LOOKUP(2,1/(Atualizações!$H$1:$H$1029=Mapa!$B98&amp;Mapa!CB$3),Atualizações!$E$1:$E$1029),"NÃO")</f>
        <v>0.41</v>
      </c>
      <c r="AJ66" s="161" cm="1">
        <f t="array" ref="AJ66">IFERROR(LOOKUP(2,1/(Atualizações!$H$1:$H$1029=Mapa!$B98&amp;Mapa!CC$3),Atualizações!$E$1:$E$1029),"NÃO")</f>
        <v>0.53</v>
      </c>
      <c r="AK66" s="161" cm="1">
        <f t="array" ref="AK66">IFERROR(LOOKUP(2,1/(Atualizações!$H$1:$H$1029=Mapa!$B98&amp;Mapa!CD$3),Atualizações!$E$1:$E$1029),"NÃO")</f>
        <v>0.69</v>
      </c>
      <c r="AL66" s="161" cm="1">
        <f t="array" ref="AL66">IFERROR(LOOKUP(2,1/(Atualizações!$H$1:$H$1265=Mapa!$B98&amp;Mapa!CE$3),Atualizações!$E$1:$E$2994),"NÃO")</f>
        <v>0.69</v>
      </c>
      <c r="AM66" s="161" t="str" cm="1">
        <f t="array" ref="AM66">IFERROR(LOOKUP(2,1/(Atualizações!$H$1:$H$2994=Tb_Mapa[[#This Row],[SEI]]&amp;Mapa!CF$3),Atualizações!$E$1:$E$2994),"NÃO")</f>
        <v>NÃO</v>
      </c>
      <c r="AN66" s="161" cm="1">
        <f t="array" ref="AN66">IFERROR(LOOKUP(2,1/(Atualizações!$H$1:$H$2994=Tb_Mapa[[#This Row],[SEI]]&amp;Mapa!CG$3),Atualizações!$E$1:$E$2994),"NÃO")</f>
        <v>0.84</v>
      </c>
      <c r="AO66" s="161" cm="1">
        <f t="array" ref="AO66">IFERROR(LOOKUP(2,1/(Atualizações!$H$1:$H$2994=Tb_Mapa[[#This Row],[SEI]]&amp;Mapa!CH$3),Atualizações!$E$1:$E$2994),"NÃO")</f>
        <v>0.85</v>
      </c>
      <c r="AP66" s="161" cm="1">
        <f t="array" ref="AP66">IFERROR(LOOKUP(2,1/(Atualizações!$H$1:$H$2994=Tb_Mapa[[#This Row],[SEI]]&amp;Mapa!CI$3),Atualizações!$E$1:$E$2994),"NÃO")</f>
        <v>0.85</v>
      </c>
      <c r="AQ66" s="161" cm="1">
        <f t="array" ref="AQ66">IFERROR(LOOKUP(2,1/(Atualizações!$H$1:$H$2994=Tb_Mapa[[#This Row],[SEI]]&amp;Mapa!CJ$3),Atualizações!$E$1:$E$2994),"NÃO")</f>
        <v>0.86</v>
      </c>
      <c r="AR66" s="161" t="str" cm="1">
        <f t="array" ref="AR66">IFERROR(LOOKUP(2,1/(Atualizações!$H$1:$H$2994=Tb_Mapa[[#This Row],[SEI]]&amp;Mapa!CK$3),Atualizações!$E$1:$E$2994),"NÃO")</f>
        <v>NÃO</v>
      </c>
      <c r="AS66" s="161" t="str" cm="1">
        <f t="array" ref="AS66">IFERROR(LOOKUP(2,1/(Atualizações!$H$1:$H$2994=Tb_Mapa[[#This Row],[SEI]]&amp;Mapa!CL$3),Atualizações!$E$1:$E$2994),"NÃO")</f>
        <v>NÃO</v>
      </c>
      <c r="AT66" s="161" t="str" cm="1">
        <f t="array" ref="AT66">IFERROR(LOOKUP(2,1/(Atualizações!$H$1:$H$2994=Tb_Mapa[[#This Row],[SEI]]&amp;Mapa!CM$3),Atualizações!$E$1:$E$2994),"NÃO")</f>
        <v>NÃO</v>
      </c>
      <c r="AU66" s="161" t="str" cm="1">
        <f t="array" ref="AU66">IFERROR(LOOKUP(2,1/(Atualizações!$H$1:$H$2994=Tb_Mapa[[#This Row],[SEI]]&amp;Mapa!CN$3),Atualizações!$E$1:$E$2994),"NÃO")</f>
        <v>NÃO</v>
      </c>
      <c r="AV66" s="161" t="str" cm="1">
        <f t="array" ref="AV66">IFERROR(LOOKUP(2,1/(Atualizações!$H$1:$H$2994=Tb_Mapa[[#This Row],[SEI]]&amp;Mapa!CO$3),Atualizações!$E$1:$E$2994),"NÃO")</f>
        <v>NÃO</v>
      </c>
      <c r="AW66" s="161" t="str" cm="1">
        <f t="array" ref="AW66">IFERROR(LOOKUP(2,1/(Atualizações!$H$1:$H$2994=Tb_Mapa[[#This Row],[SEI]]&amp;Mapa!CP$3),Atualizações!$E$1:$E$2994),"NÃO")</f>
        <v>NÃO</v>
      </c>
      <c r="AX66" s="161" t="str" cm="1">
        <f t="array" ref="AX66">IFERROR(LOOKUP(2,1/(Atualizações!$H$1:$H$2994=Tb_Mapa[[#This Row],[SEI]]&amp;Mapa!CQ$3),Atualizações!$E$1:$E$2994),"NÃO")</f>
        <v>NÃO</v>
      </c>
    </row>
    <row r="67" spans="2:50" ht="32.25" hidden="1" customHeight="1">
      <c r="B67" s="235" t="s">
        <v>549</v>
      </c>
      <c r="C67" s="169" t="str">
        <f>_xlfn.XLOOKUP(Tb_Mapa[[#This Row],[SEI]],Tb_Portfólio[SEI],Tb_Portfólio[Portfólio 2025],"",0)</f>
        <v>Sim</v>
      </c>
      <c r="D67" s="158" t="str">
        <f>_xlfn.XLOOKUP(Tb_Mapa[[#This Row],[SEI]],Tb_Portfólio[SEI],Tb_Portfólio[Portfólio 2026],"",0)</f>
        <v>Sim</v>
      </c>
      <c r="E67" s="343" t="str">
        <f>_xlfn.XLOOKUP(Tb_Mapa[[#This Row],[SEI]],Tb_Portfólio[SEI],Tb_Portfólio[PROJETO],"",0)</f>
        <v>Fluxo Nacional Automatizado das Execuções Fiscais (EFIN)</v>
      </c>
      <c r="F67" s="143" t="str">
        <f>INDEX(Projetos!$G$3:$G$129,MATCH(Tb_Mapa[[#This Row],[SEI]],Projetos!$A$3:$A$129,0))</f>
        <v>Alexandre Alves de Oliveira</v>
      </c>
      <c r="G67" s="160" t="s">
        <v>1710</v>
      </c>
      <c r="H67" s="166" t="str">
        <f>INDEX(Projetos!$T$3:$T$129,MATCH(B67,Projetos!$A$3:$A$129,0))</f>
        <v>Justiça 4.0</v>
      </c>
      <c r="I67" s="310">
        <f>INDEX(Projetos!$M$3:$M$129,MATCH(Tb_Mapa[[#This Row],[SEI]],Projetos!$A$3:$A$129,0))</f>
        <v>46226</v>
      </c>
      <c r="J67" s="164" t="str">
        <f ca="1">IF(Tb_Mapa[[#This Row],[SITUAÇÃO]]="Finalizado", "Data atualizada", IFERROR(IF(Tb_Mapa[[#This Row],[DATA DE TÉRMINO]]&lt;$I$1,"Atualizar data de encerramento","Data atualizada"),"Sem informação"))</f>
        <v>Data atualizada</v>
      </c>
      <c r="K67" s="311">
        <f>INDEX(Projetos!$N$3:$N$129,MATCH(Tb_Mapa[[#This Row],[SEI]],Projetos!$A$3:$A$129,0))</f>
        <v>0.92</v>
      </c>
      <c r="L67" s="311">
        <f>INDEX(Projetos!$O$3:$O$129,MATCH(Tb_Mapa[[#This Row],[SEI]],Projetos!$A$3:$A$129,0))</f>
        <v>0.86</v>
      </c>
      <c r="M67" s="165" t="str">
        <f ca="1">_xlfn.XLOOKUP(Tb_Mapa[[#This Row],[SEI]],Tb_Portfólio[SEI],Tb_Portfólio[Situação],"N/A",0)</f>
        <v>Em atenção</v>
      </c>
      <c r="N67" s="128" t="str" cm="1">
        <f t="array" ref="N67">IFERROR(LOOKUP(2,1/(Atualizações!$H$1:$H$486=Mapa!$B47&amp;Mapa!BG$3),Atualizações!$E$1:$E$486),"NÃO")</f>
        <v>NÃO</v>
      </c>
      <c r="O67" s="205" t="str" cm="1">
        <f t="array" ref="O67">IFERROR(LOOKUP(2,1/(Atualizações!$H$1:$H$580=Mapa!$B47&amp;Mapa!BH$3),Atualizações!$E$1:$E$580),"NÃO")</f>
        <v>NÃO</v>
      </c>
      <c r="P67" s="205" t="str" cm="1">
        <f t="array" ref="P67">IFERROR(LOOKUP(2,1/(Atualizações!$H$1:$H$580=Mapa!$B47&amp;Mapa!BI$3),Atualizações!$E$1:$E$580),"NÃO")</f>
        <v>NÃO</v>
      </c>
      <c r="Q67" s="205" t="str" cm="1">
        <f t="array" ref="Q67">IFERROR(LOOKUP(2,1/(Atualizações!$H$1:$H$580=Mapa!$B47&amp;Mapa!BJ$3),Atualizações!$E$1:$E$580),"NÃO")</f>
        <v>NÃO</v>
      </c>
      <c r="R67" s="205" t="str" cm="1">
        <f t="array" ref="R67">IFERROR(LOOKUP(2,1/(Atualizações!$H$1:$H$580=Mapa!$B47&amp;Mapa!BK$3),Atualizações!$E$1:$E$580),"NÃO")</f>
        <v>NÃO</v>
      </c>
      <c r="S67" s="205" t="str" cm="1">
        <f t="array" ref="S67">IFERROR(LOOKUP(2,1/(Atualizações!$H$1:$H$580=Mapa!$B47&amp;Mapa!BL$3),Atualizações!$E$1:$E$580),"NÃO")</f>
        <v>NÃO</v>
      </c>
      <c r="T67" s="205" t="str" cm="1">
        <f t="array" ref="T67">IFERROR(LOOKUP(2,1/(Atualizações!$H$1:$H$580=Mapa!$B47&amp;Mapa!BM$3),Atualizações!$E$1:$E$580),"NÃO")</f>
        <v>NÃO</v>
      </c>
      <c r="U67" s="205" t="str" cm="1">
        <f t="array" ref="U67">IFERROR(LOOKUP(2,1/(Atualizações!$H$1:$H$580=Mapa!$B47&amp;Mapa!BN$3),Atualizações!$E$1:$E$580),"NÃO")</f>
        <v>NÃO</v>
      </c>
      <c r="V67" s="205" t="str" cm="1">
        <f t="array" ref="V67">IFERROR(LOOKUP(2,1/(Atualizações!$H$1:$H$580=Mapa!$B47&amp;Mapa!BO$3),Atualizações!$E$1:$E$580),"NÃO")</f>
        <v>NÃO</v>
      </c>
      <c r="W67" s="205" t="str" cm="1">
        <f t="array" ref="W67">IFERROR(LOOKUP(2,1/(Atualizações!$H$1:$H$580=Mapa!$B47&amp;Mapa!BP$3),Atualizações!$E$1:$E$580),"NÃO")</f>
        <v>NÃO</v>
      </c>
      <c r="X67" s="205" t="str" cm="1">
        <f t="array" ref="X67">IFERROR(LOOKUP(2,1/(Atualizações!$H$1:$H$580=Mapa!$B47&amp;Mapa!BQ$3),Atualizações!$E$1:$E$580),"NÃO")</f>
        <v>NÃO</v>
      </c>
      <c r="Y67" s="205" t="str" cm="1">
        <f t="array" ref="Y67">IFERROR(LOOKUP(2,1/(Atualizações!$H$1:$H$580=Mapa!$B47&amp;Mapa!BR$3),Atualizações!$E$1:$E$580),"NÃO")</f>
        <v>NÃO</v>
      </c>
      <c r="Z67" s="161" t="str" cm="1">
        <f t="array" ref="Z67">IFERROR(LOOKUP(2,1/(Atualizações!$H$1:$H$1029=Mapa!$B47&amp;Mapa!BS$3),Atualizações!$E$1:$E$1029),"NÃO")</f>
        <v>NÃO</v>
      </c>
      <c r="AA67" s="161" t="str" cm="1">
        <f t="array" ref="AA67">IFERROR(LOOKUP(2,1/(Atualizações!$H$1:$H$1029=Mapa!$B47&amp;Mapa!BT$3),Atualizações!$E$1:$E$1029),"NÃO")</f>
        <v>NÃO</v>
      </c>
      <c r="AB67" s="161" t="str" cm="1">
        <f t="array" ref="AB67">IFERROR(LOOKUP(2,1/(Atualizações!$H$1:$H$1029=Mapa!$B47&amp;Mapa!BU$3),Atualizações!$E$1:$E$1029),"NÃO")</f>
        <v>NÃO</v>
      </c>
      <c r="AC67" s="161" t="str" cm="1">
        <f t="array" ref="AC67">IFERROR(LOOKUP(2,1/(Atualizações!$H$1:$H$1029=Mapa!$B47&amp;Mapa!BV$3),Atualizações!$E$1:$E$1029),"NÃO")</f>
        <v>NÃO</v>
      </c>
      <c r="AD67" s="161" t="str" cm="1">
        <f t="array" ref="AD67">IFERROR(LOOKUP(2,1/(Atualizações!$H$1:$H$1029=Mapa!$B47&amp;Mapa!BW$3),Atualizações!$E$1:$E$1029),"NÃO")</f>
        <v>NÃO</v>
      </c>
      <c r="AE67" s="161" t="str" cm="1">
        <f t="array" ref="AE67">IFERROR(LOOKUP(2,1/(Atualizações!$H$1:$H$1029=Mapa!$B47&amp;Mapa!BX$3),Atualizações!$E$1:$E$1029),"NÃO")</f>
        <v>NÃO</v>
      </c>
      <c r="AF67" s="161" t="str" cm="1">
        <f t="array" ref="AF67">IFERROR(LOOKUP(2,1/(Atualizações!$H$1:$H$1029=Mapa!$B47&amp;Mapa!BY$3),Atualizações!$E$1:$E$1029),"NÃO")</f>
        <v>NÃO</v>
      </c>
      <c r="AG67" s="161" t="str" cm="1">
        <f t="array" ref="AG67">IFERROR(LOOKUP(2,1/(Atualizações!$H$1:$H$1029=Mapa!$B47&amp;Mapa!BZ$3),Atualizações!$E$1:$E$1029),"NÃO")</f>
        <v>NÃO</v>
      </c>
      <c r="AH67" s="161" t="str" cm="1">
        <f t="array" ref="AH67">IFERROR(LOOKUP(2,1/(Atualizações!$H$1:$H$1029=Mapa!$B47&amp;Mapa!CA$3),Atualizações!$E$1:$E$1029),"NÃO")</f>
        <v>NÃO</v>
      </c>
      <c r="AI67" s="161" t="str" cm="1">
        <f t="array" ref="AI67">IFERROR(LOOKUP(2,1/(Atualizações!$H$1:$H$1029=Mapa!$B47&amp;Mapa!CB$3),Atualizações!$E$1:$E$1029),"NÃO")</f>
        <v>NÃO</v>
      </c>
      <c r="AJ67" s="161" t="str" cm="1">
        <f t="array" ref="AJ67">IFERROR(LOOKUP(2,1/(Atualizações!$H$1:$H$1029=Mapa!$B47&amp;Mapa!CC$3),Atualizações!$E$1:$E$1029),"NÃO")</f>
        <v>NÃO</v>
      </c>
      <c r="AK67" s="161" t="str" cm="1">
        <f t="array" ref="AK67">IFERROR(LOOKUP(2,1/(Atualizações!$H$1:$H$1029=Mapa!$B47&amp;Mapa!CD$3),Atualizações!$E$1:$E$1029),"NÃO")</f>
        <v>NÃO</v>
      </c>
      <c r="AL67" s="161" t="str" cm="1">
        <f t="array" ref="AL67">IFERROR(LOOKUP(2,1/(Atualizações!$H$1:$H$1265=Mapa!$B47&amp;Mapa!CE$3),Atualizações!$E$1:$E$2994),"NÃO")</f>
        <v>NÃO</v>
      </c>
      <c r="AM67" s="161" t="str" cm="1">
        <f t="array" ref="AM67">IFERROR(LOOKUP(2,1/(Atualizações!$H$1:$H$2994=Tb_Mapa[[#This Row],[SEI]]&amp;Mapa!CF$3),Atualizações!$E$1:$E$2994),"NÃO")</f>
        <v>NÃO</v>
      </c>
      <c r="AN67" s="161" cm="1">
        <f t="array" ref="AN67">IFERROR(LOOKUP(2,1/(Atualizações!$H$1:$H$2994=Tb_Mapa[[#This Row],[SEI]]&amp;Mapa!CG$3),Atualizações!$E$1:$E$2994),"NÃO")</f>
        <v>0.81</v>
      </c>
      <c r="AO67" s="161" cm="1">
        <f t="array" ref="AO67">IFERROR(LOOKUP(2,1/(Atualizações!$H$1:$H$2994=Tb_Mapa[[#This Row],[SEI]]&amp;Mapa!CH$3),Atualizações!$E$1:$E$2994),"NÃO")</f>
        <v>0.83</v>
      </c>
      <c r="AP67" s="161" cm="1">
        <f t="array" ref="AP67">IFERROR(LOOKUP(2,1/(Atualizações!$H$1:$H$2994=Tb_Mapa[[#This Row],[SEI]]&amp;Mapa!CI$3),Atualizações!$E$1:$E$2994),"NÃO")</f>
        <v>0.83</v>
      </c>
      <c r="AQ67" s="161" cm="1">
        <f t="array" ref="AQ67">IFERROR(LOOKUP(2,1/(Atualizações!$H$1:$H$2994=Tb_Mapa[[#This Row],[SEI]]&amp;Mapa!CJ$3),Atualizações!$E$1:$E$2994),"NÃO")</f>
        <v>0.86</v>
      </c>
      <c r="AR67" s="161" t="str" cm="1">
        <f t="array" ref="AR67">IFERROR(LOOKUP(2,1/(Atualizações!$H$1:$H$2994=Tb_Mapa[[#This Row],[SEI]]&amp;Mapa!CK$3),Atualizações!$E$1:$E$2994),"NÃO")</f>
        <v>NÃO</v>
      </c>
      <c r="AS67" s="161" t="str" cm="1">
        <f t="array" ref="AS67">IFERROR(LOOKUP(2,1/(Atualizações!$H$1:$H$2994=Tb_Mapa[[#This Row],[SEI]]&amp;Mapa!CL$3),Atualizações!$E$1:$E$2994),"NÃO")</f>
        <v>NÃO</v>
      </c>
      <c r="AT67" s="161" t="str" cm="1">
        <f t="array" ref="AT67">IFERROR(LOOKUP(2,1/(Atualizações!$H$1:$H$2994=Tb_Mapa[[#This Row],[SEI]]&amp;Mapa!CM$3),Atualizações!$E$1:$E$2994),"NÃO")</f>
        <v>NÃO</v>
      </c>
      <c r="AU67" s="161" t="str" cm="1">
        <f t="array" ref="AU67">IFERROR(LOOKUP(2,1/(Atualizações!$H$1:$H$2994=Tb_Mapa[[#This Row],[SEI]]&amp;Mapa!CN$3),Atualizações!$E$1:$E$2994),"NÃO")</f>
        <v>NÃO</v>
      </c>
      <c r="AV67" s="161" t="str" cm="1">
        <f t="array" ref="AV67">IFERROR(LOOKUP(2,1/(Atualizações!$H$1:$H$2994=Tb_Mapa[[#This Row],[SEI]]&amp;Mapa!CO$3),Atualizações!$E$1:$E$2994),"NÃO")</f>
        <v>NÃO</v>
      </c>
      <c r="AW67" s="161" t="str" cm="1">
        <f t="array" ref="AW67">IFERROR(LOOKUP(2,1/(Atualizações!$H$1:$H$2994=Tb_Mapa[[#This Row],[SEI]]&amp;Mapa!CP$3),Atualizações!$E$1:$E$2994),"NÃO")</f>
        <v>NÃO</v>
      </c>
      <c r="AX67" s="161" t="str" cm="1">
        <f t="array" ref="AX67">IFERROR(LOOKUP(2,1/(Atualizações!$H$1:$H$2994=Tb_Mapa[[#This Row],[SEI]]&amp;Mapa!CQ$3),Atualizações!$E$1:$E$2994),"NÃO")</f>
        <v>NÃO</v>
      </c>
    </row>
    <row r="68" spans="2:50" ht="32.25" hidden="1" customHeight="1">
      <c r="B68" s="65" t="s">
        <v>523</v>
      </c>
      <c r="C68" s="24" t="str">
        <f>_xlfn.XLOOKUP(Tb_Mapa[[#This Row],[SEI]],Tb_Portfólio[SEI],Tb_Portfólio[Portfólio 2025],"",0)</f>
        <v>Sim</v>
      </c>
      <c r="D68" s="158" t="str">
        <f>_xlfn.XLOOKUP(Tb_Mapa[[#This Row],[SEI]],Tb_Portfólio[SEI],Tb_Portfólio[Portfólio 2026],"",0)</f>
        <v>Não</v>
      </c>
      <c r="E68" s="162" t="str">
        <f>_xlfn.XLOOKUP(Tb_Mapa[[#This Row],[SEI]],Tb_Portfólio[SEI],Tb_Portfólio[PROJETO],"",0)</f>
        <v>Portal Jus BR</v>
      </c>
      <c r="F68" s="170" t="str">
        <f>INDEX(Projetos!$G$3:$G$129,MATCH(B68,Projetos!$A$3:$A$129,0))</f>
        <v>Gisele Cristina Borges</v>
      </c>
      <c r="G68" s="158" t="s">
        <v>1715</v>
      </c>
      <c r="H68" s="166" t="str">
        <f>INDEX(Projetos!$T$3:$T$129,MATCH(B68,Projetos!$A$3:$A$129,0))</f>
        <v>Justiça 4.0</v>
      </c>
      <c r="I68" s="310">
        <f>INDEX(Projetos!$M$3:$M$129,MATCH(Mapa!B57,Projetos!$A$3:$A$129,0))</f>
        <v>46386</v>
      </c>
      <c r="J68" s="164" t="str">
        <f>IF(Tb_Mapa[[#This Row],[SITUAÇÃO]]="Finalizado", "Data atualizada", IFERROR(IF(I68&lt;$CN$3,"Atualizar data de encerramento","Data atualizada"),"Sem informação"))</f>
        <v>Data atualizada</v>
      </c>
      <c r="K68" s="311">
        <f>INDEX(Projetos!$N$3:$N$129,MATCH(Tb_Mapa[[#This Row],[SEI]],Projetos!$A$3:$A$129,0))</f>
        <v>1</v>
      </c>
      <c r="L68" s="311">
        <f>INDEX(Projetos!$O$3:$O$129,MATCH(Tb_Mapa[[#This Row],[SEI]],Projetos!$A$3:$A$129,0))</f>
        <v>1</v>
      </c>
      <c r="M68" s="165" t="str">
        <f>_xlfn.XLOOKUP(Tb_Mapa[[#This Row],[SEI]],Tb_Portfólio[SEI],Tb_Portfólio[Situação],"N/A",0)</f>
        <v>Finalizado</v>
      </c>
      <c r="N68" s="128" t="str" cm="1">
        <f t="array" ref="N68">IFERROR(LOOKUP(2,1/(Atualizações!$H$1:$H$486=Mapa!$B57&amp;Mapa!BG$3),Atualizações!$E$1:$E$486),"NÃO")</f>
        <v>NÃO</v>
      </c>
      <c r="O68" s="205" t="str" cm="1">
        <f t="array" ref="O68">IFERROR(LOOKUP(2,1/(Atualizações!$H$1:$H$580=Mapa!$B57&amp;Mapa!BH$3),Atualizações!$E$1:$E$580),"NÃO")</f>
        <v>NÃO</v>
      </c>
      <c r="P68" s="205" t="str" cm="1">
        <f t="array" ref="P68">IFERROR(LOOKUP(2,1/(Atualizações!$H$1:$H$580=Mapa!$B57&amp;Mapa!BI$3),Atualizações!$E$1:$E$580),"NÃO")</f>
        <v>NÃO</v>
      </c>
      <c r="Q68" s="205" t="str" cm="1">
        <f t="array" ref="Q68">IFERROR(LOOKUP(2,1/(Atualizações!$H$1:$H$580=Mapa!$B57&amp;Mapa!BJ$3),Atualizações!$E$1:$E$580),"NÃO")</f>
        <v>NÃO</v>
      </c>
      <c r="R68" s="205" t="str" cm="1">
        <f t="array" ref="R68">IFERROR(LOOKUP(2,1/(Atualizações!$H$1:$H$580=Mapa!$B57&amp;Mapa!BK$3),Atualizações!$E$1:$E$580),"NÃO")</f>
        <v>NÃO</v>
      </c>
      <c r="S68" s="205" t="str" cm="1">
        <f t="array" ref="S68">IFERROR(LOOKUP(2,1/(Atualizações!$H$1:$H$580=Mapa!$B57&amp;Mapa!BL$3),Atualizações!$E$1:$E$580),"NÃO")</f>
        <v>NÃO</v>
      </c>
      <c r="T68" s="205" t="str" cm="1">
        <f t="array" ref="T68">IFERROR(LOOKUP(2,1/(Atualizações!$H$1:$H$580=Mapa!$B57&amp;Mapa!BM$3),Atualizações!$E$1:$E$580),"NÃO")</f>
        <v>NÃO</v>
      </c>
      <c r="U68" s="205" t="str" cm="1">
        <f t="array" ref="U68">IFERROR(LOOKUP(2,1/(Atualizações!$H$1:$H$580=Mapa!$B57&amp;Mapa!BN$3),Atualizações!$E$1:$E$580),"NÃO")</f>
        <v>NÃO</v>
      </c>
      <c r="V68" s="205" cm="1">
        <f t="array" ref="V68">IFERROR(LOOKUP(2,1/(Atualizações!$H$1:$H$580=Mapa!$B57&amp;Mapa!BO$3),Atualizações!$E$1:$E$580),"NÃO")</f>
        <v>8.3000000000000004E-2</v>
      </c>
      <c r="W68" s="205" cm="1">
        <f t="array" ref="W68">IFERROR(LOOKUP(2,1/(Atualizações!$H$1:$H$580=Mapa!$B57&amp;Mapa!BP$3),Atualizações!$E$1:$E$580),"NÃO")</f>
        <v>0.13500000000000001</v>
      </c>
      <c r="X68" s="205" cm="1">
        <f t="array" ref="X68">IFERROR(LOOKUP(2,1/(Atualizações!$H$1:$H$580=Mapa!$B57&amp;Mapa!BQ$3),Atualizações!$E$1:$E$580),"NÃO")</f>
        <v>0.16200000000000001</v>
      </c>
      <c r="Y68" s="205" cm="1">
        <f t="array" ref="Y68">IFERROR(LOOKUP(2,1/(Atualizações!$H$1:$H$580=Mapa!$B57&amp;Mapa!BR$3),Atualizações!$E$1:$E$580),"NÃO")</f>
        <v>0.20499999999999999</v>
      </c>
      <c r="Z68" s="161" cm="1">
        <f t="array" ref="Z68">IFERROR(LOOKUP(2,1/(Atualizações!$H$1:$H$1029=Mapa!$B57&amp;Mapa!BS$3),Atualizações!$E$1:$E$1029),"NÃO")</f>
        <v>0.26200000000000001</v>
      </c>
      <c r="AA68" s="161" cm="1">
        <f t="array" ref="AA68">IFERROR(LOOKUP(2,1/(Atualizações!$H$1:$H$1029=Mapa!$B57&amp;Mapa!BT$3),Atualizações!$E$1:$E$1029),"NÃO")</f>
        <v>0.315</v>
      </c>
      <c r="AB68" s="161" cm="1">
        <f t="array" ref="AB68">IFERROR(LOOKUP(2,1/(Atualizações!$H$1:$H$1029=Mapa!$B57&amp;Mapa!BU$3),Atualizações!$E$1:$E$1029),"NÃO")</f>
        <v>0.35299999999999998</v>
      </c>
      <c r="AC68" s="161" cm="1">
        <f t="array" ref="AC68">IFERROR(LOOKUP(2,1/(Atualizações!$H$1:$H$1029=Mapa!$B57&amp;Mapa!BV$3),Atualizações!$E$1:$E$1029),"NÃO")</f>
        <v>0.42599999999999999</v>
      </c>
      <c r="AD68" s="161" cm="1">
        <f t="array" ref="AD68">IFERROR(LOOKUP(2,1/(Atualizações!$H$1:$H$1029=Mapa!$B57&amp;Mapa!BW$3),Atualizações!$E$1:$E$1029),"NÃO")</f>
        <v>0.45900000000000002</v>
      </c>
      <c r="AE68" s="161" cm="1">
        <f t="array" ref="AE68">IFERROR(LOOKUP(2,1/(Atualizações!$H$1:$H$1029=Mapa!$B57&amp;Mapa!BX$3),Atualizações!$E$1:$E$1029),"NÃO")</f>
        <v>0.57299999999999995</v>
      </c>
      <c r="AF68" s="161" cm="1">
        <f t="array" ref="AF68">IFERROR(LOOKUP(2,1/(Atualizações!$H$1:$H$1029=Mapa!$B57&amp;Mapa!BY$3),Atualizações!$E$1:$E$1029),"NÃO")</f>
        <v>0.65</v>
      </c>
      <c r="AG68" s="161" cm="1">
        <f t="array" ref="AG68">IFERROR(LOOKUP(2,1/(Atualizações!$H$1:$H$1029=Mapa!$B57&amp;Mapa!BZ$3),Atualizações!$E$1:$E$1029),"NÃO")</f>
        <v>0.71</v>
      </c>
      <c r="AH68" s="161" cm="1">
        <f t="array" ref="AH68">IFERROR(LOOKUP(2,1/(Atualizações!$H$1:$H$1029=Mapa!$B57&amp;Mapa!CA$3),Atualizações!$E$1:$E$1029),"NÃO")</f>
        <v>0.75</v>
      </c>
      <c r="AI68" s="161" cm="1">
        <f t="array" ref="AI68">IFERROR(LOOKUP(2,1/(Atualizações!$H$1:$H$1029=Mapa!$B57&amp;Mapa!CB$3),Atualizações!$E$1:$E$1029),"NÃO")</f>
        <v>0.79</v>
      </c>
      <c r="AJ68" s="161" cm="1">
        <f t="array" ref="AJ68">IFERROR(LOOKUP(2,1/(Atualizações!$H$1:$H$1029=Mapa!$B57&amp;Mapa!CC$3),Atualizações!$E$1:$E$1029),"NÃO")</f>
        <v>0.82</v>
      </c>
      <c r="AK68" s="161" cm="1">
        <f t="array" ref="AK68">IFERROR(LOOKUP(2,1/(Atualizações!$H$1:$H$1029=Mapa!$B57&amp;Mapa!CD$3),Atualizações!$E$1:$E$1029),"NÃO")</f>
        <v>0.87</v>
      </c>
      <c r="AL68" s="161" cm="1">
        <f t="array" ref="AL68">IFERROR(LOOKUP(2,1/(Atualizações!$H$1:$H$1265=Mapa!$B57&amp;Mapa!CE$3),Atualizações!$E$1:$E$2994),"NÃO")</f>
        <v>0.89</v>
      </c>
      <c r="AM68" s="161" t="str" cm="1">
        <f t="array" ref="AM68">IFERROR(LOOKUP(2,1/(Atualizações!$H$1:$H$2994=Tb_Mapa[[#This Row],[SEI]]&amp;Mapa!CF$3),Atualizações!$E$1:$E$2994),"NÃO")</f>
        <v>NÃO</v>
      </c>
      <c r="AN68" s="161" t="str" cm="1">
        <f t="array" ref="AN68">IFERROR(LOOKUP(2,1/(Atualizações!$H$1:$H$2994=Tb_Mapa[[#This Row],[SEI]]&amp;Mapa!CG$3),Atualizações!$E$1:$E$2994),"NÃO")</f>
        <v>NÃO</v>
      </c>
      <c r="AO68" s="161" t="str" cm="1">
        <f t="array" ref="AO68">IFERROR(LOOKUP(2,1/(Atualizações!$H$1:$H$2994=Tb_Mapa[[#This Row],[SEI]]&amp;Mapa!CH$3),Atualizações!$E$1:$E$2994),"NÃO")</f>
        <v>NÃO</v>
      </c>
      <c r="AP68" s="161" t="str" cm="1">
        <f t="array" ref="AP68">IFERROR(LOOKUP(2,1/(Atualizações!$H$1:$H$2994=Tb_Mapa[[#This Row],[SEI]]&amp;Mapa!CI$3),Atualizações!$E$1:$E$2994),"NÃO")</f>
        <v>NÃO</v>
      </c>
      <c r="AQ68" s="161" t="str" cm="1">
        <f t="array" ref="AQ68">IFERROR(LOOKUP(2,1/(Atualizações!$H$1:$H$2994=Tb_Mapa[[#This Row],[SEI]]&amp;Mapa!CJ$3),Atualizações!$E$1:$E$2994),"NÃO")</f>
        <v>NÃO</v>
      </c>
      <c r="AR68" s="161" t="str" cm="1">
        <f t="array" ref="AR68">IFERROR(LOOKUP(2,1/(Atualizações!$H$1:$H$2994=Tb_Mapa[[#This Row],[SEI]]&amp;Mapa!CK$3),Atualizações!$E$1:$E$2994),"NÃO")</f>
        <v>NÃO</v>
      </c>
      <c r="AS68" s="161" t="str" cm="1">
        <f t="array" ref="AS68">IFERROR(LOOKUP(2,1/(Atualizações!$H$1:$H$2994=Tb_Mapa[[#This Row],[SEI]]&amp;Mapa!CL$3),Atualizações!$E$1:$E$2994),"NÃO")</f>
        <v>NÃO</v>
      </c>
      <c r="AT68" s="161" t="str" cm="1">
        <f t="array" ref="AT68">IFERROR(LOOKUP(2,1/(Atualizações!$H$1:$H$2994=Tb_Mapa[[#This Row],[SEI]]&amp;Mapa!CM$3),Atualizações!$E$1:$E$2994),"NÃO")</f>
        <v>NÃO</v>
      </c>
      <c r="AU68" s="161" t="str" cm="1">
        <f t="array" ref="AU68">IFERROR(LOOKUP(2,1/(Atualizações!$H$1:$H$2994=Tb_Mapa[[#This Row],[SEI]]&amp;Mapa!CN$3),Atualizações!$E$1:$E$2994),"NÃO")</f>
        <v>NÃO</v>
      </c>
      <c r="AV68" s="161" t="str" cm="1">
        <f t="array" ref="AV68">IFERROR(LOOKUP(2,1/(Atualizações!$H$1:$H$2994=Tb_Mapa[[#This Row],[SEI]]&amp;Mapa!CO$3),Atualizações!$E$1:$E$2994),"NÃO")</f>
        <v>NÃO</v>
      </c>
      <c r="AW68" s="161" t="str" cm="1">
        <f t="array" ref="AW68">IFERROR(LOOKUP(2,1/(Atualizações!$H$1:$H$2994=Tb_Mapa[[#This Row],[SEI]]&amp;Mapa!CP$3),Atualizações!$E$1:$E$2994),"NÃO")</f>
        <v>NÃO</v>
      </c>
      <c r="AX68" s="161" t="str" cm="1">
        <f t="array" ref="AX68">IFERROR(LOOKUP(2,1/(Atualizações!$H$1:$H$2994=Tb_Mapa[[#This Row],[SEI]]&amp;Mapa!CQ$3),Atualizações!$E$1:$E$2994),"NÃO")</f>
        <v>NÃO</v>
      </c>
    </row>
    <row r="69" spans="2:50" ht="32.25" hidden="1" customHeight="1">
      <c r="B69" s="677" t="s">
        <v>310</v>
      </c>
      <c r="C69" s="151" t="str">
        <f>_xlfn.XLOOKUP(Tb_Mapa[[#This Row],[SEI]],Tb_Portfólio[SEI],Tb_Portfólio[Portfólio 2025],"",0)</f>
        <v>Sim</v>
      </c>
      <c r="D69" s="158" t="str">
        <f>_xlfn.XLOOKUP(Tb_Mapa[[#This Row],[SEI]],Tb_Portfólio[SEI],Tb_Portfólio[Portfólio 2026],"",0)</f>
        <v>Sim</v>
      </c>
      <c r="E69" s="511" t="str">
        <f>_xlfn.XLOOKUP(Tb_Mapa[[#This Row],[SEI]],Tb_Portfólio[SEI],Tb_Portfólio[PROJETO],"",0)</f>
        <v>Apoio a implantação de soluções da PDPJ-Br</v>
      </c>
      <c r="F69" s="143" t="str">
        <f>INDEX(Projetos!$G$3:$G$129,MATCH(Tb_Mapa[[#This Row],[SEI]],Projetos!$A$3:$A$129,0))</f>
        <v>Renato Silveira</v>
      </c>
      <c r="G69" s="404" t="s">
        <v>1719</v>
      </c>
      <c r="H69" s="166" t="str">
        <f>INDEX(Projetos!$T$3:$T$129,MATCH(B69,Projetos!$A$3:$A$129,0))</f>
        <v>Justiça 4.0</v>
      </c>
      <c r="I69" s="310">
        <f>INDEX(Projetos!$M$3:$M$129,MATCH(Tb_Mapa[[#This Row],[SEI]],Projetos!$A$3:$A$129,0))</f>
        <v>46387</v>
      </c>
      <c r="J69" s="164" t="str">
        <f ca="1">IF(Tb_Mapa[[#This Row],[SITUAÇÃO]]="Finalizado", "Data atualizada", IFERROR(IF(Tb_Mapa[[#This Row],[DATA DE TÉRMINO]]&lt;$I$1,"Atualizar data de encerramento","Data atualizada"),"Sem informação"))</f>
        <v>Data atualizada</v>
      </c>
      <c r="K69" s="311">
        <f>INDEX(Projetos!$N$3:$N$129,MATCH(Tb_Mapa[[#This Row],[SEI]],Projetos!$A$3:$A$129,0))</f>
        <v>0.8</v>
      </c>
      <c r="L69" s="311">
        <f>INDEX(Projetos!$O$3:$O$129,MATCH(Tb_Mapa[[#This Row],[SEI]],Projetos!$A$3:$A$129,0))</f>
        <v>0.8</v>
      </c>
      <c r="M69" s="165" t="str">
        <f ca="1">_xlfn.XLOOKUP(Tb_Mapa[[#This Row],[SEI]],Tb_Portfólio[SEI],Tb_Portfólio[Situação],"N/A",0)</f>
        <v>No prazo</v>
      </c>
      <c r="N69" s="128" t="str" cm="1">
        <f t="array" ref="N69">IFERROR(LOOKUP(2,1/(Atualizações!$H$1:$H$486=Mapa!$B52&amp;Mapa!BG$3),Atualizações!$E$1:$E$486),"NÃO")</f>
        <v>NÃO</v>
      </c>
      <c r="O69" s="205" t="str" cm="1">
        <f t="array" ref="O69">IFERROR(LOOKUP(2,1/(Atualizações!$H$1:$H$580=Mapa!$B52&amp;Mapa!BH$3),Atualizações!$E$1:$E$580),"NÃO")</f>
        <v>NÃO</v>
      </c>
      <c r="P69" s="205" t="str" cm="1">
        <f t="array" ref="P69">IFERROR(LOOKUP(2,1/(Atualizações!$H$1:$H$580=Mapa!$B52&amp;Mapa!BI$3),Atualizações!$E$1:$E$580),"NÃO")</f>
        <v>NÃO</v>
      </c>
      <c r="Q69" s="205" t="str" cm="1">
        <f t="array" ref="Q69">IFERROR(LOOKUP(2,1/(Atualizações!$H$1:$H$580=Mapa!$B52&amp;Mapa!BJ$3),Atualizações!$E$1:$E$580),"NÃO")</f>
        <v>NÃO</v>
      </c>
      <c r="R69" s="205" t="str" cm="1">
        <f t="array" ref="R69">IFERROR(LOOKUP(2,1/(Atualizações!$H$1:$H$580=Mapa!$B52&amp;Mapa!BK$3),Atualizações!$E$1:$E$580),"NÃO")</f>
        <v>NÃO</v>
      </c>
      <c r="S69" s="205" t="str" cm="1">
        <f t="array" ref="S69">IFERROR(LOOKUP(2,1/(Atualizações!$H$1:$H$580=Mapa!$B52&amp;Mapa!BL$3),Atualizações!$E$1:$E$580),"NÃO")</f>
        <v>NÃO</v>
      </c>
      <c r="T69" s="205" t="str" cm="1">
        <f t="array" ref="T69">IFERROR(LOOKUP(2,1/(Atualizações!$H$1:$H$580=Mapa!$B52&amp;Mapa!BM$3),Atualizações!$E$1:$E$580),"NÃO")</f>
        <v>NÃO</v>
      </c>
      <c r="U69" s="205" t="str" cm="1">
        <f t="array" ref="U69">IFERROR(LOOKUP(2,1/(Atualizações!$H$1:$H$580=Mapa!$B52&amp;Mapa!BN$3),Atualizações!$E$1:$E$580),"NÃO")</f>
        <v>NÃO</v>
      </c>
      <c r="V69" s="205" t="str" cm="1">
        <f t="array" ref="V69">IFERROR(LOOKUP(2,1/(Atualizações!$H$1:$H$580=Mapa!$B52&amp;Mapa!BO$3),Atualizações!$E$1:$E$580),"NÃO")</f>
        <v>NÃO</v>
      </c>
      <c r="W69" s="205" t="str" cm="1">
        <f t="array" ref="W69">IFERROR(LOOKUP(2,1/(Atualizações!$H$1:$H$580=Mapa!$B52&amp;Mapa!BP$3),Atualizações!$E$1:$E$580),"NÃO")</f>
        <v>NÃO</v>
      </c>
      <c r="X69" s="205" t="str" cm="1">
        <f t="array" ref="X69">IFERROR(LOOKUP(2,1/(Atualizações!$H$1:$H$580=Mapa!$B52&amp;Mapa!BQ$3),Atualizações!$E$1:$E$580),"NÃO")</f>
        <v>NÃO</v>
      </c>
      <c r="Y69" s="205" t="str" cm="1">
        <f t="array" ref="Y69">IFERROR(LOOKUP(2,1/(Atualizações!$H$1:$H$580=Mapa!$B52&amp;Mapa!BR$3),Atualizações!$E$1:$E$580),"NÃO")</f>
        <v>NÃO</v>
      </c>
      <c r="Z69" s="161" t="str" cm="1">
        <f t="array" ref="Z69">IFERROR(LOOKUP(2,1/(Atualizações!$H$1:$H$1029=Mapa!$B52&amp;Mapa!BS$3),Atualizações!$E$1:$E$1029),"NÃO")</f>
        <v>NÃO</v>
      </c>
      <c r="AA69" s="161" cm="1">
        <f t="array" ref="AA69">IFERROR(LOOKUP(2,1/(Atualizações!$H$1:$H$1029=Mapa!$B52&amp;Mapa!BT$3),Atualizações!$E$1:$E$1029),"NÃO")</f>
        <v>0</v>
      </c>
      <c r="AB69" s="161" cm="1">
        <f t="array" ref="AB69">IFERROR(LOOKUP(2,1/(Atualizações!$H$1:$H$1029=Mapa!$B52&amp;Mapa!BU$3),Atualizações!$E$1:$E$1029),"NÃO")</f>
        <v>0.80800000000000005</v>
      </c>
      <c r="AC69" s="161" cm="1">
        <f t="array" ref="AC69">IFERROR(LOOKUP(2,1/(Atualizações!$H$1:$H$1029=Mapa!$B52&amp;Mapa!BV$3),Atualizações!$E$1:$E$1029),"NÃO")</f>
        <v>0.94199999999999995</v>
      </c>
      <c r="AD69" s="161" cm="1">
        <f t="array" ref="AD69">IFERROR(LOOKUP(2,1/(Atualizações!$H$1:$H$1029=Mapa!$B52&amp;Mapa!BW$3),Atualizações!$E$1:$E$1029),"NÃO")</f>
        <v>0.97</v>
      </c>
      <c r="AE69" s="161" cm="1">
        <f t="array" ref="AE69">IFERROR(LOOKUP(2,1/(Atualizações!$H$1:$H$1029=Mapa!$B52&amp;Mapa!BX$3),Atualizações!$E$1:$E$1029),"NÃO")</f>
        <v>0.98299999999999998</v>
      </c>
      <c r="AF69" s="161" cm="1">
        <f t="array" ref="AF69">IFERROR(LOOKUP(2,1/(Atualizações!$H$1:$H$1029=Mapa!$B52&amp;Mapa!BY$3),Atualizações!$E$1:$E$1029),"NÃO")</f>
        <v>0.98799999999999999</v>
      </c>
      <c r="AG69" s="161" cm="1">
        <f t="array" ref="AG69">IFERROR(LOOKUP(2,1/(Atualizações!$H$1:$H$1029=Mapa!$B52&amp;Mapa!BZ$3),Atualizações!$E$1:$E$1029),"NÃO")</f>
        <v>0.98799999999999999</v>
      </c>
      <c r="AH69" s="161" cm="1">
        <f t="array" ref="AH69">IFERROR(LOOKUP(2,1/(Atualizações!$H$1:$H$1029=Mapa!$B52&amp;Mapa!CA$3),Atualizações!$E$1:$E$1029),"NÃO")</f>
        <v>0.8</v>
      </c>
      <c r="AI69" s="161" cm="1">
        <f t="array" ref="AI69">IFERROR(LOOKUP(2,1/(Atualizações!$H$1:$H$1029=Mapa!$B52&amp;Mapa!CB$3),Atualizações!$E$1:$E$1029),"NÃO")</f>
        <v>1</v>
      </c>
      <c r="AJ69" s="161" t="str" cm="1">
        <f t="array" ref="AJ69">IFERROR(LOOKUP(2,1/(Atualizações!$H$1:$H$1029=Mapa!$B52&amp;Mapa!CC$3),Atualizações!$E$1:$E$1029),"NÃO")</f>
        <v>NÃO</v>
      </c>
      <c r="AK69" s="161" t="str" cm="1">
        <f t="array" ref="AK69">IFERROR(LOOKUP(2,1/(Atualizações!$H$1:$H$1029=Mapa!$B52&amp;Mapa!CD$3),Atualizações!$E$1:$E$1029),"NÃO")</f>
        <v>NÃO</v>
      </c>
      <c r="AL69" s="161" t="str" cm="1">
        <f t="array" ref="AL69">IFERROR(LOOKUP(2,1/(Atualizações!$H$1:$H$1265=Mapa!$B52&amp;Mapa!CE$3),Atualizações!$E$1:$E$2994),"NÃO")</f>
        <v>NÃO</v>
      </c>
      <c r="AM69" s="161" t="str" cm="1">
        <f t="array" ref="AM69">IFERROR(LOOKUP(2,1/(Atualizações!$H$1:$H$2994=Tb_Mapa[[#This Row],[SEI]]&amp;Mapa!CF$3),Atualizações!$E$1:$E$2994),"NÃO")</f>
        <v>NÃO</v>
      </c>
      <c r="AN69" s="161" cm="1">
        <f t="array" ref="AN69">IFERROR(LOOKUP(2,1/(Atualizações!$H$1:$H$2994=Tb_Mapa[[#This Row],[SEI]]&amp;Mapa!CG$3),Atualizações!$E$1:$E$2994),"NÃO")</f>
        <v>0.83</v>
      </c>
      <c r="AO69" s="161" cm="1">
        <f t="array" ref="AO69">IFERROR(LOOKUP(2,1/(Atualizações!$H$1:$H$2994=Tb_Mapa[[#This Row],[SEI]]&amp;Mapa!CH$3),Atualizações!$E$1:$E$2994),"NÃO")</f>
        <v>0.83</v>
      </c>
      <c r="AP69" s="161" cm="1">
        <f t="array" ref="AP69">IFERROR(LOOKUP(2,1/(Atualizações!$H$1:$H$2994=Tb_Mapa[[#This Row],[SEI]]&amp;Mapa!CI$3),Atualizações!$E$1:$E$2994),"NÃO")</f>
        <v>0.93</v>
      </c>
      <c r="AQ69" s="161" cm="1">
        <f t="array" ref="AQ69">IFERROR(LOOKUP(2,1/(Atualizações!$H$1:$H$2994=Tb_Mapa[[#This Row],[SEI]]&amp;Mapa!CJ$3),Atualizações!$E$1:$E$2994),"NÃO")</f>
        <v>0.8</v>
      </c>
      <c r="AR69" s="161" t="str" cm="1">
        <f t="array" ref="AR69">IFERROR(LOOKUP(2,1/(Atualizações!$H$1:$H$2994=Tb_Mapa[[#This Row],[SEI]]&amp;Mapa!CK$3),Atualizações!$E$1:$E$2994),"NÃO")</f>
        <v>NÃO</v>
      </c>
      <c r="AS69" s="161" t="str" cm="1">
        <f t="array" ref="AS69">IFERROR(LOOKUP(2,1/(Atualizações!$H$1:$H$2994=Tb_Mapa[[#This Row],[SEI]]&amp;Mapa!CL$3),Atualizações!$E$1:$E$2994),"NÃO")</f>
        <v>NÃO</v>
      </c>
      <c r="AT69" s="161" t="str" cm="1">
        <f t="array" ref="AT69">IFERROR(LOOKUP(2,1/(Atualizações!$H$1:$H$2994=Tb_Mapa[[#This Row],[SEI]]&amp;Mapa!CM$3),Atualizações!$E$1:$E$2994),"NÃO")</f>
        <v>NÃO</v>
      </c>
      <c r="AU69" s="161" t="str" cm="1">
        <f t="array" ref="AU69">IFERROR(LOOKUP(2,1/(Atualizações!$H$1:$H$2994=Tb_Mapa[[#This Row],[SEI]]&amp;Mapa!CN$3),Atualizações!$E$1:$E$2994),"NÃO")</f>
        <v>NÃO</v>
      </c>
      <c r="AV69" s="161" t="str" cm="1">
        <f t="array" ref="AV69">IFERROR(LOOKUP(2,1/(Atualizações!$H$1:$H$2994=Tb_Mapa[[#This Row],[SEI]]&amp;Mapa!CO$3),Atualizações!$E$1:$E$2994),"NÃO")</f>
        <v>NÃO</v>
      </c>
      <c r="AW69" s="161" t="str" cm="1">
        <f t="array" ref="AW69">IFERROR(LOOKUP(2,1/(Atualizações!$H$1:$H$2994=Tb_Mapa[[#This Row],[SEI]]&amp;Mapa!CP$3),Atualizações!$E$1:$E$2994),"NÃO")</f>
        <v>NÃO</v>
      </c>
      <c r="AX69" s="161" t="str" cm="1">
        <f t="array" ref="AX69">IFERROR(LOOKUP(2,1/(Atualizações!$H$1:$H$2994=Tb_Mapa[[#This Row],[SEI]]&amp;Mapa!CQ$3),Atualizações!$E$1:$E$2994),"NÃO")</f>
        <v>NÃO</v>
      </c>
    </row>
    <row r="70" spans="2:50" ht="32.25" hidden="1" customHeight="1">
      <c r="B70" s="74" t="s">
        <v>495</v>
      </c>
      <c r="C70" s="23" t="str">
        <f>_xlfn.XLOOKUP(Tb_Mapa[[#This Row],[SEI]],Tb_Portfólio[SEI],Tb_Portfólio[Portfólio 2025],"",0)</f>
        <v>Não</v>
      </c>
      <c r="D70" s="158" t="str">
        <f>_xlfn.XLOOKUP(Tb_Mapa[[#This Row],[SEI]],Tb_Portfólio[SEI],Tb_Portfólio[Portfólio 2026],"",0)</f>
        <v>Não</v>
      </c>
      <c r="E70" s="162" t="str">
        <f>_xlfn.XLOOKUP(Tb_Mapa[[#This Row],[SEI]],Tb_Portfólio[SEI],Tb_Portfólio[PROJETO],"",0)</f>
        <v>Pesquisa IA 2023 - Mapeamento dos projetos de Inteligência Artificial em desenvolvimento pelos tribunais brasileiros</v>
      </c>
      <c r="F70" s="696" t="str">
        <f>INDEX(Projetos!$G$3:$G$129,MATCH(B70,Projetos!$A$3:$A$129,0))</f>
        <v>Cristiany dos Santos Souza</v>
      </c>
      <c r="G70" s="160" t="s">
        <v>277</v>
      </c>
      <c r="H70" s="166" t="str">
        <f>INDEX(Projetos!$T$3:$T$129,MATCH(B70,Projetos!$A$3:$A$129,0))</f>
        <v>Justiça 4.0</v>
      </c>
      <c r="I70" s="310">
        <f>INDEX(Projetos!$M$3:$M$129,MATCH(Mapa!B35,Projetos!$A$3:$A$129,0))</f>
        <v>45716</v>
      </c>
      <c r="J70" s="164" t="str">
        <f>IF(Tb_Mapa[[#This Row],[SITUAÇÃO]]="Finalizado", "Data atualizada", IFERROR(IF(I70&lt;$CN$3,"Atualizar data de encerramento","Data atualizada"),"Sem informação"))</f>
        <v>Data atualizada</v>
      </c>
      <c r="K70" s="311">
        <f>INDEX(Projetos!$N$3:$N$129,MATCH(Tb_Mapa[[#This Row],[SEI]],Projetos!$A$3:$A$129,0))</f>
        <v>1</v>
      </c>
      <c r="L70" s="311">
        <f>INDEX(Projetos!$O$3:$O$129,MATCH(Tb_Mapa[[#This Row],[SEI]],Projetos!$A$3:$A$129,0))</f>
        <v>1</v>
      </c>
      <c r="M70" s="165" t="str">
        <f>_xlfn.XLOOKUP(Tb_Mapa[[#This Row],[SEI]],Tb_Portfólio[SEI],Tb_Portfólio[Situação],"N/A",0)</f>
        <v>Finalizado</v>
      </c>
      <c r="N70" s="128" t="str" cm="1">
        <f t="array" ref="N70">IFERROR(LOOKUP(2,1/(Atualizações!$H$1:$H$486=Mapa!$B35&amp;Mapa!BG$3),Atualizações!$E$1:$E$486),"NÃO")</f>
        <v>NÃO</v>
      </c>
      <c r="O70" s="205" t="str" cm="1">
        <f t="array" ref="O70">IFERROR(LOOKUP(2,1/(Atualizações!$H$1:$H$580=Mapa!$B35&amp;Mapa!BH$3),Atualizações!$E$1:$E$580),"NÃO")</f>
        <v>NÃO</v>
      </c>
      <c r="P70" s="205" t="str" cm="1">
        <f t="array" ref="P70">IFERROR(LOOKUP(2,1/(Atualizações!$H$1:$H$580=Mapa!$B35&amp;Mapa!BI$3),Atualizações!$E$1:$E$580),"NÃO")</f>
        <v>NÃO</v>
      </c>
      <c r="Q70" s="205" t="str" cm="1">
        <f t="array" ref="Q70">IFERROR(LOOKUP(2,1/(Atualizações!$H$1:$H$580=Mapa!$B35&amp;Mapa!BJ$3),Atualizações!$E$1:$E$580),"NÃO")</f>
        <v>NÃO</v>
      </c>
      <c r="R70" s="205" t="str" cm="1">
        <f t="array" ref="R70">IFERROR(LOOKUP(2,1/(Atualizações!$H$1:$H$580=Mapa!$B35&amp;Mapa!BK$3),Atualizações!$E$1:$E$580),"NÃO")</f>
        <v>NÃO</v>
      </c>
      <c r="S70" s="205" t="str" cm="1">
        <f t="array" ref="S70">IFERROR(LOOKUP(2,1/(Atualizações!$H$1:$H$580=Mapa!$B35&amp;Mapa!BL$3),Atualizações!$E$1:$E$580),"NÃO")</f>
        <v>NÃO</v>
      </c>
      <c r="T70" s="205" t="str" cm="1">
        <f t="array" ref="T70">IFERROR(LOOKUP(2,1/(Atualizações!$H$1:$H$580=Mapa!$B35&amp;Mapa!BM$3),Atualizações!$E$1:$E$580),"NÃO")</f>
        <v>NÃO</v>
      </c>
      <c r="U70" s="205" t="str" cm="1">
        <f t="array" ref="U70">IFERROR(LOOKUP(2,1/(Atualizações!$H$1:$H$580=Mapa!$B35&amp;Mapa!BN$3),Atualizações!$E$1:$E$580),"NÃO")</f>
        <v>NÃO</v>
      </c>
      <c r="V70" s="205" t="str" cm="1">
        <f t="array" ref="V70">IFERROR(LOOKUP(2,1/(Atualizações!$H$1:$H$580=Mapa!$B35&amp;Mapa!BO$3),Atualizações!$E$1:$E$580),"NÃO")</f>
        <v>NÃO</v>
      </c>
      <c r="W70" s="205" t="str" cm="1">
        <f t="array" ref="W70">IFERROR(LOOKUP(2,1/(Atualizações!$H$1:$H$580=Mapa!$B35&amp;Mapa!BP$3),Atualizações!$E$1:$E$580),"NÃO")</f>
        <v>NÃO</v>
      </c>
      <c r="X70" s="205" t="str" cm="1">
        <f t="array" ref="X70">IFERROR(LOOKUP(2,1/(Atualizações!$H$1:$H$580=Mapa!$B35&amp;Mapa!BQ$3),Atualizações!$E$1:$E$580),"NÃO")</f>
        <v>NÃO</v>
      </c>
      <c r="Y70" s="205" t="str" cm="1">
        <f t="array" ref="Y70">IFERROR(LOOKUP(2,1/(Atualizações!$H$1:$H$580=Mapa!$B35&amp;Mapa!BR$3),Atualizações!$E$1:$E$580),"NÃO")</f>
        <v>NÃO</v>
      </c>
      <c r="Z70" s="161" cm="1">
        <f t="array" ref="Z70">IFERROR(LOOKUP(2,1/(Atualizações!$H$1:$H$1029=Mapa!$B35&amp;Mapa!BS$3),Atualizações!$E$1:$E$1029),"NÃO")</f>
        <v>1</v>
      </c>
      <c r="AA70" s="161" t="str" cm="1">
        <f t="array" ref="AA70">IFERROR(LOOKUP(2,1/(Atualizações!$H$1:$H$1029=Mapa!$B35&amp;Mapa!BT$3),Atualizações!$E$1:$E$1029),"NÃO")</f>
        <v>NÃO</v>
      </c>
      <c r="AB70" s="161" t="str" cm="1">
        <f t="array" ref="AB70">IFERROR(LOOKUP(2,1/(Atualizações!$H$1:$H$1029=Mapa!$B35&amp;Mapa!BU$3),Atualizações!$E$1:$E$1029),"NÃO")</f>
        <v>NÃO</v>
      </c>
      <c r="AC70" s="161" t="str" cm="1">
        <f t="array" ref="AC70">IFERROR(LOOKUP(2,1/(Atualizações!$H$1:$H$1029=Mapa!$B35&amp;Mapa!BV$3),Atualizações!$E$1:$E$1029),"NÃO")</f>
        <v>NÃO</v>
      </c>
      <c r="AD70" s="161" t="str" cm="1">
        <f t="array" ref="AD70">IFERROR(LOOKUP(2,1/(Atualizações!$H$1:$H$1029=Mapa!$B35&amp;Mapa!BW$3),Atualizações!$E$1:$E$1029),"NÃO")</f>
        <v>NÃO</v>
      </c>
      <c r="AE70" s="161" t="str" cm="1">
        <f t="array" ref="AE70">IFERROR(LOOKUP(2,1/(Atualizações!$H$1:$H$1029=Mapa!$B35&amp;Mapa!BX$3),Atualizações!$E$1:$E$1029),"NÃO")</f>
        <v>NÃO</v>
      </c>
      <c r="AF70" s="161" t="str" cm="1">
        <f t="array" ref="AF70">IFERROR(LOOKUP(2,1/(Atualizações!$H$1:$H$1029=Mapa!$B35&amp;Mapa!BY$3),Atualizações!$E$1:$E$1029),"NÃO")</f>
        <v>NÃO</v>
      </c>
      <c r="AG70" s="161" t="str" cm="1">
        <f t="array" ref="AG70">IFERROR(LOOKUP(2,1/(Atualizações!$H$1:$H$1029=Mapa!$B35&amp;Mapa!BZ$3),Atualizações!$E$1:$E$1029),"NÃO")</f>
        <v>NÃO</v>
      </c>
      <c r="AH70" s="161" t="str" cm="1">
        <f t="array" ref="AH70">IFERROR(LOOKUP(2,1/(Atualizações!$H$1:$H$1029=Mapa!$B35&amp;Mapa!CA$3),Atualizações!$E$1:$E$1029),"NÃO")</f>
        <v>NÃO</v>
      </c>
      <c r="AI70" s="161" t="str" cm="1">
        <f t="array" ref="AI70">IFERROR(LOOKUP(2,1/(Atualizações!$H$1:$H$1029=Mapa!$B35&amp;Mapa!CB$3),Atualizações!$E$1:$E$1029),"NÃO")</f>
        <v>NÃO</v>
      </c>
      <c r="AJ70" s="161" t="str" cm="1">
        <f t="array" ref="AJ70">IFERROR(LOOKUP(2,1/(Atualizações!$H$1:$H$1029=Mapa!$B35&amp;Mapa!CC$3),Atualizações!$E$1:$E$1029),"NÃO")</f>
        <v>NÃO</v>
      </c>
      <c r="AK70" s="161" t="str" cm="1">
        <f t="array" ref="AK70">IFERROR(LOOKUP(2,1/(Atualizações!$H$1:$H$1029=Mapa!$B35&amp;Mapa!CD$3),Atualizações!$E$1:$E$1029),"NÃO")</f>
        <v>NÃO</v>
      </c>
      <c r="AL70" s="161" t="str" cm="1">
        <f t="array" ref="AL70">IFERROR(LOOKUP(2,1/(Atualizações!$H$1:$H$1265=Mapa!$B35&amp;Mapa!CE$3),Atualizações!$E$1:$E$2994),"NÃO")</f>
        <v>NÃO</v>
      </c>
      <c r="AM70" s="161" t="str" cm="1">
        <f t="array" ref="AM70">IFERROR(LOOKUP(2,1/(Atualizações!$H$1:$H$2994=Tb_Mapa[[#This Row],[SEI]]&amp;Mapa!CF$3),Atualizações!$E$1:$E$2994),"NÃO")</f>
        <v>NÃO</v>
      </c>
      <c r="AN70" s="161" t="str" cm="1">
        <f t="array" ref="AN70">IFERROR(LOOKUP(2,1/(Atualizações!$H$1:$H$2994=Tb_Mapa[[#This Row],[SEI]]&amp;Mapa!CG$3),Atualizações!$E$1:$E$2994),"NÃO")</f>
        <v>NÃO</v>
      </c>
      <c r="AO70" s="161" t="str" cm="1">
        <f t="array" ref="AO70">IFERROR(LOOKUP(2,1/(Atualizações!$H$1:$H$2994=Tb_Mapa[[#This Row],[SEI]]&amp;Mapa!CH$3),Atualizações!$E$1:$E$2994),"NÃO")</f>
        <v>NÃO</v>
      </c>
      <c r="AP70" s="161" t="str" cm="1">
        <f t="array" ref="AP70">IFERROR(LOOKUP(2,1/(Atualizações!$H$1:$H$2994=Tb_Mapa[[#This Row],[SEI]]&amp;Mapa!CI$3),Atualizações!$E$1:$E$2994),"NÃO")</f>
        <v>NÃO</v>
      </c>
      <c r="AQ70" s="161" t="str" cm="1">
        <f t="array" ref="AQ70">IFERROR(LOOKUP(2,1/(Atualizações!$H$1:$H$2994=Tb_Mapa[[#This Row],[SEI]]&amp;Mapa!CJ$3),Atualizações!$E$1:$E$2994),"NÃO")</f>
        <v>NÃO</v>
      </c>
      <c r="AR70" s="161" t="str" cm="1">
        <f t="array" ref="AR70">IFERROR(LOOKUP(2,1/(Atualizações!$H$1:$H$2994=Tb_Mapa[[#This Row],[SEI]]&amp;Mapa!CK$3),Atualizações!$E$1:$E$2994),"NÃO")</f>
        <v>NÃO</v>
      </c>
      <c r="AS70" s="161" t="str" cm="1">
        <f t="array" ref="AS70">IFERROR(LOOKUP(2,1/(Atualizações!$H$1:$H$2994=Tb_Mapa[[#This Row],[SEI]]&amp;Mapa!CL$3),Atualizações!$E$1:$E$2994),"NÃO")</f>
        <v>NÃO</v>
      </c>
      <c r="AT70" s="161" t="str" cm="1">
        <f t="array" ref="AT70">IFERROR(LOOKUP(2,1/(Atualizações!$H$1:$H$2994=Tb_Mapa[[#This Row],[SEI]]&amp;Mapa!CM$3),Atualizações!$E$1:$E$2994),"NÃO")</f>
        <v>NÃO</v>
      </c>
      <c r="AU70" s="161" t="str" cm="1">
        <f t="array" ref="AU70">IFERROR(LOOKUP(2,1/(Atualizações!$H$1:$H$2994=Tb_Mapa[[#This Row],[SEI]]&amp;Mapa!CN$3),Atualizações!$E$1:$E$2994),"NÃO")</f>
        <v>NÃO</v>
      </c>
      <c r="AV70" s="161" t="str" cm="1">
        <f t="array" ref="AV70">IFERROR(LOOKUP(2,1/(Atualizações!$H$1:$H$2994=Tb_Mapa[[#This Row],[SEI]]&amp;Mapa!CO$3),Atualizações!$E$1:$E$2994),"NÃO")</f>
        <v>NÃO</v>
      </c>
      <c r="AW70" s="161" t="str" cm="1">
        <f t="array" ref="AW70">IFERROR(LOOKUP(2,1/(Atualizações!$H$1:$H$2994=Tb_Mapa[[#This Row],[SEI]]&amp;Mapa!CP$3),Atualizações!$E$1:$E$2994),"NÃO")</f>
        <v>NÃO</v>
      </c>
      <c r="AX70" s="161" t="str" cm="1">
        <f t="array" ref="AX70">IFERROR(LOOKUP(2,1/(Atualizações!$H$1:$H$2994=Tb_Mapa[[#This Row],[SEI]]&amp;Mapa!CQ$3),Atualizações!$E$1:$E$2994),"NÃO")</f>
        <v>NÃO</v>
      </c>
    </row>
    <row r="71" spans="2:50" ht="32.25" hidden="1" customHeight="1">
      <c r="B71" s="308" t="s">
        <v>487</v>
      </c>
      <c r="C71" s="678" t="str">
        <f>_xlfn.XLOOKUP(Tb_Mapa[[#This Row],[SEI]],Tb_Portfólio[SEI],Tb_Portfólio[Portfólio 2025],"",0)</f>
        <v>Sim</v>
      </c>
      <c r="D71" s="158" t="str">
        <f>_xlfn.XLOOKUP(Tb_Mapa[[#This Row],[SEI]],Tb_Portfólio[SEI],Tb_Portfólio[Portfólio 2026],"",0)</f>
        <v>Não</v>
      </c>
      <c r="E71" s="162" t="str">
        <f>_xlfn.XLOOKUP(Tb_Mapa[[#This Row],[SEI]],Tb_Portfólio[SEI],Tb_Portfólio[PROJETO],"",0)</f>
        <v>Demandas Complexas</v>
      </c>
      <c r="F71" s="680" t="str">
        <f>INDEX(Projetos!$G$3:$G$129,MATCH(B71,Projetos!$A$3:$A$129,0))</f>
        <v>Angela Maria dos Santos</v>
      </c>
      <c r="G71" s="160" t="s">
        <v>1710</v>
      </c>
      <c r="H71" s="166">
        <f>INDEX(Projetos!$T$3:$T$129,MATCH(B71,Projetos!$A$3:$A$129,0))</f>
        <v>0</v>
      </c>
      <c r="I71" s="318">
        <f>INDEX(Projetos!$M$3:$M$129,MATCH(Mapa!B10,Projetos!$A$3:$A$129,0))</f>
        <v>46022</v>
      </c>
      <c r="J71" s="164" t="str">
        <f>IF(Tb_Mapa[[#This Row],[SITUAÇÃO]]="Finalizado", "Data atualizada", IFERROR(IF(I71&lt;$CN$3,"Atualizar data de encerramento","Data atualizada"),"Sem informação"))</f>
        <v>Data atualizada</v>
      </c>
      <c r="K71" s="311">
        <f>INDEX(Projetos!$N$3:$N$129,MATCH(Tb_Mapa[[#This Row],[SEI]],Projetos!$A$3:$A$129,0))</f>
        <v>1</v>
      </c>
      <c r="L71" s="311">
        <f>INDEX(Projetos!$O$3:$O$129,MATCH(Tb_Mapa[[#This Row],[SEI]],Projetos!$A$3:$A$129,0))</f>
        <v>7.3499999999999996E-2</v>
      </c>
      <c r="M71" s="165" t="str">
        <f>_xlfn.XLOOKUP(Tb_Mapa[[#This Row],[SEI]],Tb_Portfólio[SEI],Tb_Portfólio[Situação],"N/A",0)</f>
        <v>Finalizado</v>
      </c>
      <c r="N71" s="128" t="str" cm="1">
        <f t="array" ref="N71">IFERROR(LOOKUP(2,1/(Atualizações!$H$1:$H$486=Mapa!$B10&amp;Mapa!BG$3),Atualizações!$E$1:$E$486),"NÃO")</f>
        <v>NÃO</v>
      </c>
      <c r="O71" s="205" t="str" cm="1">
        <f t="array" ref="O71">IFERROR(LOOKUP(2,1/(Atualizações!$H$1:$H$580=Mapa!$B10&amp;Mapa!BH$3),Atualizações!$E$1:$E$580),"NÃO")</f>
        <v>NÃO</v>
      </c>
      <c r="P71" s="205" t="str" cm="1">
        <f t="array" ref="P71">IFERROR(LOOKUP(2,1/(Atualizações!$H$1:$H$580=Mapa!$B10&amp;Mapa!BI$3),Atualizações!$E$1:$E$580),"NÃO")</f>
        <v>NÃO</v>
      </c>
      <c r="Q71" s="205" t="str" cm="1">
        <f t="array" ref="Q71">IFERROR(LOOKUP(2,1/(Atualizações!$H$1:$H$580=Mapa!$B10&amp;Mapa!BJ$3),Atualizações!$E$1:$E$580),"NÃO")</f>
        <v>NÃO</v>
      </c>
      <c r="R71" s="205" t="str" cm="1">
        <f t="array" ref="R71">IFERROR(LOOKUP(2,1/(Atualizações!$H$1:$H$580=Mapa!$B10&amp;Mapa!BK$3),Atualizações!$E$1:$E$580),"NÃO")</f>
        <v>NÃO</v>
      </c>
      <c r="S71" s="205" t="str" cm="1">
        <f t="array" ref="S71">IFERROR(LOOKUP(2,1/(Atualizações!$H$1:$H$580=Mapa!$B10&amp;Mapa!BL$3),Atualizações!$E$1:$E$580),"NÃO")</f>
        <v>NÃO</v>
      </c>
      <c r="T71" s="205" t="str" cm="1">
        <f t="array" ref="T71">IFERROR(LOOKUP(2,1/(Atualizações!$H$1:$H$580=Mapa!$B10&amp;Mapa!BM$3),Atualizações!$E$1:$E$580),"NÃO")</f>
        <v>NÃO</v>
      </c>
      <c r="U71" s="205" t="str" cm="1">
        <f t="array" ref="U71">IFERROR(LOOKUP(2,1/(Atualizações!$H$1:$H$580=Mapa!$B10&amp;Mapa!BN$3),Atualizações!$E$1:$E$580),"NÃO")</f>
        <v>NÃO</v>
      </c>
      <c r="V71" s="205" t="str" cm="1">
        <f t="array" ref="V71">IFERROR(LOOKUP(2,1/(Atualizações!$H$1:$H$580=Mapa!$B10&amp;Mapa!BO$3),Atualizações!$E$1:$E$580),"NÃO")</f>
        <v>NÃO</v>
      </c>
      <c r="W71" s="205" t="str" cm="1">
        <f t="array" ref="W71">IFERROR(LOOKUP(2,1/(Atualizações!$H$1:$H$580=Mapa!$B10&amp;Mapa!BP$3),Atualizações!$E$1:$E$580),"NÃO")</f>
        <v>NÃO</v>
      </c>
      <c r="X71" s="205" t="str" cm="1">
        <f t="array" ref="X71">IFERROR(LOOKUP(2,1/(Atualizações!$H$1:$H$580=Mapa!$B10&amp;Mapa!BQ$3),Atualizações!$E$1:$E$580),"NÃO")</f>
        <v>NÃO</v>
      </c>
      <c r="Y71" s="205" cm="1">
        <f t="array" ref="Y71">IFERROR(LOOKUP(2,1/(Atualizações!$H$1:$H$580=Mapa!$B10&amp;Mapa!BR$3),Atualizações!$E$1:$E$580),"NÃO")</f>
        <v>0.47</v>
      </c>
      <c r="Z71" s="161" t="str" cm="1">
        <f t="array" ref="Z71">IFERROR(LOOKUP(2,1/(Atualizações!$H$1:$H$1029=Mapa!$B10&amp;Mapa!BS$3),Atualizações!$E$1:$E$1029),"NÃO")</f>
        <v>NÃO</v>
      </c>
      <c r="AA71" s="161" t="str" cm="1">
        <f t="array" ref="AA71">IFERROR(LOOKUP(2,1/(Atualizações!$H$1:$H$1029=Mapa!$B10&amp;Mapa!BT$3),Atualizações!$E$1:$E$1029),"NÃO")</f>
        <v>NÃO</v>
      </c>
      <c r="AB71" s="161" t="str" cm="1">
        <f t="array" ref="AB71">IFERROR(LOOKUP(2,1/(Atualizações!$H$1:$H$1029=Mapa!$B10&amp;Mapa!BU$3),Atualizações!$E$1:$E$1029),"NÃO")</f>
        <v>NÃO</v>
      </c>
      <c r="AC71" s="161" cm="1">
        <f t="array" ref="AC71">IFERROR(LOOKUP(2,1/(Atualizações!$H$1:$H$1029=Mapa!$B10&amp;Mapa!BV$3),Atualizações!$E$1:$E$1029),"NÃO")</f>
        <v>0.625</v>
      </c>
      <c r="AD71" s="161" cm="1">
        <f t="array" ref="AD71">IFERROR(LOOKUP(2,1/(Atualizações!$H$1:$H$1029=Mapa!$B10&amp;Mapa!BW$3),Atualizações!$E$1:$E$1029),"NÃO")</f>
        <v>0.62829999999999997</v>
      </c>
      <c r="AE71" s="161" t="str" cm="1">
        <f t="array" ref="AE71">IFERROR(LOOKUP(2,1/(Atualizações!$H$1:$H$1029=Mapa!$B10&amp;Mapa!BX$3),Atualizações!$E$1:$E$1029),"NÃO")</f>
        <v>NÃO</v>
      </c>
      <c r="AF71" s="161" t="str" cm="1">
        <f t="array" ref="AF71">IFERROR(LOOKUP(2,1/(Atualizações!$H$1:$H$1029=Mapa!$B10&amp;Mapa!BY$3),Atualizações!$E$1:$E$1029),"NÃO")</f>
        <v>NÃO</v>
      </c>
      <c r="AG71" s="161" t="str" cm="1">
        <f t="array" ref="AG71">IFERROR(LOOKUP(2,1/(Atualizações!$H$1:$H$1029=Mapa!$B10&amp;Mapa!BZ$3),Atualizações!$E$1:$E$1029),"NÃO")</f>
        <v>NÃO</v>
      </c>
      <c r="AH71" s="161" t="str" cm="1">
        <f t="array" ref="AH71">IFERROR(LOOKUP(2,1/(Atualizações!$H$1:$H$1029=Mapa!$B10&amp;Mapa!CA$3),Atualizações!$E$1:$E$1029),"NÃO")</f>
        <v>NÃO</v>
      </c>
      <c r="AI71" s="161" t="str" cm="1">
        <f t="array" ref="AI71">IFERROR(LOOKUP(2,1/(Atualizações!$H$1:$H$1029=Mapa!$B10&amp;Mapa!CB$3),Atualizações!$E$1:$E$1029),"NÃO")</f>
        <v>NÃO</v>
      </c>
      <c r="AJ71" s="161" t="str" cm="1">
        <f t="array" ref="AJ71">IFERROR(LOOKUP(2,1/(Atualizações!$H$1:$H$1029=Mapa!$B10&amp;Mapa!CC$3),Atualizações!$E$1:$E$1029),"NÃO")</f>
        <v>NÃO</v>
      </c>
      <c r="AK71" s="161" t="str" cm="1">
        <f t="array" ref="AK71">IFERROR(LOOKUP(2,1/(Atualizações!$H$1:$H$1029=Mapa!$B10&amp;Mapa!CD$3),Atualizações!$E$1:$E$1029),"NÃO")</f>
        <v>NÃO</v>
      </c>
      <c r="AL71" s="161" t="str" cm="1">
        <f t="array" ref="AL71">IFERROR(LOOKUP(2,1/(Atualizações!$H$1:$H$1265=Mapa!$B10&amp;Mapa!CE$3),Atualizações!$E$1:$E$2994),"NÃO")</f>
        <v>NÃO</v>
      </c>
      <c r="AM71" s="161" t="str" cm="1">
        <f t="array" ref="AM71">IFERROR(LOOKUP(2,1/(Atualizações!$H$1:$H$2994=Tb_Mapa[[#This Row],[SEI]]&amp;Mapa!CF$3),Atualizações!$E$1:$E$2994),"NÃO")</f>
        <v>NÃO</v>
      </c>
      <c r="AN71" s="161" t="str" cm="1">
        <f t="array" ref="AN71">IFERROR(LOOKUP(2,1/(Atualizações!$H$1:$H$2994=Tb_Mapa[[#This Row],[SEI]]&amp;Mapa!CG$3),Atualizações!$E$1:$E$2994),"NÃO")</f>
        <v>NÃO</v>
      </c>
      <c r="AO71" s="161" t="str" cm="1">
        <f t="array" ref="AO71">IFERROR(LOOKUP(2,1/(Atualizações!$H$1:$H$2994=Tb_Mapa[[#This Row],[SEI]]&amp;Mapa!CH$3),Atualizações!$E$1:$E$2994),"NÃO")</f>
        <v>NÃO</v>
      </c>
      <c r="AP71" s="161" t="str" cm="1">
        <f t="array" ref="AP71">IFERROR(LOOKUP(2,1/(Atualizações!$H$1:$H$2994=Tb_Mapa[[#This Row],[SEI]]&amp;Mapa!CI$3),Atualizações!$E$1:$E$2994),"NÃO")</f>
        <v>NÃO</v>
      </c>
      <c r="AQ71" s="161" t="str" cm="1">
        <f t="array" ref="AQ71">IFERROR(LOOKUP(2,1/(Atualizações!$H$1:$H$2994=Tb_Mapa[[#This Row],[SEI]]&amp;Mapa!CJ$3),Atualizações!$E$1:$E$2994),"NÃO")</f>
        <v>NÃO</v>
      </c>
      <c r="AR71" s="161" t="str" cm="1">
        <f t="array" ref="AR71">IFERROR(LOOKUP(2,1/(Atualizações!$H$1:$H$2994=Tb_Mapa[[#This Row],[SEI]]&amp;Mapa!CK$3),Atualizações!$E$1:$E$2994),"NÃO")</f>
        <v>NÃO</v>
      </c>
      <c r="AS71" s="161" t="str" cm="1">
        <f t="array" ref="AS71">IFERROR(LOOKUP(2,1/(Atualizações!$H$1:$H$2994=Tb_Mapa[[#This Row],[SEI]]&amp;Mapa!CL$3),Atualizações!$E$1:$E$2994),"NÃO")</f>
        <v>NÃO</v>
      </c>
      <c r="AT71" s="161" t="str" cm="1">
        <f t="array" ref="AT71">IFERROR(LOOKUP(2,1/(Atualizações!$H$1:$H$2994=Tb_Mapa[[#This Row],[SEI]]&amp;Mapa!CM$3),Atualizações!$E$1:$E$2994),"NÃO")</f>
        <v>NÃO</v>
      </c>
      <c r="AU71" s="161" t="str" cm="1">
        <f t="array" ref="AU71">IFERROR(LOOKUP(2,1/(Atualizações!$H$1:$H$2994=Tb_Mapa[[#This Row],[SEI]]&amp;Mapa!CN$3),Atualizações!$E$1:$E$2994),"NÃO")</f>
        <v>NÃO</v>
      </c>
      <c r="AV71" s="161" t="str" cm="1">
        <f t="array" ref="AV71">IFERROR(LOOKUP(2,1/(Atualizações!$H$1:$H$2994=Tb_Mapa[[#This Row],[SEI]]&amp;Mapa!CO$3),Atualizações!$E$1:$E$2994),"NÃO")</f>
        <v>NÃO</v>
      </c>
      <c r="AW71" s="161" t="str" cm="1">
        <f t="array" ref="AW71">IFERROR(LOOKUP(2,1/(Atualizações!$H$1:$H$2994=Tb_Mapa[[#This Row],[SEI]]&amp;Mapa!CP$3),Atualizações!$E$1:$E$2994),"NÃO")</f>
        <v>NÃO</v>
      </c>
      <c r="AX71" s="161" t="str" cm="1">
        <f t="array" ref="AX71">IFERROR(LOOKUP(2,1/(Atualizações!$H$1:$H$2994=Tb_Mapa[[#This Row],[SEI]]&amp;Mapa!CQ$3),Atualizações!$E$1:$E$2994),"NÃO")</f>
        <v>NÃO</v>
      </c>
    </row>
    <row r="72" spans="2:50" ht="32.25" hidden="1" customHeight="1">
      <c r="B72" s="308" t="s">
        <v>479</v>
      </c>
      <c r="C72" s="678" t="str">
        <f>_xlfn.XLOOKUP(Tb_Mapa[[#This Row],[SEI]],Tb_Portfólio[SEI],Tb_Portfólio[Portfólio 2025],"",0)</f>
        <v>Não</v>
      </c>
      <c r="D72" s="158" t="str">
        <f>_xlfn.XLOOKUP(Tb_Mapa[[#This Row],[SEI]],Tb_Portfólio[SEI],Tb_Portfólio[Portfólio 2026],"",0)</f>
        <v>Não</v>
      </c>
      <c r="E72" s="162" t="str">
        <f>_xlfn.XLOOKUP(Tb_Mapa[[#This Row],[SEI]],Tb_Portfólio[SEI],Tb_Portfólio[PROJETO],"",0)</f>
        <v>Data Lake</v>
      </c>
      <c r="F72" s="170" t="str">
        <f>INDEX(Projetos!$G$3:$G$129,MATCH(B72,Projetos!$A$3:$A$129,0))</f>
        <v>Ariel Rodrigues Reis de Melo</v>
      </c>
      <c r="G72" s="172" t="s">
        <v>277</v>
      </c>
      <c r="H72" s="143" t="str">
        <f>INDEX(Projetos!$T$3:$T$129,MATCH(B72,Projetos!$A$3:$A$129,0))</f>
        <v>Justiça 4.0</v>
      </c>
      <c r="I72" s="317">
        <f>INDEX(Projetos!$M$3:$M$129,MATCH(Mapa!B28,Projetos!$A$3:$A$129,0))</f>
        <v>45657</v>
      </c>
      <c r="J72" s="164" t="str">
        <f>IF(Tb_Mapa[[#This Row],[SITUAÇÃO]]="Finalizado", "Data atualizada", IFERROR(IF(I72&lt;$CN$3,"Atualizar data de encerramento","Data atualizada"),"Sem informação"))</f>
        <v>Data atualizada</v>
      </c>
      <c r="K72" s="311">
        <f>INDEX(Projetos!$N$3:$N$129,MATCH(Tb_Mapa[[#This Row],[SEI]],Projetos!$A$3:$A$129,0))</f>
        <v>0.997</v>
      </c>
      <c r="L72" s="311">
        <f>INDEX(Projetos!$O$3:$O$129,MATCH(Tb_Mapa[[#This Row],[SEI]],Projetos!$A$3:$A$129,0))</f>
        <v>1</v>
      </c>
      <c r="M72" s="165" t="str">
        <f>_xlfn.XLOOKUP(Tb_Mapa[[#This Row],[SEI]],Tb_Portfólio[SEI],Tb_Portfólio[Situação],"N/A",0)</f>
        <v>Finalizado</v>
      </c>
      <c r="N72" s="128" t="str" cm="1">
        <f t="array" ref="N72">IFERROR(LOOKUP(2,1/(Atualizações!$H$1:$H$486=Mapa!$B28&amp;Mapa!BG$3),Atualizações!$E$1:$E$486),"NÃO")</f>
        <v>NÃO</v>
      </c>
      <c r="O72" s="205" t="str" cm="1">
        <f t="array" ref="O72">IFERROR(LOOKUP(2,1/(Atualizações!$H$1:$H$580=Mapa!$B28&amp;Mapa!BH$3),Atualizações!$E$1:$E$580),"NÃO")</f>
        <v>NÃO</v>
      </c>
      <c r="P72" s="205" t="str" cm="1">
        <f t="array" ref="P72">IFERROR(LOOKUP(2,1/(Atualizações!$H$1:$H$580=Mapa!$B28&amp;Mapa!BI$3),Atualizações!$E$1:$E$580),"NÃO")</f>
        <v>NÃO</v>
      </c>
      <c r="Q72" s="205" t="str" cm="1">
        <f t="array" ref="Q72">IFERROR(LOOKUP(2,1/(Atualizações!$H$1:$H$580=Mapa!$B28&amp;Mapa!BJ$3),Atualizações!$E$1:$E$580),"NÃO")</f>
        <v>NÃO</v>
      </c>
      <c r="R72" s="205" t="str" cm="1">
        <f t="array" ref="R72">IFERROR(LOOKUP(2,1/(Atualizações!$H$1:$H$580=Mapa!$B28&amp;Mapa!BK$3),Atualizações!$E$1:$E$580),"NÃO")</f>
        <v>NÃO</v>
      </c>
      <c r="S72" s="205" t="str" cm="1">
        <f t="array" ref="S72">IFERROR(LOOKUP(2,1/(Atualizações!$H$1:$H$580=Mapa!$B28&amp;Mapa!BL$3),Atualizações!$E$1:$E$580),"NÃO")</f>
        <v>NÃO</v>
      </c>
      <c r="T72" s="205" t="str" cm="1">
        <f t="array" ref="T72">IFERROR(LOOKUP(2,1/(Atualizações!$H$1:$H$580=Mapa!$B28&amp;Mapa!BM$3),Atualizações!$E$1:$E$580),"NÃO")</f>
        <v>NÃO</v>
      </c>
      <c r="U72" s="205" t="str" cm="1">
        <f t="array" ref="U72">IFERROR(LOOKUP(2,1/(Atualizações!$H$1:$H$580=Mapa!$B28&amp;Mapa!BN$3),Atualizações!$E$1:$E$580),"NÃO")</f>
        <v>NÃO</v>
      </c>
      <c r="V72" s="205" t="str" cm="1">
        <f t="array" ref="V72">IFERROR(LOOKUP(2,1/(Atualizações!$H$1:$H$580=Mapa!$B28&amp;Mapa!BO$3),Atualizações!$E$1:$E$580),"NÃO")</f>
        <v>NÃO</v>
      </c>
      <c r="W72" s="205" t="str" cm="1">
        <f t="array" ref="W72">IFERROR(LOOKUP(2,1/(Atualizações!$H$1:$H$580=Mapa!$B28&amp;Mapa!BP$3),Atualizações!$E$1:$E$580),"NÃO")</f>
        <v>NÃO</v>
      </c>
      <c r="X72" s="205" t="str" cm="1">
        <f t="array" ref="X72">IFERROR(LOOKUP(2,1/(Atualizações!$H$1:$H$580=Mapa!$B28&amp;Mapa!BQ$3),Atualizações!$E$1:$E$580),"NÃO")</f>
        <v>NÃO</v>
      </c>
      <c r="Y72" s="205" t="str" cm="1">
        <f t="array" ref="Y72">IFERROR(LOOKUP(2,1/(Atualizações!$H$1:$H$580=Mapa!$B28&amp;Mapa!BR$3),Atualizações!$E$1:$E$580),"NÃO")</f>
        <v>NÃO</v>
      </c>
      <c r="Z72" s="161" cm="1">
        <f t="array" ref="Z72">IFERROR(LOOKUP(2,1/(Atualizações!$H$1:$H$1029=Mapa!$B28&amp;Mapa!BS$3),Atualizações!$E$1:$E$1029),"NÃO")</f>
        <v>1</v>
      </c>
      <c r="AA72" s="161" t="str" cm="1">
        <f t="array" ref="AA72">IFERROR(LOOKUP(2,1/(Atualizações!$H$1:$H$1029=Mapa!$B28&amp;Mapa!BT$3),Atualizações!$E$1:$E$1029),"NÃO")</f>
        <v>NÃO</v>
      </c>
      <c r="AB72" s="161" t="str" cm="1">
        <f t="array" ref="AB72">IFERROR(LOOKUP(2,1/(Atualizações!$H$1:$H$1029=Mapa!$B28&amp;Mapa!BU$3),Atualizações!$E$1:$E$1029),"NÃO")</f>
        <v>NÃO</v>
      </c>
      <c r="AC72" s="161" t="str" cm="1">
        <f t="array" ref="AC72">IFERROR(LOOKUP(2,1/(Atualizações!$H$1:$H$1029=Mapa!$B28&amp;Mapa!BV$3),Atualizações!$E$1:$E$1029),"NÃO")</f>
        <v>NÃO</v>
      </c>
      <c r="AD72" s="161" t="str" cm="1">
        <f t="array" ref="AD72">IFERROR(LOOKUP(2,1/(Atualizações!$H$1:$H$1029=Mapa!$B28&amp;Mapa!BW$3),Atualizações!$E$1:$E$1029),"NÃO")</f>
        <v>NÃO</v>
      </c>
      <c r="AE72" s="161" t="str" cm="1">
        <f t="array" ref="AE72">IFERROR(LOOKUP(2,1/(Atualizações!$H$1:$H$1029=Mapa!$B28&amp;Mapa!BX$3),Atualizações!$E$1:$E$1029),"NÃO")</f>
        <v>NÃO</v>
      </c>
      <c r="AF72" s="161" t="str" cm="1">
        <f t="array" ref="AF72">IFERROR(LOOKUP(2,1/(Atualizações!$H$1:$H$1029=Mapa!$B28&amp;Mapa!BY$3),Atualizações!$E$1:$E$1029),"NÃO")</f>
        <v>NÃO</v>
      </c>
      <c r="AG72" s="161" t="str" cm="1">
        <f t="array" ref="AG72">IFERROR(LOOKUP(2,1/(Atualizações!$H$1:$H$1029=Mapa!$B28&amp;Mapa!BZ$3),Atualizações!$E$1:$E$1029),"NÃO")</f>
        <v>NÃO</v>
      </c>
      <c r="AH72" s="161" t="str" cm="1">
        <f t="array" ref="AH72">IFERROR(LOOKUP(2,1/(Atualizações!$H$1:$H$1029=Mapa!$B28&amp;Mapa!CA$3),Atualizações!$E$1:$E$1029),"NÃO")</f>
        <v>NÃO</v>
      </c>
      <c r="AI72" s="161" t="str" cm="1">
        <f t="array" ref="AI72">IFERROR(LOOKUP(2,1/(Atualizações!$H$1:$H$1029=Mapa!$B28&amp;Mapa!CB$3),Atualizações!$E$1:$E$1029),"NÃO")</f>
        <v>NÃO</v>
      </c>
      <c r="AJ72" s="161" t="str" cm="1">
        <f t="array" ref="AJ72">IFERROR(LOOKUP(2,1/(Atualizações!$H$1:$H$1029=Mapa!$B28&amp;Mapa!CC$3),Atualizações!$E$1:$E$1029),"NÃO")</f>
        <v>NÃO</v>
      </c>
      <c r="AK72" s="161" t="str" cm="1">
        <f t="array" ref="AK72">IFERROR(LOOKUP(2,1/(Atualizações!$H$1:$H$1029=Mapa!$B28&amp;Mapa!CD$3),Atualizações!$E$1:$E$1029),"NÃO")</f>
        <v>NÃO</v>
      </c>
      <c r="AL72" s="161" t="str" cm="1">
        <f t="array" ref="AL72">IFERROR(LOOKUP(2,1/(Atualizações!$H$1:$H$1265=Mapa!$B28&amp;Mapa!CE$3),Atualizações!$E$1:$E$2994),"NÃO")</f>
        <v>NÃO</v>
      </c>
      <c r="AM72" s="161" t="str" cm="1">
        <f t="array" ref="AM72">IFERROR(LOOKUP(2,1/(Atualizações!$H$1:$H$2994=Tb_Mapa[[#This Row],[SEI]]&amp;Mapa!CF$3),Atualizações!$E$1:$E$2994),"NÃO")</f>
        <v>NÃO</v>
      </c>
      <c r="AN72" s="161" t="str" cm="1">
        <f t="array" ref="AN72">IFERROR(LOOKUP(2,1/(Atualizações!$H$1:$H$2994=Tb_Mapa[[#This Row],[SEI]]&amp;Mapa!CG$3),Atualizações!$E$1:$E$2994),"NÃO")</f>
        <v>NÃO</v>
      </c>
      <c r="AO72" s="161" t="str" cm="1">
        <f t="array" ref="AO72">IFERROR(LOOKUP(2,1/(Atualizações!$H$1:$H$2994=Tb_Mapa[[#This Row],[SEI]]&amp;Mapa!CH$3),Atualizações!$E$1:$E$2994),"NÃO")</f>
        <v>NÃO</v>
      </c>
      <c r="AP72" s="161" t="str" cm="1">
        <f t="array" ref="AP72">IFERROR(LOOKUP(2,1/(Atualizações!$H$1:$H$2994=Tb_Mapa[[#This Row],[SEI]]&amp;Mapa!CI$3),Atualizações!$E$1:$E$2994),"NÃO")</f>
        <v>NÃO</v>
      </c>
      <c r="AQ72" s="161" t="str" cm="1">
        <f t="array" ref="AQ72">IFERROR(LOOKUP(2,1/(Atualizações!$H$1:$H$2994=Tb_Mapa[[#This Row],[SEI]]&amp;Mapa!CJ$3),Atualizações!$E$1:$E$2994),"NÃO")</f>
        <v>NÃO</v>
      </c>
      <c r="AR72" s="161" t="str" cm="1">
        <f t="array" ref="AR72">IFERROR(LOOKUP(2,1/(Atualizações!$H$1:$H$2994=Tb_Mapa[[#This Row],[SEI]]&amp;Mapa!CK$3),Atualizações!$E$1:$E$2994),"NÃO")</f>
        <v>NÃO</v>
      </c>
      <c r="AS72" s="161" t="str" cm="1">
        <f t="array" ref="AS72">IFERROR(LOOKUP(2,1/(Atualizações!$H$1:$H$2994=Tb_Mapa[[#This Row],[SEI]]&amp;Mapa!CL$3),Atualizações!$E$1:$E$2994),"NÃO")</f>
        <v>NÃO</v>
      </c>
      <c r="AT72" s="161" t="str" cm="1">
        <f t="array" ref="AT72">IFERROR(LOOKUP(2,1/(Atualizações!$H$1:$H$2994=Tb_Mapa[[#This Row],[SEI]]&amp;Mapa!CM$3),Atualizações!$E$1:$E$2994),"NÃO")</f>
        <v>NÃO</v>
      </c>
      <c r="AU72" s="161" t="str" cm="1">
        <f t="array" ref="AU72">IFERROR(LOOKUP(2,1/(Atualizações!$H$1:$H$2994=Tb_Mapa[[#This Row],[SEI]]&amp;Mapa!CN$3),Atualizações!$E$1:$E$2994),"NÃO")</f>
        <v>NÃO</v>
      </c>
      <c r="AV72" s="161" t="str" cm="1">
        <f t="array" ref="AV72">IFERROR(LOOKUP(2,1/(Atualizações!$H$1:$H$2994=Tb_Mapa[[#This Row],[SEI]]&amp;Mapa!CO$3),Atualizações!$E$1:$E$2994),"NÃO")</f>
        <v>NÃO</v>
      </c>
      <c r="AW72" s="161" t="str" cm="1">
        <f t="array" ref="AW72">IFERROR(LOOKUP(2,1/(Atualizações!$H$1:$H$2994=Tb_Mapa[[#This Row],[SEI]]&amp;Mapa!CP$3),Atualizações!$E$1:$E$2994),"NÃO")</f>
        <v>NÃO</v>
      </c>
      <c r="AX72" s="161" t="str" cm="1">
        <f t="array" ref="AX72">IFERROR(LOOKUP(2,1/(Atualizações!$H$1:$H$2994=Tb_Mapa[[#This Row],[SEI]]&amp;Mapa!CQ$3),Atualizações!$E$1:$E$2994),"NÃO")</f>
        <v>NÃO</v>
      </c>
    </row>
    <row r="73" spans="2:50" ht="32.25" hidden="1" customHeight="1">
      <c r="B73" s="308" t="s">
        <v>471</v>
      </c>
      <c r="C73" s="678" t="str">
        <f>_xlfn.XLOOKUP(Tb_Mapa[[#This Row],[SEI]],Tb_Portfólio[SEI],Tb_Portfólio[Portfólio 2025],"",0)</f>
        <v>Não</v>
      </c>
      <c r="D73" s="158" t="str">
        <f>_xlfn.XLOOKUP(Tb_Mapa[[#This Row],[SEI]],Tb_Portfólio[SEI],Tb_Portfólio[Portfólio 2026],"",0)</f>
        <v>Não</v>
      </c>
      <c r="E73" s="162" t="str">
        <f>_xlfn.XLOOKUP(Tb_Mapa[[#This Row],[SEI]],Tb_Portfólio[SEI],Tb_Portfólio[PROJETO],"",0)</f>
        <v>Sinapses 5 - Capacitação Cursos EaD IA</v>
      </c>
      <c r="F73" s="170" t="str">
        <f>INDEX(Projetos!$G$3:$G$129,MATCH(B73,Projetos!$A$3:$A$129,0))</f>
        <v>Tamires Aparecida Ferreira Souza</v>
      </c>
      <c r="G73" s="158" t="s">
        <v>1712</v>
      </c>
      <c r="H73" s="143" t="str">
        <f>INDEX(Projetos!$T$3:$T$129,MATCH(B73,Projetos!$A$3:$A$129,0))</f>
        <v>Justiça 4.0</v>
      </c>
      <c r="I73" s="317">
        <f>INDEX(Projetos!$M$3:$M$129,MATCH(Mapa!B24,Projetos!$A$3:$A$129,0))</f>
        <v>45900</v>
      </c>
      <c r="J73" s="164" t="str">
        <f>IF(Tb_Mapa[[#This Row],[SITUAÇÃO]]="Finalizado", "Data atualizada", IFERROR(IF(I73&lt;$CN$3,"Atualizar data de encerramento","Data atualizada"),"Sem informação"))</f>
        <v>Data atualizada</v>
      </c>
      <c r="K73" s="311">
        <f>INDEX(Projetos!$N$3:$N$129,MATCH(Tb_Mapa[[#This Row],[SEI]],Projetos!$A$3:$A$129,0))</f>
        <v>1</v>
      </c>
      <c r="L73" s="311">
        <f>INDEX(Projetos!$O$3:$O$129,MATCH(Tb_Mapa[[#This Row],[SEI]],Projetos!$A$3:$A$129,0))</f>
        <v>1</v>
      </c>
      <c r="M73" s="165" t="str">
        <f>_xlfn.XLOOKUP(Tb_Mapa[[#This Row],[SEI]],Tb_Portfólio[SEI],Tb_Portfólio[Situação],"N/A",0)</f>
        <v>Finalizado</v>
      </c>
      <c r="N73" s="128" t="str" cm="1">
        <f t="array" ref="N73">IFERROR(LOOKUP(2,1/(Atualizações!$H$1:$H$486=Mapa!$B24&amp;Mapa!BG$3),Atualizações!$E$1:$E$486),"NÃO")</f>
        <v>NÃO</v>
      </c>
      <c r="O73" s="205" t="str" cm="1">
        <f t="array" ref="O73">IFERROR(LOOKUP(2,1/(Atualizações!$H$1:$H$580=Mapa!$B24&amp;Mapa!BH$3),Atualizações!$E$1:$E$580),"NÃO")</f>
        <v>NÃO</v>
      </c>
      <c r="P73" s="205" t="str" cm="1">
        <f t="array" ref="P73">IFERROR(LOOKUP(2,1/(Atualizações!$H$1:$H$580=Mapa!$B24&amp;Mapa!BI$3),Atualizações!$E$1:$E$580),"NÃO")</f>
        <v>NÃO</v>
      </c>
      <c r="Q73" s="205" t="str" cm="1">
        <f t="array" ref="Q73">IFERROR(LOOKUP(2,1/(Atualizações!$H$1:$H$580=Mapa!$B24&amp;Mapa!BJ$3),Atualizações!$E$1:$E$580),"NÃO")</f>
        <v>NÃO</v>
      </c>
      <c r="R73" s="205" t="str" cm="1">
        <f t="array" ref="R73">IFERROR(LOOKUP(2,1/(Atualizações!$H$1:$H$580=Mapa!$B24&amp;Mapa!BK$3),Atualizações!$E$1:$E$580),"NÃO")</f>
        <v>NÃO</v>
      </c>
      <c r="S73" s="205" t="str" cm="1">
        <f t="array" ref="S73">IFERROR(LOOKUP(2,1/(Atualizações!$H$1:$H$580=Mapa!$B24&amp;Mapa!BL$3),Atualizações!$E$1:$E$580),"NÃO")</f>
        <v>NÃO</v>
      </c>
      <c r="T73" s="205" t="str" cm="1">
        <f t="array" ref="T73">IFERROR(LOOKUP(2,1/(Atualizações!$H$1:$H$580=Mapa!$B24&amp;Mapa!BM$3),Atualizações!$E$1:$E$580),"NÃO")</f>
        <v>NÃO</v>
      </c>
      <c r="U73" s="205" t="str" cm="1">
        <f t="array" ref="U73">IFERROR(LOOKUP(2,1/(Atualizações!$H$1:$H$580=Mapa!$B24&amp;Mapa!BN$3),Atualizações!$E$1:$E$580),"NÃO")</f>
        <v>NÃO</v>
      </c>
      <c r="V73" s="205" t="str" cm="1">
        <f t="array" ref="V73">IFERROR(LOOKUP(2,1/(Atualizações!$H$1:$H$580=Mapa!$B24&amp;Mapa!BO$3),Atualizações!$E$1:$E$580),"NÃO")</f>
        <v>NÃO</v>
      </c>
      <c r="W73" s="205" t="str" cm="1">
        <f t="array" ref="W73">IFERROR(LOOKUP(2,1/(Atualizações!$H$1:$H$580=Mapa!$B24&amp;Mapa!BP$3),Atualizações!$E$1:$E$580),"NÃO")</f>
        <v>NÃO</v>
      </c>
      <c r="X73" s="205" t="str" cm="1">
        <f t="array" ref="X73">IFERROR(LOOKUP(2,1/(Atualizações!$H$1:$H$580=Mapa!$B24&amp;Mapa!BQ$3),Atualizações!$E$1:$E$580),"NÃO")</f>
        <v>NÃO</v>
      </c>
      <c r="Y73" s="205" t="str" cm="1">
        <f t="array" ref="Y73">IFERROR(LOOKUP(2,1/(Atualizações!$H$1:$H$580=Mapa!$B24&amp;Mapa!BR$3),Atualizações!$E$1:$E$580),"NÃO")</f>
        <v>NÃO</v>
      </c>
      <c r="Z73" s="161" cm="1">
        <f t="array" ref="Z73">IFERROR(LOOKUP(2,1/(Atualizações!$H$1:$H$1029=Mapa!$B24&amp;Mapa!BS$3),Atualizações!$E$1:$E$1029),"NÃO")</f>
        <v>0.5</v>
      </c>
      <c r="AA73" s="161" t="str" cm="1">
        <f t="array" ref="AA73">IFERROR(LOOKUP(2,1/(Atualizações!$H$1:$H$1029=Mapa!$B24&amp;Mapa!BT$3),Atualizações!$E$1:$E$1029),"NÃO")</f>
        <v>NÃO</v>
      </c>
      <c r="AB73" s="161" t="str" cm="1">
        <f t="array" ref="AB73">IFERROR(LOOKUP(2,1/(Atualizações!$H$1:$H$1029=Mapa!$B24&amp;Mapa!BU$3),Atualizações!$E$1:$E$1029),"NÃO")</f>
        <v>NÃO</v>
      </c>
      <c r="AC73" s="161" t="str" cm="1">
        <f t="array" ref="AC73">IFERROR(LOOKUP(2,1/(Atualizações!$H$1:$H$1029=Mapa!$B24&amp;Mapa!BV$3),Atualizações!$E$1:$E$1029),"NÃO")</f>
        <v>NÃO</v>
      </c>
      <c r="AD73" s="161" t="str" cm="1">
        <f t="array" ref="AD73">IFERROR(LOOKUP(2,1/(Atualizações!$H$1:$H$1029=Mapa!$B24&amp;Mapa!BW$3),Atualizações!$E$1:$E$1029),"NÃO")</f>
        <v>NÃO</v>
      </c>
      <c r="AE73" s="161" t="str" cm="1">
        <f t="array" ref="AE73">IFERROR(LOOKUP(2,1/(Atualizações!$H$1:$H$1029=Mapa!$B24&amp;Mapa!BX$3),Atualizações!$E$1:$E$1029),"NÃO")</f>
        <v>NÃO</v>
      </c>
      <c r="AF73" s="161" t="str" cm="1">
        <f t="array" ref="AF73">IFERROR(LOOKUP(2,1/(Atualizações!$H$1:$H$1029=Mapa!$B24&amp;Mapa!BY$3),Atualizações!$E$1:$E$1029),"NÃO")</f>
        <v>NÃO</v>
      </c>
      <c r="AG73" s="161" cm="1">
        <f t="array" ref="AG73">IFERROR(LOOKUP(2,1/(Atualizações!$H$1:$H$1029=Mapa!$B24&amp;Mapa!BZ$3),Atualizações!$E$1:$E$1029),"NÃO")</f>
        <v>0.75</v>
      </c>
      <c r="AH73" s="161" t="str" cm="1">
        <f t="array" ref="AH73">IFERROR(LOOKUP(2,1/(Atualizações!$H$1:$H$1029=Mapa!$B24&amp;Mapa!CA$3),Atualizações!$E$1:$E$1029),"NÃO")</f>
        <v>NÃO</v>
      </c>
      <c r="AI73" s="161" t="str" cm="1">
        <f t="array" ref="AI73">IFERROR(LOOKUP(2,1/(Atualizações!$H$1:$H$1029=Mapa!$B24&amp;Mapa!CB$3),Atualizações!$E$1:$E$1029),"NÃO")</f>
        <v>NÃO</v>
      </c>
      <c r="AJ73" s="161" t="str" cm="1">
        <f t="array" ref="AJ73">IFERROR(LOOKUP(2,1/(Atualizações!$H$1:$H$1029=Mapa!$B24&amp;Mapa!CC$3),Atualizações!$E$1:$E$1029),"NÃO")</f>
        <v>NÃO</v>
      </c>
      <c r="AK73" s="161" t="str" cm="1">
        <f t="array" ref="AK73">IFERROR(LOOKUP(2,1/(Atualizações!$H$1:$H$1029=Mapa!$B24&amp;Mapa!CD$3),Atualizações!$E$1:$E$1029),"NÃO")</f>
        <v>NÃO</v>
      </c>
      <c r="AL73" s="161" cm="1">
        <f t="array" ref="AL73">IFERROR(LOOKUP(2,1/(Atualizações!$H$1:$H$1265=Mapa!$B24&amp;Mapa!CE$3),Atualizações!$E$1:$E$2994),"NÃO")</f>
        <v>1</v>
      </c>
      <c r="AM73" s="161" t="str" cm="1">
        <f t="array" ref="AM73">IFERROR(LOOKUP(2,1/(Atualizações!$H$1:$H$2994=Tb_Mapa[[#This Row],[SEI]]&amp;Mapa!CF$3),Atualizações!$E$1:$E$2994),"NÃO")</f>
        <v>NÃO</v>
      </c>
      <c r="AN73" s="161" t="str" cm="1">
        <f t="array" ref="AN73">IFERROR(LOOKUP(2,1/(Atualizações!$H$1:$H$2994=Tb_Mapa[[#This Row],[SEI]]&amp;Mapa!CG$3),Atualizações!$E$1:$E$2994),"NÃO")</f>
        <v>NÃO</v>
      </c>
      <c r="AO73" s="161" t="str" cm="1">
        <f t="array" ref="AO73">IFERROR(LOOKUP(2,1/(Atualizações!$H$1:$H$2994=Tb_Mapa[[#This Row],[SEI]]&amp;Mapa!CH$3),Atualizações!$E$1:$E$2994),"NÃO")</f>
        <v>NÃO</v>
      </c>
      <c r="AP73" s="161" t="str" cm="1">
        <f t="array" ref="AP73">IFERROR(LOOKUP(2,1/(Atualizações!$H$1:$H$2994=Tb_Mapa[[#This Row],[SEI]]&amp;Mapa!CI$3),Atualizações!$E$1:$E$2994),"NÃO")</f>
        <v>NÃO</v>
      </c>
      <c r="AQ73" s="161" t="str" cm="1">
        <f t="array" ref="AQ73">IFERROR(LOOKUP(2,1/(Atualizações!$H$1:$H$2994=Tb_Mapa[[#This Row],[SEI]]&amp;Mapa!CJ$3),Atualizações!$E$1:$E$2994),"NÃO")</f>
        <v>NÃO</v>
      </c>
      <c r="AR73" s="161" t="str" cm="1">
        <f t="array" ref="AR73">IFERROR(LOOKUP(2,1/(Atualizações!$H$1:$H$2994=Tb_Mapa[[#This Row],[SEI]]&amp;Mapa!CK$3),Atualizações!$E$1:$E$2994),"NÃO")</f>
        <v>NÃO</v>
      </c>
      <c r="AS73" s="161" t="str" cm="1">
        <f t="array" ref="AS73">IFERROR(LOOKUP(2,1/(Atualizações!$H$1:$H$2994=Tb_Mapa[[#This Row],[SEI]]&amp;Mapa!CL$3),Atualizações!$E$1:$E$2994),"NÃO")</f>
        <v>NÃO</v>
      </c>
      <c r="AT73" s="161" t="str" cm="1">
        <f t="array" ref="AT73">IFERROR(LOOKUP(2,1/(Atualizações!$H$1:$H$2994=Tb_Mapa[[#This Row],[SEI]]&amp;Mapa!CM$3),Atualizações!$E$1:$E$2994),"NÃO")</f>
        <v>NÃO</v>
      </c>
      <c r="AU73" s="161" t="str" cm="1">
        <f t="array" ref="AU73">IFERROR(LOOKUP(2,1/(Atualizações!$H$1:$H$2994=Tb_Mapa[[#This Row],[SEI]]&amp;Mapa!CN$3),Atualizações!$E$1:$E$2994),"NÃO")</f>
        <v>NÃO</v>
      </c>
      <c r="AV73" s="161" t="str" cm="1">
        <f t="array" ref="AV73">IFERROR(LOOKUP(2,1/(Atualizações!$H$1:$H$2994=Tb_Mapa[[#This Row],[SEI]]&amp;Mapa!CO$3),Atualizações!$E$1:$E$2994),"NÃO")</f>
        <v>NÃO</v>
      </c>
      <c r="AW73" s="161" t="str" cm="1">
        <f t="array" ref="AW73">IFERROR(LOOKUP(2,1/(Atualizações!$H$1:$H$2994=Tb_Mapa[[#This Row],[SEI]]&amp;Mapa!CP$3),Atualizações!$E$1:$E$2994),"NÃO")</f>
        <v>NÃO</v>
      </c>
      <c r="AX73" s="161" t="str" cm="1">
        <f t="array" ref="AX73">IFERROR(LOOKUP(2,1/(Atualizações!$H$1:$H$2994=Tb_Mapa[[#This Row],[SEI]]&amp;Mapa!CQ$3),Atualizações!$E$1:$E$2994),"NÃO")</f>
        <v>NÃO</v>
      </c>
    </row>
    <row r="74" spans="2:50" ht="32.25" hidden="1" customHeight="1">
      <c r="B74" s="308" t="s">
        <v>464</v>
      </c>
      <c r="C74" s="678" t="str">
        <f>_xlfn.XLOOKUP(Tb_Mapa[[#This Row],[SEI]],Tb_Portfólio[SEI],Tb_Portfólio[Portfólio 2025],"",0)</f>
        <v>Não</v>
      </c>
      <c r="D74" s="158" t="str">
        <f>_xlfn.XLOOKUP(Tb_Mapa[[#This Row],[SEI]],Tb_Portfólio[SEI],Tb_Portfólio[Portfólio 2026],"",0)</f>
        <v>Não</v>
      </c>
      <c r="E74" s="162" t="str">
        <f>_xlfn.XLOOKUP(Tb_Mapa[[#This Row],[SEI]],Tb_Portfólio[SEI],Tb_Portfólio[PROJETO],"",0)</f>
        <v>Sirenejud 2.0</v>
      </c>
      <c r="F74" s="694" t="str">
        <f>INDEX(Projetos!$G$3:$G$129,MATCH(B74,Projetos!$A$3:$A$129,0))</f>
        <v>Isabely Fontana da Mota</v>
      </c>
      <c r="G74" s="160" t="s">
        <v>1720</v>
      </c>
      <c r="H74" s="166" t="str">
        <f>INDEX(Projetos!$T$3:$T$129,MATCH(B74,Projetos!$A$3:$A$129,0))</f>
        <v>Justiça 4.0</v>
      </c>
      <c r="I74" s="310">
        <f>INDEX(Projetos!$M$3:$M$129,MATCH(Mapa!B25,Projetos!$A$3:$A$129,0))</f>
        <v>46022</v>
      </c>
      <c r="J74" s="164" t="str">
        <f>IF(Tb_Mapa[[#This Row],[SITUAÇÃO]]="Finalizado", "Data atualizada", IFERROR(IF(I74&lt;$CN$3,"Atualizar data de encerramento","Data atualizada"),"Sem informação"))</f>
        <v>Data atualizada</v>
      </c>
      <c r="K74" s="311">
        <f>INDEX(Projetos!$N$3:$N$129,MATCH(Tb_Mapa[[#This Row],[SEI]],Projetos!$A$3:$A$129,0))</f>
        <v>1</v>
      </c>
      <c r="L74" s="311">
        <f>INDEX(Projetos!$O$3:$O$129,MATCH(Tb_Mapa[[#This Row],[SEI]],Projetos!$A$3:$A$129,0))</f>
        <v>1</v>
      </c>
      <c r="M74" s="165" t="str">
        <f>_xlfn.XLOOKUP(Tb_Mapa[[#This Row],[SEI]],Tb_Portfólio[SEI],Tb_Portfólio[Situação],"N/A",0)</f>
        <v>Finalizado</v>
      </c>
      <c r="N74" s="128" t="str" cm="1">
        <f t="array" ref="N74">IFERROR(LOOKUP(2,1/(Atualizações!$H$1:$H$486=Mapa!$B25&amp;Mapa!BG$3),Atualizações!$E$1:$E$486),"NÃO")</f>
        <v>NÃO</v>
      </c>
      <c r="O74" s="205" t="str" cm="1">
        <f t="array" ref="O74">IFERROR(LOOKUP(2,1/(Atualizações!$H$1:$H$580=Mapa!$B25&amp;Mapa!BH$3),Atualizações!$E$1:$E$580),"NÃO")</f>
        <v>NÃO</v>
      </c>
      <c r="P74" s="205" t="str" cm="1">
        <f t="array" ref="P74">IFERROR(LOOKUP(2,1/(Atualizações!$H$1:$H$580=Mapa!$B25&amp;Mapa!BI$3),Atualizações!$E$1:$E$580),"NÃO")</f>
        <v>NÃO</v>
      </c>
      <c r="Q74" s="205" t="str" cm="1">
        <f t="array" ref="Q74">IFERROR(LOOKUP(2,1/(Atualizações!$H$1:$H$580=Mapa!$B25&amp;Mapa!BJ$3),Atualizações!$E$1:$E$580),"NÃO")</f>
        <v>NÃO</v>
      </c>
      <c r="R74" s="205" t="str" cm="1">
        <f t="array" ref="R74">IFERROR(LOOKUP(2,1/(Atualizações!$H$1:$H$580=Mapa!$B25&amp;Mapa!BK$3),Atualizações!$E$1:$E$580),"NÃO")</f>
        <v>NÃO</v>
      </c>
      <c r="S74" s="205" t="str" cm="1">
        <f t="array" ref="S74">IFERROR(LOOKUP(2,1/(Atualizações!$H$1:$H$580=Mapa!$B25&amp;Mapa!BL$3),Atualizações!$E$1:$E$580),"NÃO")</f>
        <v>NÃO</v>
      </c>
      <c r="T74" s="205" t="str" cm="1">
        <f t="array" ref="T74">IFERROR(LOOKUP(2,1/(Atualizações!$H$1:$H$580=Mapa!$B25&amp;Mapa!BM$3),Atualizações!$E$1:$E$580),"NÃO")</f>
        <v>NÃO</v>
      </c>
      <c r="U74" s="205" t="str" cm="1">
        <f t="array" ref="U74">IFERROR(LOOKUP(2,1/(Atualizações!$H$1:$H$580=Mapa!$B25&amp;Mapa!BN$3),Atualizações!$E$1:$E$580),"NÃO")</f>
        <v>NÃO</v>
      </c>
      <c r="V74" s="205" t="str" cm="1">
        <f t="array" ref="V74">IFERROR(LOOKUP(2,1/(Atualizações!$H$1:$H$580=Mapa!$B25&amp;Mapa!BO$3),Atualizações!$E$1:$E$580),"NÃO")</f>
        <v>NÃO</v>
      </c>
      <c r="W74" s="205" t="str" cm="1">
        <f t="array" ref="W74">IFERROR(LOOKUP(2,1/(Atualizações!$H$1:$H$580=Mapa!$B25&amp;Mapa!BP$3),Atualizações!$E$1:$E$580),"NÃO")</f>
        <v>NÃO</v>
      </c>
      <c r="X74" s="205" t="str" cm="1">
        <f t="array" ref="X74">IFERROR(LOOKUP(2,1/(Atualizações!$H$1:$H$580=Mapa!$B25&amp;Mapa!BQ$3),Atualizações!$E$1:$E$580),"NÃO")</f>
        <v>NÃO</v>
      </c>
      <c r="Y74" s="205" t="str" cm="1">
        <f t="array" ref="Y74">IFERROR(LOOKUP(2,1/(Atualizações!$H$1:$H$580=Mapa!$B25&amp;Mapa!BR$3),Atualizações!$E$1:$E$580),"NÃO")</f>
        <v>NÃO</v>
      </c>
      <c r="Z74" s="161" cm="1">
        <f t="array" ref="Z74">IFERROR(LOOKUP(2,1/(Atualizações!$H$1:$H$1029=Mapa!$B25&amp;Mapa!BS$3),Atualizações!$E$1:$E$1029),"NÃO")</f>
        <v>0.5</v>
      </c>
      <c r="AA74" s="161" t="str" cm="1">
        <f t="array" ref="AA74">IFERROR(LOOKUP(2,1/(Atualizações!$H$1:$H$1029=Mapa!$B25&amp;Mapa!BT$3),Atualizações!$E$1:$E$1029),"NÃO")</f>
        <v>NÃO</v>
      </c>
      <c r="AB74" s="161" t="str" cm="1">
        <f t="array" ref="AB74">IFERROR(LOOKUP(2,1/(Atualizações!$H$1:$H$1029=Mapa!$B25&amp;Mapa!BU$3),Atualizações!$E$1:$E$1029),"NÃO")</f>
        <v>NÃO</v>
      </c>
      <c r="AC74" s="161" t="str" cm="1">
        <f t="array" ref="AC74">IFERROR(LOOKUP(2,1/(Atualizações!$H$1:$H$1029=Mapa!$B25&amp;Mapa!BV$3),Atualizações!$E$1:$E$1029),"NÃO")</f>
        <v>NÃO</v>
      </c>
      <c r="AD74" s="161" t="str" cm="1">
        <f t="array" ref="AD74">IFERROR(LOOKUP(2,1/(Atualizações!$H$1:$H$1029=Mapa!$B25&amp;Mapa!BW$3),Atualizações!$E$1:$E$1029),"NÃO")</f>
        <v>NÃO</v>
      </c>
      <c r="AE74" s="161" t="str" cm="1">
        <f t="array" ref="AE74">IFERROR(LOOKUP(2,1/(Atualizações!$H$1:$H$1029=Mapa!$B25&amp;Mapa!BX$3),Atualizações!$E$1:$E$1029),"NÃO")</f>
        <v>NÃO</v>
      </c>
      <c r="AF74" s="161" t="str" cm="1">
        <f t="array" ref="AF74">IFERROR(LOOKUP(2,1/(Atualizações!$H$1:$H$1029=Mapa!$B25&amp;Mapa!BY$3),Atualizações!$E$1:$E$1029),"NÃO")</f>
        <v>NÃO</v>
      </c>
      <c r="AG74" s="161" t="str" cm="1">
        <f t="array" ref="AG74">IFERROR(LOOKUP(2,1/(Atualizações!$H$1:$H$1029=Mapa!$B25&amp;Mapa!BZ$3),Atualizações!$E$1:$E$1029),"NÃO")</f>
        <v>NÃO</v>
      </c>
      <c r="AH74" s="161" t="str" cm="1">
        <f t="array" ref="AH74">IFERROR(LOOKUP(2,1/(Atualizações!$H$1:$H$1029=Mapa!$B25&amp;Mapa!CA$3),Atualizações!$E$1:$E$1029),"NÃO")</f>
        <v>NÃO</v>
      </c>
      <c r="AI74" s="161" t="str" cm="1">
        <f t="array" ref="AI74">IFERROR(LOOKUP(2,1/(Atualizações!$H$1:$H$1029=Mapa!$B25&amp;Mapa!CB$3),Atualizações!$E$1:$E$1029),"NÃO")</f>
        <v>NÃO</v>
      </c>
      <c r="AJ74" s="161" t="str" cm="1">
        <f t="array" ref="AJ74">IFERROR(LOOKUP(2,1/(Atualizações!$H$1:$H$1029=Mapa!$B25&amp;Mapa!CC$3),Atualizações!$E$1:$E$1029),"NÃO")</f>
        <v>NÃO</v>
      </c>
      <c r="AK74" s="161" t="str" cm="1">
        <f t="array" ref="AK74">IFERROR(LOOKUP(2,1/(Atualizações!$H$1:$H$1029=Mapa!$B25&amp;Mapa!CD$3),Atualizações!$E$1:$E$1029),"NÃO")</f>
        <v>NÃO</v>
      </c>
      <c r="AL74" s="161" cm="1">
        <f t="array" ref="AL74">IFERROR(LOOKUP(2,1/(Atualizações!$H$1:$H$1265=Mapa!$B25&amp;Mapa!CE$3),Atualizações!$E$1:$E$2994),"NÃO")</f>
        <v>1</v>
      </c>
      <c r="AM74" s="161" t="str" cm="1">
        <f t="array" ref="AM74">IFERROR(LOOKUP(2,1/(Atualizações!$H$1:$H$2994=Tb_Mapa[[#This Row],[SEI]]&amp;Mapa!CF$3),Atualizações!$E$1:$E$2994),"NÃO")</f>
        <v>NÃO</v>
      </c>
      <c r="AN74" s="161" t="str" cm="1">
        <f t="array" ref="AN74">IFERROR(LOOKUP(2,1/(Atualizações!$H$1:$H$2994=Tb_Mapa[[#This Row],[SEI]]&amp;Mapa!CG$3),Atualizações!$E$1:$E$2994),"NÃO")</f>
        <v>NÃO</v>
      </c>
      <c r="AO74" s="161" t="str" cm="1">
        <f t="array" ref="AO74">IFERROR(LOOKUP(2,1/(Atualizações!$H$1:$H$2994=Tb_Mapa[[#This Row],[SEI]]&amp;Mapa!CH$3),Atualizações!$E$1:$E$2994),"NÃO")</f>
        <v>NÃO</v>
      </c>
      <c r="AP74" s="161" t="str" cm="1">
        <f t="array" ref="AP74">IFERROR(LOOKUP(2,1/(Atualizações!$H$1:$H$2994=Tb_Mapa[[#This Row],[SEI]]&amp;Mapa!CI$3),Atualizações!$E$1:$E$2994),"NÃO")</f>
        <v>NÃO</v>
      </c>
      <c r="AQ74" s="161" t="str" cm="1">
        <f t="array" ref="AQ74">IFERROR(LOOKUP(2,1/(Atualizações!$H$1:$H$2994=Tb_Mapa[[#This Row],[SEI]]&amp;Mapa!CJ$3),Atualizações!$E$1:$E$2994),"NÃO")</f>
        <v>NÃO</v>
      </c>
      <c r="AR74" s="161" t="str" cm="1">
        <f t="array" ref="AR74">IFERROR(LOOKUP(2,1/(Atualizações!$H$1:$H$2994=Tb_Mapa[[#This Row],[SEI]]&amp;Mapa!CK$3),Atualizações!$E$1:$E$2994),"NÃO")</f>
        <v>NÃO</v>
      </c>
      <c r="AS74" s="161" t="str" cm="1">
        <f t="array" ref="AS74">IFERROR(LOOKUP(2,1/(Atualizações!$H$1:$H$2994=Tb_Mapa[[#This Row],[SEI]]&amp;Mapa!CL$3),Atualizações!$E$1:$E$2994),"NÃO")</f>
        <v>NÃO</v>
      </c>
      <c r="AT74" s="161" t="str" cm="1">
        <f t="array" ref="AT74">IFERROR(LOOKUP(2,1/(Atualizações!$H$1:$H$2994=Tb_Mapa[[#This Row],[SEI]]&amp;Mapa!CM$3),Atualizações!$E$1:$E$2994),"NÃO")</f>
        <v>NÃO</v>
      </c>
      <c r="AU74" s="161" t="str" cm="1">
        <f t="array" ref="AU74">IFERROR(LOOKUP(2,1/(Atualizações!$H$1:$H$2994=Tb_Mapa[[#This Row],[SEI]]&amp;Mapa!CN$3),Atualizações!$E$1:$E$2994),"NÃO")</f>
        <v>NÃO</v>
      </c>
      <c r="AV74" s="161" t="str" cm="1">
        <f t="array" ref="AV74">IFERROR(LOOKUP(2,1/(Atualizações!$H$1:$H$2994=Tb_Mapa[[#This Row],[SEI]]&amp;Mapa!CO$3),Atualizações!$E$1:$E$2994),"NÃO")</f>
        <v>NÃO</v>
      </c>
      <c r="AW74" s="161" t="str" cm="1">
        <f t="array" ref="AW74">IFERROR(LOOKUP(2,1/(Atualizações!$H$1:$H$2994=Tb_Mapa[[#This Row],[SEI]]&amp;Mapa!CP$3),Atualizações!$E$1:$E$2994),"NÃO")</f>
        <v>NÃO</v>
      </c>
      <c r="AX74" s="161" t="str" cm="1">
        <f t="array" ref="AX74">IFERROR(LOOKUP(2,1/(Atualizações!$H$1:$H$2994=Tb_Mapa[[#This Row],[SEI]]&amp;Mapa!CQ$3),Atualizações!$E$1:$E$2994),"NÃO")</f>
        <v>NÃO</v>
      </c>
    </row>
    <row r="75" spans="2:50" ht="32.25" hidden="1" customHeight="1">
      <c r="B75" s="308" t="s">
        <v>443</v>
      </c>
      <c r="C75" s="678" t="str">
        <f>_xlfn.XLOOKUP(Tb_Mapa[[#This Row],[SEI]],Tb_Portfólio[SEI],Tb_Portfólio[Portfólio 2025],"",0)</f>
        <v>Sim</v>
      </c>
      <c r="D75" s="158" t="str">
        <f>_xlfn.XLOOKUP(Tb_Mapa[[#This Row],[SEI]],Tb_Portfólio[SEI],Tb_Portfólio[Portfólio 2026],"",0)</f>
        <v>Não</v>
      </c>
      <c r="E75" s="162" t="str">
        <f>_xlfn.XLOOKUP(Tb_Mapa[[#This Row],[SEI]],Tb_Portfólio[SEI],Tb_Portfólio[PROJETO],"",0)</f>
        <v>Implantação do SERP</v>
      </c>
      <c r="F75" s="680" t="str">
        <f>INDEX(Projetos!$G$3:$G$129,MATCH(B75,Projetos!$A$3:$A$129,0))</f>
        <v>Luciano Almeida Lima</v>
      </c>
      <c r="G75" s="160" t="s">
        <v>1715</v>
      </c>
      <c r="H75" s="166">
        <f>INDEX(Projetos!$T$3:$T$129,MATCH(B75,Projetos!$A$3:$A$129,0))</f>
        <v>0</v>
      </c>
      <c r="I75" s="318">
        <f>INDEX(Projetos!$M$3:$M$129,MATCH(Mapa!B16,Projetos!$A$3:$A$129,0))</f>
        <v>45930</v>
      </c>
      <c r="J75" s="164" t="str">
        <f ca="1">IF(Tb_Mapa[[#This Row],[SITUAÇÃO]]="Finalizado", "Data atualizada", IFERROR(IF(I75&lt;$CN$3,"Atualizar data de encerramento","Data atualizada"),"Sem informação"))</f>
        <v>Atualizar data de encerramento</v>
      </c>
      <c r="K75" s="311">
        <f>INDEX(Projetos!$N$3:$N$129,MATCH(Tb_Mapa[[#This Row],[SEI]],Projetos!$A$3:$A$129,0))</f>
        <v>0.42</v>
      </c>
      <c r="L75" s="311">
        <f>INDEX(Projetos!$O$3:$O$129,MATCH(Tb_Mapa[[#This Row],[SEI]],Projetos!$A$3:$A$129,0))</f>
        <v>0.42</v>
      </c>
      <c r="M75" s="165" t="str">
        <f ca="1">_xlfn.XLOOKUP(Tb_Mapa[[#This Row],[SEI]],Tb_Portfólio[SEI],Tb_Portfólio[Situação],"N/A",0)</f>
        <v>Atrasado ou Crítico</v>
      </c>
      <c r="N75" s="128" t="str" cm="1">
        <f t="array" ref="N75">IFERROR(LOOKUP(2,1/(Atualizações!$H$1:$H$486=Mapa!$B16&amp;Mapa!BG$3),Atualizações!$E$1:$E$486),"NÃO")</f>
        <v>NÃO</v>
      </c>
      <c r="O75" s="205" t="str" cm="1">
        <f t="array" ref="O75">IFERROR(LOOKUP(2,1/(Atualizações!$H$1:$H$580=Mapa!$B16&amp;Mapa!BH$3),Atualizações!$E$1:$E$580),"NÃO")</f>
        <v>NÃO</v>
      </c>
      <c r="P75" s="205" t="str" cm="1">
        <f t="array" ref="P75">IFERROR(LOOKUP(2,1/(Atualizações!$H$1:$H$580=Mapa!$B16&amp;Mapa!BI$3),Atualizações!$E$1:$E$580),"NÃO")</f>
        <v>NÃO</v>
      </c>
      <c r="Q75" s="205" t="str" cm="1">
        <f t="array" ref="Q75">IFERROR(LOOKUP(2,1/(Atualizações!$H$1:$H$580=Mapa!$B16&amp;Mapa!BJ$3),Atualizações!$E$1:$E$580),"NÃO")</f>
        <v>NÃO</v>
      </c>
      <c r="R75" s="205" t="str" cm="1">
        <f t="array" ref="R75">IFERROR(LOOKUP(2,1/(Atualizações!$H$1:$H$580=Mapa!$B16&amp;Mapa!BK$3),Atualizações!$E$1:$E$580),"NÃO")</f>
        <v>NÃO</v>
      </c>
      <c r="S75" s="205" t="str" cm="1">
        <f t="array" ref="S75">IFERROR(LOOKUP(2,1/(Atualizações!$H$1:$H$580=Mapa!$B16&amp;Mapa!BL$3),Atualizações!$E$1:$E$580),"NÃO")</f>
        <v>NÃO</v>
      </c>
      <c r="T75" s="205" t="str" cm="1">
        <f t="array" ref="T75">IFERROR(LOOKUP(2,1/(Atualizações!$H$1:$H$580=Mapa!$B16&amp;Mapa!BM$3),Atualizações!$E$1:$E$580),"NÃO")</f>
        <v>NÃO</v>
      </c>
      <c r="U75" s="205" t="str" cm="1">
        <f t="array" ref="U75">IFERROR(LOOKUP(2,1/(Atualizações!$H$1:$H$580=Mapa!$B16&amp;Mapa!BN$3),Atualizações!$E$1:$E$580),"NÃO")</f>
        <v>NÃO</v>
      </c>
      <c r="V75" s="205" t="str" cm="1">
        <f t="array" ref="V75">IFERROR(LOOKUP(2,1/(Atualizações!$H$1:$H$580=Mapa!$B16&amp;Mapa!BO$3),Atualizações!$E$1:$E$580),"NÃO")</f>
        <v>NÃO</v>
      </c>
      <c r="W75" s="205" cm="1">
        <f t="array" ref="W75">IFERROR(LOOKUP(2,1/(Atualizações!$H$1:$H$580=Mapa!$B16&amp;Mapa!BP$3),Atualizações!$E$1:$E$580),"NÃO")</f>
        <v>0</v>
      </c>
      <c r="X75" s="205" cm="1">
        <f t="array" ref="X75">IFERROR(LOOKUP(2,1/(Atualizações!$H$1:$H$580=Mapa!$B16&amp;Mapa!BQ$3),Atualizações!$E$1:$E$580),"NÃO")</f>
        <v>0.3</v>
      </c>
      <c r="Y75" s="205" t="str" cm="1">
        <f t="array" ref="Y75">IFERROR(LOOKUP(2,1/(Atualizações!$H$1:$H$580=Mapa!$B16&amp;Mapa!BR$3),Atualizações!$E$1:$E$580),"NÃO")</f>
        <v>NÃO</v>
      </c>
      <c r="Z75" s="161" cm="1">
        <f t="array" ref="Z75">IFERROR(LOOKUP(2,1/(Atualizações!$H$1:$H$1029=Mapa!$B16&amp;Mapa!BS$3),Atualizações!$E$1:$E$1029),"NÃO")</f>
        <v>0.3</v>
      </c>
      <c r="AA75" s="161" t="str" cm="1">
        <f t="array" ref="AA75">IFERROR(LOOKUP(2,1/(Atualizações!$H$1:$H$1029=Mapa!$B16&amp;Mapa!BT$3),Atualizações!$E$1:$E$1029),"NÃO")</f>
        <v>NÃO</v>
      </c>
      <c r="AB75" s="161" cm="1">
        <f t="array" ref="AB75">IFERROR(LOOKUP(2,1/(Atualizações!$H$1:$H$1029=Mapa!$B16&amp;Mapa!BU$3),Atualizações!$E$1:$E$1029),"NÃO")</f>
        <v>0.32</v>
      </c>
      <c r="AC75" s="161" t="str" cm="1">
        <f t="array" ref="AC75">IFERROR(LOOKUP(2,1/(Atualizações!$H$1:$H$1029=Mapa!$B16&amp;Mapa!BV$3),Atualizações!$E$1:$E$1029),"NÃO")</f>
        <v>NÃO</v>
      </c>
      <c r="AD75" s="161" t="str" cm="1">
        <f t="array" ref="AD75">IFERROR(LOOKUP(2,1/(Atualizações!$H$1:$H$1029=Mapa!$B16&amp;Mapa!BW$3),Atualizações!$E$1:$E$1029),"NÃO")</f>
        <v>NÃO</v>
      </c>
      <c r="AE75" s="161" t="str" cm="1">
        <f t="array" ref="AE75">IFERROR(LOOKUP(2,1/(Atualizações!$H$1:$H$1029=Mapa!$B16&amp;Mapa!BX$3),Atualizações!$E$1:$E$1029),"NÃO")</f>
        <v>NÃO</v>
      </c>
      <c r="AF75" s="161" t="str" cm="1">
        <f t="array" ref="AF75">IFERROR(LOOKUP(2,1/(Atualizações!$H$1:$H$1029=Mapa!$B16&amp;Mapa!BY$3),Atualizações!$E$1:$E$1029),"NÃO")</f>
        <v>NÃO</v>
      </c>
      <c r="AG75" s="161" t="str" cm="1">
        <f t="array" ref="AG75">IFERROR(LOOKUP(2,1/(Atualizações!$H$1:$H$1029=Mapa!$B16&amp;Mapa!BZ$3),Atualizações!$E$1:$E$1029),"NÃO")</f>
        <v>NÃO</v>
      </c>
      <c r="AH75" s="161" t="str" cm="1">
        <f t="array" ref="AH75">IFERROR(LOOKUP(2,1/(Atualizações!$H$1:$H$1029=Mapa!$B16&amp;Mapa!CA$3),Atualizações!$E$1:$E$1029),"NÃO")</f>
        <v>NÃO</v>
      </c>
      <c r="AI75" s="161" t="str" cm="1">
        <f t="array" ref="AI75">IFERROR(LOOKUP(2,1/(Atualizações!$H$1:$H$1029=Mapa!$B16&amp;Mapa!CB$3),Atualizações!$E$1:$E$1029),"NÃO")</f>
        <v>NÃO</v>
      </c>
      <c r="AJ75" s="161" t="str" cm="1">
        <f t="array" ref="AJ75">IFERROR(LOOKUP(2,1/(Atualizações!$H$1:$H$1029=Mapa!$B16&amp;Mapa!CC$3),Atualizações!$E$1:$E$1029),"NÃO")</f>
        <v>NÃO</v>
      </c>
      <c r="AK75" s="161" t="str" cm="1">
        <f t="array" ref="AK75">IFERROR(LOOKUP(2,1/(Atualizações!$H$1:$H$1029=Mapa!$B16&amp;Mapa!CD$3),Atualizações!$E$1:$E$1029),"NÃO")</f>
        <v>NÃO</v>
      </c>
      <c r="AL75" s="161" t="str" cm="1">
        <f t="array" ref="AL75">IFERROR(LOOKUP(2,1/(Atualizações!$H$1:$H$1265=Mapa!$B16&amp;Mapa!CE$3),Atualizações!$E$1:$E$2994),"NÃO")</f>
        <v>NÃO</v>
      </c>
      <c r="AM75" s="161" t="str" cm="1">
        <f t="array" ref="AM75">IFERROR(LOOKUP(2,1/(Atualizações!$H$1:$H$2994=Tb_Mapa[[#This Row],[SEI]]&amp;Mapa!CF$3),Atualizações!$E$1:$E$2994),"NÃO")</f>
        <v>NÃO</v>
      </c>
      <c r="AN75" s="161" t="str" cm="1">
        <f t="array" ref="AN75">IFERROR(LOOKUP(2,1/(Atualizações!$H$1:$H$2994=Tb_Mapa[[#This Row],[SEI]]&amp;Mapa!CG$3),Atualizações!$E$1:$E$2994),"NÃO")</f>
        <v>NÃO</v>
      </c>
      <c r="AO75" s="161" t="str" cm="1">
        <f t="array" ref="AO75">IFERROR(LOOKUP(2,1/(Atualizações!$H$1:$H$2994=Tb_Mapa[[#This Row],[SEI]]&amp;Mapa!CH$3),Atualizações!$E$1:$E$2994),"NÃO")</f>
        <v>NÃO</v>
      </c>
      <c r="AP75" s="161" t="str" cm="1">
        <f t="array" ref="AP75">IFERROR(LOOKUP(2,1/(Atualizações!$H$1:$H$2994=Tb_Mapa[[#This Row],[SEI]]&amp;Mapa!CI$3),Atualizações!$E$1:$E$2994),"NÃO")</f>
        <v>NÃO</v>
      </c>
      <c r="AQ75" s="161" t="str" cm="1">
        <f t="array" ref="AQ75">IFERROR(LOOKUP(2,1/(Atualizações!$H$1:$H$2994=Tb_Mapa[[#This Row],[SEI]]&amp;Mapa!CJ$3),Atualizações!$E$1:$E$2994),"NÃO")</f>
        <v>NÃO</v>
      </c>
      <c r="AR75" s="161" t="str" cm="1">
        <f t="array" ref="AR75">IFERROR(LOOKUP(2,1/(Atualizações!$H$1:$H$2994=Tb_Mapa[[#This Row],[SEI]]&amp;Mapa!CK$3),Atualizações!$E$1:$E$2994),"NÃO")</f>
        <v>NÃO</v>
      </c>
      <c r="AS75" s="161" t="str" cm="1">
        <f t="array" ref="AS75">IFERROR(LOOKUP(2,1/(Atualizações!$H$1:$H$2994=Tb_Mapa[[#This Row],[SEI]]&amp;Mapa!CL$3),Atualizações!$E$1:$E$2994),"NÃO")</f>
        <v>NÃO</v>
      </c>
      <c r="AT75" s="161" t="str" cm="1">
        <f t="array" ref="AT75">IFERROR(LOOKUP(2,1/(Atualizações!$H$1:$H$2994=Tb_Mapa[[#This Row],[SEI]]&amp;Mapa!CM$3),Atualizações!$E$1:$E$2994),"NÃO")</f>
        <v>NÃO</v>
      </c>
      <c r="AU75" s="161" t="str" cm="1">
        <f t="array" ref="AU75">IFERROR(LOOKUP(2,1/(Atualizações!$H$1:$H$2994=Tb_Mapa[[#This Row],[SEI]]&amp;Mapa!CN$3),Atualizações!$E$1:$E$2994),"NÃO")</f>
        <v>NÃO</v>
      </c>
      <c r="AV75" s="161" t="str" cm="1">
        <f t="array" ref="AV75">IFERROR(LOOKUP(2,1/(Atualizações!$H$1:$H$2994=Tb_Mapa[[#This Row],[SEI]]&amp;Mapa!CO$3),Atualizações!$E$1:$E$2994),"NÃO")</f>
        <v>NÃO</v>
      </c>
      <c r="AW75" s="161" t="str" cm="1">
        <f t="array" ref="AW75">IFERROR(LOOKUP(2,1/(Atualizações!$H$1:$H$2994=Tb_Mapa[[#This Row],[SEI]]&amp;Mapa!CP$3),Atualizações!$E$1:$E$2994),"NÃO")</f>
        <v>NÃO</v>
      </c>
      <c r="AX75" s="161" t="str" cm="1">
        <f t="array" ref="AX75">IFERROR(LOOKUP(2,1/(Atualizações!$H$1:$H$2994=Tb_Mapa[[#This Row],[SEI]]&amp;Mapa!CQ$3),Atualizações!$E$1:$E$2994),"NÃO")</f>
        <v>NÃO</v>
      </c>
    </row>
    <row r="76" spans="2:50" ht="32.25" hidden="1" customHeight="1">
      <c r="B76" s="308" t="s">
        <v>436</v>
      </c>
      <c r="C76" s="678" t="str">
        <f>_xlfn.XLOOKUP(Tb_Mapa[[#This Row],[SEI]],Tb_Portfólio[SEI],Tb_Portfólio[Portfólio 2025],"",0)</f>
        <v>Não</v>
      </c>
      <c r="D76" s="158" t="str">
        <f>_xlfn.XLOOKUP(Tb_Mapa[[#This Row],[SEI]],Tb_Portfólio[SEI],Tb_Portfólio[Portfólio 2026],"",0)</f>
        <v>Não</v>
      </c>
      <c r="E76" s="162" t="str">
        <f>_xlfn.XLOOKUP(Tb_Mapa[[#This Row],[SEI]],Tb_Portfólio[SEI],Tb_Portfólio[PROJETO],"",0)</f>
        <v>Sensibilização e Formação em Integridade e Compliance no Poder Judiciário</v>
      </c>
      <c r="F76" s="694" t="str">
        <f>INDEX(Projetos!$G$3:$G$129,MATCH(B76,Projetos!$A$3:$A$129,0))</f>
        <v>Claudia Lopes Correa</v>
      </c>
      <c r="G76" s="160" t="s">
        <v>1720</v>
      </c>
      <c r="H76" s="166" t="str">
        <f>INDEX(Projetos!$T$3:$T$129,MATCH(B76,Projetos!$A$3:$A$129,0))</f>
        <v>Justiça 4.0</v>
      </c>
      <c r="I76" s="310">
        <f>INDEX(Projetos!$M$3:$M$129,MATCH(Mapa!B23,Projetos!$A$3:$A$129,0))</f>
        <v>45657</v>
      </c>
      <c r="J76" s="164" t="str">
        <f>IF(Tb_Mapa[[#This Row],[SITUAÇÃO]]="Finalizado", "Data atualizada", IFERROR(IF(I76&lt;$CN$3,"Atualizar data de encerramento","Data atualizada"),"Sem informação"))</f>
        <v>Data atualizada</v>
      </c>
      <c r="K76" s="311">
        <f>INDEX(Projetos!$N$3:$N$129,MATCH(Tb_Mapa[[#This Row],[SEI]],Projetos!$A$3:$A$129,0))</f>
        <v>0.5</v>
      </c>
      <c r="L76" s="311">
        <f>INDEX(Projetos!$O$3:$O$129,MATCH(Tb_Mapa[[#This Row],[SEI]],Projetos!$A$3:$A$129,0))</f>
        <v>1</v>
      </c>
      <c r="M76" s="165" t="str">
        <f>_xlfn.XLOOKUP(Tb_Mapa[[#This Row],[SEI]],Tb_Portfólio[SEI],Tb_Portfólio[Situação],"N/A",0)</f>
        <v>Finalizado</v>
      </c>
      <c r="N76" s="128" t="str" cm="1">
        <f t="array" ref="N76">IFERROR(LOOKUP(2,1/(Atualizações!$H$1:$H$486=Mapa!$B23&amp;Mapa!BG$3),Atualizações!$E$1:$E$486),"NÃO")</f>
        <v>NÃO</v>
      </c>
      <c r="O76" s="205" t="str" cm="1">
        <f t="array" ref="O76">IFERROR(LOOKUP(2,1/(Atualizações!$H$1:$H$580=Mapa!$B23&amp;Mapa!BH$3),Atualizações!$E$1:$E$580),"NÃO")</f>
        <v>NÃO</v>
      </c>
      <c r="P76" s="205" t="str" cm="1">
        <f t="array" ref="P76">IFERROR(LOOKUP(2,1/(Atualizações!$H$1:$H$580=Mapa!$B23&amp;Mapa!BI$3),Atualizações!$E$1:$E$580),"NÃO")</f>
        <v>NÃO</v>
      </c>
      <c r="Q76" s="205" t="str" cm="1">
        <f t="array" ref="Q76">IFERROR(LOOKUP(2,1/(Atualizações!$H$1:$H$580=Mapa!$B23&amp;Mapa!BJ$3),Atualizações!$E$1:$E$580),"NÃO")</f>
        <v>NÃO</v>
      </c>
      <c r="R76" s="205" t="str" cm="1">
        <f t="array" ref="R76">IFERROR(LOOKUP(2,1/(Atualizações!$H$1:$H$580=Mapa!$B23&amp;Mapa!BK$3),Atualizações!$E$1:$E$580),"NÃO")</f>
        <v>NÃO</v>
      </c>
      <c r="S76" s="205" t="str" cm="1">
        <f t="array" ref="S76">IFERROR(LOOKUP(2,1/(Atualizações!$H$1:$H$580=Mapa!$B23&amp;Mapa!BL$3),Atualizações!$E$1:$E$580),"NÃO")</f>
        <v>NÃO</v>
      </c>
      <c r="T76" s="205" t="str" cm="1">
        <f t="array" ref="T76">IFERROR(LOOKUP(2,1/(Atualizações!$H$1:$H$580=Mapa!$B23&amp;Mapa!BM$3),Atualizações!$E$1:$E$580),"NÃO")</f>
        <v>NÃO</v>
      </c>
      <c r="U76" s="205" t="str" cm="1">
        <f t="array" ref="U76">IFERROR(LOOKUP(2,1/(Atualizações!$H$1:$H$580=Mapa!$B23&amp;Mapa!BN$3),Atualizações!$E$1:$E$580),"NÃO")</f>
        <v>NÃO</v>
      </c>
      <c r="V76" s="205" t="str" cm="1">
        <f t="array" ref="V76">IFERROR(LOOKUP(2,1/(Atualizações!$H$1:$H$580=Mapa!$B23&amp;Mapa!BO$3),Atualizações!$E$1:$E$580),"NÃO")</f>
        <v>NÃO</v>
      </c>
      <c r="W76" s="205" t="str" cm="1">
        <f t="array" ref="W76">IFERROR(LOOKUP(2,1/(Atualizações!$H$1:$H$580=Mapa!$B23&amp;Mapa!BP$3),Atualizações!$E$1:$E$580),"NÃO")</f>
        <v>NÃO</v>
      </c>
      <c r="X76" s="205" t="str" cm="1">
        <f t="array" ref="X76">IFERROR(LOOKUP(2,1/(Atualizações!$H$1:$H$580=Mapa!$B23&amp;Mapa!BQ$3),Atualizações!$E$1:$E$580),"NÃO")</f>
        <v>NÃO</v>
      </c>
      <c r="Y76" s="205" t="str" cm="1">
        <f t="array" ref="Y76">IFERROR(LOOKUP(2,1/(Atualizações!$H$1:$H$580=Mapa!$B23&amp;Mapa!BR$3),Atualizações!$E$1:$E$580),"NÃO")</f>
        <v>NÃO</v>
      </c>
      <c r="Z76" s="161" cm="1">
        <f t="array" ref="Z76">IFERROR(LOOKUP(2,1/(Atualizações!$H$1:$H$1029=Mapa!$B23&amp;Mapa!BS$3),Atualizações!$E$1:$E$1029),"NÃO")</f>
        <v>1</v>
      </c>
      <c r="AA76" s="161" t="str" cm="1">
        <f t="array" ref="AA76">IFERROR(LOOKUP(2,1/(Atualizações!$H$1:$H$1029=Mapa!$B23&amp;Mapa!BT$3),Atualizações!$E$1:$E$1029),"NÃO")</f>
        <v>NÃO</v>
      </c>
      <c r="AB76" s="161" t="str" cm="1">
        <f t="array" ref="AB76">IFERROR(LOOKUP(2,1/(Atualizações!$H$1:$H$1029=Mapa!$B23&amp;Mapa!BU$3),Atualizações!$E$1:$E$1029),"NÃO")</f>
        <v>NÃO</v>
      </c>
      <c r="AC76" s="161" t="str" cm="1">
        <f t="array" ref="AC76">IFERROR(LOOKUP(2,1/(Atualizações!$H$1:$H$1029=Mapa!$B23&amp;Mapa!BV$3),Atualizações!$E$1:$E$1029),"NÃO")</f>
        <v>NÃO</v>
      </c>
      <c r="AD76" s="161" t="str" cm="1">
        <f t="array" ref="AD76">IFERROR(LOOKUP(2,1/(Atualizações!$H$1:$H$1029=Mapa!$B23&amp;Mapa!BW$3),Atualizações!$E$1:$E$1029),"NÃO")</f>
        <v>NÃO</v>
      </c>
      <c r="AE76" s="161" t="str" cm="1">
        <f t="array" ref="AE76">IFERROR(LOOKUP(2,1/(Atualizações!$H$1:$H$1029=Mapa!$B23&amp;Mapa!BX$3),Atualizações!$E$1:$E$1029),"NÃO")</f>
        <v>NÃO</v>
      </c>
      <c r="AF76" s="161" t="str" cm="1">
        <f t="array" ref="AF76">IFERROR(LOOKUP(2,1/(Atualizações!$H$1:$H$1029=Mapa!$B23&amp;Mapa!BY$3),Atualizações!$E$1:$E$1029),"NÃO")</f>
        <v>NÃO</v>
      </c>
      <c r="AG76" s="161" t="str" cm="1">
        <f t="array" ref="AG76">IFERROR(LOOKUP(2,1/(Atualizações!$H$1:$H$1029=Mapa!$B23&amp;Mapa!BZ$3),Atualizações!$E$1:$E$1029),"NÃO")</f>
        <v>NÃO</v>
      </c>
      <c r="AH76" s="161" t="str" cm="1">
        <f t="array" ref="AH76">IFERROR(LOOKUP(2,1/(Atualizações!$H$1:$H$1029=Mapa!$B23&amp;Mapa!CA$3),Atualizações!$E$1:$E$1029),"NÃO")</f>
        <v>NÃO</v>
      </c>
      <c r="AI76" s="161" t="str" cm="1">
        <f t="array" ref="AI76">IFERROR(LOOKUP(2,1/(Atualizações!$H$1:$H$1029=Mapa!$B23&amp;Mapa!CB$3),Atualizações!$E$1:$E$1029),"NÃO")</f>
        <v>NÃO</v>
      </c>
      <c r="AJ76" s="161" t="str" cm="1">
        <f t="array" ref="AJ76">IFERROR(LOOKUP(2,1/(Atualizações!$H$1:$H$1029=Mapa!$B23&amp;Mapa!CC$3),Atualizações!$E$1:$E$1029),"NÃO")</f>
        <v>NÃO</v>
      </c>
      <c r="AK76" s="161" t="str" cm="1">
        <f t="array" ref="AK76">IFERROR(LOOKUP(2,1/(Atualizações!$H$1:$H$1029=Mapa!$B23&amp;Mapa!CD$3),Atualizações!$E$1:$E$1029),"NÃO")</f>
        <v>NÃO</v>
      </c>
      <c r="AL76" s="161" t="str" cm="1">
        <f t="array" ref="AL76">IFERROR(LOOKUP(2,1/(Atualizações!$H$1:$H$1265=Mapa!$B23&amp;Mapa!CE$3),Atualizações!$E$1:$E$2994),"NÃO")</f>
        <v>NÃO</v>
      </c>
      <c r="AM76" s="161" t="str" cm="1">
        <f t="array" ref="AM76">IFERROR(LOOKUP(2,1/(Atualizações!$H$1:$H$2994=Tb_Mapa[[#This Row],[SEI]]&amp;Mapa!CF$3),Atualizações!$E$1:$E$2994),"NÃO")</f>
        <v>NÃO</v>
      </c>
      <c r="AN76" s="161" t="str" cm="1">
        <f t="array" ref="AN76">IFERROR(LOOKUP(2,1/(Atualizações!$H$1:$H$2994=Tb_Mapa[[#This Row],[SEI]]&amp;Mapa!CG$3),Atualizações!$E$1:$E$2994),"NÃO")</f>
        <v>NÃO</v>
      </c>
      <c r="AO76" s="161" t="str" cm="1">
        <f t="array" ref="AO76">IFERROR(LOOKUP(2,1/(Atualizações!$H$1:$H$2994=Tb_Mapa[[#This Row],[SEI]]&amp;Mapa!CH$3),Atualizações!$E$1:$E$2994),"NÃO")</f>
        <v>NÃO</v>
      </c>
      <c r="AP76" s="161" t="str" cm="1">
        <f t="array" ref="AP76">IFERROR(LOOKUP(2,1/(Atualizações!$H$1:$H$2994=Tb_Mapa[[#This Row],[SEI]]&amp;Mapa!CI$3),Atualizações!$E$1:$E$2994),"NÃO")</f>
        <v>NÃO</v>
      </c>
      <c r="AQ76" s="161" t="str" cm="1">
        <f t="array" ref="AQ76">IFERROR(LOOKUP(2,1/(Atualizações!$H$1:$H$2994=Tb_Mapa[[#This Row],[SEI]]&amp;Mapa!CJ$3),Atualizações!$E$1:$E$2994),"NÃO")</f>
        <v>NÃO</v>
      </c>
      <c r="AR76" s="161" t="str" cm="1">
        <f t="array" ref="AR76">IFERROR(LOOKUP(2,1/(Atualizações!$H$1:$H$2994=Tb_Mapa[[#This Row],[SEI]]&amp;Mapa!CK$3),Atualizações!$E$1:$E$2994),"NÃO")</f>
        <v>NÃO</v>
      </c>
      <c r="AS76" s="161" t="str" cm="1">
        <f t="array" ref="AS76">IFERROR(LOOKUP(2,1/(Atualizações!$H$1:$H$2994=Tb_Mapa[[#This Row],[SEI]]&amp;Mapa!CL$3),Atualizações!$E$1:$E$2994),"NÃO")</f>
        <v>NÃO</v>
      </c>
      <c r="AT76" s="161" t="str" cm="1">
        <f t="array" ref="AT76">IFERROR(LOOKUP(2,1/(Atualizações!$H$1:$H$2994=Tb_Mapa[[#This Row],[SEI]]&amp;Mapa!CM$3),Atualizações!$E$1:$E$2994),"NÃO")</f>
        <v>NÃO</v>
      </c>
      <c r="AU76" s="161" t="str" cm="1">
        <f t="array" ref="AU76">IFERROR(LOOKUP(2,1/(Atualizações!$H$1:$H$2994=Tb_Mapa[[#This Row],[SEI]]&amp;Mapa!CN$3),Atualizações!$E$1:$E$2994),"NÃO")</f>
        <v>NÃO</v>
      </c>
      <c r="AV76" s="161" t="str" cm="1">
        <f t="array" ref="AV76">IFERROR(LOOKUP(2,1/(Atualizações!$H$1:$H$2994=Tb_Mapa[[#This Row],[SEI]]&amp;Mapa!CO$3),Atualizações!$E$1:$E$2994),"NÃO")</f>
        <v>NÃO</v>
      </c>
      <c r="AW76" s="161" t="str" cm="1">
        <f t="array" ref="AW76">IFERROR(LOOKUP(2,1/(Atualizações!$H$1:$H$2994=Tb_Mapa[[#This Row],[SEI]]&amp;Mapa!CP$3),Atualizações!$E$1:$E$2994),"NÃO")</f>
        <v>NÃO</v>
      </c>
      <c r="AX76" s="161" t="str" cm="1">
        <f t="array" ref="AX76">IFERROR(LOOKUP(2,1/(Atualizações!$H$1:$H$2994=Tb_Mapa[[#This Row],[SEI]]&amp;Mapa!CQ$3),Atualizações!$E$1:$E$2994),"NÃO")</f>
        <v>NÃO</v>
      </c>
    </row>
    <row r="77" spans="2:50" ht="32.25" hidden="1" customHeight="1">
      <c r="B77" s="308" t="s">
        <v>425</v>
      </c>
      <c r="C77" s="678" t="str">
        <f>_xlfn.XLOOKUP(Tb_Mapa[[#This Row],[SEI]],Tb_Portfólio[SEI],Tb_Portfólio[Portfólio 2025],"",0)</f>
        <v>Não</v>
      </c>
      <c r="D77" s="158" t="str">
        <f>_xlfn.XLOOKUP(Tb_Mapa[[#This Row],[SEI]],Tb_Portfólio[SEI],Tb_Portfólio[Portfólio 2026],"",0)</f>
        <v>Não</v>
      </c>
      <c r="E77" s="162" t="str">
        <f>_xlfn.XLOOKUP(Tb_Mapa[[#This Row],[SEI]],Tb_Portfólio[SEI],Tb_Portfólio[PROJETO],"",0)</f>
        <v>Diagnóstico sobre a otimização dos processos de trabalho no Poder Judiciário em face da implementação das Políticas Tecnológicas do Programa Justiça 4.0.</v>
      </c>
      <c r="F77" s="694" t="str">
        <f>INDEX(Projetos!$G$3:$G$129,MATCH(B77,Projetos!$A$3:$A$129,0))</f>
        <v>Gustavo Martins Pereira</v>
      </c>
      <c r="G77" s="163" t="s">
        <v>1718</v>
      </c>
      <c r="H77" s="143" t="str">
        <f>INDEX(Projetos!$T$3:$T$129,MATCH(B77,Projetos!$A$3:$A$129,0))</f>
        <v>Justiça 4.0</v>
      </c>
      <c r="I77" s="310">
        <f>INDEX(Projetos!$M$3:$M$129,MATCH(Mapa!B11,Projetos!$A$3:$A$129,0))</f>
        <v>46037</v>
      </c>
      <c r="J77" s="164" t="str">
        <f>IF(Tb_Mapa[[#This Row],[SITUAÇÃO]]="Finalizado", "Data atualizada", IFERROR(IF(I77&lt;$CN$3,"Atualizar data de encerramento","Data atualizada"),"Sem informação"))</f>
        <v>Data atualizada</v>
      </c>
      <c r="K77" s="311">
        <f>INDEX(Projetos!$N$3:$N$129,MATCH(Tb_Mapa[[#This Row],[SEI]],Projetos!$A$3:$A$129,0))</f>
        <v>1</v>
      </c>
      <c r="L77" s="311">
        <f>INDEX(Projetos!$O$3:$O$129,MATCH(Tb_Mapa[[#This Row],[SEI]],Projetos!$A$3:$A$129,0))</f>
        <v>1</v>
      </c>
      <c r="M77" s="165" t="str">
        <f>_xlfn.XLOOKUP(Tb_Mapa[[#This Row],[SEI]],Tb_Portfólio[SEI],Tb_Portfólio[Situação],"N/A",0)</f>
        <v>Finalizado</v>
      </c>
      <c r="N77" s="128" t="str" cm="1">
        <f t="array" ref="N77">IFERROR(LOOKUP(2,1/(Atualizações!$H$1:$H$486=Mapa!$B11&amp;Mapa!BG$3),Atualizações!$E$1:$E$486),"NÃO")</f>
        <v>NÃO</v>
      </c>
      <c r="O77" s="205" t="str" cm="1">
        <f t="array" ref="O77">IFERROR(LOOKUP(2,1/(Atualizações!$H$1:$H$580=Mapa!$B11&amp;Mapa!BH$3),Atualizações!$E$1:$E$580),"NÃO")</f>
        <v>NÃO</v>
      </c>
      <c r="P77" s="205" t="str" cm="1">
        <f t="array" ref="P77">IFERROR(LOOKUP(2,1/(Atualizações!$H$1:$H$580=Mapa!$B11&amp;Mapa!BI$3),Atualizações!$E$1:$E$580),"NÃO")</f>
        <v>NÃO</v>
      </c>
      <c r="Q77" s="205" t="str" cm="1">
        <f t="array" ref="Q77">IFERROR(LOOKUP(2,1/(Atualizações!$H$1:$H$580=Mapa!$B11&amp;Mapa!BJ$3),Atualizações!$E$1:$E$580),"NÃO")</f>
        <v>NÃO</v>
      </c>
      <c r="R77" s="205" t="str" cm="1">
        <f t="array" ref="R77">IFERROR(LOOKUP(2,1/(Atualizações!$H$1:$H$580=Mapa!$B11&amp;Mapa!BK$3),Atualizações!$E$1:$E$580),"NÃO")</f>
        <v>NÃO</v>
      </c>
      <c r="S77" s="205" t="str" cm="1">
        <f t="array" ref="S77">IFERROR(LOOKUP(2,1/(Atualizações!$H$1:$H$580=Mapa!$B11&amp;Mapa!BL$3),Atualizações!$E$1:$E$580),"NÃO")</f>
        <v>NÃO</v>
      </c>
      <c r="T77" s="205" t="str" cm="1">
        <f t="array" ref="T77">IFERROR(LOOKUP(2,1/(Atualizações!$H$1:$H$580=Mapa!$B11&amp;Mapa!BM$3),Atualizações!$E$1:$E$580),"NÃO")</f>
        <v>NÃO</v>
      </c>
      <c r="U77" s="205" t="str" cm="1">
        <f t="array" ref="U77">IFERROR(LOOKUP(2,1/(Atualizações!$H$1:$H$580=Mapa!$B11&amp;Mapa!BN$3),Atualizações!$E$1:$E$580),"NÃO")</f>
        <v>NÃO</v>
      </c>
      <c r="V77" s="205" t="str" cm="1">
        <f t="array" ref="V77">IFERROR(LOOKUP(2,1/(Atualizações!$H$1:$H$580=Mapa!$B11&amp;Mapa!BO$3),Atualizações!$E$1:$E$580),"NÃO")</f>
        <v>NÃO</v>
      </c>
      <c r="W77" s="205" t="str" cm="1">
        <f t="array" ref="W77">IFERROR(LOOKUP(2,1/(Atualizações!$H$1:$H$580=Mapa!$B11&amp;Mapa!BP$3),Atualizações!$E$1:$E$580),"NÃO")</f>
        <v>NÃO</v>
      </c>
      <c r="X77" s="205" t="str" cm="1">
        <f t="array" ref="X77">IFERROR(LOOKUP(2,1/(Atualizações!$H$1:$H$580=Mapa!$B11&amp;Mapa!BQ$3),Atualizações!$E$1:$E$580),"NÃO")</f>
        <v>NÃO</v>
      </c>
      <c r="Y77" s="205" t="str" cm="1">
        <f t="array" ref="Y77">IFERROR(LOOKUP(2,1/(Atualizações!$H$1:$H$580=Mapa!$B11&amp;Mapa!BR$3),Atualizações!$E$1:$E$580),"NÃO")</f>
        <v>NÃO</v>
      </c>
      <c r="Z77" s="161" t="str" cm="1">
        <f t="array" ref="Z77">IFERROR(LOOKUP(2,1/(Atualizações!$H$1:$H$1029=Mapa!$B11&amp;Mapa!BS$3),Atualizações!$E$1:$E$1029),"NÃO")</f>
        <v>NÃO</v>
      </c>
      <c r="AA77" s="161" t="str" cm="1">
        <f t="array" ref="AA77">IFERROR(LOOKUP(2,1/(Atualizações!$H$1:$H$1029=Mapa!$B11&amp;Mapa!BT$3),Atualizações!$E$1:$E$1029),"NÃO")</f>
        <v>NÃO</v>
      </c>
      <c r="AB77" s="161" t="str" cm="1">
        <f t="array" ref="AB77">IFERROR(LOOKUP(2,1/(Atualizações!$H$1:$H$1029=Mapa!$B11&amp;Mapa!BU$3),Atualizações!$E$1:$E$1029),"NÃO")</f>
        <v>NÃO</v>
      </c>
      <c r="AC77" s="161" t="str" cm="1">
        <f t="array" ref="AC77">IFERROR(LOOKUP(2,1/(Atualizações!$H$1:$H$1029=Mapa!$B11&amp;Mapa!BV$3),Atualizações!$E$1:$E$1029),"NÃO")</f>
        <v>NÃO</v>
      </c>
      <c r="AD77" s="161" t="str" cm="1">
        <f t="array" ref="AD77">IFERROR(LOOKUP(2,1/(Atualizações!$H$1:$H$1029=Mapa!$B11&amp;Mapa!BW$3),Atualizações!$E$1:$E$1029),"NÃO")</f>
        <v>NÃO</v>
      </c>
      <c r="AE77" s="161" t="str" cm="1">
        <f t="array" ref="AE77">IFERROR(LOOKUP(2,1/(Atualizações!$H$1:$H$1029=Mapa!$B11&amp;Mapa!BX$3),Atualizações!$E$1:$E$1029),"NÃO")</f>
        <v>NÃO</v>
      </c>
      <c r="AF77" s="161" t="str" cm="1">
        <f t="array" ref="AF77">IFERROR(LOOKUP(2,1/(Atualizações!$H$1:$H$1029=Mapa!$B11&amp;Mapa!BY$3),Atualizações!$E$1:$E$1029),"NÃO")</f>
        <v>NÃO</v>
      </c>
      <c r="AG77" s="161" t="str" cm="1">
        <f t="array" ref="AG77">IFERROR(LOOKUP(2,1/(Atualizações!$H$1:$H$1029=Mapa!$B11&amp;Mapa!BZ$3),Atualizações!$E$1:$E$1029),"NÃO")</f>
        <v>NÃO</v>
      </c>
      <c r="AH77" s="161" t="str" cm="1">
        <f t="array" ref="AH77">IFERROR(LOOKUP(2,1/(Atualizações!$H$1:$H$1029=Mapa!$B11&amp;Mapa!CA$3),Atualizações!$E$1:$E$1029),"NÃO")</f>
        <v>NÃO</v>
      </c>
      <c r="AI77" s="161" t="str" cm="1">
        <f t="array" ref="AI77">IFERROR(LOOKUP(2,1/(Atualizações!$H$1:$H$1029=Mapa!$B11&amp;Mapa!CB$3),Atualizações!$E$1:$E$1029),"NÃO")</f>
        <v>NÃO</v>
      </c>
      <c r="AJ77" s="161" t="str" cm="1">
        <f t="array" ref="AJ77">IFERROR(LOOKUP(2,1/(Atualizações!$H$1:$H$1029=Mapa!$B11&amp;Mapa!CC$3),Atualizações!$E$1:$E$1029),"NÃO")</f>
        <v>NÃO</v>
      </c>
      <c r="AK77" s="161" cm="1">
        <f t="array" ref="AK77">IFERROR(LOOKUP(2,1/(Atualizações!$H$1:$H$1029=Mapa!$B11&amp;Mapa!CD$3),Atualizações!$E$1:$E$1029),"NÃO")</f>
        <v>0.78</v>
      </c>
      <c r="AL77" s="161" t="str" cm="1">
        <f t="array" ref="AL77">IFERROR(LOOKUP(2,1/(Atualizações!$H$1:$H$1265=Mapa!$B11&amp;Mapa!CE$3),Atualizações!$E$1:$E$2994),"NÃO")</f>
        <v>NÃO</v>
      </c>
      <c r="AM77" s="161" t="str" cm="1">
        <f t="array" ref="AM77">IFERROR(LOOKUP(2,1/(Atualizações!$H$1:$H$2994=Tb_Mapa[[#This Row],[SEI]]&amp;Mapa!CF$3),Atualizações!$E$1:$E$2994),"NÃO")</f>
        <v>NÃO</v>
      </c>
      <c r="AN77" s="161" t="str" cm="1">
        <f t="array" ref="AN77">IFERROR(LOOKUP(2,1/(Atualizações!$H$1:$H$2994=Tb_Mapa[[#This Row],[SEI]]&amp;Mapa!CG$3),Atualizações!$E$1:$E$2994),"NÃO")</f>
        <v>NÃO</v>
      </c>
      <c r="AO77" s="161" t="str" cm="1">
        <f t="array" ref="AO77">IFERROR(LOOKUP(2,1/(Atualizações!$H$1:$H$2994=Tb_Mapa[[#This Row],[SEI]]&amp;Mapa!CH$3),Atualizações!$E$1:$E$2994),"NÃO")</f>
        <v>NÃO</v>
      </c>
      <c r="AP77" s="161" t="str" cm="1">
        <f t="array" ref="AP77">IFERROR(LOOKUP(2,1/(Atualizações!$H$1:$H$2994=Tb_Mapa[[#This Row],[SEI]]&amp;Mapa!CI$3),Atualizações!$E$1:$E$2994),"NÃO")</f>
        <v>NÃO</v>
      </c>
      <c r="AQ77" s="161" t="str" cm="1">
        <f t="array" ref="AQ77">IFERROR(LOOKUP(2,1/(Atualizações!$H$1:$H$2994=Tb_Mapa[[#This Row],[SEI]]&amp;Mapa!CJ$3),Atualizações!$E$1:$E$2994),"NÃO")</f>
        <v>NÃO</v>
      </c>
      <c r="AR77" s="161" t="str" cm="1">
        <f t="array" ref="AR77">IFERROR(LOOKUP(2,1/(Atualizações!$H$1:$H$2994=Tb_Mapa[[#This Row],[SEI]]&amp;Mapa!CK$3),Atualizações!$E$1:$E$2994),"NÃO")</f>
        <v>NÃO</v>
      </c>
      <c r="AS77" s="161" t="str" cm="1">
        <f t="array" ref="AS77">IFERROR(LOOKUP(2,1/(Atualizações!$H$1:$H$2994=Tb_Mapa[[#This Row],[SEI]]&amp;Mapa!CL$3),Atualizações!$E$1:$E$2994),"NÃO")</f>
        <v>NÃO</v>
      </c>
      <c r="AT77" s="161" t="str" cm="1">
        <f t="array" ref="AT77">IFERROR(LOOKUP(2,1/(Atualizações!$H$1:$H$2994=Tb_Mapa[[#This Row],[SEI]]&amp;Mapa!CM$3),Atualizações!$E$1:$E$2994),"NÃO")</f>
        <v>NÃO</v>
      </c>
      <c r="AU77" s="161" t="str" cm="1">
        <f t="array" ref="AU77">IFERROR(LOOKUP(2,1/(Atualizações!$H$1:$H$2994=Tb_Mapa[[#This Row],[SEI]]&amp;Mapa!CN$3),Atualizações!$E$1:$E$2994),"NÃO")</f>
        <v>NÃO</v>
      </c>
      <c r="AV77" s="161" t="str" cm="1">
        <f t="array" ref="AV77">IFERROR(LOOKUP(2,1/(Atualizações!$H$1:$H$2994=Tb_Mapa[[#This Row],[SEI]]&amp;Mapa!CO$3),Atualizações!$E$1:$E$2994),"NÃO")</f>
        <v>NÃO</v>
      </c>
      <c r="AW77" s="161" t="str" cm="1">
        <f t="array" ref="AW77">IFERROR(LOOKUP(2,1/(Atualizações!$H$1:$H$2994=Tb_Mapa[[#This Row],[SEI]]&amp;Mapa!CP$3),Atualizações!$E$1:$E$2994),"NÃO")</f>
        <v>NÃO</v>
      </c>
      <c r="AX77" s="161" t="str" cm="1">
        <f t="array" ref="AX77">IFERROR(LOOKUP(2,1/(Atualizações!$H$1:$H$2994=Tb_Mapa[[#This Row],[SEI]]&amp;Mapa!CQ$3),Atualizações!$E$1:$E$2994),"NÃO")</f>
        <v>NÃO</v>
      </c>
    </row>
    <row r="78" spans="2:50" ht="32.25" hidden="1" customHeight="1">
      <c r="B78" s="74" t="s">
        <v>384</v>
      </c>
      <c r="C78" s="678" t="str">
        <f>_xlfn.XLOOKUP(Tb_Mapa[[#This Row],[SEI]],Tb_Portfólio[SEI],Tb_Portfólio[Portfólio 2025],"",0)</f>
        <v>Sim</v>
      </c>
      <c r="D78" s="158" t="str">
        <f>_xlfn.XLOOKUP(Tb_Mapa[[#This Row],[SEI]],Tb_Portfólio[SEI],Tb_Portfólio[Portfólio 2026],"",0)</f>
        <v>Sim</v>
      </c>
      <c r="E78" s="162" t="str">
        <f>_xlfn.XLOOKUP(Tb_Mapa[[#This Row],[SEI]],Tb_Portfólio[SEI],Tb_Portfólio[PROJETO],"",0)</f>
        <v>Integra - Serviço de Monitoramento de Atos do CNJ</v>
      </c>
      <c r="F78" s="143" t="str">
        <f>INDEX(Projetos!$G$3:$G$129,MATCH(Tb_Mapa[[#This Row],[SEI]],Projetos!$A$3:$A$129,0))</f>
        <v>Sandra de Oliveira Carvalho</v>
      </c>
      <c r="G78" s="160" t="s">
        <v>1710</v>
      </c>
      <c r="H78" s="166">
        <f>INDEX(Projetos!$T$3:$T$129,MATCH(B78,Projetos!$A$3:$A$129,0))</f>
        <v>0</v>
      </c>
      <c r="I78" s="310">
        <f>INDEX(Projetos!$M$3:$M$129,MATCH(Mapa!B82,Projetos!$A$3:$A$129,0))</f>
        <v>46387</v>
      </c>
      <c r="J78" s="164" t="str">
        <f ca="1">IF(Tb_Mapa[[#This Row],[SITUAÇÃO]]="Finalizado", "Data atualizada", IFERROR(IF(Tb_Mapa[[#This Row],[DATA DE TÉRMINO]]&lt;$I$1,"Atualizar data de encerramento","Data atualizada"),"Sem informação"))</f>
        <v>Data atualizada</v>
      </c>
      <c r="K78" s="311">
        <f>INDEX(Projetos!$N$3:$N$129,MATCH(Tb_Mapa[[#This Row],[SEI]],Projetos!$A$3:$A$129,0))</f>
        <v>0.84</v>
      </c>
      <c r="L78" s="311">
        <f>INDEX(Projetos!$O$3:$O$129,MATCH(Tb_Mapa[[#This Row],[SEI]],Projetos!$A$3:$A$129,0))</f>
        <v>0.82</v>
      </c>
      <c r="M78" s="165" t="str">
        <f ca="1">_xlfn.XLOOKUP(Tb_Mapa[[#This Row],[SEI]],Tb_Portfólio[SEI],Tb_Portfólio[Situação],"N/A",0)</f>
        <v>No prazo</v>
      </c>
      <c r="N78" s="128" t="str" cm="1">
        <f t="array" ref="N78">IFERROR(LOOKUP(2,1/(Atualizações!$H$1:$H$486=Mapa!$B33&amp;Mapa!BG$3),Atualizações!$E$1:$E$486),"NÃO")</f>
        <v>NÃO</v>
      </c>
      <c r="O78" s="205" t="str" cm="1">
        <f t="array" ref="O78">IFERROR(LOOKUP(2,1/(Atualizações!$H$1:$H$580=Mapa!$B33&amp;Mapa!BH$3),Atualizações!$E$1:$E$580),"NÃO")</f>
        <v>NÃO</v>
      </c>
      <c r="P78" s="205" t="str" cm="1">
        <f t="array" ref="P78">IFERROR(LOOKUP(2,1/(Atualizações!$H$1:$H$580=Mapa!$B33&amp;Mapa!BI$3),Atualizações!$E$1:$E$580),"NÃO")</f>
        <v>NÃO</v>
      </c>
      <c r="Q78" s="205" t="str" cm="1">
        <f t="array" ref="Q78">IFERROR(LOOKUP(2,1/(Atualizações!$H$1:$H$580=Mapa!$B33&amp;Mapa!BJ$3),Atualizações!$E$1:$E$580),"NÃO")</f>
        <v>NÃO</v>
      </c>
      <c r="R78" s="205" t="str" cm="1">
        <f t="array" ref="R78">IFERROR(LOOKUP(2,1/(Atualizações!$H$1:$H$580=Mapa!$B33&amp;Mapa!BK$3),Atualizações!$E$1:$E$580),"NÃO")</f>
        <v>NÃO</v>
      </c>
      <c r="S78" s="205" t="str" cm="1">
        <f t="array" ref="S78">IFERROR(LOOKUP(2,1/(Atualizações!$H$1:$H$580=Mapa!$B33&amp;Mapa!BL$3),Atualizações!$E$1:$E$580),"NÃO")</f>
        <v>NÃO</v>
      </c>
      <c r="T78" s="205" t="str" cm="1">
        <f t="array" ref="T78">IFERROR(LOOKUP(2,1/(Atualizações!$H$1:$H$580=Mapa!$B33&amp;Mapa!BM$3),Atualizações!$E$1:$E$580),"NÃO")</f>
        <v>NÃO</v>
      </c>
      <c r="U78" s="205" t="str" cm="1">
        <f t="array" ref="U78">IFERROR(LOOKUP(2,1/(Atualizações!$H$1:$H$580=Mapa!$B33&amp;Mapa!BN$3),Atualizações!$E$1:$E$580),"NÃO")</f>
        <v>NÃO</v>
      </c>
      <c r="V78" s="205" t="str" cm="1">
        <f t="array" ref="V78">IFERROR(LOOKUP(2,1/(Atualizações!$H$1:$H$580=Mapa!$B33&amp;Mapa!BO$3),Atualizações!$E$1:$E$580),"NÃO")</f>
        <v>NÃO</v>
      </c>
      <c r="W78" s="205" t="str" cm="1">
        <f t="array" ref="W78">IFERROR(LOOKUP(2,1/(Atualizações!$H$1:$H$580=Mapa!$B33&amp;Mapa!BP$3),Atualizações!$E$1:$E$580),"NÃO")</f>
        <v>NÃO</v>
      </c>
      <c r="X78" s="205" t="str" cm="1">
        <f t="array" ref="X78">IFERROR(LOOKUP(2,1/(Atualizações!$H$1:$H$580=Mapa!$B33&amp;Mapa!BQ$3),Atualizações!$E$1:$E$580),"NÃO")</f>
        <v>NÃO</v>
      </c>
      <c r="Y78" s="205" t="str" cm="1">
        <f t="array" ref="Y78">IFERROR(LOOKUP(2,1/(Atualizações!$H$1:$H$580=Mapa!$B33&amp;Mapa!BR$3),Atualizações!$E$1:$E$580),"NÃO")</f>
        <v>NÃO</v>
      </c>
      <c r="Z78" s="161" cm="1">
        <f t="array" ref="Z78">IFERROR(LOOKUP(2,1/(Atualizações!$H$1:$H$1029=Mapa!$B33&amp;Mapa!BS$3),Atualizações!$E$1:$E$1029),"NÃO")</f>
        <v>1</v>
      </c>
      <c r="AA78" s="161" t="str" cm="1">
        <f t="array" ref="AA78">IFERROR(LOOKUP(2,1/(Atualizações!$H$1:$H$1029=Mapa!$B33&amp;Mapa!BT$3),Atualizações!$E$1:$E$1029),"NÃO")</f>
        <v>NÃO</v>
      </c>
      <c r="AB78" s="161" t="str" cm="1">
        <f t="array" ref="AB78">IFERROR(LOOKUP(2,1/(Atualizações!$H$1:$H$1029=Mapa!$B33&amp;Mapa!BU$3),Atualizações!$E$1:$E$1029),"NÃO")</f>
        <v>NÃO</v>
      </c>
      <c r="AC78" s="161" t="str" cm="1">
        <f t="array" ref="AC78">IFERROR(LOOKUP(2,1/(Atualizações!$H$1:$H$1029=Mapa!$B33&amp;Mapa!BV$3),Atualizações!$E$1:$E$1029),"NÃO")</f>
        <v>NÃO</v>
      </c>
      <c r="AD78" s="161" t="str" cm="1">
        <f t="array" ref="AD78">IFERROR(LOOKUP(2,1/(Atualizações!$H$1:$H$1029=Mapa!$B33&amp;Mapa!BW$3),Atualizações!$E$1:$E$1029),"NÃO")</f>
        <v>NÃO</v>
      </c>
      <c r="AE78" s="161" t="str" cm="1">
        <f t="array" ref="AE78">IFERROR(LOOKUP(2,1/(Atualizações!$H$1:$H$1029=Mapa!$B33&amp;Mapa!BX$3),Atualizações!$E$1:$E$1029),"NÃO")</f>
        <v>NÃO</v>
      </c>
      <c r="AF78" s="161" t="str" cm="1">
        <f t="array" ref="AF78">IFERROR(LOOKUP(2,1/(Atualizações!$H$1:$H$1029=Mapa!$B33&amp;Mapa!BY$3),Atualizações!$E$1:$E$1029),"NÃO")</f>
        <v>NÃO</v>
      </c>
      <c r="AG78" s="161" t="str" cm="1">
        <f t="array" ref="AG78">IFERROR(LOOKUP(2,1/(Atualizações!$H$1:$H$1029=Mapa!$B33&amp;Mapa!BZ$3),Atualizações!$E$1:$E$1029),"NÃO")</f>
        <v>NÃO</v>
      </c>
      <c r="AH78" s="161" t="str" cm="1">
        <f t="array" ref="AH78">IFERROR(LOOKUP(2,1/(Atualizações!$H$1:$H$1029=Mapa!$B33&amp;Mapa!CA$3),Atualizações!$E$1:$E$1029),"NÃO")</f>
        <v>NÃO</v>
      </c>
      <c r="AI78" s="161" t="str" cm="1">
        <f t="array" ref="AI78">IFERROR(LOOKUP(2,1/(Atualizações!$H$1:$H$1029=Mapa!$B33&amp;Mapa!CB$3),Atualizações!$E$1:$E$1029),"NÃO")</f>
        <v>NÃO</v>
      </c>
      <c r="AJ78" s="161" t="str" cm="1">
        <f t="array" ref="AJ78">IFERROR(LOOKUP(2,1/(Atualizações!$H$1:$H$1029=Mapa!$B33&amp;Mapa!CC$3),Atualizações!$E$1:$E$1029),"NÃO")</f>
        <v>NÃO</v>
      </c>
      <c r="AK78" s="161" t="str" cm="1">
        <f t="array" ref="AK78">IFERROR(LOOKUP(2,1/(Atualizações!$H$1:$H$1029=Mapa!$B33&amp;Mapa!CD$3),Atualizações!$E$1:$E$1029),"NÃO")</f>
        <v>NÃO</v>
      </c>
      <c r="AL78" s="161" t="str" cm="1">
        <f t="array" ref="AL78">IFERROR(LOOKUP(2,1/(Atualizações!$H$1:$H$1265=Mapa!$B33&amp;Mapa!CE$3),Atualizações!$E$1:$E$2994),"NÃO")</f>
        <v>NÃO</v>
      </c>
      <c r="AM78" s="161" t="str" cm="1">
        <f t="array" ref="AM78">IFERROR(LOOKUP(2,1/(Atualizações!$H$1:$H$2994=Tb_Mapa[[#This Row],[SEI]]&amp;Mapa!CF$3),Atualizações!$E$1:$E$2994),"NÃO")</f>
        <v>NÃO</v>
      </c>
      <c r="AN78" s="161" t="str" cm="1">
        <f t="array" ref="AN78">IFERROR(LOOKUP(2,1/(Atualizações!$H$1:$H$2994=Tb_Mapa[[#This Row],[SEI]]&amp;Mapa!CG$3),Atualizações!$E$1:$E$2994),"NÃO")</f>
        <v>NÃO</v>
      </c>
      <c r="AO78" s="161" cm="1">
        <f t="array" ref="AO78">IFERROR(LOOKUP(2,1/(Atualizações!$H$1:$H$2994=Tb_Mapa[[#This Row],[SEI]]&amp;Mapa!CH$3),Atualizações!$E$1:$E$2994),"NÃO")</f>
        <v>0.82</v>
      </c>
      <c r="AP78" s="161" t="str" cm="1">
        <f t="array" ref="AP78">IFERROR(LOOKUP(2,1/(Atualizações!$H$1:$H$2994=Tb_Mapa[[#This Row],[SEI]]&amp;Mapa!CI$3),Atualizações!$E$1:$E$2994),"NÃO")</f>
        <v>NÃO</v>
      </c>
      <c r="AQ78" s="161" t="str" cm="1">
        <f t="array" ref="AQ78">IFERROR(LOOKUP(2,1/(Atualizações!$H$1:$H$2994=Tb_Mapa[[#This Row],[SEI]]&amp;Mapa!CJ$3),Atualizações!$E$1:$E$2994),"NÃO")</f>
        <v>NÃO</v>
      </c>
      <c r="AR78" s="161" t="str" cm="1">
        <f t="array" ref="AR78">IFERROR(LOOKUP(2,1/(Atualizações!$H$1:$H$2994=Tb_Mapa[[#This Row],[SEI]]&amp;Mapa!CK$3),Atualizações!$E$1:$E$2994),"NÃO")</f>
        <v>NÃO</v>
      </c>
      <c r="AS78" s="161" t="str" cm="1">
        <f t="array" ref="AS78">IFERROR(LOOKUP(2,1/(Atualizações!$H$1:$H$2994=Tb_Mapa[[#This Row],[SEI]]&amp;Mapa!CL$3),Atualizações!$E$1:$E$2994),"NÃO")</f>
        <v>NÃO</v>
      </c>
      <c r="AT78" s="161" t="str" cm="1">
        <f t="array" ref="AT78">IFERROR(LOOKUP(2,1/(Atualizações!$H$1:$H$2994=Tb_Mapa[[#This Row],[SEI]]&amp;Mapa!CM$3),Atualizações!$E$1:$E$2994),"NÃO")</f>
        <v>NÃO</v>
      </c>
      <c r="AU78" s="161" t="str" cm="1">
        <f t="array" ref="AU78">IFERROR(LOOKUP(2,1/(Atualizações!$H$1:$H$2994=Tb_Mapa[[#This Row],[SEI]]&amp;Mapa!CN$3),Atualizações!$E$1:$E$2994),"NÃO")</f>
        <v>NÃO</v>
      </c>
      <c r="AV78" s="161" t="str" cm="1">
        <f t="array" ref="AV78">IFERROR(LOOKUP(2,1/(Atualizações!$H$1:$H$2994=Tb_Mapa[[#This Row],[SEI]]&amp;Mapa!CO$3),Atualizações!$E$1:$E$2994),"NÃO")</f>
        <v>NÃO</v>
      </c>
      <c r="AW78" s="161" t="str" cm="1">
        <f t="array" ref="AW78">IFERROR(LOOKUP(2,1/(Atualizações!$H$1:$H$2994=Tb_Mapa[[#This Row],[SEI]]&amp;Mapa!CP$3),Atualizações!$E$1:$E$2994),"NÃO")</f>
        <v>NÃO</v>
      </c>
      <c r="AX78" s="161" t="str" cm="1">
        <f t="array" ref="AX78">IFERROR(LOOKUP(2,1/(Atualizações!$H$1:$H$2994=Tb_Mapa[[#This Row],[SEI]]&amp;Mapa!CQ$3),Atualizações!$E$1:$E$2994),"NÃO")</f>
        <v>NÃO</v>
      </c>
    </row>
    <row r="79" spans="2:50" ht="32.25" hidden="1" customHeight="1">
      <c r="B79" s="74" t="s">
        <v>410</v>
      </c>
      <c r="C79" s="678" t="str">
        <f>_xlfn.XLOOKUP(Tb_Mapa[[#This Row],[SEI]],Tb_Portfólio[SEI],Tb_Portfólio[Portfólio 2025],"",0)</f>
        <v>Sim</v>
      </c>
      <c r="D79" s="158" t="str">
        <f>_xlfn.XLOOKUP(Tb_Mapa[[#This Row],[SEI]],Tb_Portfólio[SEI],Tb_Portfólio[Portfólio 2026],"",0)</f>
        <v>Não</v>
      </c>
      <c r="E79" s="162" t="str">
        <f>_xlfn.XLOOKUP(Tb_Mapa[[#This Row],[SEI]],Tb_Portfólio[SEI],Tb_Portfólio[PROJETO],"",0)</f>
        <v>7ª Edição da Série Justiça Pesquisa - Exercício 2024/2025</v>
      </c>
      <c r="F79" s="681" t="str">
        <f>INDEX(Projetos!$G$3:$G$129,MATCH(B79,Projetos!$A$3:$A$129,0))</f>
        <v>Gabriela Moreira de Azevedo Soares</v>
      </c>
      <c r="G79" s="160" t="s">
        <v>1715</v>
      </c>
      <c r="H79" s="166">
        <f>INDEX(Projetos!$T$3:$T$129,MATCH(B79,Projetos!$A$3:$A$129,0))</f>
        <v>0</v>
      </c>
      <c r="I79" s="310">
        <f>INDEX(Projetos!$M$3:$M$129,MATCH(Mapa!B36,Projetos!$A$3:$A$129,0))</f>
        <v>45657</v>
      </c>
      <c r="J79" s="164" t="str">
        <f>IF(Tb_Mapa[[#This Row],[SITUAÇÃO]]="Finalizado", "Data atualizada", IFERROR(IF(I79&lt;$CN$3,"Atualizar data de encerramento","Data atualizada"),"Sem informação"))</f>
        <v>Data atualizada</v>
      </c>
      <c r="K79" s="311">
        <f>INDEX(Projetos!$N$3:$N$129,MATCH(Tb_Mapa[[#This Row],[SEI]],Projetos!$A$3:$A$129,0))</f>
        <v>1</v>
      </c>
      <c r="L79" s="311">
        <f>INDEX(Projetos!$O$3:$O$129,MATCH(Tb_Mapa[[#This Row],[SEI]],Projetos!$A$3:$A$129,0))</f>
        <v>1</v>
      </c>
      <c r="M79" s="165" t="str">
        <f>_xlfn.XLOOKUP(Tb_Mapa[[#This Row],[SEI]],Tb_Portfólio[SEI],Tb_Portfólio[Situação],"N/A",0)</f>
        <v>Finalizado</v>
      </c>
      <c r="N79" s="128" t="str" cm="1">
        <f t="array" ref="N79">IFERROR(LOOKUP(2,1/(Atualizações!$H$1:$H$486=Mapa!$B36&amp;Mapa!BG$3),Atualizações!$E$1:$E$486),"NÃO")</f>
        <v>NÃO</v>
      </c>
      <c r="O79" s="205" t="str" cm="1">
        <f t="array" ref="O79">IFERROR(LOOKUP(2,1/(Atualizações!$H$1:$H$580=Mapa!$B36&amp;Mapa!BH$3),Atualizações!$E$1:$E$580),"NÃO")</f>
        <v>NÃO</v>
      </c>
      <c r="P79" s="205" t="str" cm="1">
        <f t="array" ref="P79">IFERROR(LOOKUP(2,1/(Atualizações!$H$1:$H$580=Mapa!$B36&amp;Mapa!BI$3),Atualizações!$E$1:$E$580),"NÃO")</f>
        <v>NÃO</v>
      </c>
      <c r="Q79" s="205" t="str" cm="1">
        <f t="array" ref="Q79">IFERROR(LOOKUP(2,1/(Atualizações!$H$1:$H$580=Mapa!$B36&amp;Mapa!BJ$3),Atualizações!$E$1:$E$580),"NÃO")</f>
        <v>NÃO</v>
      </c>
      <c r="R79" s="205" t="str" cm="1">
        <f t="array" ref="R79">IFERROR(LOOKUP(2,1/(Atualizações!$H$1:$H$580=Mapa!$B36&amp;Mapa!BK$3),Atualizações!$E$1:$E$580),"NÃO")</f>
        <v>NÃO</v>
      </c>
      <c r="S79" s="205" t="str" cm="1">
        <f t="array" ref="S79">IFERROR(LOOKUP(2,1/(Atualizações!$H$1:$H$580=Mapa!$B36&amp;Mapa!BL$3),Atualizações!$E$1:$E$580),"NÃO")</f>
        <v>NÃO</v>
      </c>
      <c r="T79" s="205" t="str" cm="1">
        <f t="array" ref="T79">IFERROR(LOOKUP(2,1/(Atualizações!$H$1:$H$580=Mapa!$B36&amp;Mapa!BM$3),Atualizações!$E$1:$E$580),"NÃO")</f>
        <v>NÃO</v>
      </c>
      <c r="U79" s="205" t="str" cm="1">
        <f t="array" ref="U79">IFERROR(LOOKUP(2,1/(Atualizações!$H$1:$H$580=Mapa!$B36&amp;Mapa!BN$3),Atualizações!$E$1:$E$580),"NÃO")</f>
        <v>NÃO</v>
      </c>
      <c r="V79" s="205" t="str" cm="1">
        <f t="array" ref="V79">IFERROR(LOOKUP(2,1/(Atualizações!$H$1:$H$580=Mapa!$B36&amp;Mapa!BO$3),Atualizações!$E$1:$E$580),"NÃO")</f>
        <v>NÃO</v>
      </c>
      <c r="W79" s="205" t="str" cm="1">
        <f t="array" ref="W79">IFERROR(LOOKUP(2,1/(Atualizações!$H$1:$H$580=Mapa!$B36&amp;Mapa!BP$3),Atualizações!$E$1:$E$580),"NÃO")</f>
        <v>NÃO</v>
      </c>
      <c r="X79" s="205" t="str" cm="1">
        <f t="array" ref="X79">IFERROR(LOOKUP(2,1/(Atualizações!$H$1:$H$580=Mapa!$B36&amp;Mapa!BQ$3),Atualizações!$E$1:$E$580),"NÃO")</f>
        <v>NÃO</v>
      </c>
      <c r="Y79" s="205" t="str" cm="1">
        <f t="array" ref="Y79">IFERROR(LOOKUP(2,1/(Atualizações!$H$1:$H$580=Mapa!$B36&amp;Mapa!BR$3),Atualizações!$E$1:$E$580),"NÃO")</f>
        <v>NÃO</v>
      </c>
      <c r="Z79" s="161" cm="1">
        <f t="array" ref="Z79">IFERROR(LOOKUP(2,1/(Atualizações!$H$1:$H$1029=Mapa!$B36&amp;Mapa!BS$3),Atualizações!$E$1:$E$1029),"NÃO")</f>
        <v>1</v>
      </c>
      <c r="AA79" s="161" t="str" cm="1">
        <f t="array" ref="AA79">IFERROR(LOOKUP(2,1/(Atualizações!$H$1:$H$1029=Mapa!$B36&amp;Mapa!BT$3),Atualizações!$E$1:$E$1029),"NÃO")</f>
        <v>NÃO</v>
      </c>
      <c r="AB79" s="161" t="str" cm="1">
        <f t="array" ref="AB79">IFERROR(LOOKUP(2,1/(Atualizações!$H$1:$H$1029=Mapa!$B36&amp;Mapa!BU$3),Atualizações!$E$1:$E$1029),"NÃO")</f>
        <v>NÃO</v>
      </c>
      <c r="AC79" s="161" t="str" cm="1">
        <f t="array" ref="AC79">IFERROR(LOOKUP(2,1/(Atualizações!$H$1:$H$1029=Mapa!$B36&amp;Mapa!BV$3),Atualizações!$E$1:$E$1029),"NÃO")</f>
        <v>NÃO</v>
      </c>
      <c r="AD79" s="161" t="str" cm="1">
        <f t="array" ref="AD79">IFERROR(LOOKUP(2,1/(Atualizações!$H$1:$H$1029=Mapa!$B36&amp;Mapa!BW$3),Atualizações!$E$1:$E$1029),"NÃO")</f>
        <v>NÃO</v>
      </c>
      <c r="AE79" s="161" t="str" cm="1">
        <f t="array" ref="AE79">IFERROR(LOOKUP(2,1/(Atualizações!$H$1:$H$1029=Mapa!$B36&amp;Mapa!BX$3),Atualizações!$E$1:$E$1029),"NÃO")</f>
        <v>NÃO</v>
      </c>
      <c r="AF79" s="161" t="str" cm="1">
        <f t="array" ref="AF79">IFERROR(LOOKUP(2,1/(Atualizações!$H$1:$H$1029=Mapa!$B36&amp;Mapa!BY$3),Atualizações!$E$1:$E$1029),"NÃO")</f>
        <v>NÃO</v>
      </c>
      <c r="AG79" s="161" t="str" cm="1">
        <f t="array" ref="AG79">IFERROR(LOOKUP(2,1/(Atualizações!$H$1:$H$1029=Mapa!$B36&amp;Mapa!BZ$3),Atualizações!$E$1:$E$1029),"NÃO")</f>
        <v>NÃO</v>
      </c>
      <c r="AH79" s="161" t="str" cm="1">
        <f t="array" ref="AH79">IFERROR(LOOKUP(2,1/(Atualizações!$H$1:$H$1029=Mapa!$B36&amp;Mapa!CA$3),Atualizações!$E$1:$E$1029),"NÃO")</f>
        <v>NÃO</v>
      </c>
      <c r="AI79" s="161" t="str" cm="1">
        <f t="array" ref="AI79">IFERROR(LOOKUP(2,1/(Atualizações!$H$1:$H$1029=Mapa!$B36&amp;Mapa!CB$3),Atualizações!$E$1:$E$1029),"NÃO")</f>
        <v>NÃO</v>
      </c>
      <c r="AJ79" s="161" t="str" cm="1">
        <f t="array" ref="AJ79">IFERROR(LOOKUP(2,1/(Atualizações!$H$1:$H$1029=Mapa!$B36&amp;Mapa!CC$3),Atualizações!$E$1:$E$1029),"NÃO")</f>
        <v>NÃO</v>
      </c>
      <c r="AK79" s="161" t="str" cm="1">
        <f t="array" ref="AK79">IFERROR(LOOKUP(2,1/(Atualizações!$H$1:$H$1029=Mapa!$B36&amp;Mapa!CD$3),Atualizações!$E$1:$E$1029),"NÃO")</f>
        <v>NÃO</v>
      </c>
      <c r="AL79" s="161" t="str" cm="1">
        <f t="array" ref="AL79">IFERROR(LOOKUP(2,1/(Atualizações!$H$1:$H$1265=Mapa!$B36&amp;Mapa!CE$3),Atualizações!$E$1:$E$2994),"NÃO")</f>
        <v>NÃO</v>
      </c>
      <c r="AM79" s="161" t="str" cm="1">
        <f t="array" ref="AM79">IFERROR(LOOKUP(2,1/(Atualizações!$H$1:$H$2994=Tb_Mapa[[#This Row],[SEI]]&amp;Mapa!CF$3),Atualizações!$E$1:$E$2994),"NÃO")</f>
        <v>NÃO</v>
      </c>
      <c r="AN79" s="161" t="str" cm="1">
        <f t="array" ref="AN79">IFERROR(LOOKUP(2,1/(Atualizações!$H$1:$H$2994=Tb_Mapa[[#This Row],[SEI]]&amp;Mapa!CG$3),Atualizações!$E$1:$E$2994),"NÃO")</f>
        <v>NÃO</v>
      </c>
      <c r="AO79" s="161" t="str" cm="1">
        <f t="array" ref="AO79">IFERROR(LOOKUP(2,1/(Atualizações!$H$1:$H$2994=Tb_Mapa[[#This Row],[SEI]]&amp;Mapa!CH$3),Atualizações!$E$1:$E$2994),"NÃO")</f>
        <v>NÃO</v>
      </c>
      <c r="AP79" s="161" t="str" cm="1">
        <f t="array" ref="AP79">IFERROR(LOOKUP(2,1/(Atualizações!$H$1:$H$2994=Tb_Mapa[[#This Row],[SEI]]&amp;Mapa!CI$3),Atualizações!$E$1:$E$2994),"NÃO")</f>
        <v>NÃO</v>
      </c>
      <c r="AQ79" s="161" t="str" cm="1">
        <f t="array" ref="AQ79">IFERROR(LOOKUP(2,1/(Atualizações!$H$1:$H$2994=Tb_Mapa[[#This Row],[SEI]]&amp;Mapa!CJ$3),Atualizações!$E$1:$E$2994),"NÃO")</f>
        <v>NÃO</v>
      </c>
      <c r="AR79" s="161" t="str" cm="1">
        <f t="array" ref="AR79">IFERROR(LOOKUP(2,1/(Atualizações!$H$1:$H$2994=Tb_Mapa[[#This Row],[SEI]]&amp;Mapa!CK$3),Atualizações!$E$1:$E$2994),"NÃO")</f>
        <v>NÃO</v>
      </c>
      <c r="AS79" s="161" t="str" cm="1">
        <f t="array" ref="AS79">IFERROR(LOOKUP(2,1/(Atualizações!$H$1:$H$2994=Tb_Mapa[[#This Row],[SEI]]&amp;Mapa!CL$3),Atualizações!$E$1:$E$2994),"NÃO")</f>
        <v>NÃO</v>
      </c>
      <c r="AT79" s="161" t="str" cm="1">
        <f t="array" ref="AT79">IFERROR(LOOKUP(2,1/(Atualizações!$H$1:$H$2994=Tb_Mapa[[#This Row],[SEI]]&amp;Mapa!CM$3),Atualizações!$E$1:$E$2994),"NÃO")</f>
        <v>NÃO</v>
      </c>
      <c r="AU79" s="161" t="str" cm="1">
        <f t="array" ref="AU79">IFERROR(LOOKUP(2,1/(Atualizações!$H$1:$H$2994=Tb_Mapa[[#This Row],[SEI]]&amp;Mapa!CN$3),Atualizações!$E$1:$E$2994),"NÃO")</f>
        <v>NÃO</v>
      </c>
      <c r="AV79" s="161" t="str" cm="1">
        <f t="array" ref="AV79">IFERROR(LOOKUP(2,1/(Atualizações!$H$1:$H$2994=Tb_Mapa[[#This Row],[SEI]]&amp;Mapa!CO$3),Atualizações!$E$1:$E$2994),"NÃO")</f>
        <v>NÃO</v>
      </c>
      <c r="AW79" s="161" t="str" cm="1">
        <f t="array" ref="AW79">IFERROR(LOOKUP(2,1/(Atualizações!$H$1:$H$2994=Tb_Mapa[[#This Row],[SEI]]&amp;Mapa!CP$3),Atualizações!$E$1:$E$2994),"NÃO")</f>
        <v>NÃO</v>
      </c>
      <c r="AX79" s="161" t="str" cm="1">
        <f t="array" ref="AX79">IFERROR(LOOKUP(2,1/(Atualizações!$H$1:$H$2994=Tb_Mapa[[#This Row],[SEI]]&amp;Mapa!CQ$3),Atualizações!$E$1:$E$2994),"NÃO")</f>
        <v>NÃO</v>
      </c>
    </row>
    <row r="80" spans="2:50" ht="32.25" hidden="1" customHeight="1">
      <c r="B80" s="74" t="s">
        <v>404</v>
      </c>
      <c r="C80" s="158" t="str">
        <f>_xlfn.XLOOKUP(Tb_Mapa[[#This Row],[SEI]],Tb_Portfólio[SEI],Tb_Portfólio[Portfólio 2025],"",0)</f>
        <v>Sim</v>
      </c>
      <c r="D80" s="158" t="str">
        <f>_xlfn.XLOOKUP(Tb_Mapa[[#This Row],[SEI]],Tb_Portfólio[SEI],Tb_Portfólio[Portfólio 2026],"",0)</f>
        <v>Não</v>
      </c>
      <c r="E80" s="162" t="str">
        <f>_xlfn.XLOOKUP(Tb_Mapa[[#This Row],[SEI]],Tb_Portfólio[SEI],Tb_Portfólio[PROJETO],"",0)</f>
        <v>Consulta Nacional de Pessoas (FAC Nacional)</v>
      </c>
      <c r="F80" s="680" t="str">
        <f>INDEX(Projetos!$G$3:$G$129,MATCH(B80,Projetos!$A$3:$A$129,0))</f>
        <v>Bruno Cezar Andrade de Souza</v>
      </c>
      <c r="G80" s="160" t="s">
        <v>1710</v>
      </c>
      <c r="H80" s="166">
        <f>INDEX(Projetos!$T$3:$T$129,MATCH(B80,Projetos!$A$3:$A$129,0))</f>
        <v>0</v>
      </c>
      <c r="I80" s="310">
        <f>INDEX(Projetos!$M$3:$M$129,MATCH(Mapa!B31,Projetos!$A$3:$A$129,0))</f>
        <v>45657</v>
      </c>
      <c r="J80" s="164" t="str">
        <f>IF(Tb_Mapa[[#This Row],[SITUAÇÃO]]="Finalizado", "Data atualizada", IFERROR(IF(I80&lt;$CN$3,"Atualizar data de encerramento","Data atualizada"),"Sem informação"))</f>
        <v>Data atualizada</v>
      </c>
      <c r="K80" s="311">
        <f>INDEX(Projetos!$N$3:$N$129,MATCH(Tb_Mapa[[#This Row],[SEI]],Projetos!$A$3:$A$129,0))</f>
        <v>0.67</v>
      </c>
      <c r="L80" s="311">
        <f>INDEX(Projetos!$O$3:$O$129,MATCH(Tb_Mapa[[#This Row],[SEI]],Projetos!$A$3:$A$129,0))</f>
        <v>0.67</v>
      </c>
      <c r="M80" s="165" t="str">
        <f>_xlfn.XLOOKUP(Tb_Mapa[[#This Row],[SEI]],Tb_Portfólio[SEI],Tb_Portfólio[Situação],"N/A",0)</f>
        <v>Finalizado</v>
      </c>
      <c r="N80" s="128" t="str" cm="1">
        <f t="array" ref="N80">IFERROR(LOOKUP(2,1/(Atualizações!$H$1:$H$486=Mapa!$B31&amp;Mapa!BG$3),Atualizações!$E$1:$E$486),"NÃO")</f>
        <v>NÃO</v>
      </c>
      <c r="O80" s="205" t="str" cm="1">
        <f t="array" ref="O80">IFERROR(LOOKUP(2,1/(Atualizações!$H$1:$H$580=Mapa!$B31&amp;Mapa!BH$3),Atualizações!$E$1:$E$580),"NÃO")</f>
        <v>NÃO</v>
      </c>
      <c r="P80" s="205" t="str" cm="1">
        <f t="array" ref="P80">IFERROR(LOOKUP(2,1/(Atualizações!$H$1:$H$580=Mapa!$B31&amp;Mapa!BI$3),Atualizações!$E$1:$E$580),"NÃO")</f>
        <v>NÃO</v>
      </c>
      <c r="Q80" s="205" t="str" cm="1">
        <f t="array" ref="Q80">IFERROR(LOOKUP(2,1/(Atualizações!$H$1:$H$580=Mapa!$B31&amp;Mapa!BJ$3),Atualizações!$E$1:$E$580),"NÃO")</f>
        <v>NÃO</v>
      </c>
      <c r="R80" s="205" t="str" cm="1">
        <f t="array" ref="R80">IFERROR(LOOKUP(2,1/(Atualizações!$H$1:$H$580=Mapa!$B31&amp;Mapa!BK$3),Atualizações!$E$1:$E$580),"NÃO")</f>
        <v>NÃO</v>
      </c>
      <c r="S80" s="205" t="str" cm="1">
        <f t="array" ref="S80">IFERROR(LOOKUP(2,1/(Atualizações!$H$1:$H$580=Mapa!$B31&amp;Mapa!BL$3),Atualizações!$E$1:$E$580),"NÃO")</f>
        <v>NÃO</v>
      </c>
      <c r="T80" s="205" t="str" cm="1">
        <f t="array" ref="T80">IFERROR(LOOKUP(2,1/(Atualizações!$H$1:$H$580=Mapa!$B31&amp;Mapa!BM$3),Atualizações!$E$1:$E$580),"NÃO")</f>
        <v>NÃO</v>
      </c>
      <c r="U80" s="205" t="str" cm="1">
        <f t="array" ref="U80">IFERROR(LOOKUP(2,1/(Atualizações!$H$1:$H$580=Mapa!$B31&amp;Mapa!BN$3),Atualizações!$E$1:$E$580),"NÃO")</f>
        <v>NÃO</v>
      </c>
      <c r="V80" s="205" t="str" cm="1">
        <f t="array" ref="V80">IFERROR(LOOKUP(2,1/(Atualizações!$H$1:$H$580=Mapa!$B31&amp;Mapa!BO$3),Atualizações!$E$1:$E$580),"NÃO")</f>
        <v>NÃO</v>
      </c>
      <c r="W80" s="205" t="str" cm="1">
        <f t="array" ref="W80">IFERROR(LOOKUP(2,1/(Atualizações!$H$1:$H$580=Mapa!$B31&amp;Mapa!BP$3),Atualizações!$E$1:$E$580),"NÃO")</f>
        <v>NÃO</v>
      </c>
      <c r="X80" s="205" t="str" cm="1">
        <f t="array" ref="X80">IFERROR(LOOKUP(2,1/(Atualizações!$H$1:$H$580=Mapa!$B31&amp;Mapa!BQ$3),Atualizações!$E$1:$E$580),"NÃO")</f>
        <v>NÃO</v>
      </c>
      <c r="Y80" s="205" t="str" cm="1">
        <f t="array" ref="Y80">IFERROR(LOOKUP(2,1/(Atualizações!$H$1:$H$580=Mapa!$B31&amp;Mapa!BR$3),Atualizações!$E$1:$E$580),"NÃO")</f>
        <v>NÃO</v>
      </c>
      <c r="Z80" s="161" cm="1">
        <f t="array" ref="Z80">IFERROR(LOOKUP(2,1/(Atualizações!$H$1:$H$1029=Mapa!$B31&amp;Mapa!BS$3),Atualizações!$E$1:$E$1029),"NÃO")</f>
        <v>1</v>
      </c>
      <c r="AA80" s="161" t="str" cm="1">
        <f t="array" ref="AA80">IFERROR(LOOKUP(2,1/(Atualizações!$H$1:$H$1029=Mapa!$B31&amp;Mapa!BT$3),Atualizações!$E$1:$E$1029),"NÃO")</f>
        <v>NÃO</v>
      </c>
      <c r="AB80" s="161" t="str" cm="1">
        <f t="array" ref="AB80">IFERROR(LOOKUP(2,1/(Atualizações!$H$1:$H$1029=Mapa!$B31&amp;Mapa!BU$3),Atualizações!$E$1:$E$1029),"NÃO")</f>
        <v>NÃO</v>
      </c>
      <c r="AC80" s="161" t="str" cm="1">
        <f t="array" ref="AC80">IFERROR(LOOKUP(2,1/(Atualizações!$H$1:$H$1029=Mapa!$B31&amp;Mapa!BV$3),Atualizações!$E$1:$E$1029),"NÃO")</f>
        <v>NÃO</v>
      </c>
      <c r="AD80" s="161" t="str" cm="1">
        <f t="array" ref="AD80">IFERROR(LOOKUP(2,1/(Atualizações!$H$1:$H$1029=Mapa!$B31&amp;Mapa!BW$3),Atualizações!$E$1:$E$1029),"NÃO")</f>
        <v>NÃO</v>
      </c>
      <c r="AE80" s="161" t="str" cm="1">
        <f t="array" ref="AE80">IFERROR(LOOKUP(2,1/(Atualizações!$H$1:$H$1029=Mapa!$B31&amp;Mapa!BX$3),Atualizações!$E$1:$E$1029),"NÃO")</f>
        <v>NÃO</v>
      </c>
      <c r="AF80" s="161" t="str" cm="1">
        <f t="array" ref="AF80">IFERROR(LOOKUP(2,1/(Atualizações!$H$1:$H$1029=Mapa!$B31&amp;Mapa!BY$3),Atualizações!$E$1:$E$1029),"NÃO")</f>
        <v>NÃO</v>
      </c>
      <c r="AG80" s="161" t="str" cm="1">
        <f t="array" ref="AG80">IFERROR(LOOKUP(2,1/(Atualizações!$H$1:$H$1029=Mapa!$B31&amp;Mapa!BZ$3),Atualizações!$E$1:$E$1029),"NÃO")</f>
        <v>NÃO</v>
      </c>
      <c r="AH80" s="161" t="str" cm="1">
        <f t="array" ref="AH80">IFERROR(LOOKUP(2,1/(Atualizações!$H$1:$H$1029=Mapa!$B31&amp;Mapa!CA$3),Atualizações!$E$1:$E$1029),"NÃO")</f>
        <v>NÃO</v>
      </c>
      <c r="AI80" s="161" t="str" cm="1">
        <f t="array" ref="AI80">IFERROR(LOOKUP(2,1/(Atualizações!$H$1:$H$1029=Mapa!$B31&amp;Mapa!CB$3),Atualizações!$E$1:$E$1029),"NÃO")</f>
        <v>NÃO</v>
      </c>
      <c r="AJ80" s="161" t="str" cm="1">
        <f t="array" ref="AJ80">IFERROR(LOOKUP(2,1/(Atualizações!$H$1:$H$1029=Mapa!$B31&amp;Mapa!CC$3),Atualizações!$E$1:$E$1029),"NÃO")</f>
        <v>NÃO</v>
      </c>
      <c r="AK80" s="161" t="str" cm="1">
        <f t="array" ref="AK80">IFERROR(LOOKUP(2,1/(Atualizações!$H$1:$H$1029=Mapa!$B31&amp;Mapa!CD$3),Atualizações!$E$1:$E$1029),"NÃO")</f>
        <v>NÃO</v>
      </c>
      <c r="AL80" s="161" t="str" cm="1">
        <f t="array" ref="AL80">IFERROR(LOOKUP(2,1/(Atualizações!$H$1:$H$1265=Mapa!$B31&amp;Mapa!CE$3),Atualizações!$E$1:$E$2994),"NÃO")</f>
        <v>NÃO</v>
      </c>
      <c r="AM80" s="161" t="str" cm="1">
        <f t="array" ref="AM80">IFERROR(LOOKUP(2,1/(Atualizações!$H$1:$H$2994=Tb_Mapa[[#This Row],[SEI]]&amp;Mapa!CF$3),Atualizações!$E$1:$E$2994),"NÃO")</f>
        <v>NÃO</v>
      </c>
      <c r="AN80" s="161" t="str" cm="1">
        <f t="array" ref="AN80">IFERROR(LOOKUP(2,1/(Atualizações!$H$1:$H$2994=Tb_Mapa[[#This Row],[SEI]]&amp;Mapa!CG$3),Atualizações!$E$1:$E$2994),"NÃO")</f>
        <v>NÃO</v>
      </c>
      <c r="AO80" s="161" t="str" cm="1">
        <f t="array" ref="AO80">IFERROR(LOOKUP(2,1/(Atualizações!$H$1:$H$2994=Tb_Mapa[[#This Row],[SEI]]&amp;Mapa!CH$3),Atualizações!$E$1:$E$2994),"NÃO")</f>
        <v>NÃO</v>
      </c>
      <c r="AP80" s="161" t="str" cm="1">
        <f t="array" ref="AP80">IFERROR(LOOKUP(2,1/(Atualizações!$H$1:$H$2994=Tb_Mapa[[#This Row],[SEI]]&amp;Mapa!CI$3),Atualizações!$E$1:$E$2994),"NÃO")</f>
        <v>NÃO</v>
      </c>
      <c r="AQ80" s="161" t="str" cm="1">
        <f t="array" ref="AQ80">IFERROR(LOOKUP(2,1/(Atualizações!$H$1:$H$2994=Tb_Mapa[[#This Row],[SEI]]&amp;Mapa!CJ$3),Atualizações!$E$1:$E$2994),"NÃO")</f>
        <v>NÃO</v>
      </c>
      <c r="AR80" s="161" t="str" cm="1">
        <f t="array" ref="AR80">IFERROR(LOOKUP(2,1/(Atualizações!$H$1:$H$2994=Tb_Mapa[[#This Row],[SEI]]&amp;Mapa!CK$3),Atualizações!$E$1:$E$2994),"NÃO")</f>
        <v>NÃO</v>
      </c>
      <c r="AS80" s="161" t="str" cm="1">
        <f t="array" ref="AS80">IFERROR(LOOKUP(2,1/(Atualizações!$H$1:$H$2994=Tb_Mapa[[#This Row],[SEI]]&amp;Mapa!CL$3),Atualizações!$E$1:$E$2994),"NÃO")</f>
        <v>NÃO</v>
      </c>
      <c r="AT80" s="161" t="str" cm="1">
        <f t="array" ref="AT80">IFERROR(LOOKUP(2,1/(Atualizações!$H$1:$H$2994=Tb_Mapa[[#This Row],[SEI]]&amp;Mapa!CM$3),Atualizações!$E$1:$E$2994),"NÃO")</f>
        <v>NÃO</v>
      </c>
      <c r="AU80" s="161" t="str" cm="1">
        <f t="array" ref="AU80">IFERROR(LOOKUP(2,1/(Atualizações!$H$1:$H$2994=Tb_Mapa[[#This Row],[SEI]]&amp;Mapa!CN$3),Atualizações!$E$1:$E$2994),"NÃO")</f>
        <v>NÃO</v>
      </c>
      <c r="AV80" s="161" t="str" cm="1">
        <f t="array" ref="AV80">IFERROR(LOOKUP(2,1/(Atualizações!$H$1:$H$2994=Tb_Mapa[[#This Row],[SEI]]&amp;Mapa!CO$3),Atualizações!$E$1:$E$2994),"NÃO")</f>
        <v>NÃO</v>
      </c>
      <c r="AW80" s="161" t="str" cm="1">
        <f t="array" ref="AW80">IFERROR(LOOKUP(2,1/(Atualizações!$H$1:$H$2994=Tb_Mapa[[#This Row],[SEI]]&amp;Mapa!CP$3),Atualizações!$E$1:$E$2994),"NÃO")</f>
        <v>NÃO</v>
      </c>
      <c r="AX80" s="161" t="str" cm="1">
        <f t="array" ref="AX80">IFERROR(LOOKUP(2,1/(Atualizações!$H$1:$H$2994=Tb_Mapa[[#This Row],[SEI]]&amp;Mapa!CQ$3),Atualizações!$E$1:$E$2994),"NÃO")</f>
        <v>NÃO</v>
      </c>
    </row>
    <row r="81" spans="2:50" ht="32.25" hidden="1" customHeight="1">
      <c r="B81" s="235" t="s">
        <v>684</v>
      </c>
      <c r="C81" s="169" t="str">
        <f>_xlfn.XLOOKUP(Tb_Mapa[[#This Row],[SEI]],Tb_Portfólio[SEI],Tb_Portfólio[Portfólio 2025],"",0)</f>
        <v>Sim</v>
      </c>
      <c r="D81" s="158" t="str">
        <f>_xlfn.XLOOKUP(Tb_Mapa[[#This Row],[SEI]],Tb_Portfólio[SEI],Tb_Portfólio[Portfólio 2026],"",0)</f>
        <v>Sim</v>
      </c>
      <c r="E81" s="511" t="str">
        <f>_xlfn.XLOOKUP(Tb_Mapa[[#This Row],[SEI]],Tb_Portfólio[SEI],Tb_Portfólio[PROJETO],"",0)</f>
        <v>Painel dos Grandes Litigantes</v>
      </c>
      <c r="F81" s="143" t="str">
        <f>INDEX(Projetos!$G$3:$G$129,MATCH(Tb_Mapa[[#This Row],[SEI]],Projetos!$A$3:$A$129,0))</f>
        <v>André José da Silva Lima</v>
      </c>
      <c r="G81" s="160" t="s">
        <v>1711</v>
      </c>
      <c r="H81" s="166" t="str">
        <f>INDEX(Projetos!$T$3:$T$129,MATCH(B81,Projetos!$A$3:$A$129,0))</f>
        <v>Justiça 4.0</v>
      </c>
      <c r="I81" s="310" t="str">
        <f>INDEX(Projetos!$M$3:$M$129,MATCH(Tb_Mapa[[#This Row],[SEI]],Projetos!$A$3:$A$129,0))</f>
        <v>30/06/26</v>
      </c>
      <c r="J81" s="164" t="str">
        <f ca="1">IF(Tb_Mapa[[#This Row],[SITUAÇÃO]]="Finalizado", "Data atualizada", IFERROR(IF(Tb_Mapa[[#This Row],[DATA DE TÉRMINO]]&lt;$I$1,"Atualizar data de encerramento","Data atualizada"),"Sem informação"))</f>
        <v>Data atualizada</v>
      </c>
      <c r="K81" s="311">
        <f>INDEX(Projetos!$N$3:$N$129,MATCH(Tb_Mapa[[#This Row],[SEI]],Projetos!$A$3:$A$129,0))</f>
        <v>0.86</v>
      </c>
      <c r="L81" s="311">
        <f>INDEX(Projetos!$O$3:$O$129,MATCH(Tb_Mapa[[#This Row],[SEI]],Projetos!$A$3:$A$129,0))</f>
        <v>0.81</v>
      </c>
      <c r="M81" s="165" t="str">
        <f ca="1">_xlfn.XLOOKUP(Tb_Mapa[[#This Row],[SEI]],Tb_Portfólio[SEI],Tb_Portfólio[Situação],"N/A",0)</f>
        <v>Em atenção</v>
      </c>
      <c r="N81" s="128" t="str" cm="1">
        <f t="array" ref="N81">IFERROR(LOOKUP(2,1/(Atualizações!$H$1:$H$486=Mapa!$B43&amp;Mapa!BG$3),Atualizações!$E$1:$E$486),"NÃO")</f>
        <v>NÃO</v>
      </c>
      <c r="O81" s="205" t="str" cm="1">
        <f t="array" ref="O81">IFERROR(LOOKUP(2,1/(Atualizações!$H$1:$H$580=Mapa!$B43&amp;Mapa!BH$3),Atualizações!$E$1:$E$580),"NÃO")</f>
        <v>NÃO</v>
      </c>
      <c r="P81" s="205" t="str" cm="1">
        <f t="array" ref="P81">IFERROR(LOOKUP(2,1/(Atualizações!$H$1:$H$580=Mapa!$B43&amp;Mapa!BI$3),Atualizações!$E$1:$E$580),"NÃO")</f>
        <v>NÃO</v>
      </c>
      <c r="Q81" s="205" t="str" cm="1">
        <f t="array" ref="Q81">IFERROR(LOOKUP(2,1/(Atualizações!$H$1:$H$580=Mapa!$B43&amp;Mapa!BJ$3),Atualizações!$E$1:$E$580),"NÃO")</f>
        <v>NÃO</v>
      </c>
      <c r="R81" s="205" t="str" cm="1">
        <f t="array" ref="R81">IFERROR(LOOKUP(2,1/(Atualizações!$H$1:$H$580=Mapa!$B43&amp;Mapa!BK$3),Atualizações!$E$1:$E$580),"NÃO")</f>
        <v>NÃO</v>
      </c>
      <c r="S81" s="205" t="str" cm="1">
        <f t="array" ref="S81">IFERROR(LOOKUP(2,1/(Atualizações!$H$1:$H$580=Mapa!$B43&amp;Mapa!BL$3),Atualizações!$E$1:$E$580),"NÃO")</f>
        <v>NÃO</v>
      </c>
      <c r="T81" s="205" t="str" cm="1">
        <f t="array" ref="T81">IFERROR(LOOKUP(2,1/(Atualizações!$H$1:$H$580=Mapa!$B43&amp;Mapa!BM$3),Atualizações!$E$1:$E$580),"NÃO")</f>
        <v>NÃO</v>
      </c>
      <c r="U81" s="205" t="str" cm="1">
        <f t="array" ref="U81">IFERROR(LOOKUP(2,1/(Atualizações!$H$1:$H$580=Mapa!$B43&amp;Mapa!BN$3),Atualizações!$E$1:$E$580),"NÃO")</f>
        <v>NÃO</v>
      </c>
      <c r="V81" s="205" t="str" cm="1">
        <f t="array" ref="V81">IFERROR(LOOKUP(2,1/(Atualizações!$H$1:$H$580=Mapa!$B43&amp;Mapa!BO$3),Atualizações!$E$1:$E$580),"NÃO")</f>
        <v>NÃO</v>
      </c>
      <c r="W81" s="205" t="str" cm="1">
        <f t="array" ref="W81">IFERROR(LOOKUP(2,1/(Atualizações!$H$1:$H$580=Mapa!$B43&amp;Mapa!BP$3),Atualizações!$E$1:$E$580),"NÃO")</f>
        <v>NÃO</v>
      </c>
      <c r="X81" s="205" t="str" cm="1">
        <f t="array" ref="X81">IFERROR(LOOKUP(2,1/(Atualizações!$H$1:$H$580=Mapa!$B43&amp;Mapa!BQ$3),Atualizações!$E$1:$E$580),"NÃO")</f>
        <v>NÃO</v>
      </c>
      <c r="Y81" s="205" t="str" cm="1">
        <f t="array" ref="Y81">IFERROR(LOOKUP(2,1/(Atualizações!$H$1:$H$580=Mapa!$B43&amp;Mapa!BR$3),Atualizações!$E$1:$E$580),"NÃO")</f>
        <v>NÃO</v>
      </c>
      <c r="Z81" s="161" t="str" cm="1">
        <f t="array" ref="Z81">IFERROR(LOOKUP(2,1/(Atualizações!$H$1:$H$1029=Mapa!$B43&amp;Mapa!BS$3),Atualizações!$E$1:$E$1029),"NÃO")</f>
        <v>NÃO</v>
      </c>
      <c r="AA81" s="161" t="str" cm="1">
        <f t="array" ref="AA81">IFERROR(LOOKUP(2,1/(Atualizações!$H$1:$H$1029=Mapa!$B43&amp;Mapa!BT$3),Atualizações!$E$1:$E$1029),"NÃO")</f>
        <v>NÃO</v>
      </c>
      <c r="AB81" s="161" t="str" cm="1">
        <f t="array" ref="AB81">IFERROR(LOOKUP(2,1/(Atualizações!$H$1:$H$1029=Mapa!$B43&amp;Mapa!BU$3),Atualizações!$E$1:$E$1029),"NÃO")</f>
        <v>NÃO</v>
      </c>
      <c r="AC81" s="161" t="str" cm="1">
        <f t="array" ref="AC81">IFERROR(LOOKUP(2,1/(Atualizações!$H$1:$H$1029=Mapa!$B43&amp;Mapa!BV$3),Atualizações!$E$1:$E$1029),"NÃO")</f>
        <v>NÃO</v>
      </c>
      <c r="AD81" s="161" t="str" cm="1">
        <f t="array" ref="AD81">IFERROR(LOOKUP(2,1/(Atualizações!$H$1:$H$1029=Mapa!$B43&amp;Mapa!BW$3),Atualizações!$E$1:$E$1029),"NÃO")</f>
        <v>NÃO</v>
      </c>
      <c r="AE81" s="161" t="str" cm="1">
        <f t="array" ref="AE81">IFERROR(LOOKUP(2,1/(Atualizações!$H$1:$H$1029=Mapa!$B43&amp;Mapa!BX$3),Atualizações!$E$1:$E$1029),"NÃO")</f>
        <v>NÃO</v>
      </c>
      <c r="AF81" s="161" t="str" cm="1">
        <f t="array" ref="AF81">IFERROR(LOOKUP(2,1/(Atualizações!$H$1:$H$1029=Mapa!$B43&amp;Mapa!BY$3),Atualizações!$E$1:$E$1029),"NÃO")</f>
        <v>NÃO</v>
      </c>
      <c r="AG81" s="161" cm="1">
        <f t="array" ref="AG81">IFERROR(LOOKUP(2,1/(Atualizações!$H$1:$H$1029=Mapa!$B43&amp;Mapa!BZ$3),Atualizações!$E$1:$E$1029),"NÃO")</f>
        <v>0.46500000000000002</v>
      </c>
      <c r="AH81" s="161" t="str" cm="1">
        <f t="array" ref="AH81">IFERROR(LOOKUP(2,1/(Atualizações!$H$1:$H$1029=Mapa!$B43&amp;Mapa!CA$3),Atualizações!$E$1:$E$1029),"NÃO")</f>
        <v>NÃO</v>
      </c>
      <c r="AI81" s="161" cm="1">
        <f t="array" ref="AI81">IFERROR(LOOKUP(2,1/(Atualizações!$H$1:$H$1029=Mapa!$B43&amp;Mapa!CB$3),Atualizações!$E$1:$E$1029),"NÃO")</f>
        <v>0.63</v>
      </c>
      <c r="AJ81" s="161" cm="1">
        <f t="array" ref="AJ81">IFERROR(LOOKUP(2,1/(Atualizações!$H$1:$H$1029=Mapa!$B43&amp;Mapa!CC$3),Atualizações!$E$1:$E$1029),"NÃO")</f>
        <v>0.56999999999999995</v>
      </c>
      <c r="AK81" s="161" cm="1">
        <f t="array" ref="AK81">IFERROR(LOOKUP(2,1/(Atualizações!$H$1:$H$1029=Mapa!$B43&amp;Mapa!CD$3),Atualizações!$E$1:$E$1029),"NÃO")</f>
        <v>0.78</v>
      </c>
      <c r="AL81" s="161" cm="1">
        <f t="array" ref="AL81">IFERROR(LOOKUP(2,1/(Atualizações!$H$1:$H$1265=Mapa!$B43&amp;Mapa!CE$3),Atualizações!$E$1:$E$2994),"NÃO")</f>
        <v>0.78</v>
      </c>
      <c r="AM81" s="161" t="str" cm="1">
        <f t="array" ref="AM81">IFERROR(LOOKUP(2,1/(Atualizações!$H$1:$H$2994=Tb_Mapa[[#This Row],[SEI]]&amp;Mapa!CF$3),Atualizações!$E$1:$E$2994),"NÃO")</f>
        <v>NÃO</v>
      </c>
      <c r="AN81" s="161" cm="1">
        <f t="array" ref="AN81">IFERROR(LOOKUP(2,1/(Atualizações!$H$1:$H$2994=Tb_Mapa[[#This Row],[SEI]]&amp;Mapa!CG$3),Atualizações!$E$1:$E$2994),"NÃO")</f>
        <v>0.78</v>
      </c>
      <c r="AO81" s="161" cm="1">
        <f t="array" ref="AO81">IFERROR(LOOKUP(2,1/(Atualizações!$H$1:$H$2994=Tb_Mapa[[#This Row],[SEI]]&amp;Mapa!CH$3),Atualizações!$E$1:$E$2994),"NÃO")</f>
        <v>0.81</v>
      </c>
      <c r="AP81" s="161" cm="1">
        <f t="array" ref="AP81">IFERROR(LOOKUP(2,1/(Atualizações!$H$1:$H$2994=Tb_Mapa[[#This Row],[SEI]]&amp;Mapa!CI$3),Atualizações!$E$1:$E$2994),"NÃO")</f>
        <v>0.81</v>
      </c>
      <c r="AQ81" s="161" cm="1">
        <f t="array" ref="AQ81">IFERROR(LOOKUP(2,1/(Atualizações!$H$1:$H$2994=Tb_Mapa[[#This Row],[SEI]]&amp;Mapa!CJ$3),Atualizações!$E$1:$E$2994),"NÃO")</f>
        <v>0.81</v>
      </c>
      <c r="AR81" s="161" t="str" cm="1">
        <f t="array" ref="AR81">IFERROR(LOOKUP(2,1/(Atualizações!$H$1:$H$2994=Tb_Mapa[[#This Row],[SEI]]&amp;Mapa!CK$3),Atualizações!$E$1:$E$2994),"NÃO")</f>
        <v>NÃO</v>
      </c>
      <c r="AS81" s="161" t="str" cm="1">
        <f t="array" ref="AS81">IFERROR(LOOKUP(2,1/(Atualizações!$H$1:$H$2994=Tb_Mapa[[#This Row],[SEI]]&amp;Mapa!CL$3),Atualizações!$E$1:$E$2994),"NÃO")</f>
        <v>NÃO</v>
      </c>
      <c r="AT81" s="161" t="str" cm="1">
        <f t="array" ref="AT81">IFERROR(LOOKUP(2,1/(Atualizações!$H$1:$H$2994=Tb_Mapa[[#This Row],[SEI]]&amp;Mapa!CM$3),Atualizações!$E$1:$E$2994),"NÃO")</f>
        <v>NÃO</v>
      </c>
      <c r="AU81" s="161" t="str" cm="1">
        <f t="array" ref="AU81">IFERROR(LOOKUP(2,1/(Atualizações!$H$1:$H$2994=Tb_Mapa[[#This Row],[SEI]]&amp;Mapa!CN$3),Atualizações!$E$1:$E$2994),"NÃO")</f>
        <v>NÃO</v>
      </c>
      <c r="AV81" s="161" t="str" cm="1">
        <f t="array" ref="AV81">IFERROR(LOOKUP(2,1/(Atualizações!$H$1:$H$2994=Tb_Mapa[[#This Row],[SEI]]&amp;Mapa!CO$3),Atualizações!$E$1:$E$2994),"NÃO")</f>
        <v>NÃO</v>
      </c>
      <c r="AW81" s="161" t="str" cm="1">
        <f t="array" ref="AW81">IFERROR(LOOKUP(2,1/(Atualizações!$H$1:$H$2994=Tb_Mapa[[#This Row],[SEI]]&amp;Mapa!CP$3),Atualizações!$E$1:$E$2994),"NÃO")</f>
        <v>NÃO</v>
      </c>
      <c r="AX81" s="161" t="str" cm="1">
        <f t="array" ref="AX81">IFERROR(LOOKUP(2,1/(Atualizações!$H$1:$H$2994=Tb_Mapa[[#This Row],[SEI]]&amp;Mapa!CQ$3),Atualizações!$E$1:$E$2994),"NÃO")</f>
        <v>NÃO</v>
      </c>
    </row>
    <row r="82" spans="2:50" ht="32.25" hidden="1" customHeight="1">
      <c r="B82" s="46" t="s">
        <v>236</v>
      </c>
      <c r="C82" s="51" t="str">
        <f>_xlfn.XLOOKUP(Tb_Mapa[[#This Row],[SEI]],Tb_Portfólio[SEI],Tb_Portfólio[Portfólio 2025],"",0)</f>
        <v>Não</v>
      </c>
      <c r="D82" s="158" t="str">
        <f>_xlfn.XLOOKUP(Tb_Mapa[[#This Row],[SEI]],Tb_Portfólio[SEI],Tb_Portfólio[Portfólio 2026],"",0)</f>
        <v>Sim</v>
      </c>
      <c r="E82" s="162" t="str">
        <f>_xlfn.XLOOKUP(Tb_Mapa[[#This Row],[SEI]],Tb_Portfólio[SEI],Tb_Portfólio[PROJETO],"",0)</f>
        <v>SEEU - Reescrita</v>
      </c>
      <c r="F82" s="143" t="str">
        <f>INDEX(Projetos!$G$3:$G$129,MATCH(Tb_Mapa[[#This Row],[SEI]],Projetos!$A$3:$A$129,0))</f>
        <v>Tiago Ribeiro Gonçalves</v>
      </c>
      <c r="G82" s="160" t="s">
        <v>1710</v>
      </c>
      <c r="H82" s="166" t="str">
        <f>INDEX(Projetos!$T$3:$T$129,MATCH(B82,Projetos!$A$3:$A$129,0))</f>
        <v>Justiça 4.0</v>
      </c>
      <c r="I82" s="310">
        <f>INDEX(Projetos!$M$3:$M$129,MATCH(Tb_Mapa[[#This Row],[SEI]],Projetos!$A$3:$A$129,0))</f>
        <v>46387</v>
      </c>
      <c r="J82" s="164" t="str">
        <f ca="1">IF(Tb_Mapa[[#This Row],[SITUAÇÃO]]="Finalizado", "Data atualizada", IFERROR(IF(Tb_Mapa[[#This Row],[DATA DE TÉRMINO]]&lt;$I$1,"Atualizar data de encerramento","Data atualizada"),"Sem informação"))</f>
        <v>Data atualizada</v>
      </c>
      <c r="K82" s="311">
        <f>INDEX(Projetos!$N$3:$N$129,MATCH(Tb_Mapa[[#This Row],[SEI]],Projetos!$A$3:$A$129,0))</f>
        <v>1</v>
      </c>
      <c r="L82" s="311">
        <f>INDEX(Projetos!$O$3:$O$129,MATCH(Tb_Mapa[[#This Row],[SEI]],Projetos!$A$3:$A$129,0))</f>
        <v>0.85</v>
      </c>
      <c r="M82" s="165" t="str">
        <f ca="1">_xlfn.XLOOKUP(Tb_Mapa[[#This Row],[SEI]],Tb_Portfólio[SEI],Tb_Portfólio[Situação],"N/A",0)</f>
        <v>Em atenção</v>
      </c>
      <c r="N82" s="128" t="str" cm="1">
        <f t="array" ref="N82">IFERROR(LOOKUP(2,1/(Atualizações!$H$1:$H$486=Mapa!$B118&amp;Mapa!BG$3),Atualizações!$E$1:$E$486),"NÃO")</f>
        <v>NÃO</v>
      </c>
      <c r="O82" s="205"/>
      <c r="P82" s="205"/>
      <c r="Q82" s="205"/>
      <c r="R82" s="205"/>
      <c r="S82" s="205"/>
      <c r="T82" s="205"/>
      <c r="U82" s="205"/>
      <c r="V82" s="205"/>
      <c r="W82" s="205"/>
      <c r="X82" s="205"/>
      <c r="Y82" s="205"/>
      <c r="Z82" s="161"/>
      <c r="AA82" s="691"/>
      <c r="AB82" s="691"/>
      <c r="AC82" s="691"/>
      <c r="AD82" s="691"/>
      <c r="AE82" s="691"/>
      <c r="AF82" s="691"/>
      <c r="AG82" s="691"/>
      <c r="AH82" s="691"/>
      <c r="AI82" s="691"/>
      <c r="AJ82" s="691"/>
      <c r="AK82" s="161" t="str" cm="1">
        <f t="array" ref="AK82">IFERROR(LOOKUP(2,1/(Atualizações!$H$1:$H$1029=Mapa!$B118&amp;Mapa!CD$3),Atualizações!$E$1:$E$1029),"NÃO")</f>
        <v>NÃO</v>
      </c>
      <c r="AL82" s="161" cm="1">
        <f t="array" ref="AL82">IFERROR(LOOKUP(2,1/(Atualizações!$H$1:$H$1265=Mapa!$B118&amp;Mapa!CE$3),Atualizações!$E$1:$E$2994),"NÃO")</f>
        <v>0.09</v>
      </c>
      <c r="AM82" s="161" cm="1">
        <f t="array" ref="AM82">IFERROR(LOOKUP(2,1/(Atualizações!$H$1:$H$2994=Tb_Mapa[[#This Row],[SEI]]&amp;Mapa!CF$3),Atualizações!$E$1:$E$2994),"NÃO")</f>
        <v>0.54</v>
      </c>
      <c r="AN82" s="161" cm="1">
        <f t="array" ref="AN82">IFERROR(LOOKUP(2,1/(Atualizações!$H$1:$H$2994=Tb_Mapa[[#This Row],[SEI]]&amp;Mapa!CG$3),Atualizações!$E$1:$E$2994),"NÃO")</f>
        <v>0.68</v>
      </c>
      <c r="AO82" s="161" cm="1">
        <f t="array" ref="AO82">IFERROR(LOOKUP(2,1/(Atualizações!$H$1:$H$2994=Tb_Mapa[[#This Row],[SEI]]&amp;Mapa!CH$3),Atualizações!$E$1:$E$2994),"NÃO")</f>
        <v>0.8</v>
      </c>
      <c r="AP82" s="161" cm="1">
        <f t="array" ref="AP82">IFERROR(LOOKUP(2,1/(Atualizações!$H$1:$H$2994=Tb_Mapa[[#This Row],[SEI]]&amp;Mapa!CI$3),Atualizações!$E$1:$E$2994),"NÃO")</f>
        <v>0.82</v>
      </c>
      <c r="AQ82" s="161" cm="1">
        <f t="array" ref="AQ82">IFERROR(LOOKUP(2,1/(Atualizações!$H$1:$H$2994=Tb_Mapa[[#This Row],[SEI]]&amp;Mapa!CJ$3),Atualizações!$E$1:$E$2994),"NÃO")</f>
        <v>0.85</v>
      </c>
      <c r="AR82" s="161" t="str" cm="1">
        <f t="array" ref="AR82">IFERROR(LOOKUP(2,1/(Atualizações!$H$1:$H$2994=Tb_Mapa[[#This Row],[SEI]]&amp;Mapa!CK$3),Atualizações!$E$1:$E$2994),"NÃO")</f>
        <v>NÃO</v>
      </c>
      <c r="AS82" s="161" t="str" cm="1">
        <f t="array" ref="AS82">IFERROR(LOOKUP(2,1/(Atualizações!$H$1:$H$2994=Tb_Mapa[[#This Row],[SEI]]&amp;Mapa!CL$3),Atualizações!$E$1:$E$2994),"NÃO")</f>
        <v>NÃO</v>
      </c>
      <c r="AT82" s="161" t="str" cm="1">
        <f t="array" ref="AT82">IFERROR(LOOKUP(2,1/(Atualizações!$H$1:$H$2994=Tb_Mapa[[#This Row],[SEI]]&amp;Mapa!CM$3),Atualizações!$E$1:$E$2994),"NÃO")</f>
        <v>NÃO</v>
      </c>
      <c r="AU82" s="161" t="str" cm="1">
        <f t="array" ref="AU82">IFERROR(LOOKUP(2,1/(Atualizações!$H$1:$H$2994=Tb_Mapa[[#This Row],[SEI]]&amp;Mapa!CN$3),Atualizações!$E$1:$E$2994),"NÃO")</f>
        <v>NÃO</v>
      </c>
      <c r="AV82" s="161" t="str" cm="1">
        <f t="array" ref="AV82">IFERROR(LOOKUP(2,1/(Atualizações!$H$1:$H$2994=Tb_Mapa[[#This Row],[SEI]]&amp;Mapa!CO$3),Atualizações!$E$1:$E$2994),"NÃO")</f>
        <v>NÃO</v>
      </c>
      <c r="AW82" s="161" t="str" cm="1">
        <f t="array" ref="AW82">IFERROR(LOOKUP(2,1/(Atualizações!$H$1:$H$2994=Tb_Mapa[[#This Row],[SEI]]&amp;Mapa!CP$3),Atualizações!$E$1:$E$2994),"NÃO")</f>
        <v>NÃO</v>
      </c>
      <c r="AX82" s="161" t="str" cm="1">
        <f t="array" ref="AX82">IFERROR(LOOKUP(2,1/(Atualizações!$H$1:$H$2994=Tb_Mapa[[#This Row],[SEI]]&amp;Mapa!CQ$3),Atualizações!$E$1:$E$2994),"NÃO")</f>
        <v>NÃO</v>
      </c>
    </row>
    <row r="83" spans="2:50" ht="32.25" hidden="1" customHeight="1">
      <c r="B83" s="74" t="s">
        <v>376</v>
      </c>
      <c r="C83" s="23" t="str">
        <f>_xlfn.XLOOKUP(Tb_Mapa[[#This Row],[SEI]],Tb_Portfólio[SEI],Tb_Portfólio[Portfólio 2025],"",0)</f>
        <v>Sim</v>
      </c>
      <c r="D83" s="158" t="str">
        <f>_xlfn.XLOOKUP(Tb_Mapa[[#This Row],[SEI]],Tb_Portfólio[SEI],Tb_Portfólio[Portfólio 2026],"",0)</f>
        <v>Não</v>
      </c>
      <c r="E83" s="162" t="str">
        <f>_xlfn.XLOOKUP(Tb_Mapa[[#This Row],[SEI]],Tb_Portfólio[SEI],Tb_Portfólio[PROJETO],"",0)</f>
        <v>Nacionalização SAREF - Sistema de Apresentação Remota por Reconhecimento Facial</v>
      </c>
      <c r="F83" s="170" t="str">
        <f>INDEX(Projetos!$G$3:$G$129,MATCH(B83,Projetos!$A$3:$A$129,0))</f>
        <v>Marcelo da Rocha Santos</v>
      </c>
      <c r="G83" s="158" t="s">
        <v>1718</v>
      </c>
      <c r="H83" s="143" t="str">
        <f>INDEX(Projetos!$T$3:$T$129,MATCH(B83,Projetos!$A$3:$A$129,0))</f>
        <v>Justiça 4.0</v>
      </c>
      <c r="I83" s="310">
        <f>INDEX(Projetos!$M$3:$M$129,MATCH(Mapa!B32,Projetos!$A$3:$A$129,0))</f>
        <v>45657</v>
      </c>
      <c r="J83" s="164" t="str">
        <f>IF(Tb_Mapa[[#This Row],[SITUAÇÃO]]="Finalizado", "Data atualizada", IFERROR(IF(I83&lt;$CN$3,"Atualizar data de encerramento","Data atualizada"),"Sem informação"))</f>
        <v>Data atualizada</v>
      </c>
      <c r="K83" s="311">
        <f>INDEX(Projetos!$N$3:$N$129,MATCH(Mapa!B32,Projetos!$A$3:$A$129,0))</f>
        <v>1</v>
      </c>
      <c r="L83" s="311">
        <f>INDEX(Projetos!$O$3:$O$129,MATCH(Mapa!B32,Projetos!$A$3:$A$129,0))</f>
        <v>1</v>
      </c>
      <c r="M83" s="165" t="str">
        <f>_xlfn.XLOOKUP(Tb_Mapa[[#This Row],[SEI]],Tb_Portfólio[SEI],Tb_Portfólio[Situação],"N/A",0)</f>
        <v>Finalizado</v>
      </c>
      <c r="N83" s="128" t="str" cm="1">
        <f t="array" ref="N83">IFERROR(LOOKUP(2,1/(Atualizações!$H$1:$H$486=Mapa!$B32&amp;Mapa!BG$3),Atualizações!$E$1:$E$486),"NÃO")</f>
        <v>NÃO</v>
      </c>
      <c r="O83" s="205" t="str" cm="1">
        <f t="array" ref="O83">IFERROR(LOOKUP(2,1/(Atualizações!$H$1:$H$580=Mapa!$B32&amp;Mapa!BH$3),Atualizações!$E$1:$E$580),"NÃO")</f>
        <v>NÃO</v>
      </c>
      <c r="P83" s="205" t="str" cm="1">
        <f t="array" ref="P83">IFERROR(LOOKUP(2,1/(Atualizações!$H$1:$H$580=Mapa!$B32&amp;Mapa!BI$3),Atualizações!$E$1:$E$580),"NÃO")</f>
        <v>NÃO</v>
      </c>
      <c r="Q83" s="205" t="str" cm="1">
        <f t="array" ref="Q83">IFERROR(LOOKUP(2,1/(Atualizações!$H$1:$H$580=Mapa!$B32&amp;Mapa!BJ$3),Atualizações!$E$1:$E$580),"NÃO")</f>
        <v>NÃO</v>
      </c>
      <c r="R83" s="205" t="str" cm="1">
        <f t="array" ref="R83">IFERROR(LOOKUP(2,1/(Atualizações!$H$1:$H$580=Mapa!$B32&amp;Mapa!BK$3),Atualizações!$E$1:$E$580),"NÃO")</f>
        <v>NÃO</v>
      </c>
      <c r="S83" s="205" t="str" cm="1">
        <f t="array" ref="S83">IFERROR(LOOKUP(2,1/(Atualizações!$H$1:$H$580=Mapa!$B32&amp;Mapa!BL$3),Atualizações!$E$1:$E$580),"NÃO")</f>
        <v>NÃO</v>
      </c>
      <c r="T83" s="205" t="str" cm="1">
        <f t="array" ref="T83">IFERROR(LOOKUP(2,1/(Atualizações!$H$1:$H$580=Mapa!$B32&amp;Mapa!BM$3),Atualizações!$E$1:$E$580),"NÃO")</f>
        <v>NÃO</v>
      </c>
      <c r="U83" s="205" t="str" cm="1">
        <f t="array" ref="U83">IFERROR(LOOKUP(2,1/(Atualizações!$H$1:$H$580=Mapa!$B32&amp;Mapa!BN$3),Atualizações!$E$1:$E$580),"NÃO")</f>
        <v>NÃO</v>
      </c>
      <c r="V83" s="205" t="str" cm="1">
        <f t="array" ref="V83">IFERROR(LOOKUP(2,1/(Atualizações!$H$1:$H$580=Mapa!$B32&amp;Mapa!BO$3),Atualizações!$E$1:$E$580),"NÃO")</f>
        <v>NÃO</v>
      </c>
      <c r="W83" s="205" t="str" cm="1">
        <f t="array" ref="W83">IFERROR(LOOKUP(2,1/(Atualizações!$H$1:$H$580=Mapa!$B32&amp;Mapa!BP$3),Atualizações!$E$1:$E$580),"NÃO")</f>
        <v>NÃO</v>
      </c>
      <c r="X83" s="205" t="str" cm="1">
        <f t="array" ref="X83">IFERROR(LOOKUP(2,1/(Atualizações!$H$1:$H$580=Mapa!$B32&amp;Mapa!BQ$3),Atualizações!$E$1:$E$580),"NÃO")</f>
        <v>NÃO</v>
      </c>
      <c r="Y83" s="205" t="str" cm="1">
        <f t="array" ref="Y83">IFERROR(LOOKUP(2,1/(Atualizações!$H$1:$H$580=Mapa!$B32&amp;Mapa!BR$3),Atualizações!$E$1:$E$580),"NÃO")</f>
        <v>NÃO</v>
      </c>
      <c r="Z83" s="161" cm="1">
        <f t="array" ref="Z83">IFERROR(LOOKUP(2,1/(Atualizações!$H$1:$H$1029=Mapa!$B32&amp;Mapa!BS$3),Atualizações!$E$1:$E$1029),"NÃO")</f>
        <v>1</v>
      </c>
      <c r="AA83" s="161" t="str" cm="1">
        <f t="array" ref="AA83">IFERROR(LOOKUP(2,1/(Atualizações!$H$1:$H$1029=Mapa!$B32&amp;Mapa!BT$3),Atualizações!$E$1:$E$1029),"NÃO")</f>
        <v>NÃO</v>
      </c>
      <c r="AB83" s="161" t="str" cm="1">
        <f t="array" ref="AB83">IFERROR(LOOKUP(2,1/(Atualizações!$H$1:$H$1029=Mapa!$B32&amp;Mapa!BU$3),Atualizações!$E$1:$E$1029),"NÃO")</f>
        <v>NÃO</v>
      </c>
      <c r="AC83" s="161" t="str" cm="1">
        <f t="array" ref="AC83">IFERROR(LOOKUP(2,1/(Atualizações!$H$1:$H$1029=Mapa!$B32&amp;Mapa!BV$3),Atualizações!$E$1:$E$1029),"NÃO")</f>
        <v>NÃO</v>
      </c>
      <c r="AD83" s="161" t="str" cm="1">
        <f t="array" ref="AD83">IFERROR(LOOKUP(2,1/(Atualizações!$H$1:$H$1029=Mapa!$B32&amp;Mapa!BW$3),Atualizações!$E$1:$E$1029),"NÃO")</f>
        <v>NÃO</v>
      </c>
      <c r="AE83" s="161" t="str" cm="1">
        <f t="array" ref="AE83">IFERROR(LOOKUP(2,1/(Atualizações!$H$1:$H$1029=Mapa!$B32&amp;Mapa!BX$3),Atualizações!$E$1:$E$1029),"NÃO")</f>
        <v>NÃO</v>
      </c>
      <c r="AF83" s="161" t="str" cm="1">
        <f t="array" ref="AF83">IFERROR(LOOKUP(2,1/(Atualizações!$H$1:$H$1029=Mapa!$B32&amp;Mapa!BY$3),Atualizações!$E$1:$E$1029),"NÃO")</f>
        <v>NÃO</v>
      </c>
      <c r="AG83" s="161" t="str" cm="1">
        <f t="array" ref="AG83">IFERROR(LOOKUP(2,1/(Atualizações!$H$1:$H$1029=Mapa!$B32&amp;Mapa!BZ$3),Atualizações!$E$1:$E$1029),"NÃO")</f>
        <v>NÃO</v>
      </c>
      <c r="AH83" s="161" t="str" cm="1">
        <f t="array" ref="AH83">IFERROR(LOOKUP(2,1/(Atualizações!$H$1:$H$1029=Mapa!$B32&amp;Mapa!CA$3),Atualizações!$E$1:$E$1029),"NÃO")</f>
        <v>NÃO</v>
      </c>
      <c r="AI83" s="161" t="str" cm="1">
        <f t="array" ref="AI83">IFERROR(LOOKUP(2,1/(Atualizações!$H$1:$H$1029=Mapa!$B32&amp;Mapa!CB$3),Atualizações!$E$1:$E$1029),"NÃO")</f>
        <v>NÃO</v>
      </c>
      <c r="AJ83" s="161" t="str" cm="1">
        <f t="array" ref="AJ83">IFERROR(LOOKUP(2,1/(Atualizações!$H$1:$H$1029=Mapa!$B32&amp;Mapa!CC$3),Atualizações!$E$1:$E$1029),"NÃO")</f>
        <v>NÃO</v>
      </c>
      <c r="AK83" s="161" t="str" cm="1">
        <f t="array" ref="AK83">IFERROR(LOOKUP(2,1/(Atualizações!$H$1:$H$1029=Mapa!$B32&amp;Mapa!CD$3),Atualizações!$E$1:$E$1029),"NÃO")</f>
        <v>NÃO</v>
      </c>
      <c r="AL83" s="161" t="str" cm="1">
        <f t="array" ref="AL83">IFERROR(LOOKUP(2,1/(Atualizações!$H$1:$H$1265=Mapa!$B32&amp;Mapa!CE$3),Atualizações!$E$1:$E$2994),"NÃO")</f>
        <v>NÃO</v>
      </c>
      <c r="AM83" s="161" t="str" cm="1">
        <f t="array" ref="AM83">IFERROR(LOOKUP(2,1/(Atualizações!$H$1:$H$2994=Tb_Mapa[[#This Row],[SEI]]&amp;Mapa!CF$3),Atualizações!$E$1:$E$2994),"NÃO")</f>
        <v>NÃO</v>
      </c>
      <c r="AN83" s="161" t="str" cm="1">
        <f t="array" ref="AN83">IFERROR(LOOKUP(2,1/(Atualizações!$H$1:$H$2994=Tb_Mapa[[#This Row],[SEI]]&amp;Mapa!CG$3),Atualizações!$E$1:$E$2994),"NÃO")</f>
        <v>NÃO</v>
      </c>
      <c r="AO83" s="161" t="str" cm="1">
        <f t="array" ref="AO83">IFERROR(LOOKUP(2,1/(Atualizações!$H$1:$H$2994=Tb_Mapa[[#This Row],[SEI]]&amp;Mapa!CH$3),Atualizações!$E$1:$E$2994),"NÃO")</f>
        <v>NÃO</v>
      </c>
      <c r="AP83" s="161" t="str" cm="1">
        <f t="array" ref="AP83">IFERROR(LOOKUP(2,1/(Atualizações!$H$1:$H$2994=Tb_Mapa[[#This Row],[SEI]]&amp;Mapa!CI$3),Atualizações!$E$1:$E$2994),"NÃO")</f>
        <v>NÃO</v>
      </c>
      <c r="AQ83" s="161" t="str" cm="1">
        <f t="array" ref="AQ83">IFERROR(LOOKUP(2,1/(Atualizações!$H$1:$H$2994=Tb_Mapa[[#This Row],[SEI]]&amp;Mapa!CJ$3),Atualizações!$E$1:$E$2994),"NÃO")</f>
        <v>NÃO</v>
      </c>
      <c r="AR83" s="161" t="str" cm="1">
        <f t="array" ref="AR83">IFERROR(LOOKUP(2,1/(Atualizações!$H$1:$H$2994=Tb_Mapa[[#This Row],[SEI]]&amp;Mapa!CK$3),Atualizações!$E$1:$E$2994),"NÃO")</f>
        <v>NÃO</v>
      </c>
      <c r="AS83" s="161" t="str" cm="1">
        <f t="array" ref="AS83">IFERROR(LOOKUP(2,1/(Atualizações!$H$1:$H$2994=Tb_Mapa[[#This Row],[SEI]]&amp;Mapa!CL$3),Atualizações!$E$1:$E$2994),"NÃO")</f>
        <v>NÃO</v>
      </c>
      <c r="AT83" s="161" t="str" cm="1">
        <f t="array" ref="AT83">IFERROR(LOOKUP(2,1/(Atualizações!$H$1:$H$2994=Tb_Mapa[[#This Row],[SEI]]&amp;Mapa!CM$3),Atualizações!$E$1:$E$2994),"NÃO")</f>
        <v>NÃO</v>
      </c>
      <c r="AU83" s="161" t="str" cm="1">
        <f t="array" ref="AU83">IFERROR(LOOKUP(2,1/(Atualizações!$H$1:$H$2994=Tb_Mapa[[#This Row],[SEI]]&amp;Mapa!CN$3),Atualizações!$E$1:$E$2994),"NÃO")</f>
        <v>NÃO</v>
      </c>
      <c r="AV83" s="161" t="str" cm="1">
        <f t="array" ref="AV83">IFERROR(LOOKUP(2,1/(Atualizações!$H$1:$H$2994=Tb_Mapa[[#This Row],[SEI]]&amp;Mapa!CO$3),Atualizações!$E$1:$E$2994),"NÃO")</f>
        <v>NÃO</v>
      </c>
      <c r="AW83" s="161" t="str" cm="1">
        <f t="array" ref="AW83">IFERROR(LOOKUP(2,1/(Atualizações!$H$1:$H$2994=Tb_Mapa[[#This Row],[SEI]]&amp;Mapa!CP$3),Atualizações!$E$1:$E$2994),"NÃO")</f>
        <v>NÃO</v>
      </c>
      <c r="AX83" s="161" t="str" cm="1">
        <f t="array" ref="AX83">IFERROR(LOOKUP(2,1/(Atualizações!$H$1:$H$2994=Tb_Mapa[[#This Row],[SEI]]&amp;Mapa!CQ$3),Atualizações!$E$1:$E$2994),"NÃO")</f>
        <v>NÃO</v>
      </c>
    </row>
    <row r="84" spans="2:50" ht="32.25" hidden="1" customHeight="1">
      <c r="B84" s="46" t="s">
        <v>773</v>
      </c>
      <c r="C84" s="51" t="str">
        <f>_xlfn.XLOOKUP(Tb_Mapa[[#This Row],[SEI]],Tb_Portfólio[SEI],Tb_Portfólio[Portfólio 2025],"",0)</f>
        <v>Sim</v>
      </c>
      <c r="D84" s="158" t="str">
        <f>_xlfn.XLOOKUP(Tb_Mapa[[#This Row],[SEI]],Tb_Portfólio[SEI],Tb_Portfólio[Portfólio 2026],"",0)</f>
        <v>Sim</v>
      </c>
      <c r="E84" s="162" t="str">
        <f>_xlfn.XLOOKUP(Tb_Mapa[[#This Row],[SEI]],Tb_Portfólio[SEI],Tb_Portfólio[PROJETO],"",0)</f>
        <v>API de Pessoas</v>
      </c>
      <c r="F84" s="143" t="str">
        <f>INDEX(Projetos!$G$3:$G$129,MATCH(Tb_Mapa[[#This Row],[SEI]],Projetos!$A$3:$A$129,0))</f>
        <v>Renato Toshiyuki Murasaki</v>
      </c>
      <c r="G84" s="160" t="s">
        <v>1710</v>
      </c>
      <c r="H84" s="166" t="str">
        <f>INDEX(Projetos!$T$3:$T$129,MATCH(B84,Projetos!$A$3:$A$129,0))</f>
        <v>Justiça 4.0</v>
      </c>
      <c r="I84" s="310">
        <f>INDEX(Projetos!$M$3:$M$129,MATCH(Tb_Mapa[[#This Row],[SEI]],Projetos!$A$3:$A$129,0))</f>
        <v>46371</v>
      </c>
      <c r="J84" s="164" t="str">
        <f ca="1">IF(Tb_Mapa[[#This Row],[SITUAÇÃO]]="Finalizado", "Data atualizada", IFERROR(IF(Tb_Mapa[[#This Row],[DATA DE TÉRMINO]]&lt;$I$1,"Atualizar data de encerramento","Data atualizada"),"Sem informação"))</f>
        <v>Data atualizada</v>
      </c>
      <c r="K84" s="311">
        <f>INDEX(Projetos!$N$3:$N$129,MATCH(Tb_Mapa[[#This Row],[SEI]],Projetos!$A$3:$A$129,0))</f>
        <v>0.7</v>
      </c>
      <c r="L84" s="311">
        <f>INDEX(Projetos!$O$3:$O$129,MATCH(Tb_Mapa[[#This Row],[SEI]],Projetos!$A$3:$A$129,0))</f>
        <v>0.5</v>
      </c>
      <c r="M84" s="165" t="str">
        <f ca="1">_xlfn.XLOOKUP(Tb_Mapa[[#This Row],[SEI]],Tb_Portfólio[SEI],Tb_Portfólio[Situação],"N/A",0)</f>
        <v>Atrasado ou Crítico</v>
      </c>
      <c r="N84" s="128" t="str" cm="1">
        <f t="array" ref="N84">IFERROR(LOOKUP(2,1/(Atualizações!$H$1:$H$486=Mapa!$B100&amp;Mapa!BG$3),Atualizações!$E$1:$E$486),"NÃO")</f>
        <v>NÃO</v>
      </c>
      <c r="O84" s="205"/>
      <c r="P84" s="205"/>
      <c r="Q84" s="205"/>
      <c r="R84" s="205"/>
      <c r="S84" s="205"/>
      <c r="T84" s="205"/>
      <c r="U84" s="205"/>
      <c r="V84" s="205"/>
      <c r="W84" s="205"/>
      <c r="X84" s="205"/>
      <c r="Y84" s="205"/>
      <c r="Z84" s="161"/>
      <c r="AA84" s="691"/>
      <c r="AB84" s="691"/>
      <c r="AC84" s="161" t="str" cm="1">
        <f t="array" ref="AC84">IFERROR(LOOKUP(2,1/(Atualizações!$H$1:$H$1029=Mapa!$B100&amp;Mapa!BV$3),Atualizações!$E$1:$E$1029),"NÃO")</f>
        <v>NÃO</v>
      </c>
      <c r="AD84" s="161" t="str" cm="1">
        <f t="array" ref="AD84">IFERROR(LOOKUP(2,1/(Atualizações!$H$1:$H$1029=Mapa!$B100&amp;Mapa!BW$3),Atualizações!$E$1:$E$1029),"NÃO")</f>
        <v>NÃO</v>
      </c>
      <c r="AE84" s="161" t="str" cm="1">
        <f t="array" ref="AE84">IFERROR(LOOKUP(2,1/(Atualizações!$H$1:$H$1029=Mapa!$B100&amp;Mapa!BX$3),Atualizações!$E$1:$E$1029),"NÃO")</f>
        <v>NÃO</v>
      </c>
      <c r="AF84" s="161" t="str" cm="1">
        <f t="array" ref="AF84">IFERROR(LOOKUP(2,1/(Atualizações!$H$1:$H$1029=Mapa!$B100&amp;Mapa!BY$3),Atualizações!$E$1:$E$1029),"NÃO")</f>
        <v>NÃO</v>
      </c>
      <c r="AG84" s="161" t="str" cm="1">
        <f t="array" ref="AG84">IFERROR(LOOKUP(2,1/(Atualizações!$H$1:$H$1029=Mapa!$B100&amp;Mapa!BZ$3),Atualizações!$E$1:$E$1029),"NÃO")</f>
        <v>NÃO</v>
      </c>
      <c r="AH84" s="161" t="str" cm="1">
        <f t="array" ref="AH84">IFERROR(LOOKUP(2,1/(Atualizações!$H$1:$H$1029=Mapa!$B100&amp;Mapa!CA$3),Atualizações!$E$1:$E$1029),"NÃO")</f>
        <v>NÃO</v>
      </c>
      <c r="AI84" s="161" t="str" cm="1">
        <f t="array" ref="AI84">IFERROR(LOOKUP(2,1/(Atualizações!$H$1:$H$1029=Mapa!$B100&amp;Mapa!CB$3),Atualizações!$E$1:$E$1029),"NÃO")</f>
        <v>NÃO</v>
      </c>
      <c r="AJ84" s="161" t="str" cm="1">
        <f t="array" ref="AJ84">IFERROR(LOOKUP(2,1/(Atualizações!$H$1:$H$1029=Mapa!$B100&amp;Mapa!CC$3),Atualizações!$E$1:$E$1029),"NÃO")</f>
        <v>NÃO</v>
      </c>
      <c r="AK84" s="161" t="str" cm="1">
        <f t="array" ref="AK84">IFERROR(LOOKUP(2,1/(Atualizações!$H$1:$H$1029=Mapa!$B100&amp;Mapa!CD$3),Atualizações!$E$1:$E$1029),"NÃO")</f>
        <v>NÃO</v>
      </c>
      <c r="AL84" s="161" t="str" cm="1">
        <f t="array" ref="AL84">IFERROR(LOOKUP(2,1/(Atualizações!$H$1:$H$1265=Mapa!$B100&amp;Mapa!CE$3),Atualizações!$E$1:$E$2994),"NÃO")</f>
        <v>NÃO</v>
      </c>
      <c r="AM84" s="161" t="str" cm="1">
        <f t="array" ref="AM84">IFERROR(LOOKUP(2,1/(Atualizações!$H$1:$H$2994=Tb_Mapa[[#This Row],[SEI]]&amp;Mapa!CF$3),Atualizações!$E$1:$E$2994),"NÃO")</f>
        <v>NÃO</v>
      </c>
      <c r="AN84" s="161" cm="1">
        <f t="array" ref="AN84">IFERROR(LOOKUP(2,1/(Atualizações!$H$1:$H$2994=Tb_Mapa[[#This Row],[SEI]]&amp;Mapa!CG$3),Atualizações!$E$1:$E$2994),"NÃO")</f>
        <v>0.77</v>
      </c>
      <c r="AO84" s="161" cm="1">
        <f t="array" ref="AO84">IFERROR(LOOKUP(2,1/(Atualizações!$H$1:$H$2994=Tb_Mapa[[#This Row],[SEI]]&amp;Mapa!CH$3),Atualizações!$E$1:$E$2994),"NÃO")</f>
        <v>0.79</v>
      </c>
      <c r="AP84" s="161" cm="1">
        <f t="array" ref="AP84">IFERROR(LOOKUP(2,1/(Atualizações!$H$1:$H$2994=Tb_Mapa[[#This Row],[SEI]]&amp;Mapa!CI$3),Atualizações!$E$1:$E$2994),"NÃO")</f>
        <v>0.43</v>
      </c>
      <c r="AQ84" s="161" cm="1">
        <f t="array" ref="AQ84">IFERROR(LOOKUP(2,1/(Atualizações!$H$1:$H$2994=Tb_Mapa[[#This Row],[SEI]]&amp;Mapa!CJ$3),Atualizações!$E$1:$E$2994),"NÃO")</f>
        <v>0.5</v>
      </c>
      <c r="AR84" s="161" t="str" cm="1">
        <f t="array" ref="AR84">IFERROR(LOOKUP(2,1/(Atualizações!$H$1:$H$2994=Tb_Mapa[[#This Row],[SEI]]&amp;Mapa!CK$3),Atualizações!$E$1:$E$2994),"NÃO")</f>
        <v>NÃO</v>
      </c>
      <c r="AS84" s="161" t="str" cm="1">
        <f t="array" ref="AS84">IFERROR(LOOKUP(2,1/(Atualizações!$H$1:$H$2994=Tb_Mapa[[#This Row],[SEI]]&amp;Mapa!CL$3),Atualizações!$E$1:$E$2994),"NÃO")</f>
        <v>NÃO</v>
      </c>
      <c r="AT84" s="161" t="str" cm="1">
        <f t="array" ref="AT84">IFERROR(LOOKUP(2,1/(Atualizações!$H$1:$H$2994=Tb_Mapa[[#This Row],[SEI]]&amp;Mapa!CM$3),Atualizações!$E$1:$E$2994),"NÃO")</f>
        <v>NÃO</v>
      </c>
      <c r="AU84" s="161" t="str" cm="1">
        <f t="array" ref="AU84">IFERROR(LOOKUP(2,1/(Atualizações!$H$1:$H$2994=Tb_Mapa[[#This Row],[SEI]]&amp;Mapa!CN$3),Atualizações!$E$1:$E$2994),"NÃO")</f>
        <v>NÃO</v>
      </c>
      <c r="AV84" s="161" t="str" cm="1">
        <f t="array" ref="AV84">IFERROR(LOOKUP(2,1/(Atualizações!$H$1:$H$2994=Tb_Mapa[[#This Row],[SEI]]&amp;Mapa!CO$3),Atualizações!$E$1:$E$2994),"NÃO")</f>
        <v>NÃO</v>
      </c>
      <c r="AW84" s="161" t="str" cm="1">
        <f t="array" ref="AW84">IFERROR(LOOKUP(2,1/(Atualizações!$H$1:$H$2994=Tb_Mapa[[#This Row],[SEI]]&amp;Mapa!CP$3),Atualizações!$E$1:$E$2994),"NÃO")</f>
        <v>NÃO</v>
      </c>
      <c r="AX84" s="161" t="str" cm="1">
        <f t="array" ref="AX84">IFERROR(LOOKUP(2,1/(Atualizações!$H$1:$H$2994=Tb_Mapa[[#This Row],[SEI]]&amp;Mapa!CQ$3),Atualizações!$E$1:$E$2994),"NÃO")</f>
        <v>NÃO</v>
      </c>
    </row>
    <row r="85" spans="2:50" ht="32.25" hidden="1" customHeight="1">
      <c r="B85" s="308" t="s">
        <v>341</v>
      </c>
      <c r="C85" s="678" t="str">
        <f>_xlfn.XLOOKUP(Tb_Mapa[[#This Row],[SEI]],Tb_Portfólio[SEI],Tb_Portfólio[Portfólio 2025],"",0)</f>
        <v>Não</v>
      </c>
      <c r="D85" s="158" t="str">
        <f>_xlfn.XLOOKUP(Tb_Mapa[[#This Row],[SEI]],Tb_Portfólio[SEI],Tb_Portfólio[Portfólio 2026],"",0)</f>
        <v>Não</v>
      </c>
      <c r="E85" s="162" t="str">
        <f>_xlfn.XLOOKUP(Tb_Mapa[[#This Row],[SEI]],Tb_Portfólio[SEI],Tb_Portfólio[PROJETO],"",0)</f>
        <v>PMO Jud -Redesenho dos processos do Escritório de Projetos do CNJ</v>
      </c>
      <c r="F85" s="170" t="str">
        <f>INDEX(Projetos!$G$3:$G$129,MATCH(B85,Projetos!$A$3:$A$129,0))</f>
        <v>Claudia Lopes Correa</v>
      </c>
      <c r="G85" s="163" t="s">
        <v>1721</v>
      </c>
      <c r="H85" s="143" t="str">
        <f>INDEX(Projetos!$T$3:$T$129,MATCH(B85,Projetos!$A$3:$A$129,0))</f>
        <v>Justiça 4.0</v>
      </c>
      <c r="I85" s="310">
        <f>INDEX(Projetos!$M$3:$M$129,MATCH(Mapa!B20,Projetos!$A$3:$A$129,0))</f>
        <v>45657</v>
      </c>
      <c r="J85" s="164" t="str">
        <f>IF(Tb_Mapa[[#This Row],[SITUAÇÃO]]="Finalizado", "Data atualizada", IFERROR(IF(I85&lt;$CN$3,"Atualizar data de encerramento","Data atualizada"),"Sem informação"))</f>
        <v>Data atualizada</v>
      </c>
      <c r="K85" s="311">
        <f>INDEX(Projetos!$N$3:$N$129,MATCH(Mapa!B20,Projetos!$A$3:$A$129,0))</f>
        <v>1</v>
      </c>
      <c r="L85" s="311">
        <f>INDEX(Projetos!$O$3:$O$129,MATCH(Mapa!B20,Projetos!$A$3:$A$129,0))</f>
        <v>1</v>
      </c>
      <c r="M85" s="165" t="str">
        <f>_xlfn.XLOOKUP(Tb_Mapa[[#This Row],[SEI]],Tb_Portfólio[SEI],Tb_Portfólio[Situação],"N/A",0)</f>
        <v>Finalizado</v>
      </c>
      <c r="N85" s="128" t="str" cm="1">
        <f t="array" ref="N85">IFERROR(LOOKUP(2,1/(Atualizações!$H$1:$H$486=Mapa!$B20&amp;Mapa!BG$3),Atualizações!$E$1:$E$486),"NÃO")</f>
        <v>NÃO</v>
      </c>
      <c r="O85" s="205" t="str" cm="1">
        <f t="array" ref="O85">IFERROR(LOOKUP(2,1/(Atualizações!$H$1:$H$580=Mapa!$B20&amp;Mapa!BH$3),Atualizações!$E$1:$E$580),"NÃO")</f>
        <v>NÃO</v>
      </c>
      <c r="P85" s="205" t="str" cm="1">
        <f t="array" ref="P85">IFERROR(LOOKUP(2,1/(Atualizações!$H$1:$H$580=Mapa!$B20&amp;Mapa!BI$3),Atualizações!$E$1:$E$580),"NÃO")</f>
        <v>NÃO</v>
      </c>
      <c r="Q85" s="205" t="str" cm="1">
        <f t="array" ref="Q85">IFERROR(LOOKUP(2,1/(Atualizações!$H$1:$H$580=Mapa!$B20&amp;Mapa!BJ$3),Atualizações!$E$1:$E$580),"NÃO")</f>
        <v>NÃO</v>
      </c>
      <c r="R85" s="205" t="str" cm="1">
        <f t="array" ref="R85">IFERROR(LOOKUP(2,1/(Atualizações!$H$1:$H$580=Mapa!$B20&amp;Mapa!BK$3),Atualizações!$E$1:$E$580),"NÃO")</f>
        <v>NÃO</v>
      </c>
      <c r="S85" s="205" t="str" cm="1">
        <f t="array" ref="S85">IFERROR(LOOKUP(2,1/(Atualizações!$H$1:$H$580=Mapa!$B20&amp;Mapa!BL$3),Atualizações!$E$1:$E$580),"NÃO")</f>
        <v>NÃO</v>
      </c>
      <c r="T85" s="205" t="str" cm="1">
        <f t="array" ref="T85">IFERROR(LOOKUP(2,1/(Atualizações!$H$1:$H$580=Mapa!$B20&amp;Mapa!BM$3),Atualizações!$E$1:$E$580),"NÃO")</f>
        <v>NÃO</v>
      </c>
      <c r="U85" s="205" t="str" cm="1">
        <f t="array" ref="U85">IFERROR(LOOKUP(2,1/(Atualizações!$H$1:$H$580=Mapa!$B20&amp;Mapa!BN$3),Atualizações!$E$1:$E$580),"NÃO")</f>
        <v>NÃO</v>
      </c>
      <c r="V85" s="205" t="str" cm="1">
        <f t="array" ref="V85">IFERROR(LOOKUP(2,1/(Atualizações!$H$1:$H$580=Mapa!$B20&amp;Mapa!BO$3),Atualizações!$E$1:$E$580),"NÃO")</f>
        <v>NÃO</v>
      </c>
      <c r="W85" s="205" t="str" cm="1">
        <f t="array" ref="W85">IFERROR(LOOKUP(2,1/(Atualizações!$H$1:$H$580=Mapa!$B20&amp;Mapa!BP$3),Atualizações!$E$1:$E$580),"NÃO")</f>
        <v>NÃO</v>
      </c>
      <c r="X85" s="205" t="str" cm="1">
        <f t="array" ref="X85">IFERROR(LOOKUP(2,1/(Atualizações!$H$1:$H$580=Mapa!$B20&amp;Mapa!BQ$3),Atualizações!$E$1:$E$580),"NÃO")</f>
        <v>NÃO</v>
      </c>
      <c r="Y85" s="205" t="str" cm="1">
        <f t="array" ref="Y85">IFERROR(LOOKUP(2,1/(Atualizações!$H$1:$H$580=Mapa!$B20&amp;Mapa!BR$3),Atualizações!$E$1:$E$580),"NÃO")</f>
        <v>NÃO</v>
      </c>
      <c r="Z85" s="161" cm="1">
        <f t="array" ref="Z85">IFERROR(LOOKUP(2,1/(Atualizações!$H$1:$H$1029=Mapa!$B20&amp;Mapa!BS$3),Atualizações!$E$1:$E$1029),"NÃO")</f>
        <v>1</v>
      </c>
      <c r="AA85" s="161" t="str" cm="1">
        <f t="array" ref="AA85">IFERROR(LOOKUP(2,1/(Atualizações!$H$1:$H$1029=Mapa!$B20&amp;Mapa!BT$3),Atualizações!$E$1:$E$1029),"NÃO")</f>
        <v>NÃO</v>
      </c>
      <c r="AB85" s="161" t="str" cm="1">
        <f t="array" ref="AB85">IFERROR(LOOKUP(2,1/(Atualizações!$H$1:$H$1029=Mapa!$B20&amp;Mapa!BU$3),Atualizações!$E$1:$E$1029),"NÃO")</f>
        <v>NÃO</v>
      </c>
      <c r="AC85" s="161" t="str" cm="1">
        <f t="array" ref="AC85">IFERROR(LOOKUP(2,1/(Atualizações!$H$1:$H$1029=Mapa!$B20&amp;Mapa!BV$3),Atualizações!$E$1:$E$1029),"NÃO")</f>
        <v>NÃO</v>
      </c>
      <c r="AD85" s="161" t="str" cm="1">
        <f t="array" ref="AD85">IFERROR(LOOKUP(2,1/(Atualizações!$H$1:$H$1029=Mapa!$B20&amp;Mapa!BW$3),Atualizações!$E$1:$E$1029),"NÃO")</f>
        <v>NÃO</v>
      </c>
      <c r="AE85" s="161" t="str" cm="1">
        <f t="array" ref="AE85">IFERROR(LOOKUP(2,1/(Atualizações!$H$1:$H$1029=Mapa!$B20&amp;Mapa!BX$3),Atualizações!$E$1:$E$1029),"NÃO")</f>
        <v>NÃO</v>
      </c>
      <c r="AF85" s="161" t="str" cm="1">
        <f t="array" ref="AF85">IFERROR(LOOKUP(2,1/(Atualizações!$H$1:$H$1029=Mapa!$B20&amp;Mapa!BY$3),Atualizações!$E$1:$E$1029),"NÃO")</f>
        <v>NÃO</v>
      </c>
      <c r="AG85" s="161" t="str" cm="1">
        <f t="array" ref="AG85">IFERROR(LOOKUP(2,1/(Atualizações!$H$1:$H$1029=Mapa!$B20&amp;Mapa!BZ$3),Atualizações!$E$1:$E$1029),"NÃO")</f>
        <v>NÃO</v>
      </c>
      <c r="AH85" s="161" t="str" cm="1">
        <f t="array" ref="AH85">IFERROR(LOOKUP(2,1/(Atualizações!$H$1:$H$1029=Mapa!$B20&amp;Mapa!CA$3),Atualizações!$E$1:$E$1029),"NÃO")</f>
        <v>NÃO</v>
      </c>
      <c r="AI85" s="161" t="str" cm="1">
        <f t="array" ref="AI85">IFERROR(LOOKUP(2,1/(Atualizações!$H$1:$H$1029=Mapa!$B20&amp;Mapa!CB$3),Atualizações!$E$1:$E$1029),"NÃO")</f>
        <v>NÃO</v>
      </c>
      <c r="AJ85" s="161" t="str" cm="1">
        <f t="array" ref="AJ85">IFERROR(LOOKUP(2,1/(Atualizações!$H$1:$H$1029=Mapa!$B20&amp;Mapa!CC$3),Atualizações!$E$1:$E$1029),"NÃO")</f>
        <v>NÃO</v>
      </c>
      <c r="AK85" s="161" t="str" cm="1">
        <f t="array" ref="AK85">IFERROR(LOOKUP(2,1/(Atualizações!$H$1:$H$1029=Mapa!$B20&amp;Mapa!CD$3),Atualizações!$E$1:$E$1029),"NÃO")</f>
        <v>NÃO</v>
      </c>
      <c r="AL85" s="161" t="str" cm="1">
        <f t="array" ref="AL85">IFERROR(LOOKUP(2,1/(Atualizações!$H$1:$H$1265=Mapa!$B20&amp;Mapa!CE$3),Atualizações!$E$1:$E$2994),"NÃO")</f>
        <v>NÃO</v>
      </c>
      <c r="AM85" s="161" t="str" cm="1">
        <f t="array" ref="AM85">IFERROR(LOOKUP(2,1/(Atualizações!$H$1:$H$2994=Tb_Mapa[[#This Row],[SEI]]&amp;Mapa!CF$3),Atualizações!$E$1:$E$2994),"NÃO")</f>
        <v>NÃO</v>
      </c>
      <c r="AN85" s="161" t="str" cm="1">
        <f t="array" ref="AN85">IFERROR(LOOKUP(2,1/(Atualizações!$H$1:$H$2994=Tb_Mapa[[#This Row],[SEI]]&amp;Mapa!CG$3),Atualizações!$E$1:$E$2994),"NÃO")</f>
        <v>NÃO</v>
      </c>
      <c r="AO85" s="161" t="str" cm="1">
        <f t="array" ref="AO85">IFERROR(LOOKUP(2,1/(Atualizações!$H$1:$H$2994=Tb_Mapa[[#This Row],[SEI]]&amp;Mapa!CH$3),Atualizações!$E$1:$E$2994),"NÃO")</f>
        <v>NÃO</v>
      </c>
      <c r="AP85" s="161" t="str" cm="1">
        <f t="array" ref="AP85">IFERROR(LOOKUP(2,1/(Atualizações!$H$1:$H$2994=Tb_Mapa[[#This Row],[SEI]]&amp;Mapa!CI$3),Atualizações!$E$1:$E$2994),"NÃO")</f>
        <v>NÃO</v>
      </c>
      <c r="AQ85" s="161" t="str" cm="1">
        <f t="array" ref="AQ85">IFERROR(LOOKUP(2,1/(Atualizações!$H$1:$H$2994=Tb_Mapa[[#This Row],[SEI]]&amp;Mapa!CJ$3),Atualizações!$E$1:$E$2994),"NÃO")</f>
        <v>NÃO</v>
      </c>
      <c r="AR85" s="161" t="str" cm="1">
        <f t="array" ref="AR85">IFERROR(LOOKUP(2,1/(Atualizações!$H$1:$H$2994=Tb_Mapa[[#This Row],[SEI]]&amp;Mapa!CK$3),Atualizações!$E$1:$E$2994),"NÃO")</f>
        <v>NÃO</v>
      </c>
      <c r="AS85" s="161" t="str" cm="1">
        <f t="array" ref="AS85">IFERROR(LOOKUP(2,1/(Atualizações!$H$1:$H$2994=Tb_Mapa[[#This Row],[SEI]]&amp;Mapa!CL$3),Atualizações!$E$1:$E$2994),"NÃO")</f>
        <v>NÃO</v>
      </c>
      <c r="AT85" s="161" t="str" cm="1">
        <f t="array" ref="AT85">IFERROR(LOOKUP(2,1/(Atualizações!$H$1:$H$2994=Tb_Mapa[[#This Row],[SEI]]&amp;Mapa!CM$3),Atualizações!$E$1:$E$2994),"NÃO")</f>
        <v>NÃO</v>
      </c>
      <c r="AU85" s="161" t="str" cm="1">
        <f t="array" ref="AU85">IFERROR(LOOKUP(2,1/(Atualizações!$H$1:$H$2994=Tb_Mapa[[#This Row],[SEI]]&amp;Mapa!CN$3),Atualizações!$E$1:$E$2994),"NÃO")</f>
        <v>NÃO</v>
      </c>
      <c r="AV85" s="161" t="str" cm="1">
        <f t="array" ref="AV85">IFERROR(LOOKUP(2,1/(Atualizações!$H$1:$H$2994=Tb_Mapa[[#This Row],[SEI]]&amp;Mapa!CO$3),Atualizações!$E$1:$E$2994),"NÃO")</f>
        <v>NÃO</v>
      </c>
      <c r="AW85" s="161" t="str" cm="1">
        <f t="array" ref="AW85">IFERROR(LOOKUP(2,1/(Atualizações!$H$1:$H$2994=Tb_Mapa[[#This Row],[SEI]]&amp;Mapa!CP$3),Atualizações!$E$1:$E$2994),"NÃO")</f>
        <v>NÃO</v>
      </c>
      <c r="AX85" s="161" t="str" cm="1">
        <f t="array" ref="AX85">IFERROR(LOOKUP(2,1/(Atualizações!$H$1:$H$2994=Tb_Mapa[[#This Row],[SEI]]&amp;Mapa!CQ$3),Atualizações!$E$1:$E$2994),"NÃO")</f>
        <v>NÃO</v>
      </c>
    </row>
    <row r="86" spans="2:50" ht="32.25" hidden="1" customHeight="1">
      <c r="B86" s="308" t="s">
        <v>331</v>
      </c>
      <c r="C86" s="158" t="str">
        <f>_xlfn.XLOOKUP(Tb_Mapa[[#This Row],[SEI]],Tb_Portfólio[SEI],Tb_Portfólio[Portfólio 2025],"",0)</f>
        <v>Não</v>
      </c>
      <c r="D86" s="158" t="str">
        <f>_xlfn.XLOOKUP(Tb_Mapa[[#This Row],[SEI]],Tb_Portfólio[SEI],Tb_Portfólio[Portfólio 2026],"",0)</f>
        <v>Não</v>
      </c>
      <c r="E86" s="162" t="str">
        <f>_xlfn.XLOOKUP(Tb_Mapa[[#This Row],[SEI]],Tb_Portfólio[SEI],Tb_Portfólio[PROJETO],"",0)</f>
        <v>SNIPER - Justiça 4.0</v>
      </c>
      <c r="F86" s="694" t="str">
        <f>INDEX(Projetos!$G$3:$G$129,MATCH(B86,Projetos!$A$3:$A$129,0))</f>
        <v>Carlo Borsoi Moura</v>
      </c>
      <c r="G86" s="163" t="s">
        <v>1712</v>
      </c>
      <c r="H86" s="166" t="str">
        <f>INDEX(Projetos!$T$3:$T$129,MATCH(B86,Projetos!$A$3:$A$129,0))</f>
        <v>Justiça 4.0</v>
      </c>
      <c r="I86" s="310">
        <f>INDEX(Projetos!$M$3:$M$129,MATCH(Mapa!B27,Projetos!$A$3:$A$129,0))</f>
        <v>45657</v>
      </c>
      <c r="J86" s="164" t="str">
        <f>IF(Tb_Mapa[[#This Row],[SITUAÇÃO]]="Finalizado", "Data atualizada", IFERROR(IF(I86&lt;$CN$3,"Atualizar data de encerramento","Data atualizada"),"Sem informação"))</f>
        <v>Data atualizada</v>
      </c>
      <c r="K86" s="311">
        <f>INDEX(Projetos!$N$3:$N$129,MATCH(Mapa!B27,Projetos!$A$3:$A$129,0))</f>
        <v>1</v>
      </c>
      <c r="L86" s="311">
        <f>INDEX(Projetos!$O$3:$O$129,MATCH(Mapa!B27,Projetos!$A$3:$A$129,0))</f>
        <v>1</v>
      </c>
      <c r="M86" s="165" t="str">
        <f>_xlfn.XLOOKUP(Tb_Mapa[[#This Row],[SEI]],Tb_Portfólio[SEI],Tb_Portfólio[Situação],"N/A",0)</f>
        <v>Finalizado</v>
      </c>
      <c r="N86" s="128" t="str" cm="1">
        <f t="array" ref="N86">IFERROR(LOOKUP(2,1/(Atualizações!$H$1:$H$486=Mapa!$B27&amp;Mapa!BG$3),Atualizações!$E$1:$E$486),"NÃO")</f>
        <v>NÃO</v>
      </c>
      <c r="O86" s="205" t="str" cm="1">
        <f t="array" ref="O86">IFERROR(LOOKUP(2,1/(Atualizações!$H$1:$H$580=Mapa!$B27&amp;Mapa!BH$3),Atualizações!$E$1:$E$580),"NÃO")</f>
        <v>NÃO</v>
      </c>
      <c r="P86" s="205" t="str" cm="1">
        <f t="array" ref="P86">IFERROR(LOOKUP(2,1/(Atualizações!$H$1:$H$580=Mapa!$B27&amp;Mapa!BI$3),Atualizações!$E$1:$E$580),"NÃO")</f>
        <v>NÃO</v>
      </c>
      <c r="Q86" s="205" t="str" cm="1">
        <f t="array" ref="Q86">IFERROR(LOOKUP(2,1/(Atualizações!$H$1:$H$580=Mapa!$B27&amp;Mapa!BJ$3),Atualizações!$E$1:$E$580),"NÃO")</f>
        <v>NÃO</v>
      </c>
      <c r="R86" s="205" t="str" cm="1">
        <f t="array" ref="R86">IFERROR(LOOKUP(2,1/(Atualizações!$H$1:$H$580=Mapa!$B27&amp;Mapa!BK$3),Atualizações!$E$1:$E$580),"NÃO")</f>
        <v>NÃO</v>
      </c>
      <c r="S86" s="205" t="str" cm="1">
        <f t="array" ref="S86">IFERROR(LOOKUP(2,1/(Atualizações!$H$1:$H$580=Mapa!$B27&amp;Mapa!BL$3),Atualizações!$E$1:$E$580),"NÃO")</f>
        <v>NÃO</v>
      </c>
      <c r="T86" s="205" t="str" cm="1">
        <f t="array" ref="T86">IFERROR(LOOKUP(2,1/(Atualizações!$H$1:$H$580=Mapa!$B27&amp;Mapa!BM$3),Atualizações!$E$1:$E$580),"NÃO")</f>
        <v>NÃO</v>
      </c>
      <c r="U86" s="205" t="str" cm="1">
        <f t="array" ref="U86">IFERROR(LOOKUP(2,1/(Atualizações!$H$1:$H$580=Mapa!$B27&amp;Mapa!BN$3),Atualizações!$E$1:$E$580),"NÃO")</f>
        <v>NÃO</v>
      </c>
      <c r="V86" s="205" t="str" cm="1">
        <f t="array" ref="V86">IFERROR(LOOKUP(2,1/(Atualizações!$H$1:$H$580=Mapa!$B27&amp;Mapa!BO$3),Atualizações!$E$1:$E$580),"NÃO")</f>
        <v>NÃO</v>
      </c>
      <c r="W86" s="205" t="str" cm="1">
        <f t="array" ref="W86">IFERROR(LOOKUP(2,1/(Atualizações!$H$1:$H$580=Mapa!$B27&amp;Mapa!BP$3),Atualizações!$E$1:$E$580),"NÃO")</f>
        <v>NÃO</v>
      </c>
      <c r="X86" s="205" t="str" cm="1">
        <f t="array" ref="X86">IFERROR(LOOKUP(2,1/(Atualizações!$H$1:$H$580=Mapa!$B27&amp;Mapa!BQ$3),Atualizações!$E$1:$E$580),"NÃO")</f>
        <v>NÃO</v>
      </c>
      <c r="Y86" s="205" t="str" cm="1">
        <f t="array" ref="Y86">IFERROR(LOOKUP(2,1/(Atualizações!$H$1:$H$580=Mapa!$B27&amp;Mapa!BR$3),Atualizações!$E$1:$E$580),"NÃO")</f>
        <v>NÃO</v>
      </c>
      <c r="Z86" s="161" cm="1">
        <f t="array" ref="Z86">IFERROR(LOOKUP(2,1/(Atualizações!$H$1:$H$1029=Mapa!$B27&amp;Mapa!BS$3),Atualizações!$E$1:$E$1029),"NÃO")</f>
        <v>1</v>
      </c>
      <c r="AA86" s="161" t="str" cm="1">
        <f t="array" ref="AA86">IFERROR(LOOKUP(2,1/(Atualizações!$H$1:$H$1029=Mapa!$B27&amp;Mapa!BT$3),Atualizações!$E$1:$E$1029),"NÃO")</f>
        <v>NÃO</v>
      </c>
      <c r="AB86" s="161" t="str" cm="1">
        <f t="array" ref="AB86">IFERROR(LOOKUP(2,1/(Atualizações!$H$1:$H$1029=Mapa!$B27&amp;Mapa!BU$3),Atualizações!$E$1:$E$1029),"NÃO")</f>
        <v>NÃO</v>
      </c>
      <c r="AC86" s="161" t="str" cm="1">
        <f t="array" ref="AC86">IFERROR(LOOKUP(2,1/(Atualizações!$H$1:$H$1029=Mapa!$B27&amp;Mapa!BV$3),Atualizações!$E$1:$E$1029),"NÃO")</f>
        <v>NÃO</v>
      </c>
      <c r="AD86" s="161" t="str" cm="1">
        <f t="array" ref="AD86">IFERROR(LOOKUP(2,1/(Atualizações!$H$1:$H$1029=Mapa!$B27&amp;Mapa!BW$3),Atualizações!$E$1:$E$1029),"NÃO")</f>
        <v>NÃO</v>
      </c>
      <c r="AE86" s="161" t="str" cm="1">
        <f t="array" ref="AE86">IFERROR(LOOKUP(2,1/(Atualizações!$H$1:$H$1029=Mapa!$B27&amp;Mapa!BX$3),Atualizações!$E$1:$E$1029),"NÃO")</f>
        <v>NÃO</v>
      </c>
      <c r="AF86" s="161" t="str" cm="1">
        <f t="array" ref="AF86">IFERROR(LOOKUP(2,1/(Atualizações!$H$1:$H$1029=Mapa!$B27&amp;Mapa!BY$3),Atualizações!$E$1:$E$1029),"NÃO")</f>
        <v>NÃO</v>
      </c>
      <c r="AG86" s="161" t="str" cm="1">
        <f t="array" ref="AG86">IFERROR(LOOKUP(2,1/(Atualizações!$H$1:$H$1029=Mapa!$B27&amp;Mapa!BZ$3),Atualizações!$E$1:$E$1029),"NÃO")</f>
        <v>NÃO</v>
      </c>
      <c r="AH86" s="161" t="str" cm="1">
        <f t="array" ref="AH86">IFERROR(LOOKUP(2,1/(Atualizações!$H$1:$H$1029=Mapa!$B27&amp;Mapa!CA$3),Atualizações!$E$1:$E$1029),"NÃO")</f>
        <v>NÃO</v>
      </c>
      <c r="AI86" s="161" t="str" cm="1">
        <f t="array" ref="AI86">IFERROR(LOOKUP(2,1/(Atualizações!$H$1:$H$1029=Mapa!$B27&amp;Mapa!CB$3),Atualizações!$E$1:$E$1029),"NÃO")</f>
        <v>NÃO</v>
      </c>
      <c r="AJ86" s="161" t="str" cm="1">
        <f t="array" ref="AJ86">IFERROR(LOOKUP(2,1/(Atualizações!$H$1:$H$1029=Mapa!$B27&amp;Mapa!CC$3),Atualizações!$E$1:$E$1029),"NÃO")</f>
        <v>NÃO</v>
      </c>
      <c r="AK86" s="161" t="str" cm="1">
        <f t="array" ref="AK86">IFERROR(LOOKUP(2,1/(Atualizações!$H$1:$H$1029=Mapa!$B27&amp;Mapa!CD$3),Atualizações!$E$1:$E$1029),"NÃO")</f>
        <v>NÃO</v>
      </c>
      <c r="AL86" s="161" t="str" cm="1">
        <f t="array" ref="AL86">IFERROR(LOOKUP(2,1/(Atualizações!$H$1:$H$1265=Mapa!$B27&amp;Mapa!CE$3),Atualizações!$E$1:$E$2994),"NÃO")</f>
        <v>NÃO</v>
      </c>
      <c r="AM86" s="161" t="str" cm="1">
        <f t="array" ref="AM86">IFERROR(LOOKUP(2,1/(Atualizações!$H$1:$H$2994=Tb_Mapa[[#This Row],[SEI]]&amp;Mapa!CF$3),Atualizações!$E$1:$E$2994),"NÃO")</f>
        <v>NÃO</v>
      </c>
      <c r="AN86" s="161" t="str" cm="1">
        <f t="array" ref="AN86">IFERROR(LOOKUP(2,1/(Atualizações!$H$1:$H$2994=Tb_Mapa[[#This Row],[SEI]]&amp;Mapa!CG$3),Atualizações!$E$1:$E$2994),"NÃO")</f>
        <v>NÃO</v>
      </c>
      <c r="AO86" s="161" t="str" cm="1">
        <f t="array" ref="AO86">IFERROR(LOOKUP(2,1/(Atualizações!$H$1:$H$2994=Tb_Mapa[[#This Row],[SEI]]&amp;Mapa!CH$3),Atualizações!$E$1:$E$2994),"NÃO")</f>
        <v>NÃO</v>
      </c>
      <c r="AP86" s="161" t="str" cm="1">
        <f t="array" ref="AP86">IFERROR(LOOKUP(2,1/(Atualizações!$H$1:$H$2994=Tb_Mapa[[#This Row],[SEI]]&amp;Mapa!CI$3),Atualizações!$E$1:$E$2994),"NÃO")</f>
        <v>NÃO</v>
      </c>
      <c r="AQ86" s="161" t="str" cm="1">
        <f t="array" ref="AQ86">IFERROR(LOOKUP(2,1/(Atualizações!$H$1:$H$2994=Tb_Mapa[[#This Row],[SEI]]&amp;Mapa!CJ$3),Atualizações!$E$1:$E$2994),"NÃO")</f>
        <v>NÃO</v>
      </c>
      <c r="AR86" s="161" t="str" cm="1">
        <f t="array" ref="AR86">IFERROR(LOOKUP(2,1/(Atualizações!$H$1:$H$2994=Tb_Mapa[[#This Row],[SEI]]&amp;Mapa!CK$3),Atualizações!$E$1:$E$2994),"NÃO")</f>
        <v>NÃO</v>
      </c>
      <c r="AS86" s="161" t="str" cm="1">
        <f t="array" ref="AS86">IFERROR(LOOKUP(2,1/(Atualizações!$H$1:$H$2994=Tb_Mapa[[#This Row],[SEI]]&amp;Mapa!CL$3),Atualizações!$E$1:$E$2994),"NÃO")</f>
        <v>NÃO</v>
      </c>
      <c r="AT86" s="161" t="str" cm="1">
        <f t="array" ref="AT86">IFERROR(LOOKUP(2,1/(Atualizações!$H$1:$H$2994=Tb_Mapa[[#This Row],[SEI]]&amp;Mapa!CM$3),Atualizações!$E$1:$E$2994),"NÃO")</f>
        <v>NÃO</v>
      </c>
      <c r="AU86" s="161" t="str" cm="1">
        <f t="array" ref="AU86">IFERROR(LOOKUP(2,1/(Atualizações!$H$1:$H$2994=Tb_Mapa[[#This Row],[SEI]]&amp;Mapa!CN$3),Atualizações!$E$1:$E$2994),"NÃO")</f>
        <v>NÃO</v>
      </c>
      <c r="AV86" s="161" t="str" cm="1">
        <f t="array" ref="AV86">IFERROR(LOOKUP(2,1/(Atualizações!$H$1:$H$2994=Tb_Mapa[[#This Row],[SEI]]&amp;Mapa!CO$3),Atualizações!$E$1:$E$2994),"NÃO")</f>
        <v>NÃO</v>
      </c>
      <c r="AW86" s="161" t="str" cm="1">
        <f t="array" ref="AW86">IFERROR(LOOKUP(2,1/(Atualizações!$H$1:$H$2994=Tb_Mapa[[#This Row],[SEI]]&amp;Mapa!CP$3),Atualizações!$E$1:$E$2994),"NÃO")</f>
        <v>NÃO</v>
      </c>
      <c r="AX86" s="161" t="str" cm="1">
        <f t="array" ref="AX86">IFERROR(LOOKUP(2,1/(Atualizações!$H$1:$H$2994=Tb_Mapa[[#This Row],[SEI]]&amp;Mapa!CQ$3),Atualizações!$E$1:$E$2994),"NÃO")</f>
        <v>NÃO</v>
      </c>
    </row>
    <row r="87" spans="2:50" ht="32.25" hidden="1" customHeight="1">
      <c r="B87" s="308" t="s">
        <v>322</v>
      </c>
      <c r="C87" s="678" t="str">
        <f>_xlfn.XLOOKUP(Tb_Mapa[[#This Row],[SEI]],Tb_Portfólio[SEI],Tb_Portfólio[Portfólio 2025],"",0)</f>
        <v>Não</v>
      </c>
      <c r="D87" s="158" t="str">
        <f>_xlfn.XLOOKUP(Tb_Mapa[[#This Row],[SEI]],Tb_Portfólio[SEI],Tb_Portfólio[Portfólio 2026],"",0)</f>
        <v>Não</v>
      </c>
      <c r="E87" s="162" t="str">
        <f>_xlfn.XLOOKUP(Tb_Mapa[[#This Row],[SEI]],Tb_Portfólio[SEI],Tb_Portfólio[PROJETO],"",0)</f>
        <v>SNGB - Sistema Nacional de Gestão de Bens</v>
      </c>
      <c r="F87" s="170" t="str">
        <f>INDEX(Projetos!$G$3:$G$129,MATCH(B87,Projetos!$A$3:$A$129,0))</f>
        <v>Alexandre Alves de Oliveira</v>
      </c>
      <c r="G87" s="158" t="s">
        <v>1712</v>
      </c>
      <c r="H87" s="143" t="str">
        <f>INDEX(Projetos!$T$3:$T$129,MATCH(B87,Projetos!$A$3:$A$129,0))</f>
        <v>Justiça 4.0</v>
      </c>
      <c r="I87" s="317">
        <f>INDEX(Projetos!$M$3:$M$129,MATCH(Mapa!B26,Projetos!$A$3:$A$129,0))</f>
        <v>45657</v>
      </c>
      <c r="J87" s="164" t="str">
        <f>IF(Tb_Mapa[[#This Row],[SITUAÇÃO]]="Finalizado", "Data atualizada", IFERROR(IF(I87&lt;$CN$3,"Atualizar data de encerramento","Data atualizada"),"Sem informação"))</f>
        <v>Data atualizada</v>
      </c>
      <c r="K87" s="320">
        <f>INDEX(Projetos!$N$3:$N$129,MATCH(Mapa!B26,Projetos!$A$3:$A$129,0))</f>
        <v>1</v>
      </c>
      <c r="L87" s="320">
        <f>INDEX(Projetos!$O$3:$O$129,MATCH(Mapa!B26,Projetos!$A$3:$A$129,0))</f>
        <v>1</v>
      </c>
      <c r="M87" s="165" t="str">
        <f>_xlfn.XLOOKUP(Tb_Mapa[[#This Row],[SEI]],Tb_Portfólio[SEI],Tb_Portfólio[Situação],"N/A",0)</f>
        <v>Finalizado</v>
      </c>
      <c r="N87" s="128" t="str" cm="1">
        <f t="array" ref="N87">IFERROR(LOOKUP(2,1/(Atualizações!$H$1:$H$486=Mapa!$B26&amp;Mapa!BG$3),Atualizações!$E$1:$E$486),"NÃO")</f>
        <v>NÃO</v>
      </c>
      <c r="O87" s="205" t="str" cm="1">
        <f t="array" ref="O87">IFERROR(LOOKUP(2,1/(Atualizações!$H$1:$H$580=Mapa!$B26&amp;Mapa!BH$3),Atualizações!$E$1:$E$580),"NÃO")</f>
        <v>NÃO</v>
      </c>
      <c r="P87" s="205" t="str" cm="1">
        <f t="array" ref="P87">IFERROR(LOOKUP(2,1/(Atualizações!$H$1:$H$580=Mapa!$B26&amp;Mapa!BI$3),Atualizações!$E$1:$E$580),"NÃO")</f>
        <v>NÃO</v>
      </c>
      <c r="Q87" s="205" t="str" cm="1">
        <f t="array" ref="Q87">IFERROR(LOOKUP(2,1/(Atualizações!$H$1:$H$580=Mapa!$B26&amp;Mapa!BJ$3),Atualizações!$E$1:$E$580),"NÃO")</f>
        <v>NÃO</v>
      </c>
      <c r="R87" s="205" t="str" cm="1">
        <f t="array" ref="R87">IFERROR(LOOKUP(2,1/(Atualizações!$H$1:$H$580=Mapa!$B26&amp;Mapa!BK$3),Atualizações!$E$1:$E$580),"NÃO")</f>
        <v>NÃO</v>
      </c>
      <c r="S87" s="205" t="str" cm="1">
        <f t="array" ref="S87">IFERROR(LOOKUP(2,1/(Atualizações!$H$1:$H$580=Mapa!$B26&amp;Mapa!BL$3),Atualizações!$E$1:$E$580),"NÃO")</f>
        <v>NÃO</v>
      </c>
      <c r="T87" s="205" t="str" cm="1">
        <f t="array" ref="T87">IFERROR(LOOKUP(2,1/(Atualizações!$H$1:$H$580=Mapa!$B26&amp;Mapa!BM$3),Atualizações!$E$1:$E$580),"NÃO")</f>
        <v>NÃO</v>
      </c>
      <c r="U87" s="205" t="str" cm="1">
        <f t="array" ref="U87">IFERROR(LOOKUP(2,1/(Atualizações!$H$1:$H$580=Mapa!$B26&amp;Mapa!BN$3),Atualizações!$E$1:$E$580),"NÃO")</f>
        <v>NÃO</v>
      </c>
      <c r="V87" s="205" t="str" cm="1">
        <f t="array" ref="V87">IFERROR(LOOKUP(2,1/(Atualizações!$H$1:$H$580=Mapa!$B26&amp;Mapa!BO$3),Atualizações!$E$1:$E$580),"NÃO")</f>
        <v>NÃO</v>
      </c>
      <c r="W87" s="205" t="str" cm="1">
        <f t="array" ref="W87">IFERROR(LOOKUP(2,1/(Atualizações!$H$1:$H$580=Mapa!$B26&amp;Mapa!BP$3),Atualizações!$E$1:$E$580),"NÃO")</f>
        <v>NÃO</v>
      </c>
      <c r="X87" s="205" t="str" cm="1">
        <f t="array" ref="X87">IFERROR(LOOKUP(2,1/(Atualizações!$H$1:$H$580=Mapa!$B26&amp;Mapa!BQ$3),Atualizações!$E$1:$E$580),"NÃO")</f>
        <v>NÃO</v>
      </c>
      <c r="Y87" s="205" t="str" cm="1">
        <f t="array" ref="Y87">IFERROR(LOOKUP(2,1/(Atualizações!$H$1:$H$580=Mapa!$B26&amp;Mapa!BR$3),Atualizações!$E$1:$E$580),"NÃO")</f>
        <v>NÃO</v>
      </c>
      <c r="Z87" s="161" cm="1">
        <f t="array" ref="Z87">IFERROR(LOOKUP(2,1/(Atualizações!$H$1:$H$1029=Mapa!$B26&amp;Mapa!BS$3),Atualizações!$E$1:$E$1029),"NÃO")</f>
        <v>1</v>
      </c>
      <c r="AA87" s="161" t="str" cm="1">
        <f t="array" ref="AA87">IFERROR(LOOKUP(2,1/(Atualizações!$H$1:$H$1029=Mapa!$B26&amp;Mapa!BT$3),Atualizações!$E$1:$E$1029),"NÃO")</f>
        <v>NÃO</v>
      </c>
      <c r="AB87" s="161" t="str" cm="1">
        <f t="array" ref="AB87">IFERROR(LOOKUP(2,1/(Atualizações!$H$1:$H$1029=Mapa!$B26&amp;Mapa!BU$3),Atualizações!$E$1:$E$1029),"NÃO")</f>
        <v>NÃO</v>
      </c>
      <c r="AC87" s="161" t="str" cm="1">
        <f t="array" ref="AC87">IFERROR(LOOKUP(2,1/(Atualizações!$H$1:$H$1029=Mapa!$B26&amp;Mapa!BV$3),Atualizações!$E$1:$E$1029),"NÃO")</f>
        <v>NÃO</v>
      </c>
      <c r="AD87" s="161" t="str" cm="1">
        <f t="array" ref="AD87">IFERROR(LOOKUP(2,1/(Atualizações!$H$1:$H$1029=Mapa!$B26&amp;Mapa!BW$3),Atualizações!$E$1:$E$1029),"NÃO")</f>
        <v>NÃO</v>
      </c>
      <c r="AE87" s="161" t="str" cm="1">
        <f t="array" ref="AE87">IFERROR(LOOKUP(2,1/(Atualizações!$H$1:$H$1029=Mapa!$B26&amp;Mapa!BX$3),Atualizações!$E$1:$E$1029),"NÃO")</f>
        <v>NÃO</v>
      </c>
      <c r="AF87" s="161" t="str" cm="1">
        <f t="array" ref="AF87">IFERROR(LOOKUP(2,1/(Atualizações!$H$1:$H$1029=Mapa!$B26&amp;Mapa!BY$3),Atualizações!$E$1:$E$1029),"NÃO")</f>
        <v>NÃO</v>
      </c>
      <c r="AG87" s="161" t="str" cm="1">
        <f t="array" ref="AG87">IFERROR(LOOKUP(2,1/(Atualizações!$H$1:$H$1029=Mapa!$B26&amp;Mapa!BZ$3),Atualizações!$E$1:$E$1029),"NÃO")</f>
        <v>NÃO</v>
      </c>
      <c r="AH87" s="161" t="str" cm="1">
        <f t="array" ref="AH87">IFERROR(LOOKUP(2,1/(Atualizações!$H$1:$H$1029=Mapa!$B26&amp;Mapa!CA$3),Atualizações!$E$1:$E$1029),"NÃO")</f>
        <v>NÃO</v>
      </c>
      <c r="AI87" s="161" t="str" cm="1">
        <f t="array" ref="AI87">IFERROR(LOOKUP(2,1/(Atualizações!$H$1:$H$1029=Mapa!$B26&amp;Mapa!CB$3),Atualizações!$E$1:$E$1029),"NÃO")</f>
        <v>NÃO</v>
      </c>
      <c r="AJ87" s="161" t="str" cm="1">
        <f t="array" ref="AJ87">IFERROR(LOOKUP(2,1/(Atualizações!$H$1:$H$1029=Mapa!$B26&amp;Mapa!CC$3),Atualizações!$E$1:$E$1029),"NÃO")</f>
        <v>NÃO</v>
      </c>
      <c r="AK87" s="161" t="str" cm="1">
        <f t="array" ref="AK87">IFERROR(LOOKUP(2,1/(Atualizações!$H$1:$H$1029=Mapa!$B26&amp;Mapa!CD$3),Atualizações!$E$1:$E$1029),"NÃO")</f>
        <v>NÃO</v>
      </c>
      <c r="AL87" s="161" t="str" cm="1">
        <f t="array" ref="AL87">IFERROR(LOOKUP(2,1/(Atualizações!$H$1:$H$1265=Mapa!$B26&amp;Mapa!CE$3),Atualizações!$E$1:$E$2994),"NÃO")</f>
        <v>NÃO</v>
      </c>
      <c r="AM87" s="161" t="str" cm="1">
        <f t="array" ref="AM87">IFERROR(LOOKUP(2,1/(Atualizações!$H$1:$H$2994=Tb_Mapa[[#This Row],[SEI]]&amp;Mapa!CF$3),Atualizações!$E$1:$E$2994),"NÃO")</f>
        <v>NÃO</v>
      </c>
      <c r="AN87" s="161" t="str" cm="1">
        <f t="array" ref="AN87">IFERROR(LOOKUP(2,1/(Atualizações!$H$1:$H$2994=Tb_Mapa[[#This Row],[SEI]]&amp;Mapa!CG$3),Atualizações!$E$1:$E$2994),"NÃO")</f>
        <v>NÃO</v>
      </c>
      <c r="AO87" s="161" t="str" cm="1">
        <f t="array" ref="AO87">IFERROR(LOOKUP(2,1/(Atualizações!$H$1:$H$2994=Tb_Mapa[[#This Row],[SEI]]&amp;Mapa!CH$3),Atualizações!$E$1:$E$2994),"NÃO")</f>
        <v>NÃO</v>
      </c>
      <c r="AP87" s="161" t="str" cm="1">
        <f t="array" ref="AP87">IFERROR(LOOKUP(2,1/(Atualizações!$H$1:$H$2994=Tb_Mapa[[#This Row],[SEI]]&amp;Mapa!CI$3),Atualizações!$E$1:$E$2994),"NÃO")</f>
        <v>NÃO</v>
      </c>
      <c r="AQ87" s="161" t="str" cm="1">
        <f t="array" ref="AQ87">IFERROR(LOOKUP(2,1/(Atualizações!$H$1:$H$2994=Tb_Mapa[[#This Row],[SEI]]&amp;Mapa!CJ$3),Atualizações!$E$1:$E$2994),"NÃO")</f>
        <v>NÃO</v>
      </c>
      <c r="AR87" s="161" t="str" cm="1">
        <f t="array" ref="AR87">IFERROR(LOOKUP(2,1/(Atualizações!$H$1:$H$2994=Tb_Mapa[[#This Row],[SEI]]&amp;Mapa!CK$3),Atualizações!$E$1:$E$2994),"NÃO")</f>
        <v>NÃO</v>
      </c>
      <c r="AS87" s="161" t="str" cm="1">
        <f t="array" ref="AS87">IFERROR(LOOKUP(2,1/(Atualizações!$H$1:$H$2994=Tb_Mapa[[#This Row],[SEI]]&amp;Mapa!CL$3),Atualizações!$E$1:$E$2994),"NÃO")</f>
        <v>NÃO</v>
      </c>
      <c r="AT87" s="161" t="str" cm="1">
        <f t="array" ref="AT87">IFERROR(LOOKUP(2,1/(Atualizações!$H$1:$H$2994=Tb_Mapa[[#This Row],[SEI]]&amp;Mapa!CM$3),Atualizações!$E$1:$E$2994),"NÃO")</f>
        <v>NÃO</v>
      </c>
      <c r="AU87" s="161" t="str" cm="1">
        <f t="array" ref="AU87">IFERROR(LOOKUP(2,1/(Atualizações!$H$1:$H$2994=Tb_Mapa[[#This Row],[SEI]]&amp;Mapa!CN$3),Atualizações!$E$1:$E$2994),"NÃO")</f>
        <v>NÃO</v>
      </c>
      <c r="AV87" s="161" t="str" cm="1">
        <f t="array" ref="AV87">IFERROR(LOOKUP(2,1/(Atualizações!$H$1:$H$2994=Tb_Mapa[[#This Row],[SEI]]&amp;Mapa!CO$3),Atualizações!$E$1:$E$2994),"NÃO")</f>
        <v>NÃO</v>
      </c>
      <c r="AW87" s="161" t="str" cm="1">
        <f t="array" ref="AW87">IFERROR(LOOKUP(2,1/(Atualizações!$H$1:$H$2994=Tb_Mapa[[#This Row],[SEI]]&amp;Mapa!CP$3),Atualizações!$E$1:$E$2994),"NÃO")</f>
        <v>NÃO</v>
      </c>
      <c r="AX87" s="161" t="str" cm="1">
        <f t="array" ref="AX87">IFERROR(LOOKUP(2,1/(Atualizações!$H$1:$H$2994=Tb_Mapa[[#This Row],[SEI]]&amp;Mapa!CQ$3),Atualizações!$E$1:$E$2994),"NÃO")</f>
        <v>NÃO</v>
      </c>
    </row>
    <row r="88" spans="2:50" ht="32.25" hidden="1" customHeight="1">
      <c r="B88" s="235" t="s">
        <v>318</v>
      </c>
      <c r="C88" s="151" t="str">
        <f>_xlfn.XLOOKUP(Tb_Mapa[[#This Row],[SEI]],Tb_Portfólio[SEI],Tb_Portfólio[Portfólio 2025],"",0)</f>
        <v>Não</v>
      </c>
      <c r="D88" s="158" t="str">
        <f>_xlfn.XLOOKUP(Tb_Mapa[[#This Row],[SEI]],Tb_Portfólio[SEI],Tb_Portfólio[Portfólio 2026],"",0)</f>
        <v>Não</v>
      </c>
      <c r="E88" s="162" t="str">
        <f>_xlfn.XLOOKUP(Tb_Mapa[[#This Row],[SEI]],Tb_Portfólio[SEI],Tb_Portfólio[PROJETO],"",0)</f>
        <v>Delegação de Perfis</v>
      </c>
      <c r="F88" s="170" t="str">
        <f>INDEX(Projetos!$G$3:$G$129,MATCH(B88,Projetos!$A$3:$A$129,0))</f>
        <v>Juliano Pinto</v>
      </c>
      <c r="G88" s="158" t="s">
        <v>277</v>
      </c>
      <c r="H88" s="166" t="str">
        <f>INDEX(Projetos!$T$3:$T$129,MATCH(B88,Projetos!$A$3:$A$129,0))</f>
        <v>Justiça 4.0</v>
      </c>
      <c r="I88" s="310">
        <f>INDEX(Projetos!$M$3:$M$129,MATCH(Mapa!B53,Projetos!$A$3:$A$129,0))</f>
        <v>45581</v>
      </c>
      <c r="J88" s="164" t="str">
        <f>IF(Tb_Mapa[[#This Row],[SITUAÇÃO]]="Finalizado", "Data atualizada", IFERROR(IF(I88&lt;$CN$3,"Atualizar data de encerramento","Data atualizada"),"Sem informação"))</f>
        <v>Data atualizada</v>
      </c>
      <c r="K88" s="311">
        <f>INDEX(Projetos!$N$3:$N$129,MATCH(Mapa!B53,Projetos!$A$3:$A$129,0))</f>
        <v>1</v>
      </c>
      <c r="L88" s="311">
        <f>INDEX(Projetos!$O$3:$O$129,MATCH(Mapa!B53,Projetos!$A$3:$A$129,0))</f>
        <v>1</v>
      </c>
      <c r="M88" s="165" t="str">
        <f>_xlfn.XLOOKUP(Tb_Mapa[[#This Row],[SEI]],Tb_Portfólio[SEI],Tb_Portfólio[Situação],"N/A",0)</f>
        <v>Finalizado</v>
      </c>
      <c r="N88" s="128" t="str" cm="1">
        <f t="array" ref="N88">IFERROR(LOOKUP(2,1/(Atualizações!$H$1:$H$486=Mapa!$B53&amp;Mapa!BG$3),Atualizações!$E$1:$E$486),"NÃO")</f>
        <v>NÃO</v>
      </c>
      <c r="O88" s="205" t="str" cm="1">
        <f t="array" ref="O88">IFERROR(LOOKUP(2,1/(Atualizações!$H$1:$H$580=Mapa!$B53&amp;Mapa!BH$3),Atualizações!$E$1:$E$580),"NÃO")</f>
        <v>NÃO</v>
      </c>
      <c r="P88" s="205" t="str" cm="1">
        <f t="array" ref="P88">IFERROR(LOOKUP(2,1/(Atualizações!$H$1:$H$580=Mapa!$B53&amp;Mapa!BI$3),Atualizações!$E$1:$E$580),"NÃO")</f>
        <v>NÃO</v>
      </c>
      <c r="Q88" s="205" t="str" cm="1">
        <f t="array" ref="Q88">IFERROR(LOOKUP(2,1/(Atualizações!$H$1:$H$580=Mapa!$B53&amp;Mapa!BJ$3),Atualizações!$E$1:$E$580),"NÃO")</f>
        <v>NÃO</v>
      </c>
      <c r="R88" s="205" t="str" cm="1">
        <f t="array" ref="R88">IFERROR(LOOKUP(2,1/(Atualizações!$H$1:$H$580=Mapa!$B53&amp;Mapa!BK$3),Atualizações!$E$1:$E$580),"NÃO")</f>
        <v>NÃO</v>
      </c>
      <c r="S88" s="205" t="str" cm="1">
        <f t="array" ref="S88">IFERROR(LOOKUP(2,1/(Atualizações!$H$1:$H$580=Mapa!$B53&amp;Mapa!BL$3),Atualizações!$E$1:$E$580),"NÃO")</f>
        <v>NÃO</v>
      </c>
      <c r="T88" s="205" t="str" cm="1">
        <f t="array" ref="T88">IFERROR(LOOKUP(2,1/(Atualizações!$H$1:$H$580=Mapa!$B53&amp;Mapa!BM$3),Atualizações!$E$1:$E$580),"NÃO")</f>
        <v>NÃO</v>
      </c>
      <c r="U88" s="205" cm="1">
        <f t="array" ref="U88">IFERROR(LOOKUP(2,1/(Atualizações!$H$1:$H$580=Mapa!$B53&amp;Mapa!BN$3),Atualizações!$E$1:$E$580),"NÃO")</f>
        <v>0</v>
      </c>
      <c r="V88" s="205" t="str" cm="1">
        <f t="array" ref="V88">IFERROR(LOOKUP(2,1/(Atualizações!$H$1:$H$580=Mapa!$B53&amp;Mapa!BO$3),Atualizações!$E$1:$E$580),"NÃO")</f>
        <v>NÃO</v>
      </c>
      <c r="W88" s="205" t="str" cm="1">
        <f t="array" ref="W88">IFERROR(LOOKUP(2,1/(Atualizações!$H$1:$H$580=Mapa!$B53&amp;Mapa!BP$3),Atualizações!$E$1:$E$580),"NÃO")</f>
        <v>NÃO</v>
      </c>
      <c r="X88" s="205" cm="1">
        <f t="array" ref="X88">IFERROR(LOOKUP(2,1/(Atualizações!$H$1:$H$580=Mapa!$B53&amp;Mapa!BQ$3),Atualizações!$E$1:$E$580),"NÃO")</f>
        <v>1</v>
      </c>
      <c r="Y88" s="205" t="str" cm="1">
        <f t="array" ref="Y88">IFERROR(LOOKUP(2,1/(Atualizações!$H$1:$H$580=Mapa!$B53&amp;Mapa!BR$3),Atualizações!$E$1:$E$580),"NÃO")</f>
        <v>NÃO</v>
      </c>
      <c r="Z88" s="161" t="str" cm="1">
        <f t="array" ref="Z88">IFERROR(LOOKUP(2,1/(Atualizações!$H$1:$H$1029=Mapa!$B53&amp;Mapa!BS$3),Atualizações!$E$1:$E$1029),"NÃO")</f>
        <v>NÃO</v>
      </c>
      <c r="AA88" s="161" t="str" cm="1">
        <f t="array" ref="AA88">IFERROR(LOOKUP(2,1/(Atualizações!$H$1:$H$1029=Mapa!$B53&amp;Mapa!BT$3),Atualizações!$E$1:$E$1029),"NÃO")</f>
        <v>NÃO</v>
      </c>
      <c r="AB88" s="161" t="str" cm="1">
        <f t="array" ref="AB88">IFERROR(LOOKUP(2,1/(Atualizações!$H$1:$H$1029=Mapa!$B53&amp;Mapa!BU$3),Atualizações!$E$1:$E$1029),"NÃO")</f>
        <v>NÃO</v>
      </c>
      <c r="AC88" s="161" t="str" cm="1">
        <f t="array" ref="AC88">IFERROR(LOOKUP(2,1/(Atualizações!$H$1:$H$1029=Mapa!$B53&amp;Mapa!BV$3),Atualizações!$E$1:$E$1029),"NÃO")</f>
        <v>NÃO</v>
      </c>
      <c r="AD88" s="161" t="str" cm="1">
        <f t="array" ref="AD88">IFERROR(LOOKUP(2,1/(Atualizações!$H$1:$H$1029=Mapa!$B53&amp;Mapa!BW$3),Atualizações!$E$1:$E$1029),"NÃO")</f>
        <v>NÃO</v>
      </c>
      <c r="AE88" s="161" t="str" cm="1">
        <f t="array" ref="AE88">IFERROR(LOOKUP(2,1/(Atualizações!$H$1:$H$1029=Mapa!$B53&amp;Mapa!BX$3),Atualizações!$E$1:$E$1029),"NÃO")</f>
        <v>NÃO</v>
      </c>
      <c r="AF88" s="161" t="str" cm="1">
        <f t="array" ref="AF88">IFERROR(LOOKUP(2,1/(Atualizações!$H$1:$H$1029=Mapa!$B53&amp;Mapa!BY$3),Atualizações!$E$1:$E$1029),"NÃO")</f>
        <v>NÃO</v>
      </c>
      <c r="AG88" s="161" t="str" cm="1">
        <f t="array" ref="AG88">IFERROR(LOOKUP(2,1/(Atualizações!$H$1:$H$1029=Mapa!$B53&amp;Mapa!BZ$3),Atualizações!$E$1:$E$1029),"NÃO")</f>
        <v>NÃO</v>
      </c>
      <c r="AH88" s="161" t="str" cm="1">
        <f t="array" ref="AH88">IFERROR(LOOKUP(2,1/(Atualizações!$H$1:$H$1029=Mapa!$B53&amp;Mapa!CA$3),Atualizações!$E$1:$E$1029),"NÃO")</f>
        <v>NÃO</v>
      </c>
      <c r="AI88" s="161" t="str" cm="1">
        <f t="array" ref="AI88">IFERROR(LOOKUP(2,1/(Atualizações!$H$1:$H$1029=Mapa!$B53&amp;Mapa!CB$3),Atualizações!$E$1:$E$1029),"NÃO")</f>
        <v>NÃO</v>
      </c>
      <c r="AJ88" s="161" t="str" cm="1">
        <f t="array" ref="AJ88">IFERROR(LOOKUP(2,1/(Atualizações!$H$1:$H$1029=Mapa!$B53&amp;Mapa!CC$3),Atualizações!$E$1:$E$1029),"NÃO")</f>
        <v>NÃO</v>
      </c>
      <c r="AK88" s="161" t="str" cm="1">
        <f t="array" ref="AK88">IFERROR(LOOKUP(2,1/(Atualizações!$H$1:$H$1029=Mapa!$B53&amp;Mapa!CD$3),Atualizações!$E$1:$E$1029),"NÃO")</f>
        <v>NÃO</v>
      </c>
      <c r="AL88" s="161" t="str" cm="1">
        <f t="array" ref="AL88">IFERROR(LOOKUP(2,1/(Atualizações!$H$1:$H$1265=Mapa!$B53&amp;Mapa!CE$3),Atualizações!$E$1:$E$2994),"NÃO")</f>
        <v>NÃO</v>
      </c>
      <c r="AM88" s="161" t="str" cm="1">
        <f t="array" ref="AM88">IFERROR(LOOKUP(2,1/(Atualizações!$H$1:$H$2994=Tb_Mapa[[#This Row],[SEI]]&amp;Mapa!CF$3),Atualizações!$E$1:$E$2994),"NÃO")</f>
        <v>NÃO</v>
      </c>
      <c r="AN88" s="161" t="str" cm="1">
        <f t="array" ref="AN88">IFERROR(LOOKUP(2,1/(Atualizações!$H$1:$H$2994=Tb_Mapa[[#This Row],[SEI]]&amp;Mapa!CG$3),Atualizações!$E$1:$E$2994),"NÃO")</f>
        <v>NÃO</v>
      </c>
      <c r="AO88" s="161" t="str" cm="1">
        <f t="array" ref="AO88">IFERROR(LOOKUP(2,1/(Atualizações!$H$1:$H$2994=Tb_Mapa[[#This Row],[SEI]]&amp;Mapa!CH$3),Atualizações!$E$1:$E$2994),"NÃO")</f>
        <v>NÃO</v>
      </c>
      <c r="AP88" s="161" t="str" cm="1">
        <f t="array" ref="AP88">IFERROR(LOOKUP(2,1/(Atualizações!$H$1:$H$2994=Tb_Mapa[[#This Row],[SEI]]&amp;Mapa!CI$3),Atualizações!$E$1:$E$2994),"NÃO")</f>
        <v>NÃO</v>
      </c>
      <c r="AQ88" s="161" t="str" cm="1">
        <f t="array" ref="AQ88">IFERROR(LOOKUP(2,1/(Atualizações!$H$1:$H$2994=Tb_Mapa[[#This Row],[SEI]]&amp;Mapa!CJ$3),Atualizações!$E$1:$E$2994),"NÃO")</f>
        <v>NÃO</v>
      </c>
      <c r="AR88" s="161" t="str" cm="1">
        <f t="array" ref="AR88">IFERROR(LOOKUP(2,1/(Atualizações!$H$1:$H$2994=Tb_Mapa[[#This Row],[SEI]]&amp;Mapa!CK$3),Atualizações!$E$1:$E$2994),"NÃO")</f>
        <v>NÃO</v>
      </c>
      <c r="AS88" s="161" t="str" cm="1">
        <f t="array" ref="AS88">IFERROR(LOOKUP(2,1/(Atualizações!$H$1:$H$2994=Tb_Mapa[[#This Row],[SEI]]&amp;Mapa!CL$3),Atualizações!$E$1:$E$2994),"NÃO")</f>
        <v>NÃO</v>
      </c>
      <c r="AT88" s="161" t="str" cm="1">
        <f t="array" ref="AT88">IFERROR(LOOKUP(2,1/(Atualizações!$H$1:$H$2994=Tb_Mapa[[#This Row],[SEI]]&amp;Mapa!CM$3),Atualizações!$E$1:$E$2994),"NÃO")</f>
        <v>NÃO</v>
      </c>
      <c r="AU88" s="161" t="str" cm="1">
        <f t="array" ref="AU88">IFERROR(LOOKUP(2,1/(Atualizações!$H$1:$H$2994=Tb_Mapa[[#This Row],[SEI]]&amp;Mapa!CN$3),Atualizações!$E$1:$E$2994),"NÃO")</f>
        <v>NÃO</v>
      </c>
      <c r="AV88" s="161" t="str" cm="1">
        <f t="array" ref="AV88">IFERROR(LOOKUP(2,1/(Atualizações!$H$1:$H$2994=Tb_Mapa[[#This Row],[SEI]]&amp;Mapa!CO$3),Atualizações!$E$1:$E$2994),"NÃO")</f>
        <v>NÃO</v>
      </c>
      <c r="AW88" s="161" t="str" cm="1">
        <f t="array" ref="AW88">IFERROR(LOOKUP(2,1/(Atualizações!$H$1:$H$2994=Tb_Mapa[[#This Row],[SEI]]&amp;Mapa!CP$3),Atualizações!$E$1:$E$2994),"NÃO")</f>
        <v>NÃO</v>
      </c>
      <c r="AX88" s="161" t="str" cm="1">
        <f t="array" ref="AX88">IFERROR(LOOKUP(2,1/(Atualizações!$H$1:$H$2994=Tb_Mapa[[#This Row],[SEI]]&amp;Mapa!CQ$3),Atualizações!$E$1:$E$2994),"NÃO")</f>
        <v>NÃO</v>
      </c>
    </row>
    <row r="89" spans="2:50" ht="32.25" hidden="1" customHeight="1">
      <c r="B89" s="677" t="s">
        <v>644</v>
      </c>
      <c r="C89" s="169" t="str">
        <f>_xlfn.XLOOKUP(Tb_Mapa[[#This Row],[SEI]],Tb_Portfólio[SEI],Tb_Portfólio[Portfólio 2025],"",0)</f>
        <v>Sim</v>
      </c>
      <c r="D89" s="158" t="str">
        <f>_xlfn.XLOOKUP(Tb_Mapa[[#This Row],[SEI]],Tb_Portfólio[SEI],Tb_Portfólio[Portfólio 2026],"",0)</f>
        <v>Sim</v>
      </c>
      <c r="E89" s="510" t="str">
        <f>_xlfn.XLOOKUP(Tb_Mapa[[#This Row],[SEI]],Tb_Portfólio[SEI],Tb_Portfólio[PROJETO],"",0)</f>
        <v>BNP/Pangea</v>
      </c>
      <c r="F89" s="143" t="str">
        <f>INDEX(Projetos!$G$3:$G$129,MATCH(Tb_Mapa[[#This Row],[SEI]],Projetos!$A$3:$A$129,0))</f>
        <v>Wallace Fernando Carlos da Silva</v>
      </c>
      <c r="G89" s="404" t="s">
        <v>1711</v>
      </c>
      <c r="H89" s="166" t="str">
        <f>INDEX(Projetos!$T$3:$T$129,MATCH(B89,Projetos!$A$3:$A$129,0))</f>
        <v>Justiça 4.0</v>
      </c>
      <c r="I89" s="310" t="str">
        <f>INDEX(Projetos!$M$3:$M$129,MATCH(Tb_Mapa[[#This Row],[SEI]],Projetos!$A$3:$A$129,0))</f>
        <v>23/12/2026</v>
      </c>
      <c r="J89" s="164" t="str">
        <f ca="1">IF(Tb_Mapa[[#This Row],[SITUAÇÃO]]="Finalizado", "Data atualizada", IFERROR(IF(Tb_Mapa[[#This Row],[DATA DE TÉRMINO]]&lt;$I$1,"Atualizar data de encerramento","Data atualizada"),"Sem informação"))</f>
        <v>Data atualizada</v>
      </c>
      <c r="K89" s="311">
        <f>INDEX(Projetos!$N$3:$N$129,MATCH(Tb_Mapa[[#This Row],[SEI]],Projetos!$A$3:$A$129,0))</f>
        <v>0.83</v>
      </c>
      <c r="L89" s="311">
        <f>INDEX(Projetos!$O$3:$O$129,MATCH(Tb_Mapa[[#This Row],[SEI]],Projetos!$A$3:$A$129,0))</f>
        <v>0.76</v>
      </c>
      <c r="M89" s="165" t="str">
        <f ca="1">_xlfn.XLOOKUP(Tb_Mapa[[#This Row],[SEI]],Tb_Portfólio[SEI],Tb_Portfólio[Situação],"N/A",0)</f>
        <v>Em atenção</v>
      </c>
      <c r="N89" s="128" t="str" cm="1">
        <f t="array" ref="N89">IFERROR(LOOKUP(2,1/(Atualizações!$H$1:$H$486=Mapa!$B48&amp;Mapa!BG$3),Atualizações!$E$1:$E$486),"NÃO")</f>
        <v>NÃO</v>
      </c>
      <c r="O89" s="205" t="str" cm="1">
        <f t="array" ref="O89">IFERROR(LOOKUP(2,1/(Atualizações!$H$1:$H$580=Mapa!$B48&amp;Mapa!BH$3),Atualizações!$E$1:$E$580),"NÃO")</f>
        <v>NÃO</v>
      </c>
      <c r="P89" s="205" t="str" cm="1">
        <f t="array" ref="P89">IFERROR(LOOKUP(2,1/(Atualizações!$H$1:$H$580=Mapa!$B48&amp;Mapa!BI$3),Atualizações!$E$1:$E$580),"NÃO")</f>
        <v>NÃO</v>
      </c>
      <c r="Q89" s="205" t="str" cm="1">
        <f t="array" ref="Q89">IFERROR(LOOKUP(2,1/(Atualizações!$H$1:$H$580=Mapa!$B48&amp;Mapa!BJ$3),Atualizações!$E$1:$E$580),"NÃO")</f>
        <v>NÃO</v>
      </c>
      <c r="R89" s="205" t="str" cm="1">
        <f t="array" ref="R89">IFERROR(LOOKUP(2,1/(Atualizações!$H$1:$H$580=Mapa!$B48&amp;Mapa!BK$3),Atualizações!$E$1:$E$580),"NÃO")</f>
        <v>NÃO</v>
      </c>
      <c r="S89" s="205" t="str" cm="1">
        <f t="array" ref="S89">IFERROR(LOOKUP(2,1/(Atualizações!$H$1:$H$580=Mapa!$B48&amp;Mapa!BL$3),Atualizações!$E$1:$E$580),"NÃO")</f>
        <v>NÃO</v>
      </c>
      <c r="T89" s="205" t="str" cm="1">
        <f t="array" ref="T89">IFERROR(LOOKUP(2,1/(Atualizações!$H$1:$H$580=Mapa!$B48&amp;Mapa!BM$3),Atualizações!$E$1:$E$580),"NÃO")</f>
        <v>NÃO</v>
      </c>
      <c r="U89" s="205" t="str" cm="1">
        <f t="array" ref="U89">IFERROR(LOOKUP(2,1/(Atualizações!$H$1:$H$580=Mapa!$B48&amp;Mapa!BN$3),Atualizações!$E$1:$E$580),"NÃO")</f>
        <v>NÃO</v>
      </c>
      <c r="V89" s="205" t="str" cm="1">
        <f t="array" ref="V89">IFERROR(LOOKUP(2,1/(Atualizações!$H$1:$H$580=Mapa!$B48&amp;Mapa!BO$3),Atualizações!$E$1:$E$580),"NÃO")</f>
        <v>NÃO</v>
      </c>
      <c r="W89" s="205" t="str" cm="1">
        <f t="array" ref="W89">IFERROR(LOOKUP(2,1/(Atualizações!$H$1:$H$580=Mapa!$B48&amp;Mapa!BP$3),Atualizações!$E$1:$E$580),"NÃO")</f>
        <v>NÃO</v>
      </c>
      <c r="X89" s="205" t="str" cm="1">
        <f t="array" ref="X89">IFERROR(LOOKUP(2,1/(Atualizações!$H$1:$H$580=Mapa!$B48&amp;Mapa!BQ$3),Atualizações!$E$1:$E$580),"NÃO")</f>
        <v>NÃO</v>
      </c>
      <c r="Y89" s="205" t="str" cm="1">
        <f t="array" ref="Y89">IFERROR(LOOKUP(2,1/(Atualizações!$H$1:$H$580=Mapa!$B48&amp;Mapa!BR$3),Atualizações!$E$1:$E$580),"NÃO")</f>
        <v>NÃO</v>
      </c>
      <c r="Z89" s="161" t="str" cm="1">
        <f t="array" ref="Z89">IFERROR(LOOKUP(2,1/(Atualizações!$H$1:$H$1029=Mapa!$B48&amp;Mapa!BS$3),Atualizações!$E$1:$E$1029),"NÃO")</f>
        <v>NÃO</v>
      </c>
      <c r="AA89" s="161" t="str" cm="1">
        <f t="array" ref="AA89">IFERROR(LOOKUP(2,1/(Atualizações!$H$1:$H$1029=Mapa!$B48&amp;Mapa!BT$3),Atualizações!$E$1:$E$1029),"NÃO")</f>
        <v>NÃO</v>
      </c>
      <c r="AB89" s="161" t="str" cm="1">
        <f t="array" ref="AB89">IFERROR(LOOKUP(2,1/(Atualizações!$H$1:$H$1029=Mapa!$B48&amp;Mapa!BU$3),Atualizações!$E$1:$E$1029),"NÃO")</f>
        <v>NÃO</v>
      </c>
      <c r="AC89" s="161" t="str" cm="1">
        <f t="array" ref="AC89">IFERROR(LOOKUP(2,1/(Atualizações!$H$1:$H$1029=Mapa!$B48&amp;Mapa!BV$3),Atualizações!$E$1:$E$1029),"NÃO")</f>
        <v>NÃO</v>
      </c>
      <c r="AD89" s="161" t="str" cm="1">
        <f t="array" ref="AD89">IFERROR(LOOKUP(2,1/(Atualizações!$H$1:$H$1029=Mapa!$B48&amp;Mapa!BW$3),Atualizações!$E$1:$E$1029),"NÃO")</f>
        <v>NÃO</v>
      </c>
      <c r="AE89" s="161" t="str" cm="1">
        <f t="array" ref="AE89">IFERROR(LOOKUP(2,1/(Atualizações!$H$1:$H$1029=Mapa!$B48&amp;Mapa!BX$3),Atualizações!$E$1:$E$1029),"NÃO")</f>
        <v>NÃO</v>
      </c>
      <c r="AF89" s="161" t="str" cm="1">
        <f t="array" ref="AF89">IFERROR(LOOKUP(2,1/(Atualizações!$H$1:$H$1029=Mapa!$B48&amp;Mapa!BY$3),Atualizações!$E$1:$E$1029),"NÃO")</f>
        <v>NÃO</v>
      </c>
      <c r="AG89" s="161" t="str" cm="1">
        <f t="array" ref="AG89">IFERROR(LOOKUP(2,1/(Atualizações!$H$1:$H$1029=Mapa!$B48&amp;Mapa!BZ$3),Atualizações!$E$1:$E$1029),"NÃO")</f>
        <v>NÃO</v>
      </c>
      <c r="AH89" s="161" t="str" cm="1">
        <f t="array" ref="AH89">IFERROR(LOOKUP(2,1/(Atualizações!$H$1:$H$1029=Mapa!$B48&amp;Mapa!CA$3),Atualizações!$E$1:$E$1029),"NÃO")</f>
        <v>NÃO</v>
      </c>
      <c r="AI89" s="161" t="str" cm="1">
        <f t="array" ref="AI89">IFERROR(LOOKUP(2,1/(Atualizações!$H$1:$H$1029=Mapa!$B48&amp;Mapa!CB$3),Atualizações!$E$1:$E$1029),"NÃO")</f>
        <v>NÃO</v>
      </c>
      <c r="AJ89" s="161" t="str" cm="1">
        <f t="array" ref="AJ89">IFERROR(LOOKUP(2,1/(Atualizações!$H$1:$H$1029=Mapa!$B48&amp;Mapa!CC$3),Atualizações!$E$1:$E$1029),"NÃO")</f>
        <v>NÃO</v>
      </c>
      <c r="AK89" s="161" t="str" cm="1">
        <f t="array" ref="AK89">IFERROR(LOOKUP(2,1/(Atualizações!$H$1:$H$1029=Mapa!$B48&amp;Mapa!CD$3),Atualizações!$E$1:$E$1029),"NÃO")</f>
        <v>NÃO</v>
      </c>
      <c r="AL89" s="161" t="str" cm="1">
        <f t="array" ref="AL89">IFERROR(LOOKUP(2,1/(Atualizações!$H$1:$H$1265=Mapa!$B48&amp;Mapa!CE$3),Atualizações!$E$1:$E$2994),"NÃO")</f>
        <v>NÃO</v>
      </c>
      <c r="AM89" s="161" t="str" cm="1">
        <f t="array" ref="AM89">IFERROR(LOOKUP(2,1/(Atualizações!$H$1:$H$2994=Tb_Mapa[[#This Row],[SEI]]&amp;Mapa!CF$3),Atualizações!$E$1:$E$2994),"NÃO")</f>
        <v>NÃO</v>
      </c>
      <c r="AN89" s="161" cm="1">
        <f t="array" ref="AN89">IFERROR(LOOKUP(2,1/(Atualizações!$H$1:$H$2994=Tb_Mapa[[#This Row],[SEI]]&amp;Mapa!CG$3),Atualizações!$E$1:$E$2994),"NÃO")</f>
        <v>0.74</v>
      </c>
      <c r="AO89" s="161" cm="1">
        <f t="array" ref="AO89">IFERROR(LOOKUP(2,1/(Atualizações!$H$1:$H$2994=Tb_Mapa[[#This Row],[SEI]]&amp;Mapa!CH$3),Atualizações!$E$1:$E$2994),"NÃO")</f>
        <v>0.77</v>
      </c>
      <c r="AP89" s="161" cm="1">
        <f t="array" ref="AP89">IFERROR(LOOKUP(2,1/(Atualizações!$H$1:$H$2994=Tb_Mapa[[#This Row],[SEI]]&amp;Mapa!CI$3),Atualizações!$E$1:$E$2994),"NÃO")</f>
        <v>0.76</v>
      </c>
      <c r="AQ89" s="161" cm="1">
        <f t="array" ref="AQ89">IFERROR(LOOKUP(2,1/(Atualizações!$H$1:$H$2994=Tb_Mapa[[#This Row],[SEI]]&amp;Mapa!CJ$3),Atualizações!$E$1:$E$2994),"NÃO")</f>
        <v>0.76</v>
      </c>
      <c r="AR89" s="161" t="str" cm="1">
        <f t="array" ref="AR89">IFERROR(LOOKUP(2,1/(Atualizações!$H$1:$H$2994=Tb_Mapa[[#This Row],[SEI]]&amp;Mapa!CK$3),Atualizações!$E$1:$E$2994),"NÃO")</f>
        <v>NÃO</v>
      </c>
      <c r="AS89" s="161" t="str" cm="1">
        <f t="array" ref="AS89">IFERROR(LOOKUP(2,1/(Atualizações!$H$1:$H$2994=Tb_Mapa[[#This Row],[SEI]]&amp;Mapa!CL$3),Atualizações!$E$1:$E$2994),"NÃO")</f>
        <v>NÃO</v>
      </c>
      <c r="AT89" s="161" t="str" cm="1">
        <f t="array" ref="AT89">IFERROR(LOOKUP(2,1/(Atualizações!$H$1:$H$2994=Tb_Mapa[[#This Row],[SEI]]&amp;Mapa!CM$3),Atualizações!$E$1:$E$2994),"NÃO")</f>
        <v>NÃO</v>
      </c>
      <c r="AU89" s="161" t="str" cm="1">
        <f t="array" ref="AU89">IFERROR(LOOKUP(2,1/(Atualizações!$H$1:$H$2994=Tb_Mapa[[#This Row],[SEI]]&amp;Mapa!CN$3),Atualizações!$E$1:$E$2994),"NÃO")</f>
        <v>NÃO</v>
      </c>
      <c r="AV89" s="161" t="str" cm="1">
        <f t="array" ref="AV89">IFERROR(LOOKUP(2,1/(Atualizações!$H$1:$H$2994=Tb_Mapa[[#This Row],[SEI]]&amp;Mapa!CO$3),Atualizações!$E$1:$E$2994),"NÃO")</f>
        <v>NÃO</v>
      </c>
      <c r="AW89" s="161" t="str" cm="1">
        <f t="array" ref="AW89">IFERROR(LOOKUP(2,1/(Atualizações!$H$1:$H$2994=Tb_Mapa[[#This Row],[SEI]]&amp;Mapa!CP$3),Atualizações!$E$1:$E$2994),"NÃO")</f>
        <v>NÃO</v>
      </c>
      <c r="AX89" s="161" t="str" cm="1">
        <f t="array" ref="AX89">IFERROR(LOOKUP(2,1/(Atualizações!$H$1:$H$2994=Tb_Mapa[[#This Row],[SEI]]&amp;Mapa!CQ$3),Atualizações!$E$1:$E$2994),"NÃO")</f>
        <v>NÃO</v>
      </c>
    </row>
    <row r="90" spans="2:50">
      <c r="B90" s="46" t="s">
        <v>917</v>
      </c>
      <c r="C90" s="676" t="str">
        <f>_xlfn.XLOOKUP(Tb_Mapa[[#This Row],[SEI]],Tb_Portfólio[SEI],Tb_Portfólio[Portfólio 2025],"",0)</f>
        <v>Sim</v>
      </c>
      <c r="D90" s="158" t="str">
        <f>_xlfn.XLOOKUP(Tb_Mapa[[#This Row],[SEI]],Tb_Portfólio[SEI],Tb_Portfólio[Portfólio 2026],"",0)</f>
        <v>Sim</v>
      </c>
      <c r="E90" s="162" t="str">
        <f>_xlfn.XLOOKUP(Tb_Mapa[[#This Row],[SEI]],Tb_Portfólio[SEI],Tb_Portfólio[PROJETO],"",0)</f>
        <v>e-NatJus 4.0</v>
      </c>
      <c r="F90" s="143" t="str">
        <f>INDEX(Projetos!$G$3:$G$129,MATCH(Tb_Mapa[[#This Row],[SEI]],Projetos!$A$3:$A$129,0))</f>
        <v>Tiago Ribeiro Gonçalves</v>
      </c>
      <c r="G90" s="160" t="s">
        <v>1717</v>
      </c>
      <c r="H90" s="166" t="str">
        <f>INDEX(Projetos!$T$3:$T$129,MATCH(B90,Projetos!$A$3:$A$129,0))</f>
        <v>Justiça 4.0</v>
      </c>
      <c r="I90" s="310">
        <f>INDEX(Projetos!$M$3:$M$129,MATCH(Tb_Mapa[[#This Row],[SEI]],Projetos!$A$3:$A$129,0))</f>
        <v>46386</v>
      </c>
      <c r="J90" s="164" t="str">
        <f ca="1">IF(Tb_Mapa[[#This Row],[SITUAÇÃO]]="Finalizado", "Data atualizada", IFERROR(IF(Tb_Mapa[[#This Row],[DATA DE TÉRMINO]]&lt;$I$1,"Atualizar data de encerramento","Data atualizada"),"Sem informação"))</f>
        <v>Data atualizada</v>
      </c>
      <c r="K90" s="311">
        <f>INDEX(Projetos!$N$3:$N$129,MATCH(Tb_Mapa[[#This Row],[SEI]],Projetos!$A$3:$A$129,0))</f>
        <v>0.69</v>
      </c>
      <c r="L90" s="311">
        <f>INDEX(Projetos!$O$3:$O$129,MATCH(Tb_Mapa[[#This Row],[SEI]],Projetos!$A$3:$A$129,0))</f>
        <v>0.66</v>
      </c>
      <c r="M90" s="165" t="str">
        <f ca="1">_xlfn.XLOOKUP(Tb_Mapa[[#This Row],[SEI]],Tb_Portfólio[SEI],Tb_Portfólio[Situação],"N/A",0)</f>
        <v>No prazo</v>
      </c>
      <c r="N90" s="128" t="str" cm="1">
        <f t="array" ref="N90">IFERROR(LOOKUP(2,1/(Atualizações!$H$1:$H$486=Mapa!$B111&amp;Mapa!BG$3),Atualizações!$E$1:$E$486),"NÃO")</f>
        <v>NÃO</v>
      </c>
      <c r="O90" s="205"/>
      <c r="P90" s="205"/>
      <c r="Q90" s="205"/>
      <c r="R90" s="205"/>
      <c r="S90" s="205"/>
      <c r="T90" s="205"/>
      <c r="U90" s="205"/>
      <c r="V90" s="205"/>
      <c r="W90" s="205"/>
      <c r="X90" s="205"/>
      <c r="Y90" s="205"/>
      <c r="Z90" s="161"/>
      <c r="AA90" s="691"/>
      <c r="AB90" s="691"/>
      <c r="AC90" s="691"/>
      <c r="AD90" s="691"/>
      <c r="AE90" s="691"/>
      <c r="AF90" s="691"/>
      <c r="AG90" s="691"/>
      <c r="AH90" s="161" t="str" cm="1">
        <f t="array" ref="AH90">IFERROR(LOOKUP(2,1/(Atualizações!$H$1:$H$1029=Mapa!$B111&amp;Mapa!CA$3),Atualizações!$E$1:$E$1029),"NÃO")</f>
        <v>NÃO</v>
      </c>
      <c r="AI90" s="161" t="str" cm="1">
        <f t="array" ref="AI90">IFERROR(LOOKUP(2,1/(Atualizações!$H$1:$H$1029=Mapa!$B111&amp;Mapa!CB$3),Atualizações!$E$1:$E$1029),"NÃO")</f>
        <v>NÃO</v>
      </c>
      <c r="AJ90" s="161" t="str" cm="1">
        <f t="array" ref="AJ90">IFERROR(LOOKUP(2,1/(Atualizações!$H$1:$H$1029=Mapa!$B111&amp;Mapa!CC$3),Atualizações!$E$1:$E$1029),"NÃO")</f>
        <v>NÃO</v>
      </c>
      <c r="AK90" s="161" t="str" cm="1">
        <f t="array" ref="AK90">IFERROR(LOOKUP(2,1/(Atualizações!$H$1:$H$1029=Mapa!$B111&amp;Mapa!CD$3),Atualizações!$E$1:$E$1029),"NÃO")</f>
        <v>NÃO</v>
      </c>
      <c r="AL90" s="161" t="str" cm="1">
        <f t="array" ref="AL90">IFERROR(LOOKUP(2,1/(Atualizações!$H$1:$H$1265=Mapa!$B111&amp;Mapa!CE$3),Atualizações!$E$1:$E$2994),"NÃO")</f>
        <v>NÃO</v>
      </c>
      <c r="AM90" s="161" t="str" cm="1">
        <f t="array" ref="AM90">IFERROR(LOOKUP(2,1/(Atualizações!$H$1:$H$2994=Tb_Mapa[[#This Row],[SEI]]&amp;Mapa!CF$3),Atualizações!$E$1:$E$2994),"NÃO")</f>
        <v>NÃO</v>
      </c>
      <c r="AN90" s="161" cm="1">
        <f t="array" ref="AN90">IFERROR(LOOKUP(2,1/(Atualizações!$H$1:$H$2994=Tb_Mapa[[#This Row],[SEI]]&amp;Mapa!CG$3),Atualizações!$E$1:$E$2994),"NÃO")</f>
        <v>0.73</v>
      </c>
      <c r="AO90" s="161" cm="1">
        <f t="array" ref="AO90">IFERROR(LOOKUP(2,1/(Atualizações!$H$1:$H$2994=Tb_Mapa[[#This Row],[SEI]]&amp;Mapa!CH$3),Atualizações!$E$1:$E$2994),"NÃO")</f>
        <v>0.73</v>
      </c>
      <c r="AP90" s="161" cm="1">
        <f t="array" ref="AP90">IFERROR(LOOKUP(2,1/(Atualizações!$H$1:$H$2994=Tb_Mapa[[#This Row],[SEI]]&amp;Mapa!CI$3),Atualizações!$E$1:$E$2994),"NÃO")</f>
        <v>0.68</v>
      </c>
      <c r="AQ90" s="161" cm="1">
        <f t="array" ref="AQ90">IFERROR(LOOKUP(2,1/(Atualizações!$H$1:$H$2994=Tb_Mapa[[#This Row],[SEI]]&amp;Mapa!CJ$3),Atualizações!$E$1:$E$2994),"NÃO")</f>
        <v>0.66</v>
      </c>
      <c r="AR90" s="161" t="str" cm="1">
        <f t="array" ref="AR90">IFERROR(LOOKUP(2,1/(Atualizações!$H$1:$H$2994=Tb_Mapa[[#This Row],[SEI]]&amp;Mapa!CK$3),Atualizações!$E$1:$E$2994),"NÃO")</f>
        <v>NÃO</v>
      </c>
      <c r="AS90" s="161" t="str" cm="1">
        <f t="array" ref="AS90">IFERROR(LOOKUP(2,1/(Atualizações!$H$1:$H$2994=Tb_Mapa[[#This Row],[SEI]]&amp;Mapa!CL$3),Atualizações!$E$1:$E$2994),"NÃO")</f>
        <v>NÃO</v>
      </c>
      <c r="AT90" s="161" t="str" cm="1">
        <f t="array" ref="AT90">IFERROR(LOOKUP(2,1/(Atualizações!$H$1:$H$2994=Tb_Mapa[[#This Row],[SEI]]&amp;Mapa!CM$3),Atualizações!$E$1:$E$2994),"NÃO")</f>
        <v>NÃO</v>
      </c>
      <c r="AU90" s="161" t="str" cm="1">
        <f t="array" ref="AU90">IFERROR(LOOKUP(2,1/(Atualizações!$H$1:$H$2994=Tb_Mapa[[#This Row],[SEI]]&amp;Mapa!CN$3),Atualizações!$E$1:$E$2994),"NÃO")</f>
        <v>NÃO</v>
      </c>
      <c r="AV90" s="161" t="str" cm="1">
        <f t="array" ref="AV90">IFERROR(LOOKUP(2,1/(Atualizações!$H$1:$H$2994=Tb_Mapa[[#This Row],[SEI]]&amp;Mapa!CO$3),Atualizações!$E$1:$E$2994),"NÃO")</f>
        <v>NÃO</v>
      </c>
      <c r="AW90" s="161" t="str" cm="1">
        <f t="array" ref="AW90">IFERROR(LOOKUP(2,1/(Atualizações!$H$1:$H$2994=Tb_Mapa[[#This Row],[SEI]]&amp;Mapa!CP$3),Atualizações!$E$1:$E$2994),"NÃO")</f>
        <v>NÃO</v>
      </c>
      <c r="AX90" s="161" t="str" cm="1">
        <f t="array" ref="AX90">IFERROR(LOOKUP(2,1/(Atualizações!$H$1:$H$2994=Tb_Mapa[[#This Row],[SEI]]&amp;Mapa!CQ$3),Atualizações!$E$1:$E$2994),"NÃO")</f>
        <v>NÃO</v>
      </c>
    </row>
    <row r="91" spans="2:50" ht="45" hidden="1">
      <c r="B91" s="51" t="s">
        <v>290</v>
      </c>
      <c r="C91" s="676" t="str">
        <f>_xlfn.XLOOKUP(Tb_Mapa[[#This Row],[SEI]],Tb_Portfólio[SEI],Tb_Portfólio[Portfólio 2025],"",0)</f>
        <v>Sim</v>
      </c>
      <c r="D91" s="158" t="str">
        <f>_xlfn.XLOOKUP(Tb_Mapa[[#This Row],[SEI]],Tb_Portfólio[SEI],Tb_Portfólio[Portfólio 2026],"",0)</f>
        <v>Não</v>
      </c>
      <c r="E91" s="162" t="str">
        <f>_xlfn.XLOOKUP(Tb_Mapa[[#This Row],[SEI]],Tb_Portfólio[SEI],Tb_Portfólio[PROJETO],"",0)</f>
        <v>Itinerância Cooperativa na Amazônia Legal – Edição de 2025 – Boca do Acre (AM) e Xapuri (AC)</v>
      </c>
      <c r="F91" s="170" t="str">
        <f>INDEX(Projetos!$G$3:$G$129,MATCH(B91,Projetos!$A$3:$A$129,0))</f>
        <v>Thais Martins Bosch</v>
      </c>
      <c r="G91" s="698" t="s">
        <v>1722</v>
      </c>
      <c r="H91" s="166">
        <f>INDEX(Projetos!$T$3:$T$129,MATCH(B91,Projetos!$A$3:$A$129,0))</f>
        <v>0</v>
      </c>
      <c r="I91" s="687"/>
      <c r="J91" s="164"/>
      <c r="K91" s="311">
        <f>INDEX(Projetos!$N$3:$N$129,MATCH(Mapa!B105,Projetos!$A$3:$A$129,0))</f>
        <v>1</v>
      </c>
      <c r="L91" s="311">
        <f>INDEX(Projetos!$O$3:$O$129,MATCH(Mapa!B105,Projetos!$A$3:$A$129,0))</f>
        <v>1</v>
      </c>
      <c r="M91" s="165" t="str">
        <f>_xlfn.XLOOKUP(Tb_Mapa[[#This Row],[SEI]],Tb_Portfólio[SEI],Tb_Portfólio[Situação],"N/A",0)</f>
        <v>Finalizado</v>
      </c>
      <c r="N91" s="128" t="str" cm="1">
        <f t="array" ref="N91">IFERROR(LOOKUP(2,1/(Atualizações!$H$1:$H$486=Mapa!$B105&amp;Mapa!BG$3),Atualizações!$E$1:$E$486),"NÃO")</f>
        <v>NÃO</v>
      </c>
      <c r="O91" s="205"/>
      <c r="P91" s="205"/>
      <c r="Q91" s="205"/>
      <c r="R91" s="205"/>
      <c r="S91" s="205"/>
      <c r="T91" s="205"/>
      <c r="U91" s="205"/>
      <c r="V91" s="205"/>
      <c r="W91" s="205"/>
      <c r="X91" s="205"/>
      <c r="Y91" s="205"/>
      <c r="Z91" s="161"/>
      <c r="AA91" s="691"/>
      <c r="AB91" s="691"/>
      <c r="AC91" s="691"/>
      <c r="AD91" s="691"/>
      <c r="AE91" s="161" t="str" cm="1">
        <f t="array" ref="AE91">IFERROR(LOOKUP(2,1/(Atualizações!$H$1:$H$1029=Mapa!$B105&amp;Mapa!BX$3),Atualizações!$E$1:$E$1029),"NÃO")</f>
        <v>NÃO</v>
      </c>
      <c r="AF91" s="161" t="str" cm="1">
        <f t="array" ref="AF91">IFERROR(LOOKUP(2,1/(Atualizações!$H$1:$H$1029=Mapa!$B105&amp;Mapa!BY$3),Atualizações!$E$1:$E$1029),"NÃO")</f>
        <v>NÃO</v>
      </c>
      <c r="AG91" s="161" t="str" cm="1">
        <f t="array" ref="AG91">IFERROR(LOOKUP(2,1/(Atualizações!$H$1:$H$1029=Mapa!$B105&amp;Mapa!BZ$3),Atualizações!$E$1:$E$1029),"NÃO")</f>
        <v>NÃO</v>
      </c>
      <c r="AH91" s="161" t="str" cm="1">
        <f t="array" ref="AH91">IFERROR(LOOKUP(2,1/(Atualizações!$H$1:$H$1029=Mapa!$B105&amp;Mapa!CA$3),Atualizações!$E$1:$E$1029),"NÃO")</f>
        <v>NÃO</v>
      </c>
      <c r="AI91" s="161" t="str" cm="1">
        <f t="array" ref="AI91">IFERROR(LOOKUP(2,1/(Atualizações!$H$1:$H$1029=Mapa!$B105&amp;Mapa!CB$3),Atualizações!$E$1:$E$1029),"NÃO")</f>
        <v>NÃO</v>
      </c>
      <c r="AJ91" s="161" t="str" cm="1">
        <f t="array" ref="AJ91">IFERROR(LOOKUP(2,1/(Atualizações!$H$1:$H$1029=Mapa!$B105&amp;Mapa!CC$3),Atualizações!$E$1:$E$1029),"NÃO")</f>
        <v>NÃO</v>
      </c>
      <c r="AK91" s="161" t="str" cm="1">
        <f t="array" ref="AK91">IFERROR(LOOKUP(2,1/(Atualizações!$H$1:$H$1029=Mapa!$B105&amp;Mapa!CD$3),Atualizações!$E$1:$E$1029),"NÃO")</f>
        <v>NÃO</v>
      </c>
      <c r="AL91" s="161" t="str" cm="1">
        <f t="array" ref="AL91">IFERROR(LOOKUP(2,1/(Atualizações!$H$1:$H$1265=Mapa!$B105&amp;Mapa!CE$3),Atualizações!$E$1:$E$2994),"NÃO")</f>
        <v>NÃO</v>
      </c>
      <c r="AM91" s="161" t="str" cm="1">
        <f t="array" ref="AM91">IFERROR(LOOKUP(2,1/(Atualizações!$H$1:$H$2994=Tb_Mapa[[#This Row],[SEI]]&amp;Mapa!CF$3),Atualizações!$E$1:$E$2994),"NÃO")</f>
        <v>NÃO</v>
      </c>
      <c r="AN91" s="161" t="str" cm="1">
        <f t="array" ref="AN91">IFERROR(LOOKUP(2,1/(Atualizações!$H$1:$H$2994=Tb_Mapa[[#This Row],[SEI]]&amp;Mapa!CG$3),Atualizações!$E$1:$E$2994),"NÃO")</f>
        <v>NÃO</v>
      </c>
      <c r="AO91" s="161" t="str" cm="1">
        <f t="array" ref="AO91">IFERROR(LOOKUP(2,1/(Atualizações!$H$1:$H$2994=Tb_Mapa[[#This Row],[SEI]]&amp;Mapa!CH$3),Atualizações!$E$1:$E$2994),"NÃO")</f>
        <v>NÃO</v>
      </c>
      <c r="AP91" s="161" t="str" cm="1">
        <f t="array" ref="AP91">IFERROR(LOOKUP(2,1/(Atualizações!$H$1:$H$2994=Tb_Mapa[[#This Row],[SEI]]&amp;Mapa!CI$3),Atualizações!$E$1:$E$2994),"NÃO")</f>
        <v>NÃO</v>
      </c>
      <c r="AQ91" s="161" t="str" cm="1">
        <f t="array" ref="AQ91">IFERROR(LOOKUP(2,1/(Atualizações!$H$1:$H$2994=Tb_Mapa[[#This Row],[SEI]]&amp;Mapa!CJ$3),Atualizações!$E$1:$E$2994),"NÃO")</f>
        <v>NÃO</v>
      </c>
      <c r="AR91" s="161" t="str" cm="1">
        <f t="array" ref="AR91">IFERROR(LOOKUP(2,1/(Atualizações!$H$1:$H$2994=Tb_Mapa[[#This Row],[SEI]]&amp;Mapa!CK$3),Atualizações!$E$1:$E$2994),"NÃO")</f>
        <v>NÃO</v>
      </c>
      <c r="AS91" s="161" t="str" cm="1">
        <f t="array" ref="AS91">IFERROR(LOOKUP(2,1/(Atualizações!$H$1:$H$2994=Tb_Mapa[[#This Row],[SEI]]&amp;Mapa!CL$3),Atualizações!$E$1:$E$2994),"NÃO")</f>
        <v>NÃO</v>
      </c>
      <c r="AT91" s="161" t="str" cm="1">
        <f t="array" ref="AT91">IFERROR(LOOKUP(2,1/(Atualizações!$H$1:$H$2994=Tb_Mapa[[#This Row],[SEI]]&amp;Mapa!CM$3),Atualizações!$E$1:$E$2994),"NÃO")</f>
        <v>NÃO</v>
      </c>
      <c r="AU91" s="161" t="str" cm="1">
        <f t="array" ref="AU91">IFERROR(LOOKUP(2,1/(Atualizações!$H$1:$H$2994=Tb_Mapa[[#This Row],[SEI]]&amp;Mapa!CN$3),Atualizações!$E$1:$E$2994),"NÃO")</f>
        <v>NÃO</v>
      </c>
      <c r="AV91" s="161" t="str" cm="1">
        <f t="array" ref="AV91">IFERROR(LOOKUP(2,1/(Atualizações!$H$1:$H$2994=Tb_Mapa[[#This Row],[SEI]]&amp;Mapa!CO$3),Atualizações!$E$1:$E$2994),"NÃO")</f>
        <v>NÃO</v>
      </c>
      <c r="AW91" s="161" t="str" cm="1">
        <f t="array" ref="AW91">IFERROR(LOOKUP(2,1/(Atualizações!$H$1:$H$2994=Tb_Mapa[[#This Row],[SEI]]&amp;Mapa!CP$3),Atualizações!$E$1:$E$2994),"NÃO")</f>
        <v>NÃO</v>
      </c>
      <c r="AX91" s="161" t="str" cm="1">
        <f t="array" ref="AX91">IFERROR(LOOKUP(2,1/(Atualizações!$H$1:$H$2994=Tb_Mapa[[#This Row],[SEI]]&amp;Mapa!CQ$3),Atualizações!$E$1:$E$2994),"NÃO")</f>
        <v>NÃO</v>
      </c>
    </row>
    <row r="92" spans="2:50" ht="30" hidden="1">
      <c r="B92" s="23" t="s">
        <v>273</v>
      </c>
      <c r="C92" s="158" t="str">
        <f>_xlfn.XLOOKUP(Tb_Mapa[[#This Row],[SEI]],Tb_Portfólio[SEI],Tb_Portfólio[Portfólio 2025],"",0)</f>
        <v>Sim</v>
      </c>
      <c r="D92" s="158" t="str">
        <f>_xlfn.XLOOKUP(Tb_Mapa[[#This Row],[SEI]],Tb_Portfólio[SEI],Tb_Portfólio[Portfólio 2026],"",0)</f>
        <v>Não</v>
      </c>
      <c r="E92" s="162" t="str">
        <f>_xlfn.XLOOKUP(Tb_Mapa[[#This Row],[SEI]],Tb_Portfólio[SEI],Tb_Portfólio[PROJETO],"",0)</f>
        <v>SNA – Novo Sistema Nacional de Adoção e Acolhimento</v>
      </c>
      <c r="F92" s="701" t="str">
        <f>INDEX(Projetos!$G$3:$G$129,MATCH(B92,Projetos!$A$3:$A$129,0))</f>
        <v>Ana Angélica Rodrigues Alves</v>
      </c>
      <c r="G92" s="158" t="s">
        <v>1715</v>
      </c>
      <c r="H92" s="143" t="str">
        <f>INDEX(Projetos!$T$3:$T$129,MATCH(B92,Projetos!$A$3:$A$129,0))</f>
        <v>Justiça 4.0</v>
      </c>
      <c r="I92" s="310">
        <f>INDEX(Projetos!$M$3:$M$129,MATCH(Mapa!B34,Projetos!$A$3:$A$129,0))</f>
        <v>45657</v>
      </c>
      <c r="J92" s="164" t="str">
        <f>IF(Tb_Mapa[[#This Row],[SITUAÇÃO]]="Finalizado", "Data atualizada", IFERROR(IF(I92&lt;$CN$3,"Atualizar data de encerramento","Data atualizada"),"Sem informação"))</f>
        <v>Data atualizada</v>
      </c>
      <c r="K92" s="311">
        <f>INDEX(Projetos!$N$3:$N$129,MATCH(Mapa!B34,Projetos!$A$3:$A$129,0))</f>
        <v>1</v>
      </c>
      <c r="L92" s="311">
        <f>INDEX(Projetos!$O$3:$O$129,MATCH(Mapa!B34,Projetos!$A$3:$A$129,0))</f>
        <v>1</v>
      </c>
      <c r="M92" s="165" t="str">
        <f>_xlfn.XLOOKUP(Tb_Mapa[[#This Row],[SEI]],Tb_Portfólio[SEI],Tb_Portfólio[Situação],"N/A",0)</f>
        <v>Finalizado</v>
      </c>
      <c r="N92" s="128" t="str" cm="1">
        <f t="array" ref="N92">IFERROR(LOOKUP(2,1/(Atualizações!$H$1:$H$486=Mapa!$B34&amp;Mapa!BG$3),Atualizações!$E$1:$E$486),"NÃO")</f>
        <v>NÃO</v>
      </c>
      <c r="O92" s="205" t="str" cm="1">
        <f t="array" ref="O92">IFERROR(LOOKUP(2,1/(Atualizações!$H$1:$H$580=Mapa!$B34&amp;Mapa!BH$3),Atualizações!$E$1:$E$580),"NÃO")</f>
        <v>NÃO</v>
      </c>
      <c r="P92" s="205" t="str" cm="1">
        <f t="array" ref="P92">IFERROR(LOOKUP(2,1/(Atualizações!$H$1:$H$580=Mapa!$B34&amp;Mapa!BI$3),Atualizações!$E$1:$E$580),"NÃO")</f>
        <v>NÃO</v>
      </c>
      <c r="Q92" s="205" t="str" cm="1">
        <f t="array" ref="Q92">IFERROR(LOOKUP(2,1/(Atualizações!$H$1:$H$580=Mapa!$B34&amp;Mapa!BJ$3),Atualizações!$E$1:$E$580),"NÃO")</f>
        <v>NÃO</v>
      </c>
      <c r="R92" s="205" t="str" cm="1">
        <f t="array" ref="R92">IFERROR(LOOKUP(2,1/(Atualizações!$H$1:$H$580=Mapa!$B34&amp;Mapa!BK$3),Atualizações!$E$1:$E$580),"NÃO")</f>
        <v>NÃO</v>
      </c>
      <c r="S92" s="205" t="str" cm="1">
        <f t="array" ref="S92">IFERROR(LOOKUP(2,1/(Atualizações!$H$1:$H$580=Mapa!$B34&amp;Mapa!BL$3),Atualizações!$E$1:$E$580),"NÃO")</f>
        <v>NÃO</v>
      </c>
      <c r="T92" s="205" t="str" cm="1">
        <f t="array" ref="T92">IFERROR(LOOKUP(2,1/(Atualizações!$H$1:$H$580=Mapa!$B34&amp;Mapa!BM$3),Atualizações!$E$1:$E$580),"NÃO")</f>
        <v>NÃO</v>
      </c>
      <c r="U92" s="205" t="str" cm="1">
        <f t="array" ref="U92">IFERROR(LOOKUP(2,1/(Atualizações!$H$1:$H$580=Mapa!$B34&amp;Mapa!BN$3),Atualizações!$E$1:$E$580),"NÃO")</f>
        <v>NÃO</v>
      </c>
      <c r="V92" s="205" t="str" cm="1">
        <f t="array" ref="V92">IFERROR(LOOKUP(2,1/(Atualizações!$H$1:$H$580=Mapa!$B34&amp;Mapa!BO$3),Atualizações!$E$1:$E$580),"NÃO")</f>
        <v>NÃO</v>
      </c>
      <c r="W92" s="205" t="str" cm="1">
        <f t="array" ref="W92">IFERROR(LOOKUP(2,1/(Atualizações!$H$1:$H$580=Mapa!$B34&amp;Mapa!BP$3),Atualizações!$E$1:$E$580),"NÃO")</f>
        <v>NÃO</v>
      </c>
      <c r="X92" s="205" t="str" cm="1">
        <f t="array" ref="X92">IFERROR(LOOKUP(2,1/(Atualizações!$H$1:$H$580=Mapa!$B34&amp;Mapa!BQ$3),Atualizações!$E$1:$E$580),"NÃO")</f>
        <v>NÃO</v>
      </c>
      <c r="Y92" s="205" t="str" cm="1">
        <f t="array" ref="Y92">IFERROR(LOOKUP(2,1/(Atualizações!$H$1:$H$580=Mapa!$B34&amp;Mapa!BR$3),Atualizações!$E$1:$E$580),"NÃO")</f>
        <v>NÃO</v>
      </c>
      <c r="Z92" s="161" cm="1">
        <f t="array" ref="Z92">IFERROR(LOOKUP(2,1/(Atualizações!$H$1:$H$1029=Mapa!$B34&amp;Mapa!BS$3),Atualizações!$E$1:$E$1029),"NÃO")</f>
        <v>1</v>
      </c>
      <c r="AA92" s="161" t="str" cm="1">
        <f t="array" ref="AA92">IFERROR(LOOKUP(2,1/(Atualizações!$H$1:$H$1029=Mapa!$B34&amp;Mapa!BT$3),Atualizações!$E$1:$E$1029),"NÃO")</f>
        <v>NÃO</v>
      </c>
      <c r="AB92" s="161" t="str" cm="1">
        <f t="array" ref="AB92">IFERROR(LOOKUP(2,1/(Atualizações!$H$1:$H$1029=Mapa!$B34&amp;Mapa!BU$3),Atualizações!$E$1:$E$1029),"NÃO")</f>
        <v>NÃO</v>
      </c>
      <c r="AC92" s="161" t="str" cm="1">
        <f t="array" ref="AC92">IFERROR(LOOKUP(2,1/(Atualizações!$H$1:$H$1029=Mapa!$B34&amp;Mapa!BV$3),Atualizações!$E$1:$E$1029),"NÃO")</f>
        <v>NÃO</v>
      </c>
      <c r="AD92" s="161" t="str" cm="1">
        <f t="array" ref="AD92">IFERROR(LOOKUP(2,1/(Atualizações!$H$1:$H$1029=Mapa!$B34&amp;Mapa!BW$3),Atualizações!$E$1:$E$1029),"NÃO")</f>
        <v>NÃO</v>
      </c>
      <c r="AE92" s="161" t="str" cm="1">
        <f t="array" ref="AE92">IFERROR(LOOKUP(2,1/(Atualizações!$H$1:$H$1029=Mapa!$B34&amp;Mapa!BX$3),Atualizações!$E$1:$E$1029),"NÃO")</f>
        <v>NÃO</v>
      </c>
      <c r="AF92" s="161" t="str" cm="1">
        <f t="array" ref="AF92">IFERROR(LOOKUP(2,1/(Atualizações!$H$1:$H$1029=Mapa!$B34&amp;Mapa!BY$3),Atualizações!$E$1:$E$1029),"NÃO")</f>
        <v>NÃO</v>
      </c>
      <c r="AG92" s="161" t="str" cm="1">
        <f t="array" ref="AG92">IFERROR(LOOKUP(2,1/(Atualizações!$H$1:$H$1029=Mapa!$B34&amp;Mapa!BZ$3),Atualizações!$E$1:$E$1029),"NÃO")</f>
        <v>NÃO</v>
      </c>
      <c r="AH92" s="161" t="str" cm="1">
        <f t="array" ref="AH92">IFERROR(LOOKUP(2,1/(Atualizações!$H$1:$H$1029=Mapa!$B34&amp;Mapa!CA$3),Atualizações!$E$1:$E$1029),"NÃO")</f>
        <v>NÃO</v>
      </c>
      <c r="AI92" s="161" t="str" cm="1">
        <f t="array" ref="AI92">IFERROR(LOOKUP(2,1/(Atualizações!$H$1:$H$1029=Mapa!$B34&amp;Mapa!CB$3),Atualizações!$E$1:$E$1029),"NÃO")</f>
        <v>NÃO</v>
      </c>
      <c r="AJ92" s="161" t="str" cm="1">
        <f t="array" ref="AJ92">IFERROR(LOOKUP(2,1/(Atualizações!$H$1:$H$1029=Mapa!$B34&amp;Mapa!CC$3),Atualizações!$E$1:$E$1029),"NÃO")</f>
        <v>NÃO</v>
      </c>
      <c r="AK92" s="161" t="str" cm="1">
        <f t="array" ref="AK92">IFERROR(LOOKUP(2,1/(Atualizações!$H$1:$H$1029=Mapa!$B34&amp;Mapa!CD$3),Atualizações!$E$1:$E$1029),"NÃO")</f>
        <v>NÃO</v>
      </c>
      <c r="AL92" s="161" t="str" cm="1">
        <f t="array" ref="AL92">IFERROR(LOOKUP(2,1/(Atualizações!$H$1:$H$1265=Mapa!$B34&amp;Mapa!CE$3),Atualizações!$E$1:$E$2994),"NÃO")</f>
        <v>NÃO</v>
      </c>
      <c r="AM92" s="161" t="str" cm="1">
        <f t="array" ref="AM92">IFERROR(LOOKUP(2,1/(Atualizações!$H$1:$H$2994=Tb_Mapa[[#This Row],[SEI]]&amp;Mapa!CF$3),Atualizações!$E$1:$E$2994),"NÃO")</f>
        <v>NÃO</v>
      </c>
      <c r="AN92" s="161" t="str" cm="1">
        <f t="array" ref="AN92">IFERROR(LOOKUP(2,1/(Atualizações!$H$1:$H$2994=Tb_Mapa[[#This Row],[SEI]]&amp;Mapa!CG$3),Atualizações!$E$1:$E$2994),"NÃO")</f>
        <v>NÃO</v>
      </c>
      <c r="AO92" s="161" t="str" cm="1">
        <f t="array" ref="AO92">IFERROR(LOOKUP(2,1/(Atualizações!$H$1:$H$2994=Tb_Mapa[[#This Row],[SEI]]&amp;Mapa!CH$3),Atualizações!$E$1:$E$2994),"NÃO")</f>
        <v>NÃO</v>
      </c>
      <c r="AP92" s="161" t="str" cm="1">
        <f t="array" ref="AP92">IFERROR(LOOKUP(2,1/(Atualizações!$H$1:$H$2994=Tb_Mapa[[#This Row],[SEI]]&amp;Mapa!CI$3),Atualizações!$E$1:$E$2994),"NÃO")</f>
        <v>NÃO</v>
      </c>
      <c r="AQ92" s="161" t="str" cm="1">
        <f t="array" ref="AQ92">IFERROR(LOOKUP(2,1/(Atualizações!$H$1:$H$2994=Tb_Mapa[[#This Row],[SEI]]&amp;Mapa!CJ$3),Atualizações!$E$1:$E$2994),"NÃO")</f>
        <v>NÃO</v>
      </c>
      <c r="AR92" s="161" t="str" cm="1">
        <f t="array" ref="AR92">IFERROR(LOOKUP(2,1/(Atualizações!$H$1:$H$2994=Tb_Mapa[[#This Row],[SEI]]&amp;Mapa!CK$3),Atualizações!$E$1:$E$2994),"NÃO")</f>
        <v>NÃO</v>
      </c>
      <c r="AS92" s="161" t="str" cm="1">
        <f t="array" ref="AS92">IFERROR(LOOKUP(2,1/(Atualizações!$H$1:$H$2994=Tb_Mapa[[#This Row],[SEI]]&amp;Mapa!CL$3),Atualizações!$E$1:$E$2994),"NÃO")</f>
        <v>NÃO</v>
      </c>
      <c r="AT92" s="161" t="str" cm="1">
        <f t="array" ref="AT92">IFERROR(LOOKUP(2,1/(Atualizações!$H$1:$H$2994=Tb_Mapa[[#This Row],[SEI]]&amp;Mapa!CM$3),Atualizações!$E$1:$E$2994),"NÃO")</f>
        <v>NÃO</v>
      </c>
      <c r="AU92" s="161" t="str" cm="1">
        <f t="array" ref="AU92">IFERROR(LOOKUP(2,1/(Atualizações!$H$1:$H$2994=Tb_Mapa[[#This Row],[SEI]]&amp;Mapa!CN$3),Atualizações!$E$1:$E$2994),"NÃO")</f>
        <v>NÃO</v>
      </c>
      <c r="AV92" s="161" t="str" cm="1">
        <f t="array" ref="AV92">IFERROR(LOOKUP(2,1/(Atualizações!$H$1:$H$2994=Tb_Mapa[[#This Row],[SEI]]&amp;Mapa!CO$3),Atualizações!$E$1:$E$2994),"NÃO")</f>
        <v>NÃO</v>
      </c>
      <c r="AW92" s="161" t="str" cm="1">
        <f t="array" ref="AW92">IFERROR(LOOKUP(2,1/(Atualizações!$H$1:$H$2994=Tb_Mapa[[#This Row],[SEI]]&amp;Mapa!CP$3),Atualizações!$E$1:$E$2994),"NÃO")</f>
        <v>NÃO</v>
      </c>
      <c r="AX92" s="161" t="str" cm="1">
        <f t="array" ref="AX92">IFERROR(LOOKUP(2,1/(Atualizações!$H$1:$H$2994=Tb_Mapa[[#This Row],[SEI]]&amp;Mapa!CQ$3),Atualizações!$E$1:$E$2994),"NÃO")</f>
        <v>NÃO</v>
      </c>
    </row>
    <row r="93" spans="2:50" ht="45" hidden="1">
      <c r="B93" s="23" t="s">
        <v>266</v>
      </c>
      <c r="C93" s="23" t="str">
        <f>_xlfn.XLOOKUP(Tb_Mapa[[#This Row],[SEI]],Tb_Portfólio[SEI],Tb_Portfólio[Portfólio 2025],"",0)</f>
        <v>Sim</v>
      </c>
      <c r="D93" s="158" t="str">
        <f>_xlfn.XLOOKUP(Tb_Mapa[[#This Row],[SEI]],Tb_Portfólio[SEI],Tb_Portfólio[Portfólio 2026],"",0)</f>
        <v>Não</v>
      </c>
      <c r="E93" s="162" t="str">
        <f>_xlfn.XLOOKUP(Tb_Mapa[[#This Row],[SEI]],Tb_Portfólio[SEI],Tb_Portfólio[PROJETO],"",0)</f>
        <v>Itinerância Cooperativa na Amazônia Legal – 1ª Edição de 2024 – Humaitá e Lábrea/AM</v>
      </c>
      <c r="F93" s="170" t="str">
        <f>INDEX(Projetos!$G$3:$G$129,MATCH(B93,Projetos!$A$3:$A$129,0))</f>
        <v>Angela Maria dos Santos</v>
      </c>
      <c r="G93" s="682" t="s">
        <v>1718</v>
      </c>
      <c r="H93" s="166">
        <f>INDEX(Projetos!$T$3:$T$129,MATCH(B93,Projetos!$A$3:$A$129,0))</f>
        <v>0</v>
      </c>
      <c r="I93" s="310">
        <f>INDEX(Projetos!$M$3:$M$129,MATCH(Mapa!B39,Projetos!$A$3:$A$129,0))</f>
        <v>45657</v>
      </c>
      <c r="J93" s="164" t="str">
        <f>IF(Tb_Mapa[[#This Row],[SITUAÇÃO]]="Finalizado", "Data atualizada", IFERROR(IF(I93&lt;$CN$3,"Atualizar data de encerramento","Data atualizada"),"Sem informação"))</f>
        <v>Data atualizada</v>
      </c>
      <c r="K93" s="311">
        <f>INDEX(Projetos!$N$3:$N$129,MATCH(Mapa!B39,Projetos!$A$3:$A$129,0))</f>
        <v>1</v>
      </c>
      <c r="L93" s="311">
        <f>INDEX(Projetos!$O$3:$O$129,MATCH(Mapa!B39,Projetos!$A$3:$A$129,0))</f>
        <v>1</v>
      </c>
      <c r="M93" s="165" t="str">
        <f>_xlfn.XLOOKUP(Tb_Mapa[[#This Row],[SEI]],Tb_Portfólio[SEI],Tb_Portfólio[Situação],"N/A",0)</f>
        <v>Finalizado</v>
      </c>
      <c r="N93" s="128" t="str" cm="1">
        <f t="array" ref="N93">IFERROR(LOOKUP(2,1/(Atualizações!$H$1:$H$486=Mapa!$B39&amp;Mapa!BG$3),Atualizações!$E$1:$E$486),"NÃO")</f>
        <v>NÃO</v>
      </c>
      <c r="O93" s="205" t="str" cm="1">
        <f t="array" ref="O93">IFERROR(LOOKUP(2,1/(Atualizações!$H$1:$H$580=Mapa!$B39&amp;Mapa!BH$3),Atualizações!$E$1:$E$580),"NÃO")</f>
        <v>NÃO</v>
      </c>
      <c r="P93" s="205" t="str" cm="1">
        <f t="array" ref="P93">IFERROR(LOOKUP(2,1/(Atualizações!$H$1:$H$580=Mapa!$B39&amp;Mapa!BI$3),Atualizações!$E$1:$E$580),"NÃO")</f>
        <v>NÃO</v>
      </c>
      <c r="Q93" s="205" t="str" cm="1">
        <f t="array" ref="Q93">IFERROR(LOOKUP(2,1/(Atualizações!$H$1:$H$580=Mapa!$B39&amp;Mapa!BJ$3),Atualizações!$E$1:$E$580),"NÃO")</f>
        <v>NÃO</v>
      </c>
      <c r="R93" s="205" t="str" cm="1">
        <f t="array" ref="R93">IFERROR(LOOKUP(2,1/(Atualizações!$H$1:$H$580=Mapa!$B39&amp;Mapa!BK$3),Atualizações!$E$1:$E$580),"NÃO")</f>
        <v>NÃO</v>
      </c>
      <c r="S93" s="205" t="str" cm="1">
        <f t="array" ref="S93">IFERROR(LOOKUP(2,1/(Atualizações!$H$1:$H$580=Mapa!$B39&amp;Mapa!BL$3),Atualizações!$E$1:$E$580),"NÃO")</f>
        <v>NÃO</v>
      </c>
      <c r="T93" s="205" t="str" cm="1">
        <f t="array" ref="T93">IFERROR(LOOKUP(2,1/(Atualizações!$H$1:$H$580=Mapa!$B39&amp;Mapa!BM$3),Atualizações!$E$1:$E$580),"NÃO")</f>
        <v>NÃO</v>
      </c>
      <c r="U93" s="205" t="str" cm="1">
        <f t="array" ref="U93">IFERROR(LOOKUP(2,1/(Atualizações!$H$1:$H$580=Mapa!$B39&amp;Mapa!BN$3),Atualizações!$E$1:$E$580),"NÃO")</f>
        <v>NÃO</v>
      </c>
      <c r="V93" s="205" t="str" cm="1">
        <f t="array" ref="V93">IFERROR(LOOKUP(2,1/(Atualizações!$H$1:$H$580=Mapa!$B39&amp;Mapa!BO$3),Atualizações!$E$1:$E$580),"NÃO")</f>
        <v>NÃO</v>
      </c>
      <c r="W93" s="205" t="str" cm="1">
        <f t="array" ref="W93">IFERROR(LOOKUP(2,1/(Atualizações!$H$1:$H$580=Mapa!$B39&amp;Mapa!BP$3),Atualizações!$E$1:$E$580),"NÃO")</f>
        <v>NÃO</v>
      </c>
      <c r="X93" s="205" t="str" cm="1">
        <f t="array" ref="X93">IFERROR(LOOKUP(2,1/(Atualizações!$H$1:$H$580=Mapa!$B39&amp;Mapa!BQ$3),Atualizações!$E$1:$E$580),"NÃO")</f>
        <v>NÃO</v>
      </c>
      <c r="Y93" s="205" t="str" cm="1">
        <f t="array" ref="Y93">IFERROR(LOOKUP(2,1/(Atualizações!$H$1:$H$580=Mapa!$B39&amp;Mapa!BR$3),Atualizações!$E$1:$E$580),"NÃO")</f>
        <v>NÃO</v>
      </c>
      <c r="Z93" s="161" cm="1">
        <f t="array" ref="Z93">IFERROR(LOOKUP(2,1/(Atualizações!$H$1:$H$1029=Mapa!$B39&amp;Mapa!BS$3),Atualizações!$E$1:$E$1029),"NÃO")</f>
        <v>1</v>
      </c>
      <c r="AA93" s="161" t="str" cm="1">
        <f t="array" ref="AA93">IFERROR(LOOKUP(2,1/(Atualizações!$H$1:$H$1029=Mapa!$B39&amp;Mapa!BT$3),Atualizações!$E$1:$E$1029),"NÃO")</f>
        <v>NÃO</v>
      </c>
      <c r="AB93" s="161" t="str" cm="1">
        <f t="array" ref="AB93">IFERROR(LOOKUP(2,1/(Atualizações!$H$1:$H$1029=Mapa!$B39&amp;Mapa!BU$3),Atualizações!$E$1:$E$1029),"NÃO")</f>
        <v>NÃO</v>
      </c>
      <c r="AC93" s="161" t="str" cm="1">
        <f t="array" ref="AC93">IFERROR(LOOKUP(2,1/(Atualizações!$H$1:$H$1029=Mapa!$B39&amp;Mapa!BV$3),Atualizações!$E$1:$E$1029),"NÃO")</f>
        <v>NÃO</v>
      </c>
      <c r="AD93" s="161" t="str" cm="1">
        <f t="array" ref="AD93">IFERROR(LOOKUP(2,1/(Atualizações!$H$1:$H$1029=Mapa!$B39&amp;Mapa!BW$3),Atualizações!$E$1:$E$1029),"NÃO")</f>
        <v>NÃO</v>
      </c>
      <c r="AE93" s="161" t="str" cm="1">
        <f t="array" ref="AE93">IFERROR(LOOKUP(2,1/(Atualizações!$H$1:$H$1029=Mapa!$B39&amp;Mapa!BX$3),Atualizações!$E$1:$E$1029),"NÃO")</f>
        <v>NÃO</v>
      </c>
      <c r="AF93" s="161" t="str" cm="1">
        <f t="array" ref="AF93">IFERROR(LOOKUP(2,1/(Atualizações!$H$1:$H$1029=Mapa!$B39&amp;Mapa!BY$3),Atualizações!$E$1:$E$1029),"NÃO")</f>
        <v>NÃO</v>
      </c>
      <c r="AG93" s="161" t="str" cm="1">
        <f t="array" ref="AG93">IFERROR(LOOKUP(2,1/(Atualizações!$H$1:$H$1029=Mapa!$B39&amp;Mapa!BZ$3),Atualizações!$E$1:$E$1029),"NÃO")</f>
        <v>NÃO</v>
      </c>
      <c r="AH93" s="161" t="str" cm="1">
        <f t="array" ref="AH93">IFERROR(LOOKUP(2,1/(Atualizações!$H$1:$H$1029=Mapa!$B39&amp;Mapa!CA$3),Atualizações!$E$1:$E$1029),"NÃO")</f>
        <v>NÃO</v>
      </c>
      <c r="AI93" s="161" t="str" cm="1">
        <f t="array" ref="AI93">IFERROR(LOOKUP(2,1/(Atualizações!$H$1:$H$1029=Mapa!$B39&amp;Mapa!CB$3),Atualizações!$E$1:$E$1029),"NÃO")</f>
        <v>NÃO</v>
      </c>
      <c r="AJ93" s="161" t="str" cm="1">
        <f t="array" ref="AJ93">IFERROR(LOOKUP(2,1/(Atualizações!$H$1:$H$1029=Mapa!$B39&amp;Mapa!CC$3),Atualizações!$E$1:$E$1029),"NÃO")</f>
        <v>NÃO</v>
      </c>
      <c r="AK93" s="161" t="str" cm="1">
        <f t="array" ref="AK93">IFERROR(LOOKUP(2,1/(Atualizações!$H$1:$H$1029=Mapa!$B39&amp;Mapa!CD$3),Atualizações!$E$1:$E$1029),"NÃO")</f>
        <v>NÃO</v>
      </c>
      <c r="AL93" s="161" t="str" cm="1">
        <f t="array" ref="AL93">IFERROR(LOOKUP(2,1/(Atualizações!$H$1:$H$1265=Mapa!$B39&amp;Mapa!CE$3),Atualizações!$E$1:$E$2994),"NÃO")</f>
        <v>NÃO</v>
      </c>
      <c r="AM93" s="161" t="str" cm="1">
        <f t="array" ref="AM93">IFERROR(LOOKUP(2,1/(Atualizações!$H$1:$H$2994=Tb_Mapa[[#This Row],[SEI]]&amp;Mapa!CF$3),Atualizações!$E$1:$E$2994),"NÃO")</f>
        <v>NÃO</v>
      </c>
      <c r="AN93" s="161" t="str" cm="1">
        <f t="array" ref="AN93">IFERROR(LOOKUP(2,1/(Atualizações!$H$1:$H$2994=Tb_Mapa[[#This Row],[SEI]]&amp;Mapa!CG$3),Atualizações!$E$1:$E$2994),"NÃO")</f>
        <v>NÃO</v>
      </c>
      <c r="AO93" s="161" t="str" cm="1">
        <f t="array" ref="AO93">IFERROR(LOOKUP(2,1/(Atualizações!$H$1:$H$2994=Tb_Mapa[[#This Row],[SEI]]&amp;Mapa!CH$3),Atualizações!$E$1:$E$2994),"NÃO")</f>
        <v>NÃO</v>
      </c>
      <c r="AP93" s="161" t="str" cm="1">
        <f t="array" ref="AP93">IFERROR(LOOKUP(2,1/(Atualizações!$H$1:$H$2994=Tb_Mapa[[#This Row],[SEI]]&amp;Mapa!CI$3),Atualizações!$E$1:$E$2994),"NÃO")</f>
        <v>NÃO</v>
      </c>
      <c r="AQ93" s="161" t="str" cm="1">
        <f t="array" ref="AQ93">IFERROR(LOOKUP(2,1/(Atualizações!$H$1:$H$2994=Tb_Mapa[[#This Row],[SEI]]&amp;Mapa!CJ$3),Atualizações!$E$1:$E$2994),"NÃO")</f>
        <v>NÃO</v>
      </c>
      <c r="AR93" s="161" t="str" cm="1">
        <f t="array" ref="AR93">IFERROR(LOOKUP(2,1/(Atualizações!$H$1:$H$2994=Tb_Mapa[[#This Row],[SEI]]&amp;Mapa!CK$3),Atualizações!$E$1:$E$2994),"NÃO")</f>
        <v>NÃO</v>
      </c>
      <c r="AS93" s="161" t="str" cm="1">
        <f t="array" ref="AS93">IFERROR(LOOKUP(2,1/(Atualizações!$H$1:$H$2994=Tb_Mapa[[#This Row],[SEI]]&amp;Mapa!CL$3),Atualizações!$E$1:$E$2994),"NÃO")</f>
        <v>NÃO</v>
      </c>
      <c r="AT93" s="161" t="str" cm="1">
        <f t="array" ref="AT93">IFERROR(LOOKUP(2,1/(Atualizações!$H$1:$H$2994=Tb_Mapa[[#This Row],[SEI]]&amp;Mapa!CM$3),Atualizações!$E$1:$E$2994),"NÃO")</f>
        <v>NÃO</v>
      </c>
      <c r="AU93" s="161" t="str" cm="1">
        <f t="array" ref="AU93">IFERROR(LOOKUP(2,1/(Atualizações!$H$1:$H$2994=Tb_Mapa[[#This Row],[SEI]]&amp;Mapa!CN$3),Atualizações!$E$1:$E$2994),"NÃO")</f>
        <v>NÃO</v>
      </c>
      <c r="AV93" s="161" t="str" cm="1">
        <f t="array" ref="AV93">IFERROR(LOOKUP(2,1/(Atualizações!$H$1:$H$2994=Tb_Mapa[[#This Row],[SEI]]&amp;Mapa!CO$3),Atualizações!$E$1:$E$2994),"NÃO")</f>
        <v>NÃO</v>
      </c>
      <c r="AW93" s="161" t="str" cm="1">
        <f t="array" ref="AW93">IFERROR(LOOKUP(2,1/(Atualizações!$H$1:$H$2994=Tb_Mapa[[#This Row],[SEI]]&amp;Mapa!CP$3),Atualizações!$E$1:$E$2994),"NÃO")</f>
        <v>NÃO</v>
      </c>
      <c r="AX93" s="161" t="str" cm="1">
        <f t="array" ref="AX93">IFERROR(LOOKUP(2,1/(Atualizações!$H$1:$H$2994=Tb_Mapa[[#This Row],[SEI]]&amp;Mapa!CQ$3),Atualizações!$E$1:$E$2994),"NÃO")</f>
        <v>NÃO</v>
      </c>
    </row>
    <row r="94" spans="2:50" hidden="1">
      <c r="B94" s="678" t="s">
        <v>350</v>
      </c>
      <c r="C94" s="678" t="str">
        <f>_xlfn.XLOOKUP(Tb_Mapa[[#This Row],[SEI]],Tb_Portfólio[SEI],Tb_Portfólio[Portfólio 2025],"",0)</f>
        <v>Sim</v>
      </c>
      <c r="D94" s="158" t="str">
        <f>_xlfn.XLOOKUP(Tb_Mapa[[#This Row],[SEI]],Tb_Portfólio[SEI],Tb_Portfólio[Portfólio 2026],"",0)</f>
        <v>Sim</v>
      </c>
      <c r="E94" s="511" t="str">
        <f>_xlfn.XLOOKUP(Tb_Mapa[[#This Row],[SEI]],Tb_Portfólio[SEI],Tb_Portfólio[PROJETO],"",0)</f>
        <v>Painel de Estatística   - Justiça 4.0</v>
      </c>
      <c r="F94" s="143" t="str">
        <f>INDEX(Projetos!$G$3:$G$129,MATCH(Tb_Mapa[[#This Row],[SEI]],Projetos!$A$3:$A$129,0))</f>
        <v>André José da Silva Lima</v>
      </c>
      <c r="G94" s="706" t="s">
        <v>1710</v>
      </c>
      <c r="H94" s="143" t="str">
        <f>INDEX(Projetos!$T$3:$T$129,MATCH(B94,Projetos!$A$3:$A$129,0))</f>
        <v>Justiça 4.0</v>
      </c>
      <c r="I94" s="310">
        <f>INDEX(Projetos!$M$3:$M$129,MATCH(Tb_Mapa[[#This Row],[SEI]],Projetos!$A$3:$A$129,0))</f>
        <v>46387</v>
      </c>
      <c r="J94" s="164" t="str">
        <f ca="1">IF(Tb_Mapa[[#This Row],[SITUAÇÃO]]="Finalizado", "Data atualizada", IFERROR(IF(Tb_Mapa[[#This Row],[DATA DE TÉRMINO]]&lt;$I$1,"Atualizar data de encerramento","Data atualizada"),"Sem informação"))</f>
        <v>Data atualizada</v>
      </c>
      <c r="K94" s="311">
        <f>INDEX(Projetos!$N$3:$N$129,MATCH(Tb_Mapa[[#This Row],[SEI]],Projetos!$A$3:$A$129,0))</f>
        <v>0.89</v>
      </c>
      <c r="L94" s="311">
        <f>INDEX(Projetos!$O$3:$O$129,MATCH(Tb_Mapa[[#This Row],[SEI]],Projetos!$A$3:$A$129,0))</f>
        <v>0.77</v>
      </c>
      <c r="M94" s="165" t="str">
        <f ca="1">_xlfn.XLOOKUP(Tb_Mapa[[#This Row],[SEI]],Tb_Portfólio[SEI],Tb_Portfólio[Situação],"N/A",0)</f>
        <v>Em atenção</v>
      </c>
      <c r="N94" s="128" t="str" cm="1">
        <f t="array" ref="N94">IFERROR(LOOKUP(2,1/(Atualizações!$H$1:$H$486=Mapa!$B18&amp;Mapa!BG$3),Atualizações!$E$1:$E$486),"NÃO")</f>
        <v>NÃO</v>
      </c>
      <c r="O94" s="205" t="str" cm="1">
        <f t="array" ref="O94">IFERROR(LOOKUP(2,1/(Atualizações!$H$1:$H$580=Mapa!$B18&amp;Mapa!BH$3),Atualizações!$E$1:$E$580),"NÃO")</f>
        <v>NÃO</v>
      </c>
      <c r="P94" s="205" t="str" cm="1">
        <f t="array" ref="P94">IFERROR(LOOKUP(2,1/(Atualizações!$H$1:$H$580=Mapa!$B18&amp;Mapa!BI$3),Atualizações!$E$1:$E$580),"NÃO")</f>
        <v>NÃO</v>
      </c>
      <c r="Q94" s="205" t="str" cm="1">
        <f t="array" ref="Q94">IFERROR(LOOKUP(2,1/(Atualizações!$H$1:$H$580=Mapa!$B18&amp;Mapa!BJ$3),Atualizações!$E$1:$E$580),"NÃO")</f>
        <v>NÃO</v>
      </c>
      <c r="R94" s="205" t="str" cm="1">
        <f t="array" ref="R94">IFERROR(LOOKUP(2,1/(Atualizações!$H$1:$H$580=Mapa!$B18&amp;Mapa!BK$3),Atualizações!$E$1:$E$580),"NÃO")</f>
        <v>NÃO</v>
      </c>
      <c r="S94" s="205" t="str" cm="1">
        <f t="array" ref="S94">IFERROR(LOOKUP(2,1/(Atualizações!$H$1:$H$580=Mapa!$B18&amp;Mapa!BL$3),Atualizações!$E$1:$E$580),"NÃO")</f>
        <v>NÃO</v>
      </c>
      <c r="T94" s="205" t="str" cm="1">
        <f t="array" ref="T94">IFERROR(LOOKUP(2,1/(Atualizações!$H$1:$H$580=Mapa!$B18&amp;Mapa!BM$3),Atualizações!$E$1:$E$580),"NÃO")</f>
        <v>NÃO</v>
      </c>
      <c r="U94" s="205" t="str" cm="1">
        <f t="array" ref="U94">IFERROR(LOOKUP(2,1/(Atualizações!$H$1:$H$580=Mapa!$B18&amp;Mapa!BN$3),Atualizações!$E$1:$E$580),"NÃO")</f>
        <v>NÃO</v>
      </c>
      <c r="V94" s="205" t="str" cm="1">
        <f t="array" ref="V94">IFERROR(LOOKUP(2,1/(Atualizações!$H$1:$H$580=Mapa!$B18&amp;Mapa!BO$3),Atualizações!$E$1:$E$580),"NÃO")</f>
        <v>NÃO</v>
      </c>
      <c r="W94" s="205" t="str" cm="1">
        <f t="array" ref="W94">IFERROR(LOOKUP(2,1/(Atualizações!$H$1:$H$580=Mapa!$B18&amp;Mapa!BP$3),Atualizações!$E$1:$E$580),"NÃO")</f>
        <v>NÃO</v>
      </c>
      <c r="X94" s="205" cm="1">
        <f t="array" ref="X94">IFERROR(LOOKUP(2,1/(Atualizações!$H$1:$H$580=Mapa!$B18&amp;Mapa!BQ$3),Atualizações!$E$1:$E$580),"NÃO")</f>
        <v>0.75</v>
      </c>
      <c r="Y94" s="205" t="str" cm="1">
        <f t="array" ref="Y94">IFERROR(LOOKUP(2,1/(Atualizações!$H$1:$H$580=Mapa!$B18&amp;Mapa!BR$3),Atualizações!$E$1:$E$580),"NÃO")</f>
        <v>NÃO</v>
      </c>
      <c r="Z94" s="161" cm="1">
        <f t="array" ref="Z94">IFERROR(LOOKUP(2,1/(Atualizações!$H$1:$H$1029=Mapa!$B18&amp;Mapa!BS$3),Atualizações!$E$1:$E$1029),"NÃO")</f>
        <v>0.83</v>
      </c>
      <c r="AA94" s="161" t="str" cm="1">
        <f t="array" ref="AA94">IFERROR(LOOKUP(2,1/(Atualizações!$H$1:$H$1029=Mapa!$B18&amp;Mapa!BT$3),Atualizações!$E$1:$E$1029),"NÃO")</f>
        <v>NÃO</v>
      </c>
      <c r="AB94" s="161" cm="1">
        <f t="array" ref="AB94">IFERROR(LOOKUP(2,1/(Atualizações!$H$1:$H$1029=Mapa!$B18&amp;Mapa!BU$3),Atualizações!$E$1:$E$1029),"NÃO")</f>
        <v>0.79</v>
      </c>
      <c r="AC94" s="161" t="str" cm="1">
        <f t="array" ref="AC94">IFERROR(LOOKUP(2,1/(Atualizações!$H$1:$H$1029=Mapa!$B18&amp;Mapa!BV$3),Atualizações!$E$1:$E$1029),"NÃO")</f>
        <v>NÃO</v>
      </c>
      <c r="AD94" s="161" t="str" cm="1">
        <f t="array" ref="AD94">IFERROR(LOOKUP(2,1/(Atualizações!$H$1:$H$1029=Mapa!$B18&amp;Mapa!BW$3),Atualizações!$E$1:$E$1029),"NÃO")</f>
        <v>NÃO</v>
      </c>
      <c r="AE94" s="161" cm="1">
        <f t="array" ref="AE94">IFERROR(LOOKUP(2,1/(Atualizações!$H$1:$H$1029=Mapa!$B18&amp;Mapa!BX$3),Atualizações!$E$1:$E$1029),"NÃO")</f>
        <v>0.87</v>
      </c>
      <c r="AF94" s="161" cm="1">
        <f t="array" ref="AF94">IFERROR(LOOKUP(2,1/(Atualizações!$H$1:$H$1029=Mapa!$B18&amp;Mapa!BY$3),Atualizações!$E$1:$E$1029),"NÃO")</f>
        <v>0.83</v>
      </c>
      <c r="AG94" s="161" t="str" cm="1">
        <f t="array" ref="AG94">IFERROR(LOOKUP(2,1/(Atualizações!$H$1:$H$1029=Mapa!$B18&amp;Mapa!BZ$3),Atualizações!$E$1:$E$1029),"NÃO")</f>
        <v>NÃO</v>
      </c>
      <c r="AH94" s="161" t="str" cm="1">
        <f t="array" ref="AH94">IFERROR(LOOKUP(2,1/(Atualizações!$H$1:$H$1029=Mapa!$B18&amp;Mapa!CA$3),Atualizações!$E$1:$E$1029),"NÃO")</f>
        <v>NÃO</v>
      </c>
      <c r="AI94" s="161" cm="1">
        <f t="array" ref="AI94">IFERROR(LOOKUP(2,1/(Atualizações!$H$1:$H$1029=Mapa!$B18&amp;Mapa!CB$3),Atualizações!$E$1:$E$1029),"NÃO")</f>
        <v>0.94</v>
      </c>
      <c r="AJ94" s="161" t="str" cm="1">
        <f t="array" ref="AJ94">IFERROR(LOOKUP(2,1/(Atualizações!$H$1:$H$1029=Mapa!$B18&amp;Mapa!CC$3),Atualizações!$E$1:$E$1029),"NÃO")</f>
        <v>NÃO</v>
      </c>
      <c r="AK94" s="161" t="str" cm="1">
        <f t="array" ref="AK94">IFERROR(LOOKUP(2,1/(Atualizações!$H$1:$H$1029=Mapa!$B18&amp;Mapa!CD$3),Atualizações!$E$1:$E$1029),"NÃO")</f>
        <v>NÃO</v>
      </c>
      <c r="AL94" s="161" t="str" cm="1">
        <f t="array" ref="AL94">IFERROR(LOOKUP(2,1/(Atualizações!$H$1:$H$1265=Mapa!$B18&amp;Mapa!CE$3),Atualizações!$E$1:$E$2994),"NÃO")</f>
        <v>NÃO</v>
      </c>
      <c r="AM94" s="161" t="str" cm="1">
        <f t="array" ref="AM94">IFERROR(LOOKUP(2,1/(Atualizações!$H$1:$H$2994=Tb_Mapa[[#This Row],[SEI]]&amp;Mapa!CF$3),Atualizações!$E$1:$E$2994),"NÃO")</f>
        <v>NÃO</v>
      </c>
      <c r="AN94" s="161" cm="1">
        <f t="array" ref="AN94">IFERROR(LOOKUP(2,1/(Atualizações!$H$1:$H$2994=Tb_Mapa[[#This Row],[SEI]]&amp;Mapa!CG$3),Atualizações!$E$1:$E$2994),"NÃO")</f>
        <v>0.75</v>
      </c>
      <c r="AO94" s="161" cm="1">
        <f t="array" ref="AO94">IFERROR(LOOKUP(2,1/(Atualizações!$H$1:$H$2994=Tb_Mapa[[#This Row],[SEI]]&amp;Mapa!CH$3),Atualizações!$E$1:$E$2994),"NÃO")</f>
        <v>0.73</v>
      </c>
      <c r="AP94" s="161" cm="1">
        <f t="array" ref="AP94">IFERROR(LOOKUP(2,1/(Atualizações!$H$1:$H$2994=Tb_Mapa[[#This Row],[SEI]]&amp;Mapa!CI$3),Atualizações!$E$1:$E$2994),"NÃO")</f>
        <v>0.73</v>
      </c>
      <c r="AQ94" s="161" cm="1">
        <f t="array" ref="AQ94">IFERROR(LOOKUP(2,1/(Atualizações!$H$1:$H$2994=Tb_Mapa[[#This Row],[SEI]]&amp;Mapa!CJ$3),Atualizações!$E$1:$E$2994),"NÃO")</f>
        <v>0.77</v>
      </c>
      <c r="AR94" s="161" t="str" cm="1">
        <f t="array" ref="AR94">IFERROR(LOOKUP(2,1/(Atualizações!$H$1:$H$2994=Tb_Mapa[[#This Row],[SEI]]&amp;Mapa!CK$3),Atualizações!$E$1:$E$2994),"NÃO")</f>
        <v>NÃO</v>
      </c>
      <c r="AS94" s="161" t="str" cm="1">
        <f t="array" ref="AS94">IFERROR(LOOKUP(2,1/(Atualizações!$H$1:$H$2994=Tb_Mapa[[#This Row],[SEI]]&amp;Mapa!CL$3),Atualizações!$E$1:$E$2994),"NÃO")</f>
        <v>NÃO</v>
      </c>
      <c r="AT94" s="161" t="str" cm="1">
        <f t="array" ref="AT94">IFERROR(LOOKUP(2,1/(Atualizações!$H$1:$H$2994=Tb_Mapa[[#This Row],[SEI]]&amp;Mapa!CM$3),Atualizações!$E$1:$E$2994),"NÃO")</f>
        <v>NÃO</v>
      </c>
      <c r="AU94" s="161" t="str" cm="1">
        <f t="array" ref="AU94">IFERROR(LOOKUP(2,1/(Atualizações!$H$1:$H$2994=Tb_Mapa[[#This Row],[SEI]]&amp;Mapa!CN$3),Atualizações!$E$1:$E$2994),"NÃO")</f>
        <v>NÃO</v>
      </c>
      <c r="AV94" s="161" t="str" cm="1">
        <f t="array" ref="AV94">IFERROR(LOOKUP(2,1/(Atualizações!$H$1:$H$2994=Tb_Mapa[[#This Row],[SEI]]&amp;Mapa!CO$3),Atualizações!$E$1:$E$2994),"NÃO")</f>
        <v>NÃO</v>
      </c>
      <c r="AW94" s="161" t="str" cm="1">
        <f t="array" ref="AW94">IFERROR(LOOKUP(2,1/(Atualizações!$H$1:$H$2994=Tb_Mapa[[#This Row],[SEI]]&amp;Mapa!CP$3),Atualizações!$E$1:$E$2994),"NÃO")</f>
        <v>NÃO</v>
      </c>
      <c r="AX94" s="161" t="str" cm="1">
        <f t="array" ref="AX94">IFERROR(LOOKUP(2,1/(Atualizações!$H$1:$H$2994=Tb_Mapa[[#This Row],[SEI]]&amp;Mapa!CQ$3),Atualizações!$E$1:$E$2994),"NÃO")</f>
        <v>NÃO</v>
      </c>
    </row>
    <row r="95" spans="2:50" hidden="1">
      <c r="B95" s="678" t="s">
        <v>229</v>
      </c>
      <c r="C95" s="678" t="str">
        <f>_xlfn.XLOOKUP(Tb_Mapa[[#This Row],[SEI]],Tb_Portfólio[SEI],Tb_Portfólio[Portfólio 2025],"",0)</f>
        <v>Sim</v>
      </c>
      <c r="D95" s="158" t="str">
        <f>_xlfn.XLOOKUP(Tb_Mapa[[#This Row],[SEI]],Tb_Portfólio[SEI],Tb_Portfólio[Portfólio 2026],"",0)</f>
        <v>Sim</v>
      </c>
      <c r="E95" s="341" t="str">
        <f>_xlfn.XLOOKUP(Tb_Mapa[[#This Row],[SEI]],Tb_Portfólio[SEI],Tb_Portfólio[PROJETO],"",0)</f>
        <v>Gabinete do Juízo</v>
      </c>
      <c r="F95" s="143" t="str">
        <f>INDEX(Projetos!$G$3:$G$129,MATCH(Tb_Mapa[[#This Row],[SEI]],Projetos!$A$3:$A$129,0))</f>
        <v>Diogo dos Santos Moreira</v>
      </c>
      <c r="G95" s="685" t="s">
        <v>1710</v>
      </c>
      <c r="H95" s="143" t="str">
        <f>INDEX(Projetos!$T$3:$T$129,MATCH(B95,Projetos!$A$3:$A$129,0))</f>
        <v>Justiça 4.0</v>
      </c>
      <c r="I95" s="310">
        <f>INDEX(Projetos!$M$3:$M$129,MATCH(Tb_Mapa[[#This Row],[SEI]],Projetos!$A$3:$A$129,0))</f>
        <v>46379</v>
      </c>
      <c r="J95" s="164" t="str">
        <f ca="1">IF(Tb_Mapa[[#This Row],[SITUAÇÃO]]="Finalizado", "Data atualizada", IFERROR(IF(Tb_Mapa[[#This Row],[DATA DE TÉRMINO]]&lt;$I$1,"Atualizar data de encerramento","Data atualizada"),"Sem informação"))</f>
        <v>Data atualizada</v>
      </c>
      <c r="K95" s="311">
        <f>INDEX(Projetos!$N$3:$N$129,MATCH(Tb_Mapa[[#This Row],[SEI]],Projetos!$A$3:$A$129,0))</f>
        <v>0.85</v>
      </c>
      <c r="L95" s="311">
        <f>INDEX(Projetos!$O$3:$O$129,MATCH(Tb_Mapa[[#This Row],[SEI]],Projetos!$A$3:$A$129,0))</f>
        <v>0.66</v>
      </c>
      <c r="M95" s="165" t="str">
        <f ca="1">_xlfn.XLOOKUP(Tb_Mapa[[#This Row],[SEI]],Tb_Portfólio[SEI],Tb_Portfólio[Situação],"N/A",0)</f>
        <v>Atrasado ou Crítico</v>
      </c>
      <c r="N95" s="128" t="str" cm="1">
        <f t="array" ref="N95">IFERROR(LOOKUP(2,1/(Atualizações!$H$1:$H$486=Mapa!$B15&amp;Mapa!BG$3),Atualizações!$E$1:$E$486),"NÃO")</f>
        <v>NÃO</v>
      </c>
      <c r="O95" s="205" t="str" cm="1">
        <f t="array" ref="O95">IFERROR(LOOKUP(2,1/(Atualizações!$H$1:$H$580=Mapa!$B15&amp;Mapa!BH$3),Atualizações!$E$1:$E$580),"NÃO")</f>
        <v>NÃO</v>
      </c>
      <c r="P95" s="205" t="str" cm="1">
        <f t="array" ref="P95">IFERROR(LOOKUP(2,1/(Atualizações!$H$1:$H$580=Mapa!$B15&amp;Mapa!BI$3),Atualizações!$E$1:$E$580),"NÃO")</f>
        <v>NÃO</v>
      </c>
      <c r="Q95" s="205" t="str" cm="1">
        <f t="array" ref="Q95">IFERROR(LOOKUP(2,1/(Atualizações!$H$1:$H$580=Mapa!$B15&amp;Mapa!BJ$3),Atualizações!$E$1:$E$580),"NÃO")</f>
        <v>NÃO</v>
      </c>
      <c r="R95" s="205" t="str" cm="1">
        <f t="array" ref="R95">IFERROR(LOOKUP(2,1/(Atualizações!$H$1:$H$580=Mapa!$B15&amp;Mapa!BK$3),Atualizações!$E$1:$E$580),"NÃO")</f>
        <v>NÃO</v>
      </c>
      <c r="S95" s="205" t="str" cm="1">
        <f t="array" ref="S95">IFERROR(LOOKUP(2,1/(Atualizações!$H$1:$H$580=Mapa!$B15&amp;Mapa!BL$3),Atualizações!$E$1:$E$580),"NÃO")</f>
        <v>NÃO</v>
      </c>
      <c r="T95" s="205" t="str" cm="1">
        <f t="array" ref="T95">IFERROR(LOOKUP(2,1/(Atualizações!$H$1:$H$580=Mapa!$B15&amp;Mapa!BM$3),Atualizações!$E$1:$E$580),"NÃO")</f>
        <v>NÃO</v>
      </c>
      <c r="U95" s="205" t="str" cm="1">
        <f t="array" ref="U95">IFERROR(LOOKUP(2,1/(Atualizações!$H$1:$H$580=Mapa!$B15&amp;Mapa!BN$3),Atualizações!$E$1:$E$580),"NÃO")</f>
        <v>NÃO</v>
      </c>
      <c r="V95" s="205" t="str" cm="1">
        <f t="array" ref="V95">IFERROR(LOOKUP(2,1/(Atualizações!$H$1:$H$580=Mapa!$B15&amp;Mapa!BO$3),Atualizações!$E$1:$E$580),"NÃO")</f>
        <v>NÃO</v>
      </c>
      <c r="W95" s="205" t="str" cm="1">
        <f t="array" ref="W95">IFERROR(LOOKUP(2,1/(Atualizações!$H$1:$H$580=Mapa!$B15&amp;Mapa!BP$3),Atualizações!$E$1:$E$580),"NÃO")</f>
        <v>NÃO</v>
      </c>
      <c r="X95" s="205" t="str" cm="1">
        <f t="array" ref="X95">IFERROR(LOOKUP(2,1/(Atualizações!$H$1:$H$580=Mapa!$B15&amp;Mapa!BQ$3),Atualizações!$E$1:$E$580),"NÃO")</f>
        <v>NÃO</v>
      </c>
      <c r="Y95" s="205" t="str" cm="1">
        <f t="array" ref="Y95">IFERROR(LOOKUP(2,1/(Atualizações!$H$1:$H$580=Mapa!$B15&amp;Mapa!BR$3),Atualizações!$E$1:$E$580),"NÃO")</f>
        <v>NÃO</v>
      </c>
      <c r="Z95" s="161" t="str" cm="1">
        <f t="array" ref="Z95">IFERROR(LOOKUP(2,1/(Atualizações!$H$1:$H$1029=Mapa!$B15&amp;Mapa!BS$3),Atualizações!$E$1:$E$1029),"NÃO")</f>
        <v>NÃO</v>
      </c>
      <c r="AA95" s="161" t="str" cm="1">
        <f t="array" ref="AA95">IFERROR(LOOKUP(2,1/(Atualizações!$H$1:$H$1029=Mapa!$B15&amp;Mapa!BT$3),Atualizações!$E$1:$E$1029),"NÃO")</f>
        <v>NÃO</v>
      </c>
      <c r="AB95" s="161" t="str" cm="1">
        <f t="array" ref="AB95">IFERROR(LOOKUP(2,1/(Atualizações!$H$1:$H$1029=Mapa!$B15&amp;Mapa!BU$3),Atualizações!$E$1:$E$1029),"NÃO")</f>
        <v>NÃO</v>
      </c>
      <c r="AC95" s="161" t="str" cm="1">
        <f t="array" ref="AC95">IFERROR(LOOKUP(2,1/(Atualizações!$H$1:$H$1029=Mapa!$B15&amp;Mapa!BV$3),Atualizações!$E$1:$E$1029),"NÃO")</f>
        <v>NÃO</v>
      </c>
      <c r="AD95" s="161" t="str" cm="1">
        <f t="array" ref="AD95">IFERROR(LOOKUP(2,1/(Atualizações!$H$1:$H$1029=Mapa!$B15&amp;Mapa!BW$3),Atualizações!$E$1:$E$1029),"NÃO")</f>
        <v>NÃO</v>
      </c>
      <c r="AE95" s="161" t="str" cm="1">
        <f t="array" ref="AE95">IFERROR(LOOKUP(2,1/(Atualizações!$H$1:$H$1029=Mapa!$B15&amp;Mapa!BX$3),Atualizações!$E$1:$E$1029),"NÃO")</f>
        <v>NÃO</v>
      </c>
      <c r="AF95" s="161" t="str" cm="1">
        <f t="array" ref="AF95">IFERROR(LOOKUP(2,1/(Atualizações!$H$1:$H$1029=Mapa!$B15&amp;Mapa!BY$3),Atualizações!$E$1:$E$1029),"NÃO")</f>
        <v>NÃO</v>
      </c>
      <c r="AG95" s="161" t="str" cm="1">
        <f t="array" ref="AG95">IFERROR(LOOKUP(2,1/(Atualizações!$H$1:$H$1029=Mapa!$B15&amp;Mapa!BZ$3),Atualizações!$E$1:$E$1029),"NÃO")</f>
        <v>NÃO</v>
      </c>
      <c r="AH95" s="161" t="str" cm="1">
        <f t="array" ref="AH95">IFERROR(LOOKUP(2,1/(Atualizações!$H$1:$H$1029=Mapa!$B15&amp;Mapa!CA$3),Atualizações!$E$1:$E$1029),"NÃO")</f>
        <v>NÃO</v>
      </c>
      <c r="AI95" s="161" t="str" cm="1">
        <f t="array" ref="AI95">IFERROR(LOOKUP(2,1/(Atualizações!$H$1:$H$1029=Mapa!$B15&amp;Mapa!CB$3),Atualizações!$E$1:$E$1029),"NÃO")</f>
        <v>NÃO</v>
      </c>
      <c r="AJ95" s="161" t="str" cm="1">
        <f t="array" ref="AJ95">IFERROR(LOOKUP(2,1/(Atualizações!$H$1:$H$1029=Mapa!$B15&amp;Mapa!CC$3),Atualizações!$E$1:$E$1029),"NÃO")</f>
        <v>NÃO</v>
      </c>
      <c r="AK95" s="161" t="str" cm="1">
        <f t="array" ref="AK95">IFERROR(LOOKUP(2,1/(Atualizações!$H$1:$H$1029=Mapa!$B15&amp;Mapa!CD$3),Atualizações!$E$1:$E$1029),"NÃO")</f>
        <v>NÃO</v>
      </c>
      <c r="AL95" s="161" t="str" cm="1">
        <f t="array" ref="AL95">IFERROR(LOOKUP(2,1/(Atualizações!$H$1:$H$1265=Mapa!$B15&amp;Mapa!CE$3),Atualizações!$E$1:$E$2994),"NÃO")</f>
        <v>NÃO</v>
      </c>
      <c r="AM95" s="161" cm="1">
        <f t="array" ref="AM95">IFERROR(LOOKUP(2,1/(Atualizações!$H$1:$H$2994=Tb_Mapa[[#This Row],[SEI]]&amp;Mapa!CF$3),Atualizações!$E$1:$E$2994),"NÃO")</f>
        <v>0.69</v>
      </c>
      <c r="AN95" s="161" cm="1">
        <f t="array" ref="AN95">IFERROR(LOOKUP(2,1/(Atualizações!$H$1:$H$2994=Tb_Mapa[[#This Row],[SEI]]&amp;Mapa!CG$3),Atualizações!$E$1:$E$2994),"NÃO")</f>
        <v>0.63</v>
      </c>
      <c r="AO95" s="161" cm="1">
        <f t="array" ref="AO95">IFERROR(LOOKUP(2,1/(Atualizações!$H$1:$H$2994=Tb_Mapa[[#This Row],[SEI]]&amp;Mapa!CH$3),Atualizações!$E$1:$E$2994),"NÃO")</f>
        <v>0.71</v>
      </c>
      <c r="AP95" s="161" cm="1">
        <f t="array" ref="AP95">IFERROR(LOOKUP(2,1/(Atualizações!$H$1:$H$2994=Tb_Mapa[[#This Row],[SEI]]&amp;Mapa!CI$3),Atualizações!$E$1:$E$2994),"NÃO")</f>
        <v>0.69</v>
      </c>
      <c r="AQ95" s="161" cm="1">
        <f t="array" ref="AQ95">IFERROR(LOOKUP(2,1/(Atualizações!$H$1:$H$2994=Tb_Mapa[[#This Row],[SEI]]&amp;Mapa!CJ$3),Atualizações!$E$1:$E$2994),"NÃO")</f>
        <v>0.66</v>
      </c>
      <c r="AR95" s="161" t="str" cm="1">
        <f t="array" ref="AR95">IFERROR(LOOKUP(2,1/(Atualizações!$H$1:$H$2994=Tb_Mapa[[#This Row],[SEI]]&amp;Mapa!CK$3),Atualizações!$E$1:$E$2994),"NÃO")</f>
        <v>NÃO</v>
      </c>
      <c r="AS95" s="161" t="str" cm="1">
        <f t="array" ref="AS95">IFERROR(LOOKUP(2,1/(Atualizações!$H$1:$H$2994=Tb_Mapa[[#This Row],[SEI]]&amp;Mapa!CL$3),Atualizações!$E$1:$E$2994),"NÃO")</f>
        <v>NÃO</v>
      </c>
      <c r="AT95" s="161" t="str" cm="1">
        <f t="array" ref="AT95">IFERROR(LOOKUP(2,1/(Atualizações!$H$1:$H$2994=Tb_Mapa[[#This Row],[SEI]]&amp;Mapa!CM$3),Atualizações!$E$1:$E$2994),"NÃO")</f>
        <v>NÃO</v>
      </c>
      <c r="AU95" s="161" t="str" cm="1">
        <f t="array" ref="AU95">IFERROR(LOOKUP(2,1/(Atualizações!$H$1:$H$2994=Tb_Mapa[[#This Row],[SEI]]&amp;Mapa!CN$3),Atualizações!$E$1:$E$2994),"NÃO")</f>
        <v>NÃO</v>
      </c>
      <c r="AV95" s="161" t="str" cm="1">
        <f t="array" ref="AV95">IFERROR(LOOKUP(2,1/(Atualizações!$H$1:$H$2994=Tb_Mapa[[#This Row],[SEI]]&amp;Mapa!CO$3),Atualizações!$E$1:$E$2994),"NÃO")</f>
        <v>NÃO</v>
      </c>
      <c r="AW95" s="161" t="str" cm="1">
        <f t="array" ref="AW95">IFERROR(LOOKUP(2,1/(Atualizações!$H$1:$H$2994=Tb_Mapa[[#This Row],[SEI]]&amp;Mapa!CP$3),Atualizações!$E$1:$E$2994),"NÃO")</f>
        <v>NÃO</v>
      </c>
      <c r="AX95" s="161" t="str" cm="1">
        <f t="array" ref="AX95">IFERROR(LOOKUP(2,1/(Atualizações!$H$1:$H$2994=Tb_Mapa[[#This Row],[SEI]]&amp;Mapa!CQ$3),Atualizações!$E$1:$E$2994),"NÃO")</f>
        <v>NÃO</v>
      </c>
    </row>
    <row r="96" spans="2:50" ht="30" hidden="1">
      <c r="B96" s="151" t="s">
        <v>690</v>
      </c>
      <c r="C96" s="151" t="str">
        <f>_xlfn.XLOOKUP(Tb_Mapa[[#This Row],[SEI]],Tb_Portfólio[SEI],Tb_Portfólio[Portfólio 2025],"",0)</f>
        <v>Sim</v>
      </c>
      <c r="D96" s="158" t="str">
        <f>_xlfn.XLOOKUP(Tb_Mapa[[#This Row],[SEI]],Tb_Portfólio[SEI],Tb_Portfólio[Portfólio 2026],"",0)</f>
        <v>Sim</v>
      </c>
      <c r="E96" s="162" t="str">
        <f>_xlfn.XLOOKUP(Tb_Mapa[[#This Row],[SEI]],Tb_Portfólio[SEI],Tb_Portfólio[PROJETO],"",0)</f>
        <v>Painel “Justiça Criminal e Sistema Prisional”</v>
      </c>
      <c r="F96" s="143" t="str">
        <f>INDEX(Projetos!$G$3:$G$129,MATCH(Tb_Mapa[[#This Row],[SEI]],Projetos!$A$3:$A$129,0))</f>
        <v>André José da Silva Lima</v>
      </c>
      <c r="G96" s="678" t="s">
        <v>1711</v>
      </c>
      <c r="H96" s="166" t="str">
        <f>INDEX(Projetos!$T$3:$T$129,MATCH(B96,Projetos!$A$3:$A$129,0))</f>
        <v>Justiça 4.0</v>
      </c>
      <c r="I96" s="310">
        <f>INDEX(Projetos!$M$3:$M$129,MATCH(Tb_Mapa[[#This Row],[SEI]],Projetos!$A$3:$A$129,0))</f>
        <v>46387</v>
      </c>
      <c r="J96" s="164" t="str">
        <f ca="1">IF(Tb_Mapa[[#This Row],[SITUAÇÃO]]="Finalizado", "Data atualizada", IFERROR(IF(Tb_Mapa[[#This Row],[DATA DE TÉRMINO]]&lt;$I$1,"Atualizar data de encerramento","Data atualizada"),"Sem informação"))</f>
        <v>Data atualizada</v>
      </c>
      <c r="K96" s="311">
        <f>INDEX(Projetos!$N$3:$N$129,MATCH(Tb_Mapa[[#This Row],[SEI]],Projetos!$A$3:$A$129,0))</f>
        <v>0.8</v>
      </c>
      <c r="L96" s="311">
        <f>INDEX(Projetos!$O$3:$O$129,MATCH(Tb_Mapa[[#This Row],[SEI]],Projetos!$A$3:$A$129,0))</f>
        <v>0.7</v>
      </c>
      <c r="M96" s="165" t="str">
        <f ca="1">_xlfn.XLOOKUP(Tb_Mapa[[#This Row],[SEI]],Tb_Portfólio[SEI],Tb_Portfólio[Situação],"N/A",0)</f>
        <v>Em atenção</v>
      </c>
      <c r="N96" s="128" t="str" cm="1">
        <f t="array" ref="N96">IFERROR(LOOKUP(2,1/(Atualizações!$H$1:$H$486=Mapa!$B54&amp;Mapa!BG$3),Atualizações!$E$1:$E$486),"NÃO")</f>
        <v>NÃO</v>
      </c>
      <c r="O96" s="205" cm="1">
        <f t="array" ref="O96">IFERROR(LOOKUP(2,1/(Atualizações!$H$1:$H$580=Mapa!$B54&amp;Mapa!BH$3),Atualizações!$E$1:$E$580),"NÃO")</f>
        <v>0.92300000000000004</v>
      </c>
      <c r="P96" s="205" cm="1">
        <f t="array" ref="P96">IFERROR(LOOKUP(2,1/(Atualizações!$H$1:$H$580=Mapa!$B54&amp;Mapa!BI$3),Atualizações!$E$1:$E$580),"NÃO")</f>
        <v>0.92200000000000004</v>
      </c>
      <c r="Q96" s="205" cm="1">
        <f t="array" ref="Q96">IFERROR(LOOKUP(2,1/(Atualizações!$H$1:$H$580=Mapa!$B54&amp;Mapa!BJ$3),Atualizações!$E$1:$E$580),"NÃO")</f>
        <v>0.92200000000000004</v>
      </c>
      <c r="R96" s="205" cm="1">
        <f t="array" ref="R96">IFERROR(LOOKUP(2,1/(Atualizações!$H$1:$H$580=Mapa!$B54&amp;Mapa!BK$3),Atualizações!$E$1:$E$580),"NÃO")</f>
        <v>0.92800000000000005</v>
      </c>
      <c r="S96" s="205" cm="1">
        <f t="array" ref="S96">IFERROR(LOOKUP(2,1/(Atualizações!$H$1:$H$580=Mapa!$B54&amp;Mapa!BL$3),Atualizações!$E$1:$E$580),"NÃO")</f>
        <v>0.92800000000000005</v>
      </c>
      <c r="T96" s="205" cm="1">
        <f t="array" ref="T96">IFERROR(LOOKUP(2,1/(Atualizações!$H$1:$H$580=Mapa!$B54&amp;Mapa!BM$3),Atualizações!$E$1:$E$580),"NÃO")</f>
        <v>0.92800000000000005</v>
      </c>
      <c r="U96" s="205" cm="1">
        <f t="array" ref="U96">IFERROR(LOOKUP(2,1/(Atualizações!$H$1:$H$580=Mapa!$B54&amp;Mapa!BN$3),Atualizações!$E$1:$E$580),"NÃO")</f>
        <v>0.92800000000000005</v>
      </c>
      <c r="V96" s="205" cm="1">
        <f t="array" ref="V96">IFERROR(LOOKUP(2,1/(Atualizações!$H$1:$H$580=Mapa!$B54&amp;Mapa!BO$3),Atualizações!$E$1:$E$580),"NÃO")</f>
        <v>0.92700000000000005</v>
      </c>
      <c r="W96" s="205" cm="1">
        <f t="array" ref="W96">IFERROR(LOOKUP(2,1/(Atualizações!$H$1:$H$580=Mapa!$B54&amp;Mapa!BP$3),Atualizações!$E$1:$E$580),"NÃO")</f>
        <v>0.92700000000000005</v>
      </c>
      <c r="X96" s="205" cm="1">
        <f t="array" ref="X96">IFERROR(LOOKUP(2,1/(Atualizações!$H$1:$H$580=Mapa!$B54&amp;Mapa!BQ$3),Atualizações!$E$1:$E$580),"NÃO")</f>
        <v>0.92</v>
      </c>
      <c r="Y96" s="205" cm="1">
        <f t="array" ref="Y96">IFERROR(LOOKUP(2,1/(Atualizações!$H$1:$H$580=Mapa!$B54&amp;Mapa!BR$3),Atualizações!$E$1:$E$580),"NÃO")</f>
        <v>0.92</v>
      </c>
      <c r="Z96" s="161" cm="1">
        <f t="array" ref="Z96">IFERROR(LOOKUP(2,1/(Atualizações!$H$1:$H$1029=Mapa!$B54&amp;Mapa!BS$3),Atualizações!$E$1:$E$1029),"NÃO")</f>
        <v>0.92200000000000004</v>
      </c>
      <c r="AA96" s="161" cm="1">
        <f t="array" ref="AA96">IFERROR(LOOKUP(2,1/(Atualizações!$H$1:$H$1029=Mapa!$B54&amp;Mapa!BT$3),Atualizações!$E$1:$E$1029),"NÃO")</f>
        <v>0.92300000000000004</v>
      </c>
      <c r="AB96" s="161" cm="1">
        <f t="array" ref="AB96">IFERROR(LOOKUP(2,1/(Atualizações!$H$1:$H$1029=Mapa!$B54&amp;Mapa!BU$3),Atualizações!$E$1:$E$1029),"NÃO")</f>
        <v>0.93100000000000005</v>
      </c>
      <c r="AC96" s="161" cm="1">
        <f t="array" ref="AC96">IFERROR(LOOKUP(2,1/(Atualizações!$H$1:$H$1029=Mapa!$B54&amp;Mapa!BV$3),Atualizações!$E$1:$E$1029),"NÃO")</f>
        <v>0.93100000000000005</v>
      </c>
      <c r="AD96" s="161" cm="1">
        <f t="array" ref="AD96">IFERROR(LOOKUP(2,1/(Atualizações!$H$1:$H$1029=Mapa!$B54&amp;Mapa!BW$3),Atualizações!$E$1:$E$1029),"NÃO")</f>
        <v>0.96599999999999997</v>
      </c>
      <c r="AE96" s="161" cm="1">
        <f t="array" ref="AE96">IFERROR(LOOKUP(2,1/(Atualizações!$H$1:$H$1029=Mapa!$B54&amp;Mapa!BX$3),Atualizações!$E$1:$E$1029),"NÃO")</f>
        <v>0.97199999999999998</v>
      </c>
      <c r="AF96" s="161" cm="1">
        <f t="array" ref="AF96">IFERROR(LOOKUP(2,1/(Atualizações!$H$1:$H$1029=Mapa!$B54&amp;Mapa!BY$3),Atualizações!$E$1:$E$1029),"NÃO")</f>
        <v>0.9</v>
      </c>
      <c r="AG96" s="161" cm="1">
        <f t="array" ref="AG96">IFERROR(LOOKUP(2,1/(Atualizações!$H$1:$H$1029=Mapa!$B54&amp;Mapa!BZ$3),Atualizações!$E$1:$E$1029),"NÃO")</f>
        <v>0.90100000000000002</v>
      </c>
      <c r="AH96" s="161" cm="1">
        <f t="array" ref="AH96">IFERROR(LOOKUP(2,1/(Atualizações!$H$1:$H$1029=Mapa!$B54&amp;Mapa!CA$3),Atualizações!$E$1:$E$1029),"NÃO")</f>
        <v>0.99</v>
      </c>
      <c r="AI96" s="161" cm="1">
        <f t="array" ref="AI96">IFERROR(LOOKUP(2,1/(Atualizações!$H$1:$H$1029=Mapa!$B54&amp;Mapa!CB$3),Atualizações!$E$1:$E$1029),"NÃO")</f>
        <v>0.99</v>
      </c>
      <c r="AJ96" s="161" cm="1">
        <f t="array" ref="AJ96">IFERROR(LOOKUP(2,1/(Atualizações!$H$1:$H$1029=Mapa!$B54&amp;Mapa!CC$3),Atualizações!$E$1:$E$1029),"NÃO")</f>
        <v>0.99</v>
      </c>
      <c r="AK96" s="161" cm="1">
        <f t="array" ref="AK96">IFERROR(LOOKUP(2,1/(Atualizações!$H$1:$H$1029=Mapa!$B54&amp;Mapa!CD$3),Atualizações!$E$1:$E$1029),"NÃO")</f>
        <v>0.99</v>
      </c>
      <c r="AL96" s="161" cm="1">
        <f t="array" ref="AL96">IFERROR(LOOKUP(2,1/(Atualizações!$H$1:$H$1265=Mapa!$B54&amp;Mapa!CE$3),Atualizações!$E$1:$E$2994),"NÃO")</f>
        <v>0.99</v>
      </c>
      <c r="AM96" s="161" t="str" cm="1">
        <f t="array" ref="AM96">IFERROR(LOOKUP(2,1/(Atualizações!$H$1:$H$2994=Tb_Mapa[[#This Row],[SEI]]&amp;Mapa!CF$3),Atualizações!$E$1:$E$2994),"NÃO")</f>
        <v>NÃO</v>
      </c>
      <c r="AN96" s="161" cm="1">
        <f t="array" ref="AN96">IFERROR(LOOKUP(2,1/(Atualizações!$H$1:$H$2994=Tb_Mapa[[#This Row],[SEI]]&amp;Mapa!CG$3),Atualizações!$E$1:$E$2994),"NÃO")</f>
        <v>0.3</v>
      </c>
      <c r="AO96" s="161" cm="1">
        <f t="array" ref="AO96">IFERROR(LOOKUP(2,1/(Atualizações!$H$1:$H$2994=Tb_Mapa[[#This Row],[SEI]]&amp;Mapa!CH$3),Atualizações!$E$1:$E$2994),"NÃO")</f>
        <v>0.7</v>
      </c>
      <c r="AP96" s="161" cm="1">
        <f t="array" ref="AP96">IFERROR(LOOKUP(2,1/(Atualizações!$H$1:$H$2994=Tb_Mapa[[#This Row],[SEI]]&amp;Mapa!CI$3),Atualizações!$E$1:$E$2994),"NÃO")</f>
        <v>0.7</v>
      </c>
      <c r="AQ96" s="161" cm="1">
        <f t="array" ref="AQ96">IFERROR(LOOKUP(2,1/(Atualizações!$H$1:$H$2994=Tb_Mapa[[#This Row],[SEI]]&amp;Mapa!CJ$3),Atualizações!$E$1:$E$2994),"NÃO")</f>
        <v>0.7</v>
      </c>
      <c r="AR96" s="161" t="str" cm="1">
        <f t="array" ref="AR96">IFERROR(LOOKUP(2,1/(Atualizações!$H$1:$H$2994=Tb_Mapa[[#This Row],[SEI]]&amp;Mapa!CK$3),Atualizações!$E$1:$E$2994),"NÃO")</f>
        <v>NÃO</v>
      </c>
      <c r="AS96" s="161" t="str" cm="1">
        <f t="array" ref="AS96">IFERROR(LOOKUP(2,1/(Atualizações!$H$1:$H$2994=Tb_Mapa[[#This Row],[SEI]]&amp;Mapa!CL$3),Atualizações!$E$1:$E$2994),"NÃO")</f>
        <v>NÃO</v>
      </c>
      <c r="AT96" s="161" t="str" cm="1">
        <f t="array" ref="AT96">IFERROR(LOOKUP(2,1/(Atualizações!$H$1:$H$2994=Tb_Mapa[[#This Row],[SEI]]&amp;Mapa!CM$3),Atualizações!$E$1:$E$2994),"NÃO")</f>
        <v>NÃO</v>
      </c>
      <c r="AU96" s="161" t="str" cm="1">
        <f t="array" ref="AU96">IFERROR(LOOKUP(2,1/(Atualizações!$H$1:$H$2994=Tb_Mapa[[#This Row],[SEI]]&amp;Mapa!CN$3),Atualizações!$E$1:$E$2994),"NÃO")</f>
        <v>NÃO</v>
      </c>
      <c r="AV96" s="161" t="str" cm="1">
        <f t="array" ref="AV96">IFERROR(LOOKUP(2,1/(Atualizações!$H$1:$H$2994=Tb_Mapa[[#This Row],[SEI]]&amp;Mapa!CO$3),Atualizações!$E$1:$E$2994),"NÃO")</f>
        <v>NÃO</v>
      </c>
      <c r="AW96" s="161" t="str" cm="1">
        <f t="array" ref="AW96">IFERROR(LOOKUP(2,1/(Atualizações!$H$1:$H$2994=Tb_Mapa[[#This Row],[SEI]]&amp;Mapa!CP$3),Atualizações!$E$1:$E$2994),"NÃO")</f>
        <v>NÃO</v>
      </c>
      <c r="AX96" s="161" t="str" cm="1">
        <f t="array" ref="AX96">IFERROR(LOOKUP(2,1/(Atualizações!$H$1:$H$2994=Tb_Mapa[[#This Row],[SEI]]&amp;Mapa!CQ$3),Atualizações!$E$1:$E$2994),"NÃO")</f>
        <v>NÃO</v>
      </c>
    </row>
    <row r="97" spans="2:50" ht="45" hidden="1">
      <c r="B97" s="678" t="s">
        <v>209</v>
      </c>
      <c r="C97" s="678" t="str">
        <f>_xlfn.XLOOKUP(Tb_Mapa[[#This Row],[SEI]],Tb_Portfólio[SEI],Tb_Portfólio[Portfólio 2025],"",0)</f>
        <v>Sim</v>
      </c>
      <c r="D97" s="158" t="str">
        <f>_xlfn.XLOOKUP(Tb_Mapa[[#This Row],[SEI]],Tb_Portfólio[SEI],Tb_Portfólio[Portfólio 2026],"",0)</f>
        <v>Não</v>
      </c>
      <c r="E97" s="343" t="str">
        <f>_xlfn.XLOOKUP(Tb_Mapa[[#This Row],[SEI]],Tb_Portfólio[SEI],Tb_Portfólio[PROJETO],"",0)</f>
        <v>Capacitação técnica para desenvolvedores nas tecnologias da PDPJ - BR</v>
      </c>
      <c r="F97" s="694" t="str">
        <f>INDEX(Projetos!$G$3:$G$129,MATCH(B97,Projetos!$A$3:$A$129,0))</f>
        <v>Tamires Aparecida Ferreira Souza</v>
      </c>
      <c r="G97" s="685" t="s">
        <v>1710</v>
      </c>
      <c r="H97" s="143" t="str">
        <f>INDEX(Projetos!$T$3:$T$129,MATCH(B97,Projetos!$A$3:$A$129,0))</f>
        <v>Justiça 4.0</v>
      </c>
      <c r="I97" s="310">
        <f>INDEX(Projetos!$M$3:$M$129,MATCH(Mapa!B7,Projetos!$A$3:$A$129,0))</f>
        <v>45351</v>
      </c>
      <c r="J97" s="164" t="str">
        <f>IF(Tb_Mapa[[#This Row],[SITUAÇÃO]]="Finalizado", "Data atualizada", IFERROR(IF(I97&lt;$CN$3,"Atualizar data de encerramento","Data atualizada"),"Sem informação"))</f>
        <v>Data atualizada</v>
      </c>
      <c r="K97" s="311">
        <f>INDEX(Projetos!$N$3:$N$129,MATCH(Mapa!B7,Projetos!$A$3:$A$129,0))</f>
        <v>1</v>
      </c>
      <c r="L97" s="311">
        <f>INDEX(Projetos!$O$3:$O$129,MATCH(Mapa!B7,Projetos!$A$3:$A$129,0))</f>
        <v>1</v>
      </c>
      <c r="M97" s="165" t="str">
        <f>_xlfn.XLOOKUP(Tb_Mapa[[#This Row],[SEI]],Tb_Portfólio[SEI],Tb_Portfólio[Situação],"N/A",0)</f>
        <v>Finalizado</v>
      </c>
      <c r="N97" s="128" t="str" cm="1">
        <f t="array" ref="N97">IFERROR(LOOKUP(2,1/(Atualizações!$H$1:$H$486=Mapa!$B7&amp;Mapa!BG$3),Atualizações!$E$1:$E$486),"NÃO")</f>
        <v>NÃO</v>
      </c>
      <c r="O97" s="205" cm="1">
        <f t="array" ref="O97">IFERROR(LOOKUP(2,1/(Atualizações!$H$1:$H$580=Mapa!$B7&amp;Mapa!BH$3),Atualizações!$E$1:$E$580),"NÃO")</f>
        <v>0.998</v>
      </c>
      <c r="P97" s="205" cm="1">
        <f t="array" ref="P97">IFERROR(LOOKUP(2,1/(Atualizações!$H$1:$H$580=Mapa!$B7&amp;Mapa!BI$3),Atualizações!$E$1:$E$580),"NÃO")</f>
        <v>1</v>
      </c>
      <c r="Q97" s="205" t="str" cm="1">
        <f t="array" ref="Q97">IFERROR(LOOKUP(2,1/(Atualizações!$H$1:$H$580=Mapa!$B7&amp;Mapa!BJ$3),Atualizações!$E$1:$E$580),"NÃO")</f>
        <v>NÃO</v>
      </c>
      <c r="R97" s="205" t="str" cm="1">
        <f t="array" ref="R97">IFERROR(LOOKUP(2,1/(Atualizações!$H$1:$H$580=Mapa!$B7&amp;Mapa!BK$3),Atualizações!$E$1:$E$580),"NÃO")</f>
        <v>NÃO</v>
      </c>
      <c r="S97" s="205" t="str" cm="1">
        <f t="array" ref="S97">IFERROR(LOOKUP(2,1/(Atualizações!$H$1:$H$580=Mapa!$B7&amp;Mapa!BL$3),Atualizações!$E$1:$E$580),"NÃO")</f>
        <v>NÃO</v>
      </c>
      <c r="T97" s="205" t="str" cm="1">
        <f t="array" ref="T97">IFERROR(LOOKUP(2,1/(Atualizações!$H$1:$H$580=Mapa!$B7&amp;Mapa!BM$3),Atualizações!$E$1:$E$580),"NÃO")</f>
        <v>NÃO</v>
      </c>
      <c r="U97" s="205" t="str" cm="1">
        <f t="array" ref="U97">IFERROR(LOOKUP(2,1/(Atualizações!$H$1:$H$580=Mapa!$B7&amp;Mapa!BN$3),Atualizações!$E$1:$E$580),"NÃO")</f>
        <v>NÃO</v>
      </c>
      <c r="V97" s="205" t="str" cm="1">
        <f t="array" ref="V97">IFERROR(LOOKUP(2,1/(Atualizações!$H$1:$H$580=Mapa!$B7&amp;Mapa!BO$3),Atualizações!$E$1:$E$580),"NÃO")</f>
        <v>NÃO</v>
      </c>
      <c r="W97" s="205" t="str" cm="1">
        <f t="array" ref="W97">IFERROR(LOOKUP(2,1/(Atualizações!$H$1:$H$580=Mapa!$B7&amp;Mapa!BP$3),Atualizações!$E$1:$E$580),"NÃO")</f>
        <v>NÃO</v>
      </c>
      <c r="X97" s="205" t="str" cm="1">
        <f t="array" ref="X97">IFERROR(LOOKUP(2,1/(Atualizações!$H$1:$H$580=Mapa!$B7&amp;Mapa!BQ$3),Atualizações!$E$1:$E$580),"NÃO")</f>
        <v>NÃO</v>
      </c>
      <c r="Y97" s="205" t="str" cm="1">
        <f t="array" ref="Y97">IFERROR(LOOKUP(2,1/(Atualizações!$H$1:$H$580=Mapa!$B7&amp;Mapa!BR$3),Atualizações!$E$1:$E$580),"NÃO")</f>
        <v>NÃO</v>
      </c>
      <c r="Z97" s="161" t="str" cm="1">
        <f t="array" ref="Z97">IFERROR(LOOKUP(2,1/(Atualizações!$H$1:$H$1029=Mapa!$B7&amp;Mapa!BS$3),Atualizações!$E$1:$E$1029),"NÃO")</f>
        <v>NÃO</v>
      </c>
      <c r="AA97" s="161" t="str" cm="1">
        <f t="array" ref="AA97">IFERROR(LOOKUP(2,1/(Atualizações!$H$1:$H$1029=Mapa!$B7&amp;Mapa!BT$3),Atualizações!$E$1:$E$1029),"NÃO")</f>
        <v>NÃO</v>
      </c>
      <c r="AB97" s="161" t="str" cm="1">
        <f t="array" ref="AB97">IFERROR(LOOKUP(2,1/(Atualizações!$H$1:$H$1029=Mapa!$B7&amp;Mapa!BU$3),Atualizações!$E$1:$E$1029),"NÃO")</f>
        <v>NÃO</v>
      </c>
      <c r="AC97" s="161" t="str" cm="1">
        <f t="array" ref="AC97">IFERROR(LOOKUP(2,1/(Atualizações!$H$1:$H$1029=Mapa!$B7&amp;Mapa!BV$3),Atualizações!$E$1:$E$1029),"NÃO")</f>
        <v>NÃO</v>
      </c>
      <c r="AD97" s="161" t="str" cm="1">
        <f t="array" ref="AD97">IFERROR(LOOKUP(2,1/(Atualizações!$H$1:$H$1029=Mapa!$B7&amp;Mapa!BW$3),Atualizações!$E$1:$E$1029),"NÃO")</f>
        <v>NÃO</v>
      </c>
      <c r="AE97" s="161" t="str" cm="1">
        <f t="array" ref="AE97">IFERROR(LOOKUP(2,1/(Atualizações!$H$1:$H$1029=Mapa!$B7&amp;Mapa!BX$3),Atualizações!$E$1:$E$1029),"NÃO")</f>
        <v>NÃO</v>
      </c>
      <c r="AF97" s="161" t="str" cm="1">
        <f t="array" ref="AF97">IFERROR(LOOKUP(2,1/(Atualizações!$H$1:$H$1029=Mapa!$B7&amp;Mapa!BY$3),Atualizações!$E$1:$E$1029),"NÃO")</f>
        <v>NÃO</v>
      </c>
      <c r="AG97" s="161" t="str" cm="1">
        <f t="array" ref="AG97">IFERROR(LOOKUP(2,1/(Atualizações!$H$1:$H$1029=Mapa!$B7&amp;Mapa!BZ$3),Atualizações!$E$1:$E$1029),"NÃO")</f>
        <v>NÃO</v>
      </c>
      <c r="AH97" s="161" t="str" cm="1">
        <f t="array" ref="AH97">IFERROR(LOOKUP(2,1/(Atualizações!$H$1:$H$1029=Mapa!$B7&amp;Mapa!CA$3),Atualizações!$E$1:$E$1029),"NÃO")</f>
        <v>NÃO</v>
      </c>
      <c r="AI97" s="161" t="str" cm="1">
        <f t="array" ref="AI97">IFERROR(LOOKUP(2,1/(Atualizações!$H$1:$H$1029=Mapa!$B7&amp;Mapa!CB$3),Atualizações!$E$1:$E$1029),"NÃO")</f>
        <v>NÃO</v>
      </c>
      <c r="AJ97" s="161" t="str" cm="1">
        <f t="array" ref="AJ97">IFERROR(LOOKUP(2,1/(Atualizações!$H$1:$H$1029=Mapa!$B7&amp;Mapa!CC$3),Atualizações!$E$1:$E$1029),"NÃO")</f>
        <v>NÃO</v>
      </c>
      <c r="AK97" s="161" t="str" cm="1">
        <f t="array" ref="AK97">IFERROR(LOOKUP(2,1/(Atualizações!$H$1:$H$1029=Mapa!$B7&amp;Mapa!CD$3),Atualizações!$E$1:$E$1029),"NÃO")</f>
        <v>NÃO</v>
      </c>
      <c r="AL97" s="161" t="str" cm="1">
        <f t="array" ref="AL97">IFERROR(LOOKUP(2,1/(Atualizações!$H$1:$H$1265=Mapa!$B7&amp;Mapa!CE$3),Atualizações!$E$1:$E$2994),"NÃO")</f>
        <v>NÃO</v>
      </c>
      <c r="AM97" s="161" t="str" cm="1">
        <f t="array" ref="AM97">IFERROR(LOOKUP(2,1/(Atualizações!$H$1:$H$2994=Tb_Mapa[[#This Row],[SEI]]&amp;Mapa!CF$3),Atualizações!$E$1:$E$2994),"NÃO")</f>
        <v>NÃO</v>
      </c>
      <c r="AN97" s="161" t="str" cm="1">
        <f t="array" ref="AN97">IFERROR(LOOKUP(2,1/(Atualizações!$H$1:$H$2994=Tb_Mapa[[#This Row],[SEI]]&amp;Mapa!CG$3),Atualizações!$E$1:$E$2994),"NÃO")</f>
        <v>NÃO</v>
      </c>
      <c r="AO97" s="161" t="str" cm="1">
        <f t="array" ref="AO97">IFERROR(LOOKUP(2,1/(Atualizações!$H$1:$H$2994=Tb_Mapa[[#This Row],[SEI]]&amp;Mapa!CH$3),Atualizações!$E$1:$E$2994),"NÃO")</f>
        <v>NÃO</v>
      </c>
      <c r="AP97" s="161" t="str" cm="1">
        <f t="array" ref="AP97">IFERROR(LOOKUP(2,1/(Atualizações!$H$1:$H$2994=Tb_Mapa[[#This Row],[SEI]]&amp;Mapa!CI$3),Atualizações!$E$1:$E$2994),"NÃO")</f>
        <v>NÃO</v>
      </c>
      <c r="AQ97" s="161" t="str" cm="1">
        <f t="array" ref="AQ97">IFERROR(LOOKUP(2,1/(Atualizações!$H$1:$H$2994=Tb_Mapa[[#This Row],[SEI]]&amp;Mapa!CJ$3),Atualizações!$E$1:$E$2994),"NÃO")</f>
        <v>NÃO</v>
      </c>
      <c r="AR97" s="161" t="str" cm="1">
        <f t="array" ref="AR97">IFERROR(LOOKUP(2,1/(Atualizações!$H$1:$H$2994=Tb_Mapa[[#This Row],[SEI]]&amp;Mapa!CK$3),Atualizações!$E$1:$E$2994),"NÃO")</f>
        <v>NÃO</v>
      </c>
      <c r="AS97" s="161" t="str" cm="1">
        <f t="array" ref="AS97">IFERROR(LOOKUP(2,1/(Atualizações!$H$1:$H$2994=Tb_Mapa[[#This Row],[SEI]]&amp;Mapa!CL$3),Atualizações!$E$1:$E$2994),"NÃO")</f>
        <v>NÃO</v>
      </c>
      <c r="AT97" s="161" t="str" cm="1">
        <f t="array" ref="AT97">IFERROR(LOOKUP(2,1/(Atualizações!$H$1:$H$2994=Tb_Mapa[[#This Row],[SEI]]&amp;Mapa!CM$3),Atualizações!$E$1:$E$2994),"NÃO")</f>
        <v>NÃO</v>
      </c>
      <c r="AU97" s="161" t="str" cm="1">
        <f t="array" ref="AU97">IFERROR(LOOKUP(2,1/(Atualizações!$H$1:$H$2994=Tb_Mapa[[#This Row],[SEI]]&amp;Mapa!CN$3),Atualizações!$E$1:$E$2994),"NÃO")</f>
        <v>NÃO</v>
      </c>
      <c r="AV97" s="161" t="str" cm="1">
        <f t="array" ref="AV97">IFERROR(LOOKUP(2,1/(Atualizações!$H$1:$H$2994=Tb_Mapa[[#This Row],[SEI]]&amp;Mapa!CO$3),Atualizações!$E$1:$E$2994),"NÃO")</f>
        <v>NÃO</v>
      </c>
      <c r="AW97" s="161" t="str" cm="1">
        <f t="array" ref="AW97">IFERROR(LOOKUP(2,1/(Atualizações!$H$1:$H$2994=Tb_Mapa[[#This Row],[SEI]]&amp;Mapa!CP$3),Atualizações!$E$1:$E$2994),"NÃO")</f>
        <v>NÃO</v>
      </c>
      <c r="AX97" s="161" t="str" cm="1">
        <f t="array" ref="AX97">IFERROR(LOOKUP(2,1/(Atualizações!$H$1:$H$2994=Tb_Mapa[[#This Row],[SEI]]&amp;Mapa!CQ$3),Atualizações!$E$1:$E$2994),"NÃO")</f>
        <v>NÃO</v>
      </c>
    </row>
    <row r="98" spans="2:50" hidden="1">
      <c r="B98" s="151" t="s">
        <v>431</v>
      </c>
      <c r="C98" s="151" t="str">
        <f>_xlfn.XLOOKUP(Tb_Mapa[[#This Row],[SEI]],Tb_Portfólio[SEI],Tb_Portfólio[Portfólio 2025],"",0)</f>
        <v>Sim</v>
      </c>
      <c r="D98" s="158" t="str">
        <f>_xlfn.XLOOKUP(Tb_Mapa[[#This Row],[SEI]],Tb_Portfólio[SEI],Tb_Portfólio[Portfólio 2026],"",0)</f>
        <v>Sim</v>
      </c>
      <c r="E98" s="342" t="str">
        <f>_xlfn.XLOOKUP(Tb_Mapa[[#This Row],[SEI]],Tb_Portfólio[SEI],Tb_Portfólio[PROJETO],"",0)</f>
        <v>Sniper BC</v>
      </c>
      <c r="F98" s="143" t="str">
        <f>INDEX(Projetos!$G$3:$G$129,MATCH(Tb_Mapa[[#This Row],[SEI]],Projetos!$A$3:$A$129,0))</f>
        <v>Carlo Borsoi Moura</v>
      </c>
      <c r="G98" s="713" t="s">
        <v>1710</v>
      </c>
      <c r="H98" s="166" t="str">
        <f>INDEX(Projetos!$T$3:$T$129,MATCH(B98,Projetos!$A$3:$A$129,0))</f>
        <v>Justiça 4.0</v>
      </c>
      <c r="I98" s="310">
        <f>INDEX(Projetos!$M$3:$M$129,MATCH(Tb_Mapa[[#This Row],[SEI]],Projetos!$A$3:$A$129,0))</f>
        <v>46281</v>
      </c>
      <c r="J98" s="164" t="str">
        <f ca="1">IF(Tb_Mapa[[#This Row],[SITUAÇÃO]]="Finalizado", "Data atualizada", IFERROR(IF(Tb_Mapa[[#This Row],[DATA DE TÉRMINO]]&lt;$I$1,"Atualizar data de encerramento","Data atualizada"),"Sem informação"))</f>
        <v>Data atualizada</v>
      </c>
      <c r="K98" s="311">
        <f>INDEX(Projetos!$N$3:$N$129,MATCH(Tb_Mapa[[#This Row],[SEI]],Projetos!$A$3:$A$129,0))</f>
        <v>0.86</v>
      </c>
      <c r="L98" s="311">
        <f>INDEX(Projetos!$O$3:$O$129,MATCH(Tb_Mapa[[#This Row],[SEI]],Projetos!$A$3:$A$129,0))</f>
        <v>0.76</v>
      </c>
      <c r="M98" s="165" t="str">
        <f ca="1">_xlfn.XLOOKUP(Tb_Mapa[[#This Row],[SEI]],Tb_Portfólio[SEI],Tb_Portfólio[Situação],"N/A",0)</f>
        <v>Em atenção</v>
      </c>
      <c r="N98" s="128" t="str" cm="1">
        <f t="array" ref="N98">IFERROR(LOOKUP(2,1/(Atualizações!$H$1:$H$486=Mapa!$B45&amp;Mapa!BG$3),Atualizações!$E$1:$E$486),"NÃO")</f>
        <v>NÃO</v>
      </c>
      <c r="O98" s="205" t="str" cm="1">
        <f t="array" ref="O98">IFERROR(LOOKUP(2,1/(Atualizações!$H$1:$H$580=Mapa!$B45&amp;Mapa!BH$3),Atualizações!$E$1:$E$580),"NÃO")</f>
        <v>NÃO</v>
      </c>
      <c r="P98" s="205" t="str" cm="1">
        <f t="array" ref="P98">IFERROR(LOOKUP(2,1/(Atualizações!$H$1:$H$580=Mapa!$B45&amp;Mapa!BI$3),Atualizações!$E$1:$E$580),"NÃO")</f>
        <v>NÃO</v>
      </c>
      <c r="Q98" s="205" t="str" cm="1">
        <f t="array" ref="Q98">IFERROR(LOOKUP(2,1/(Atualizações!$H$1:$H$580=Mapa!$B45&amp;Mapa!BJ$3),Atualizações!$E$1:$E$580),"NÃO")</f>
        <v>NÃO</v>
      </c>
      <c r="R98" s="205" t="str" cm="1">
        <f t="array" ref="R98">IFERROR(LOOKUP(2,1/(Atualizações!$H$1:$H$580=Mapa!$B45&amp;Mapa!BK$3),Atualizações!$E$1:$E$580),"NÃO")</f>
        <v>NÃO</v>
      </c>
      <c r="S98" s="205" t="str" cm="1">
        <f t="array" ref="S98">IFERROR(LOOKUP(2,1/(Atualizações!$H$1:$H$580=Mapa!$B45&amp;Mapa!BL$3),Atualizações!$E$1:$E$580),"NÃO")</f>
        <v>NÃO</v>
      </c>
      <c r="T98" s="205" t="str" cm="1">
        <f t="array" ref="T98">IFERROR(LOOKUP(2,1/(Atualizações!$H$1:$H$580=Mapa!$B45&amp;Mapa!BM$3),Atualizações!$E$1:$E$580),"NÃO")</f>
        <v>NÃO</v>
      </c>
      <c r="U98" s="205" t="str" cm="1">
        <f t="array" ref="U98">IFERROR(LOOKUP(2,1/(Atualizações!$H$1:$H$580=Mapa!$B45&amp;Mapa!BN$3),Atualizações!$E$1:$E$580),"NÃO")</f>
        <v>NÃO</v>
      </c>
      <c r="V98" s="205" t="str" cm="1">
        <f t="array" ref="V98">IFERROR(LOOKUP(2,1/(Atualizações!$H$1:$H$580=Mapa!$B45&amp;Mapa!BO$3),Atualizações!$E$1:$E$580),"NÃO")</f>
        <v>NÃO</v>
      </c>
      <c r="W98" s="205" t="str" cm="1">
        <f t="array" ref="W98">IFERROR(LOOKUP(2,1/(Atualizações!$H$1:$H$580=Mapa!$B45&amp;Mapa!BP$3),Atualizações!$E$1:$E$580),"NÃO")</f>
        <v>NÃO</v>
      </c>
      <c r="X98" s="205" t="str" cm="1">
        <f t="array" ref="X98">IFERROR(LOOKUP(2,1/(Atualizações!$H$1:$H$580=Mapa!$B45&amp;Mapa!BQ$3),Atualizações!$E$1:$E$580),"NÃO")</f>
        <v>NÃO</v>
      </c>
      <c r="Y98" s="205" t="str" cm="1">
        <f t="array" ref="Y98">IFERROR(LOOKUP(2,1/(Atualizações!$H$1:$H$580=Mapa!$B45&amp;Mapa!BR$3),Atualizações!$E$1:$E$580),"NÃO")</f>
        <v>NÃO</v>
      </c>
      <c r="Z98" s="161" t="str" cm="1">
        <f t="array" ref="Z98">IFERROR(LOOKUP(2,1/(Atualizações!$H$1:$H$1029=Mapa!$B45&amp;Mapa!BS$3),Atualizações!$E$1:$E$1029),"NÃO")</f>
        <v>NÃO</v>
      </c>
      <c r="AA98" s="161" t="str" cm="1">
        <f t="array" ref="AA98">IFERROR(LOOKUP(2,1/(Atualizações!$H$1:$H$1029=Mapa!$B45&amp;Mapa!BT$3),Atualizações!$E$1:$E$1029),"NÃO")</f>
        <v>NÃO</v>
      </c>
      <c r="AB98" s="161" t="str" cm="1">
        <f t="array" ref="AB98">IFERROR(LOOKUP(2,1/(Atualizações!$H$1:$H$1029=Mapa!$B45&amp;Mapa!BU$3),Atualizações!$E$1:$E$1029),"NÃO")</f>
        <v>NÃO</v>
      </c>
      <c r="AC98" s="161" t="str" cm="1">
        <f t="array" ref="AC98">IFERROR(LOOKUP(2,1/(Atualizações!$H$1:$H$1029=Mapa!$B45&amp;Mapa!BV$3),Atualizações!$E$1:$E$1029),"NÃO")</f>
        <v>NÃO</v>
      </c>
      <c r="AD98" s="161" t="str" cm="1">
        <f t="array" ref="AD98">IFERROR(LOOKUP(2,1/(Atualizações!$H$1:$H$1029=Mapa!$B45&amp;Mapa!BW$3),Atualizações!$E$1:$E$1029),"NÃO")</f>
        <v>NÃO</v>
      </c>
      <c r="AE98" s="161" t="str" cm="1">
        <f t="array" ref="AE98">IFERROR(LOOKUP(2,1/(Atualizações!$H$1:$H$1029=Mapa!$B45&amp;Mapa!BX$3),Atualizações!$E$1:$E$1029),"NÃO")</f>
        <v>NÃO</v>
      </c>
      <c r="AF98" s="161" t="str" cm="1">
        <f t="array" ref="AF98">IFERROR(LOOKUP(2,1/(Atualizações!$H$1:$H$1029=Mapa!$B45&amp;Mapa!BY$3),Atualizações!$E$1:$E$1029),"NÃO")</f>
        <v>NÃO</v>
      </c>
      <c r="AG98" s="161" t="str" cm="1">
        <f t="array" ref="AG98">IFERROR(LOOKUP(2,1/(Atualizações!$H$1:$H$1029=Mapa!$B45&amp;Mapa!BZ$3),Atualizações!$E$1:$E$1029),"NÃO")</f>
        <v>NÃO</v>
      </c>
      <c r="AH98" s="161" t="str" cm="1">
        <f t="array" ref="AH98">IFERROR(LOOKUP(2,1/(Atualizações!$H$1:$H$1029=Mapa!$B45&amp;Mapa!CA$3),Atualizações!$E$1:$E$1029),"NÃO")</f>
        <v>NÃO</v>
      </c>
      <c r="AI98" s="161" t="str" cm="1">
        <f t="array" ref="AI98">IFERROR(LOOKUP(2,1/(Atualizações!$H$1:$H$1029=Mapa!$B45&amp;Mapa!CB$3),Atualizações!$E$1:$E$1029),"NÃO")</f>
        <v>NÃO</v>
      </c>
      <c r="AJ98" s="161" t="str" cm="1">
        <f t="array" ref="AJ98">IFERROR(LOOKUP(2,1/(Atualizações!$H$1:$H$1029=Mapa!$B45&amp;Mapa!CC$3),Atualizações!$E$1:$E$1029),"NÃO")</f>
        <v>NÃO</v>
      </c>
      <c r="AK98" s="161" t="str" cm="1">
        <f t="array" ref="AK98">IFERROR(LOOKUP(2,1/(Atualizações!$H$1:$H$1029=Mapa!$B45&amp;Mapa!CD$3),Atualizações!$E$1:$E$1029),"NÃO")</f>
        <v>NÃO</v>
      </c>
      <c r="AL98" s="161" t="str" cm="1">
        <f t="array" ref="AL98">IFERROR(LOOKUP(2,1/(Atualizações!$H$1:$H$1265=Mapa!$B45&amp;Mapa!CE$3),Atualizações!$E$1:$E$2994),"NÃO")</f>
        <v>NÃO</v>
      </c>
      <c r="AM98" s="161" t="str" cm="1">
        <f t="array" ref="AM98">IFERROR(LOOKUP(2,1/(Atualizações!$H$1:$H$2994=Tb_Mapa[[#This Row],[SEI]]&amp;Mapa!CF$3),Atualizações!$E$1:$E$2994),"NÃO")</f>
        <v>NÃO</v>
      </c>
      <c r="AN98" s="161" cm="1">
        <f t="array" ref="AN98">IFERROR(LOOKUP(2,1/(Atualizações!$H$1:$H$2994=Tb_Mapa[[#This Row],[SEI]]&amp;Mapa!CG$3),Atualizações!$E$1:$E$2994),"NÃO")</f>
        <v>0.69</v>
      </c>
      <c r="AO98" s="161" cm="1">
        <f t="array" ref="AO98">IFERROR(LOOKUP(2,1/(Atualizações!$H$1:$H$2994=Tb_Mapa[[#This Row],[SEI]]&amp;Mapa!CH$3),Atualizações!$E$1:$E$2994),"NÃO")</f>
        <v>0.7</v>
      </c>
      <c r="AP98" s="161" cm="1">
        <f t="array" ref="AP98">IFERROR(LOOKUP(2,1/(Atualizações!$H$1:$H$2994=Tb_Mapa[[#This Row],[SEI]]&amp;Mapa!CI$3),Atualizações!$E$1:$E$2994),"NÃO")</f>
        <v>0.75</v>
      </c>
      <c r="AQ98" s="161" cm="1">
        <f t="array" ref="AQ98">IFERROR(LOOKUP(2,1/(Atualizações!$H$1:$H$2994=Tb_Mapa[[#This Row],[SEI]]&amp;Mapa!CJ$3),Atualizações!$E$1:$E$2994),"NÃO")</f>
        <v>0.76</v>
      </c>
      <c r="AR98" s="161" t="str" cm="1">
        <f t="array" ref="AR98">IFERROR(LOOKUP(2,1/(Atualizações!$H$1:$H$2994=Tb_Mapa[[#This Row],[SEI]]&amp;Mapa!CK$3),Atualizações!$E$1:$E$2994),"NÃO")</f>
        <v>NÃO</v>
      </c>
      <c r="AS98" s="161" t="str" cm="1">
        <f t="array" ref="AS98">IFERROR(LOOKUP(2,1/(Atualizações!$H$1:$H$2994=Tb_Mapa[[#This Row],[SEI]]&amp;Mapa!CL$3),Atualizações!$E$1:$E$2994),"NÃO")</f>
        <v>NÃO</v>
      </c>
      <c r="AT98" s="161" t="str" cm="1">
        <f t="array" ref="AT98">IFERROR(LOOKUP(2,1/(Atualizações!$H$1:$H$2994=Tb_Mapa[[#This Row],[SEI]]&amp;Mapa!CM$3),Atualizações!$E$1:$E$2994),"NÃO")</f>
        <v>NÃO</v>
      </c>
      <c r="AU98" s="161" t="str" cm="1">
        <f t="array" ref="AU98">IFERROR(LOOKUP(2,1/(Atualizações!$H$1:$H$2994=Tb_Mapa[[#This Row],[SEI]]&amp;Mapa!CN$3),Atualizações!$E$1:$E$2994),"NÃO")</f>
        <v>NÃO</v>
      </c>
      <c r="AV98" s="161" t="str" cm="1">
        <f t="array" ref="AV98">IFERROR(LOOKUP(2,1/(Atualizações!$H$1:$H$2994=Tb_Mapa[[#This Row],[SEI]]&amp;Mapa!CO$3),Atualizações!$E$1:$E$2994),"NÃO")</f>
        <v>NÃO</v>
      </c>
      <c r="AW98" s="161" t="str" cm="1">
        <f t="array" ref="AW98">IFERROR(LOOKUP(2,1/(Atualizações!$H$1:$H$2994=Tb_Mapa[[#This Row],[SEI]]&amp;Mapa!CP$3),Atualizações!$E$1:$E$2994),"NÃO")</f>
        <v>NÃO</v>
      </c>
      <c r="AX98" s="161" t="str" cm="1">
        <f t="array" ref="AX98">IFERROR(LOOKUP(2,1/(Atualizações!$H$1:$H$2994=Tb_Mapa[[#This Row],[SEI]]&amp;Mapa!CQ$3),Atualizações!$E$1:$E$2994),"NÃO")</f>
        <v>NÃO</v>
      </c>
    </row>
    <row r="99" spans="2:50" hidden="1">
      <c r="B99" s="24" t="s">
        <v>83</v>
      </c>
      <c r="C99" s="24" t="str">
        <f>_xlfn.XLOOKUP(Tb_Mapa[[#This Row],[SEI]],Tb_Portfólio[SEI],Tb_Portfólio[Portfólio 2025],"",0)</f>
        <v>Sim</v>
      </c>
      <c r="D99" s="158" t="str">
        <f>_xlfn.XLOOKUP(Tb_Mapa[[#This Row],[SEI]],Tb_Portfólio[SEI],Tb_Portfólio[Portfólio 2026],"",0)</f>
        <v>Sim</v>
      </c>
      <c r="E99" s="162" t="str">
        <f>_xlfn.XLOOKUP(Tb_Mapa[[#This Row],[SEI]],Tb_Portfólio[SEI],Tb_Portfólio[PROJETO],"",0)</f>
        <v>Painel do Programa Desjudicializa</v>
      </c>
      <c r="F99" s="143" t="str">
        <f>INDEX(Projetos!$G$3:$G$129,MATCH(Tb_Mapa[[#This Row],[SEI]],Projetos!$A$3:$A$129,0))</f>
        <v>André José da Silva Lima</v>
      </c>
      <c r="G99" s="678" t="s">
        <v>1710</v>
      </c>
      <c r="H99" s="166" t="str">
        <f>INDEX(Projetos!$T$3:$T$129,MATCH(B99,Projetos!$A$3:$A$129,0))</f>
        <v>Justiça 4.0</v>
      </c>
      <c r="I99" s="310">
        <f>INDEX(Projetos!$M$3:$M$129,MATCH(Tb_Mapa[[#This Row],[SEI]],Projetos!$A$3:$A$129,0))</f>
        <v>46387</v>
      </c>
      <c r="J99" s="164" t="str">
        <f ca="1">IF(Tb_Mapa[[#This Row],[SITUAÇÃO]]="Finalizado", "Data atualizada", IFERROR(IF(Tb_Mapa[[#This Row],[DATA DE TÉRMINO]]&lt;$I$1,"Atualizar data de encerramento","Data atualizada"),"Sem informação"))</f>
        <v>Data atualizada</v>
      </c>
      <c r="K99" s="311">
        <f>INDEX(Projetos!$N$3:$N$129,MATCH(Tb_Mapa[[#This Row],[SEI]],Projetos!$A$3:$A$129,0))</f>
        <v>0.78</v>
      </c>
      <c r="L99" s="311">
        <f>INDEX(Projetos!$O$3:$O$129,MATCH(Tb_Mapa[[#This Row],[SEI]],Projetos!$A$3:$A$129,0))</f>
        <v>0.7</v>
      </c>
      <c r="M99" s="165" t="str">
        <f ca="1">_xlfn.XLOOKUP(Tb_Mapa[[#This Row],[SEI]],Tb_Portfólio[SEI],Tb_Portfólio[Situação],"N/A",0)</f>
        <v>Em atenção</v>
      </c>
      <c r="N99" s="128" t="str" cm="1">
        <f t="array" ref="N99">IFERROR(LOOKUP(2,1/(Atualizações!$H$1:$H$486=Mapa!$B56&amp;Mapa!BG$3),Atualizações!$E$1:$E$486),"NÃO")</f>
        <v>NÃO</v>
      </c>
      <c r="O99" s="205" t="str" cm="1">
        <f t="array" ref="O99">IFERROR(LOOKUP(2,1/(Atualizações!$H$1:$H$580=Mapa!$B56&amp;Mapa!BH$3),Atualizações!$E$1:$E$580),"NÃO")</f>
        <v>NÃO</v>
      </c>
      <c r="P99" s="205" t="str" cm="1">
        <f t="array" ref="P99">IFERROR(LOOKUP(2,1/(Atualizações!$H$1:$H$580=Mapa!$B56&amp;Mapa!BI$3),Atualizações!$E$1:$E$580),"NÃO")</f>
        <v>NÃO</v>
      </c>
      <c r="Q99" s="205" t="str" cm="1">
        <f t="array" ref="Q99">IFERROR(LOOKUP(2,1/(Atualizações!$H$1:$H$580=Mapa!$B56&amp;Mapa!BJ$3),Atualizações!$E$1:$E$580),"NÃO")</f>
        <v>NÃO</v>
      </c>
      <c r="R99" s="205" t="str" cm="1">
        <f t="array" ref="R99">IFERROR(LOOKUP(2,1/(Atualizações!$H$1:$H$580=Mapa!$B56&amp;Mapa!BK$3),Atualizações!$E$1:$E$580),"NÃO")</f>
        <v>NÃO</v>
      </c>
      <c r="S99" s="205" t="str" cm="1">
        <f t="array" ref="S99">IFERROR(LOOKUP(2,1/(Atualizações!$H$1:$H$580=Mapa!$B56&amp;Mapa!BL$3),Atualizações!$E$1:$E$580),"NÃO")</f>
        <v>NÃO</v>
      </c>
      <c r="T99" s="205" t="str" cm="1">
        <f t="array" ref="T99">IFERROR(LOOKUP(2,1/(Atualizações!$H$1:$H$580=Mapa!$B56&amp;Mapa!BM$3),Atualizações!$E$1:$E$580),"NÃO")</f>
        <v>NÃO</v>
      </c>
      <c r="U99" s="205" t="str" cm="1">
        <f t="array" ref="U99">IFERROR(LOOKUP(2,1/(Atualizações!$H$1:$H$580=Mapa!$B56&amp;Mapa!BN$3),Atualizações!$E$1:$E$580),"NÃO")</f>
        <v>NÃO</v>
      </c>
      <c r="V99" s="205" t="str" cm="1">
        <f t="array" ref="V99">IFERROR(LOOKUP(2,1/(Atualizações!$H$1:$H$580=Mapa!$B56&amp;Mapa!BO$3),Atualizações!$E$1:$E$580),"NÃO")</f>
        <v>NÃO</v>
      </c>
      <c r="W99" s="205" t="str" cm="1">
        <f t="array" ref="W99">IFERROR(LOOKUP(2,1/(Atualizações!$H$1:$H$580=Mapa!$B56&amp;Mapa!BP$3),Atualizações!$E$1:$E$580),"NÃO")</f>
        <v>NÃO</v>
      </c>
      <c r="X99" s="205" t="str" cm="1">
        <f t="array" ref="X99">IFERROR(LOOKUP(2,1/(Atualizações!$H$1:$H$580=Mapa!$B56&amp;Mapa!BQ$3),Atualizações!$E$1:$E$580),"NÃO")</f>
        <v>NÃO</v>
      </c>
      <c r="Y99" s="205" t="str" cm="1">
        <f t="array" ref="Y99">IFERROR(LOOKUP(2,1/(Atualizações!$H$1:$H$580=Mapa!$B56&amp;Mapa!BR$3),Atualizações!$E$1:$E$580),"NÃO")</f>
        <v>NÃO</v>
      </c>
      <c r="Z99" s="161" cm="1">
        <f t="array" ref="Z99">IFERROR(LOOKUP(2,1/(Atualizações!$H$1:$H$1029=Mapa!$B56&amp;Mapa!BS$3),Atualizações!$E$1:$E$1029),"NÃO")</f>
        <v>0.38</v>
      </c>
      <c r="AA99" s="161" t="str" cm="1">
        <f t="array" ref="AA99">IFERROR(LOOKUP(2,1/(Atualizações!$H$1:$H$1029=Mapa!$B56&amp;Mapa!BT$3),Atualizações!$E$1:$E$1029),"NÃO")</f>
        <v>NÃO</v>
      </c>
      <c r="AB99" s="161" cm="1">
        <f t="array" ref="AB99">IFERROR(LOOKUP(2,1/(Atualizações!$H$1:$H$1029=Mapa!$B56&amp;Mapa!BU$3),Atualizações!$E$1:$E$1029),"NÃO")</f>
        <v>0.79</v>
      </c>
      <c r="AC99" s="161" t="str" cm="1">
        <f t="array" ref="AC99">IFERROR(LOOKUP(2,1/(Atualizações!$H$1:$H$1029=Mapa!$B56&amp;Mapa!BV$3),Atualizações!$E$1:$E$1029),"NÃO")</f>
        <v>NÃO</v>
      </c>
      <c r="AD99" s="161" t="str" cm="1">
        <f t="array" ref="AD99">IFERROR(LOOKUP(2,1/(Atualizações!$H$1:$H$1029=Mapa!$B56&amp;Mapa!BW$3),Atualizações!$E$1:$E$1029),"NÃO")</f>
        <v>NÃO</v>
      </c>
      <c r="AE99" s="161" cm="1">
        <f t="array" ref="AE99">IFERROR(LOOKUP(2,1/(Atualizações!$H$1:$H$1029=Mapa!$B56&amp;Mapa!BX$3),Atualizações!$E$1:$E$1029),"NÃO")</f>
        <v>0.79</v>
      </c>
      <c r="AF99" s="161" cm="1">
        <f t="array" ref="AF99">IFERROR(LOOKUP(2,1/(Atualizações!$H$1:$H$1029=Mapa!$B56&amp;Mapa!BY$3),Atualizações!$E$1:$E$1029),"NÃO")</f>
        <v>0.79</v>
      </c>
      <c r="AG99" s="161" t="str" cm="1">
        <f t="array" ref="AG99">IFERROR(LOOKUP(2,1/(Atualizações!$H$1:$H$1029=Mapa!$B56&amp;Mapa!BZ$3),Atualizações!$E$1:$E$1029),"NÃO")</f>
        <v>NÃO</v>
      </c>
      <c r="AH99" s="161" t="str" cm="1">
        <f t="array" ref="AH99">IFERROR(LOOKUP(2,1/(Atualizações!$H$1:$H$1029=Mapa!$B56&amp;Mapa!CA$3),Atualizações!$E$1:$E$1029),"NÃO")</f>
        <v>NÃO</v>
      </c>
      <c r="AI99" s="161" t="str" cm="1">
        <f t="array" ref="AI99">IFERROR(LOOKUP(2,1/(Atualizações!$H$1:$H$1029=Mapa!$B56&amp;Mapa!CB$3),Atualizações!$E$1:$E$1029),"NÃO")</f>
        <v>NÃO</v>
      </c>
      <c r="AJ99" s="161" t="str" cm="1">
        <f t="array" ref="AJ99">IFERROR(LOOKUP(2,1/(Atualizações!$H$1:$H$1029=Mapa!$B56&amp;Mapa!CC$3),Atualizações!$E$1:$E$1029),"NÃO")</f>
        <v>NÃO</v>
      </c>
      <c r="AK99" s="161" t="str" cm="1">
        <f t="array" ref="AK99">IFERROR(LOOKUP(2,1/(Atualizações!$H$1:$H$1029=Mapa!$B56&amp;Mapa!CD$3),Atualizações!$E$1:$E$1029),"NÃO")</f>
        <v>NÃO</v>
      </c>
      <c r="AL99" s="161" cm="1">
        <f t="array" ref="AL99">IFERROR(LOOKUP(2,1/(Atualizações!$H$1:$H$1265=Mapa!$B56&amp;Mapa!CE$3),Atualizações!$E$1:$E$2994),"NÃO")</f>
        <v>0.9</v>
      </c>
      <c r="AM99" s="161" t="str" cm="1">
        <f t="array" ref="AM99">IFERROR(LOOKUP(2,1/(Atualizações!$H$1:$H$2994=Tb_Mapa[[#This Row],[SEI]]&amp;Mapa!CF$3),Atualizações!$E$1:$E$2994),"NÃO")</f>
        <v>NÃO</v>
      </c>
      <c r="AN99" s="161" cm="1">
        <f t="array" ref="AN99">IFERROR(LOOKUP(2,1/(Atualizações!$H$1:$H$2994=Tb_Mapa[[#This Row],[SEI]]&amp;Mapa!CG$3),Atualizações!$E$1:$E$2994),"NÃO")</f>
        <v>0.6</v>
      </c>
      <c r="AO99" s="161" cm="1">
        <f t="array" ref="AO99">IFERROR(LOOKUP(2,1/(Atualizações!$H$1:$H$2994=Tb_Mapa[[#This Row],[SEI]]&amp;Mapa!CH$3),Atualizações!$E$1:$E$2994),"NÃO")</f>
        <v>0.7</v>
      </c>
      <c r="AP99" s="161" cm="1">
        <f t="array" ref="AP99">IFERROR(LOOKUP(2,1/(Atualizações!$H$1:$H$2994=Tb_Mapa[[#This Row],[SEI]]&amp;Mapa!CI$3),Atualizações!$E$1:$E$2994),"NÃO")</f>
        <v>0.7</v>
      </c>
      <c r="AQ99" s="161" cm="1">
        <f t="array" ref="AQ99">IFERROR(LOOKUP(2,1/(Atualizações!$H$1:$H$2994=Tb_Mapa[[#This Row],[SEI]]&amp;Mapa!CJ$3),Atualizações!$E$1:$E$2994),"NÃO")</f>
        <v>0.7</v>
      </c>
      <c r="AR99" s="161" t="str" cm="1">
        <f t="array" ref="AR99">IFERROR(LOOKUP(2,1/(Atualizações!$H$1:$H$2994=Tb_Mapa[[#This Row],[SEI]]&amp;Mapa!CK$3),Atualizações!$E$1:$E$2994),"NÃO")</f>
        <v>NÃO</v>
      </c>
      <c r="AS99" s="161" t="str" cm="1">
        <f t="array" ref="AS99">IFERROR(LOOKUP(2,1/(Atualizações!$H$1:$H$2994=Tb_Mapa[[#This Row],[SEI]]&amp;Mapa!CL$3),Atualizações!$E$1:$E$2994),"NÃO")</f>
        <v>NÃO</v>
      </c>
      <c r="AT99" s="161" t="str" cm="1">
        <f t="array" ref="AT99">IFERROR(LOOKUP(2,1/(Atualizações!$H$1:$H$2994=Tb_Mapa[[#This Row],[SEI]]&amp;Mapa!CM$3),Atualizações!$E$1:$E$2994),"NÃO")</f>
        <v>NÃO</v>
      </c>
      <c r="AU99" s="161" t="str" cm="1">
        <f t="array" ref="AU99">IFERROR(LOOKUP(2,1/(Atualizações!$H$1:$H$2994=Tb_Mapa[[#This Row],[SEI]]&amp;Mapa!CN$3),Atualizações!$E$1:$E$2994),"NÃO")</f>
        <v>NÃO</v>
      </c>
      <c r="AV99" s="161" t="str" cm="1">
        <f t="array" ref="AV99">IFERROR(LOOKUP(2,1/(Atualizações!$H$1:$H$2994=Tb_Mapa[[#This Row],[SEI]]&amp;Mapa!CO$3),Atualizações!$E$1:$E$2994),"NÃO")</f>
        <v>NÃO</v>
      </c>
      <c r="AW99" s="161" t="str" cm="1">
        <f t="array" ref="AW99">IFERROR(LOOKUP(2,1/(Atualizações!$H$1:$H$2994=Tb_Mapa[[#This Row],[SEI]]&amp;Mapa!CP$3),Atualizações!$E$1:$E$2994),"NÃO")</f>
        <v>NÃO</v>
      </c>
      <c r="AX99" s="161" t="str" cm="1">
        <f t="array" ref="AX99">IFERROR(LOOKUP(2,1/(Atualizações!$H$1:$H$2994=Tb_Mapa[[#This Row],[SEI]]&amp;Mapa!CQ$3),Atualizações!$E$1:$E$2994),"NÃO")</f>
        <v>NÃO</v>
      </c>
    </row>
    <row r="100" spans="2:50" hidden="1">
      <c r="B100" s="151" t="s">
        <v>172</v>
      </c>
      <c r="C100" s="151" t="str">
        <f>_xlfn.XLOOKUP(Tb_Mapa[[#This Row],[SEI]],Tb_Portfólio[SEI],Tb_Portfólio[Portfólio 2025],"",0)</f>
        <v>Não</v>
      </c>
      <c r="D100" s="158" t="str">
        <f>_xlfn.XLOOKUP(Tb_Mapa[[#This Row],[SEI]],Tb_Portfólio[SEI],Tb_Portfólio[Portfólio 2026],"",0)</f>
        <v>Não</v>
      </c>
      <c r="E100" s="162" t="str">
        <f>_xlfn.XLOOKUP(Tb_Mapa[[#This Row],[SEI]],Tb_Portfólio[SEI],Tb_Portfólio[PROJETO],"",0)</f>
        <v>Monitoramento: soluções da PDPJ-Br</v>
      </c>
      <c r="F100" s="170" t="str">
        <f>INDEX(Projetos!$G$3:$G$129,MATCH(B100,Projetos!$A$3:$A$129,0))</f>
        <v>Gustavo Martins Pereira</v>
      </c>
      <c r="G100" s="682" t="s">
        <v>1718</v>
      </c>
      <c r="H100" s="166" t="str">
        <f>INDEX(Projetos!$T$3:$T$129,MATCH(B100,Projetos!$A$3:$A$129,0))</f>
        <v>Justiça 4.0</v>
      </c>
      <c r="I100" s="310">
        <f>INDEX(Projetos!$M$3:$M$129,MATCH(Mapa!B46,Projetos!$A$3:$A$129,0))</f>
        <v>46376</v>
      </c>
      <c r="J100" s="164" t="str">
        <f>IF(Tb_Mapa[[#This Row],[SITUAÇÃO]]="Finalizado", "Data atualizada", IFERROR(IF(I100&lt;$CN$3,"Atualizar data de encerramento","Data atualizada"),"Sem informação"))</f>
        <v>Data atualizada</v>
      </c>
      <c r="K100" s="311">
        <f>INDEX(Projetos!$N$3:$N$129,MATCH(Mapa!B46,Projetos!$A$3:$A$129,0))</f>
        <v>0</v>
      </c>
      <c r="L100" s="311">
        <f>INDEX(Projetos!$O$3:$O$129,MATCH(Mapa!B46,Projetos!$A$3:$A$129,0))</f>
        <v>0</v>
      </c>
      <c r="M100" s="165" t="str">
        <f>_xlfn.XLOOKUP(Tb_Mapa[[#This Row],[SEI]],Tb_Portfólio[SEI],Tb_Portfólio[Situação],"N/A",0)</f>
        <v>Finalizado</v>
      </c>
      <c r="N100" s="128" t="str" cm="1">
        <f t="array" ref="N100">IFERROR(LOOKUP(2,1/(Atualizações!$H$1:$H$486=Mapa!$B46&amp;Mapa!BG$3),Atualizações!$E$1:$E$486),"NÃO")</f>
        <v>NÃO</v>
      </c>
      <c r="O100" s="205" t="str" cm="1">
        <f t="array" ref="O100">IFERROR(LOOKUP(2,1/(Atualizações!$H$1:$H$580=Mapa!$B46&amp;Mapa!BH$3),Atualizações!$E$1:$E$580),"NÃO")</f>
        <v>NÃO</v>
      </c>
      <c r="P100" s="205" t="str" cm="1">
        <f t="array" ref="P100">IFERROR(LOOKUP(2,1/(Atualizações!$H$1:$H$580=Mapa!$B46&amp;Mapa!BI$3),Atualizações!$E$1:$E$580),"NÃO")</f>
        <v>NÃO</v>
      </c>
      <c r="Q100" s="205" t="str" cm="1">
        <f t="array" ref="Q100">IFERROR(LOOKUP(2,1/(Atualizações!$H$1:$H$580=Mapa!$B46&amp;Mapa!BJ$3),Atualizações!$E$1:$E$580),"NÃO")</f>
        <v>NÃO</v>
      </c>
      <c r="R100" s="205" t="str" cm="1">
        <f t="array" ref="R100">IFERROR(LOOKUP(2,1/(Atualizações!$H$1:$H$580=Mapa!$B46&amp;Mapa!BK$3),Atualizações!$E$1:$E$580),"NÃO")</f>
        <v>NÃO</v>
      </c>
      <c r="S100" s="205" t="str" cm="1">
        <f t="array" ref="S100">IFERROR(LOOKUP(2,1/(Atualizações!$H$1:$H$580=Mapa!$B46&amp;Mapa!BL$3),Atualizações!$E$1:$E$580),"NÃO")</f>
        <v>NÃO</v>
      </c>
      <c r="T100" s="205" t="str" cm="1">
        <f t="array" ref="T100">IFERROR(LOOKUP(2,1/(Atualizações!$H$1:$H$580=Mapa!$B46&amp;Mapa!BM$3),Atualizações!$E$1:$E$580),"NÃO")</f>
        <v>NÃO</v>
      </c>
      <c r="U100" s="205" t="str" cm="1">
        <f t="array" ref="U100">IFERROR(LOOKUP(2,1/(Atualizações!$H$1:$H$580=Mapa!$B46&amp;Mapa!BN$3),Atualizações!$E$1:$E$580),"NÃO")</f>
        <v>NÃO</v>
      </c>
      <c r="V100" s="205" t="str" cm="1">
        <f t="array" ref="V100">IFERROR(LOOKUP(2,1/(Atualizações!$H$1:$H$580=Mapa!$B46&amp;Mapa!BO$3),Atualizações!$E$1:$E$580),"NÃO")</f>
        <v>NÃO</v>
      </c>
      <c r="W100" s="205" t="str" cm="1">
        <f t="array" ref="W100">IFERROR(LOOKUP(2,1/(Atualizações!$H$1:$H$580=Mapa!$B46&amp;Mapa!BP$3),Atualizações!$E$1:$E$580),"NÃO")</f>
        <v>NÃO</v>
      </c>
      <c r="X100" s="205" t="str" cm="1">
        <f t="array" ref="X100">IFERROR(LOOKUP(2,1/(Atualizações!$H$1:$H$580=Mapa!$B46&amp;Mapa!BQ$3),Atualizações!$E$1:$E$580),"NÃO")</f>
        <v>NÃO</v>
      </c>
      <c r="Y100" s="205" t="str" cm="1">
        <f t="array" ref="Y100">IFERROR(LOOKUP(2,1/(Atualizações!$H$1:$H$580=Mapa!$B46&amp;Mapa!BR$3),Atualizações!$E$1:$E$580),"NÃO")</f>
        <v>NÃO</v>
      </c>
      <c r="Z100" s="205" t="str" cm="1">
        <f t="array" ref="Z100">IFERROR(LOOKUP(2,1/(Atualizações!$H$1:$H$1029=Mapa!$B46&amp;Mapa!BS$3),Atualizações!$E$1:$E$1029),"NÃO")</f>
        <v>NÃO</v>
      </c>
      <c r="AA100" s="205" t="str" cm="1">
        <f t="array" ref="AA100">IFERROR(LOOKUP(2,1/(Atualizações!$H$1:$H$1029=Mapa!$B46&amp;Mapa!BT$3),Atualizações!$E$1:$E$1029),"NÃO")</f>
        <v>NÃO</v>
      </c>
      <c r="AB100" s="205" t="str" cm="1">
        <f t="array" ref="AB100">IFERROR(LOOKUP(2,1/(Atualizações!$H$1:$H$1029=Mapa!$B46&amp;Mapa!BU$3),Atualizações!$E$1:$E$1029),"NÃO")</f>
        <v>NÃO</v>
      </c>
      <c r="AC100" s="161" t="str" cm="1">
        <f t="array" ref="AC100">IFERROR(LOOKUP(2,1/(Atualizações!$H$1:$H$1029=Mapa!$B46&amp;Mapa!BV$3),Atualizações!$E$1:$E$1029),"NÃO")</f>
        <v>NÃO</v>
      </c>
      <c r="AD100" s="161" t="str" cm="1">
        <f t="array" ref="AD100">IFERROR(LOOKUP(2,1/(Atualizações!$H$1:$H$1029=Mapa!$B46&amp;Mapa!BW$3),Atualizações!$E$1:$E$1029),"NÃO")</f>
        <v>NÃO</v>
      </c>
      <c r="AE100" s="161" t="str" cm="1">
        <f t="array" ref="AE100">IFERROR(LOOKUP(2,1/(Atualizações!$H$1:$H$1029=Mapa!$B46&amp;Mapa!BX$3),Atualizações!$E$1:$E$1029),"NÃO")</f>
        <v>NÃO</v>
      </c>
      <c r="AF100" s="161" t="str" cm="1">
        <f t="array" ref="AF100">IFERROR(LOOKUP(2,1/(Atualizações!$H$1:$H$1029=Mapa!$B46&amp;Mapa!BY$3),Atualizações!$E$1:$E$1029),"NÃO")</f>
        <v>NÃO</v>
      </c>
      <c r="AG100" s="161" t="str" cm="1">
        <f t="array" ref="AG100">IFERROR(LOOKUP(2,1/(Atualizações!$H$1:$H$1029=Mapa!$B46&amp;Mapa!BZ$3),Atualizações!$E$1:$E$1029),"NÃO")</f>
        <v>NÃO</v>
      </c>
      <c r="AH100" s="161" t="str" cm="1">
        <f t="array" ref="AH100">IFERROR(LOOKUP(2,1/(Atualizações!$H$1:$H$1029=Mapa!$B46&amp;Mapa!CA$3),Atualizações!$E$1:$E$1029),"NÃO")</f>
        <v>NÃO</v>
      </c>
      <c r="AI100" s="161" t="str" cm="1">
        <f t="array" ref="AI100">IFERROR(LOOKUP(2,1/(Atualizações!$H$1:$H$1029=Mapa!$B46&amp;Mapa!CB$3),Atualizações!$E$1:$E$1029),"NÃO")</f>
        <v>NÃO</v>
      </c>
      <c r="AJ100" s="161" t="str" cm="1">
        <f t="array" ref="AJ100">IFERROR(LOOKUP(2,1/(Atualizações!$H$1:$H$1029=Mapa!$B46&amp;Mapa!CC$3),Atualizações!$E$1:$E$1029),"NÃO")</f>
        <v>NÃO</v>
      </c>
      <c r="AK100" s="161" t="str" cm="1">
        <f t="array" ref="AK100">IFERROR(LOOKUP(2,1/(Atualizações!$H$1:$H$1029=Mapa!$B46&amp;Mapa!CD$3),Atualizações!$E$1:$E$1029),"NÃO")</f>
        <v>NÃO</v>
      </c>
      <c r="AL100" s="161" t="str" cm="1">
        <f t="array" ref="AL100">IFERROR(LOOKUP(2,1/(Atualizações!$H$1:$H$1265=Mapa!$B46&amp;Mapa!CE$3),Atualizações!$E$1:$E$2994),"NÃO")</f>
        <v>NÃO</v>
      </c>
      <c r="AM100" s="161" t="str" cm="1">
        <f t="array" ref="AM100">IFERROR(LOOKUP(2,1/(Atualizações!$H$1:$H$2994=Tb_Mapa[[#This Row],[SEI]]&amp;Mapa!CF$3),Atualizações!$E$1:$E$2994),"NÃO")</f>
        <v>NÃO</v>
      </c>
      <c r="AN100" s="161" t="str" cm="1">
        <f t="array" ref="AN100">IFERROR(LOOKUP(2,1/(Atualizações!$H$1:$H$2994=Tb_Mapa[[#This Row],[SEI]]&amp;Mapa!CG$3),Atualizações!$E$1:$E$2994),"NÃO")</f>
        <v>NÃO</v>
      </c>
      <c r="AO100" s="161" t="str" cm="1">
        <f t="array" ref="AO100">IFERROR(LOOKUP(2,1/(Atualizações!$H$1:$H$2994=Tb_Mapa[[#This Row],[SEI]]&amp;Mapa!CH$3),Atualizações!$E$1:$E$2994),"NÃO")</f>
        <v>NÃO</v>
      </c>
      <c r="AP100" s="161" t="str" cm="1">
        <f t="array" ref="AP100">IFERROR(LOOKUP(2,1/(Atualizações!$H$1:$H$2994=Tb_Mapa[[#This Row],[SEI]]&amp;Mapa!CI$3),Atualizações!$E$1:$E$2994),"NÃO")</f>
        <v>NÃO</v>
      </c>
      <c r="AQ100" s="161" t="str" cm="1">
        <f t="array" ref="AQ100">IFERROR(LOOKUP(2,1/(Atualizações!$H$1:$H$2994=Tb_Mapa[[#This Row],[SEI]]&amp;Mapa!CJ$3),Atualizações!$E$1:$E$2994),"NÃO")</f>
        <v>NÃO</v>
      </c>
      <c r="AR100" s="161" t="str" cm="1">
        <f t="array" ref="AR100">IFERROR(LOOKUP(2,1/(Atualizações!$H$1:$H$2994=Tb_Mapa[[#This Row],[SEI]]&amp;Mapa!CK$3),Atualizações!$E$1:$E$2994),"NÃO")</f>
        <v>NÃO</v>
      </c>
      <c r="AS100" s="161" t="str" cm="1">
        <f t="array" ref="AS100">IFERROR(LOOKUP(2,1/(Atualizações!$H$1:$H$2994=Tb_Mapa[[#This Row],[SEI]]&amp;Mapa!CL$3),Atualizações!$E$1:$E$2994),"NÃO")</f>
        <v>NÃO</v>
      </c>
      <c r="AT100" s="161" t="str" cm="1">
        <f t="array" ref="AT100">IFERROR(LOOKUP(2,1/(Atualizações!$H$1:$H$2994=Tb_Mapa[[#This Row],[SEI]]&amp;Mapa!CM$3),Atualizações!$E$1:$E$2994),"NÃO")</f>
        <v>NÃO</v>
      </c>
      <c r="AU100" s="161" t="str" cm="1">
        <f t="array" ref="AU100">IFERROR(LOOKUP(2,1/(Atualizações!$H$1:$H$2994=Tb_Mapa[[#This Row],[SEI]]&amp;Mapa!CN$3),Atualizações!$E$1:$E$2994),"NÃO")</f>
        <v>NÃO</v>
      </c>
      <c r="AV100" s="161" t="str" cm="1">
        <f t="array" ref="AV100">IFERROR(LOOKUP(2,1/(Atualizações!$H$1:$H$2994=Tb_Mapa[[#This Row],[SEI]]&amp;Mapa!CO$3),Atualizações!$E$1:$E$2994),"NÃO")</f>
        <v>NÃO</v>
      </c>
      <c r="AW100" s="161" t="str" cm="1">
        <f t="array" ref="AW100">IFERROR(LOOKUP(2,1/(Atualizações!$H$1:$H$2994=Tb_Mapa[[#This Row],[SEI]]&amp;Mapa!CP$3),Atualizações!$E$1:$E$2994),"NÃO")</f>
        <v>NÃO</v>
      </c>
      <c r="AX100" s="161" t="str" cm="1">
        <f t="array" ref="AX100">IFERROR(LOOKUP(2,1/(Atualizações!$H$1:$H$2994=Tb_Mapa[[#This Row],[SEI]]&amp;Mapa!CQ$3),Atualizações!$E$1:$E$2994),"NÃO")</f>
        <v>NÃO</v>
      </c>
    </row>
    <row r="101" spans="2:50" hidden="1">
      <c r="B101" s="678" t="s">
        <v>160</v>
      </c>
      <c r="C101" s="678" t="str">
        <f>_xlfn.XLOOKUP(Tb_Mapa[[#This Row],[SEI]],Tb_Portfólio[SEI],Tb_Portfólio[Portfólio 2025],"",0)</f>
        <v>Não</v>
      </c>
      <c r="D101" s="158" t="str">
        <f>_xlfn.XLOOKUP(Tb_Mapa[[#This Row],[SEI]],Tb_Portfólio[SEI],Tb_Portfólio[Portfólio 2026],"",0)</f>
        <v>Não</v>
      </c>
      <c r="E101" s="162" t="str">
        <f>_xlfn.XLOOKUP(Tb_Mapa[[#This Row],[SEI]],Tb_Portfólio[SEI],Tb_Portfólio[PROJETO],"",0)</f>
        <v>Domicílio Judicial Eletrônico</v>
      </c>
      <c r="F101" s="680" t="str">
        <f>INDEX(Projetos!$G$3:$G$129,MATCH(B101,Projetos!$A$3:$A$129,0))</f>
        <v>Luciana Martins Frassetto de Freitas</v>
      </c>
      <c r="G101" s="682" t="s">
        <v>1718</v>
      </c>
      <c r="H101" s="166" t="str">
        <f>INDEX(Projetos!$T$3:$T$129,MATCH(B101,Projetos!$A$3:$A$129,0))</f>
        <v>Justiça 4.0</v>
      </c>
      <c r="I101" s="318">
        <f>INDEX(Projetos!$M$3:$M$129,MATCH(Mapa!B12,Projetos!$A$3:$A$129,0))</f>
        <v>46203</v>
      </c>
      <c r="J101" s="164" t="str">
        <f>IF(Tb_Mapa[[#This Row],[SITUAÇÃO]]="Finalizado", "Data atualizada", IFERROR(IF(I101&lt;$CN$3,"Atualizar data de encerramento","Data atualizada"),"Sem informação"))</f>
        <v>Data atualizada</v>
      </c>
      <c r="K101" s="319">
        <f>INDEX(Projetos!$N$3:$N$129,MATCH(Mapa!B12,Projetos!$A$3:$A$129,0))</f>
        <v>0.9</v>
      </c>
      <c r="L101" s="319">
        <f>INDEX(Projetos!$O$3:$O$129,MATCH(Mapa!B12,Projetos!$A$3:$A$129,0))</f>
        <v>0.9</v>
      </c>
      <c r="M101" s="165" t="str">
        <f>_xlfn.XLOOKUP(Tb_Mapa[[#This Row],[SEI]],Tb_Portfólio[SEI],Tb_Portfólio[Situação],"N/A",0)</f>
        <v>Finalizado</v>
      </c>
      <c r="N101" s="128" t="str" cm="1">
        <f t="array" ref="N101">IFERROR(LOOKUP(2,1/(Atualizações!$H$1:$H$486=Mapa!$B12&amp;Mapa!BG$3),Atualizações!$E$1:$E$486),"NÃO")</f>
        <v>NÃO</v>
      </c>
      <c r="O101" s="205" t="str" cm="1">
        <f t="array" ref="O101">IFERROR(LOOKUP(2,1/(Atualizações!$H$1:$H$580=Mapa!$B12&amp;Mapa!BH$3),Atualizações!$E$1:$E$580),"NÃO")</f>
        <v>NÃO</v>
      </c>
      <c r="P101" s="205" t="str" cm="1">
        <f t="array" ref="P101">IFERROR(LOOKUP(2,1/(Atualizações!$H$1:$H$580=Mapa!$B12&amp;Mapa!BI$3),Atualizações!$E$1:$E$580),"NÃO")</f>
        <v>NÃO</v>
      </c>
      <c r="Q101" s="205" t="str" cm="1">
        <f t="array" ref="Q101">IFERROR(LOOKUP(2,1/(Atualizações!$H$1:$H$580=Mapa!$B12&amp;Mapa!BJ$3),Atualizações!$E$1:$E$580),"NÃO")</f>
        <v>NÃO</v>
      </c>
      <c r="R101" s="205" t="str" cm="1">
        <f t="array" ref="R101">IFERROR(LOOKUP(2,1/(Atualizações!$H$1:$H$580=Mapa!$B12&amp;Mapa!BK$3),Atualizações!$E$1:$E$580),"NÃO")</f>
        <v>NÃO</v>
      </c>
      <c r="S101" s="205" t="str" cm="1">
        <f t="array" ref="S101">IFERROR(LOOKUP(2,1/(Atualizações!$H$1:$H$580=Mapa!$B12&amp;Mapa!BL$3),Atualizações!$E$1:$E$580),"NÃO")</f>
        <v>NÃO</v>
      </c>
      <c r="T101" s="205" t="str" cm="1">
        <f t="array" ref="T101">IFERROR(LOOKUP(2,1/(Atualizações!$H$1:$H$580=Mapa!$B12&amp;Mapa!BM$3),Atualizações!$E$1:$E$580),"NÃO")</f>
        <v>NÃO</v>
      </c>
      <c r="U101" s="205" t="str" cm="1">
        <f t="array" ref="U101">IFERROR(LOOKUP(2,1/(Atualizações!$H$1:$H$580=Mapa!$B12&amp;Mapa!BN$3),Atualizações!$E$1:$E$580),"NÃO")</f>
        <v>NÃO</v>
      </c>
      <c r="V101" s="205" t="str" cm="1">
        <f t="array" ref="V101">IFERROR(LOOKUP(2,1/(Atualizações!$H$1:$H$580=Mapa!$B12&amp;Mapa!BO$3),Atualizações!$E$1:$E$580),"NÃO")</f>
        <v>NÃO</v>
      </c>
      <c r="W101" s="205" t="str" cm="1">
        <f t="array" ref="W101">IFERROR(LOOKUP(2,1/(Atualizações!$H$1:$H$580=Mapa!$B12&amp;Mapa!BP$3),Atualizações!$E$1:$E$580),"NÃO")</f>
        <v>NÃO</v>
      </c>
      <c r="X101" s="205" t="str" cm="1">
        <f t="array" ref="X101">IFERROR(LOOKUP(2,1/(Atualizações!$H$1:$H$580=Mapa!$B12&amp;Mapa!BQ$3),Atualizações!$E$1:$E$580),"NÃO")</f>
        <v>NÃO</v>
      </c>
      <c r="Y101" s="205" t="str" cm="1">
        <f t="array" ref="Y101">IFERROR(LOOKUP(2,1/(Atualizações!$H$1:$H$580=Mapa!$B12&amp;Mapa!BR$3),Atualizações!$E$1:$E$580),"NÃO")</f>
        <v>NÃO</v>
      </c>
      <c r="Z101" s="205" cm="1">
        <f t="array" ref="Z101">IFERROR(LOOKUP(2,1/(Atualizações!$H$1:$H$1029=Mapa!$B12&amp;Mapa!BS$3),Atualizações!$E$1:$E$1029),"NÃO")</f>
        <v>0.5</v>
      </c>
      <c r="AA101" s="205" t="str" cm="1">
        <f t="array" ref="AA101">IFERROR(LOOKUP(2,1/(Atualizações!$H$1:$H$1029=Mapa!$B12&amp;Mapa!BT$3),Atualizações!$E$1:$E$1029),"NÃO")</f>
        <v>NÃO</v>
      </c>
      <c r="AB101" s="205" t="str" cm="1">
        <f t="array" ref="AB101">IFERROR(LOOKUP(2,1/(Atualizações!$H$1:$H$1029=Mapa!$B12&amp;Mapa!BU$3),Atualizações!$E$1:$E$1029),"NÃO")</f>
        <v>NÃO</v>
      </c>
      <c r="AC101" s="161" t="str" cm="1">
        <f t="array" ref="AC101">IFERROR(LOOKUP(2,1/(Atualizações!$H$1:$H$1029=Mapa!$B12&amp;Mapa!BV$3),Atualizações!$E$1:$E$1029),"NÃO")</f>
        <v>NÃO</v>
      </c>
      <c r="AD101" s="161" t="str" cm="1">
        <f t="array" ref="AD101">IFERROR(LOOKUP(2,1/(Atualizações!$H$1:$H$1029=Mapa!$B12&amp;Mapa!BW$3),Atualizações!$E$1:$E$1029),"NÃO")</f>
        <v>NÃO</v>
      </c>
      <c r="AE101" s="161" t="str" cm="1">
        <f t="array" ref="AE101">IFERROR(LOOKUP(2,1/(Atualizações!$H$1:$H$1029=Mapa!$B12&amp;Mapa!BX$3),Atualizações!$E$1:$E$1029),"NÃO")</f>
        <v>NÃO</v>
      </c>
      <c r="AF101" s="161" t="str" cm="1">
        <f t="array" ref="AF101">IFERROR(LOOKUP(2,1/(Atualizações!$H$1:$H$1029=Mapa!$B12&amp;Mapa!BY$3),Atualizações!$E$1:$E$1029),"NÃO")</f>
        <v>NÃO</v>
      </c>
      <c r="AG101" s="161" cm="1">
        <f t="array" ref="AG101">IFERROR(LOOKUP(2,1/(Atualizações!$H$1:$H$1029=Mapa!$B12&amp;Mapa!BZ$3),Atualizações!$E$1:$E$1029),"NÃO")</f>
        <v>0.5</v>
      </c>
      <c r="AH101" s="161" t="str" cm="1">
        <f t="array" ref="AH101">IFERROR(LOOKUP(2,1/(Atualizações!$H$1:$H$1029=Mapa!$B12&amp;Mapa!CA$3),Atualizações!$E$1:$E$1029),"NÃO")</f>
        <v>NÃO</v>
      </c>
      <c r="AI101" s="161" t="str" cm="1">
        <f t="array" ref="AI101">IFERROR(LOOKUP(2,1/(Atualizações!$H$1:$H$1029=Mapa!$B12&amp;Mapa!CB$3),Atualizações!$E$1:$E$1029),"NÃO")</f>
        <v>NÃO</v>
      </c>
      <c r="AJ101" s="161" t="str" cm="1">
        <f t="array" ref="AJ101">IFERROR(LOOKUP(2,1/(Atualizações!$H$1:$H$1029=Mapa!$B12&amp;Mapa!CC$3),Atualizações!$E$1:$E$1029),"NÃO")</f>
        <v>NÃO</v>
      </c>
      <c r="AK101" s="161" t="str" cm="1">
        <f t="array" ref="AK101">IFERROR(LOOKUP(2,1/(Atualizações!$H$1:$H$1029=Mapa!$B12&amp;Mapa!CD$3),Atualizações!$E$1:$E$1029),"NÃO")</f>
        <v>NÃO</v>
      </c>
      <c r="AL101" s="161" cm="1">
        <f t="array" ref="AL101">IFERROR(LOOKUP(2,1/(Atualizações!$H$1:$H$1265=Mapa!$B12&amp;Mapa!CE$3),Atualizações!$E$1:$E$2994),"NÃO")</f>
        <v>0.9</v>
      </c>
      <c r="AM101" s="161" t="str" cm="1">
        <f t="array" ref="AM101">IFERROR(LOOKUP(2,1/(Atualizações!$H$1:$H$2994=Tb_Mapa[[#This Row],[SEI]]&amp;Mapa!CF$3),Atualizações!$E$1:$E$2994),"NÃO")</f>
        <v>NÃO</v>
      </c>
      <c r="AN101" s="161" t="str" cm="1">
        <f t="array" ref="AN101">IFERROR(LOOKUP(2,1/(Atualizações!$H$1:$H$2994=Tb_Mapa[[#This Row],[SEI]]&amp;Mapa!CG$3),Atualizações!$E$1:$E$2994),"NÃO")</f>
        <v>NÃO</v>
      </c>
      <c r="AO101" s="161" t="str" cm="1">
        <f t="array" ref="AO101">IFERROR(LOOKUP(2,1/(Atualizações!$H$1:$H$2994=Tb_Mapa[[#This Row],[SEI]]&amp;Mapa!CH$3),Atualizações!$E$1:$E$2994),"NÃO")</f>
        <v>NÃO</v>
      </c>
      <c r="AP101" s="161" t="str" cm="1">
        <f t="array" ref="AP101">IFERROR(LOOKUP(2,1/(Atualizações!$H$1:$H$2994=Tb_Mapa[[#This Row],[SEI]]&amp;Mapa!CI$3),Atualizações!$E$1:$E$2994),"NÃO")</f>
        <v>NÃO</v>
      </c>
      <c r="AQ101" s="161" t="str" cm="1">
        <f t="array" ref="AQ101">IFERROR(LOOKUP(2,1/(Atualizações!$H$1:$H$2994=Tb_Mapa[[#This Row],[SEI]]&amp;Mapa!CJ$3),Atualizações!$E$1:$E$2994),"NÃO")</f>
        <v>NÃO</v>
      </c>
      <c r="AR101" s="161" t="str" cm="1">
        <f t="array" ref="AR101">IFERROR(LOOKUP(2,1/(Atualizações!$H$1:$H$2994=Tb_Mapa[[#This Row],[SEI]]&amp;Mapa!CK$3),Atualizações!$E$1:$E$2994),"NÃO")</f>
        <v>NÃO</v>
      </c>
      <c r="AS101" s="161" t="str" cm="1">
        <f t="array" ref="AS101">IFERROR(LOOKUP(2,1/(Atualizações!$H$1:$H$2994=Tb_Mapa[[#This Row],[SEI]]&amp;Mapa!CL$3),Atualizações!$E$1:$E$2994),"NÃO")</f>
        <v>NÃO</v>
      </c>
      <c r="AT101" s="161" t="str" cm="1">
        <f t="array" ref="AT101">IFERROR(LOOKUP(2,1/(Atualizações!$H$1:$H$2994=Tb_Mapa[[#This Row],[SEI]]&amp;Mapa!CM$3),Atualizações!$E$1:$E$2994),"NÃO")</f>
        <v>NÃO</v>
      </c>
      <c r="AU101" s="161" t="str" cm="1">
        <f t="array" ref="AU101">IFERROR(LOOKUP(2,1/(Atualizações!$H$1:$H$2994=Tb_Mapa[[#This Row],[SEI]]&amp;Mapa!CN$3),Atualizações!$E$1:$E$2994),"NÃO")</f>
        <v>NÃO</v>
      </c>
      <c r="AV101" s="161" t="str" cm="1">
        <f t="array" ref="AV101">IFERROR(LOOKUP(2,1/(Atualizações!$H$1:$H$2994=Tb_Mapa[[#This Row],[SEI]]&amp;Mapa!CO$3),Atualizações!$E$1:$E$2994),"NÃO")</f>
        <v>NÃO</v>
      </c>
      <c r="AW101" s="161" t="str" cm="1">
        <f t="array" ref="AW101">IFERROR(LOOKUP(2,1/(Atualizações!$H$1:$H$2994=Tb_Mapa[[#This Row],[SEI]]&amp;Mapa!CP$3),Atualizações!$E$1:$E$2994),"NÃO")</f>
        <v>NÃO</v>
      </c>
      <c r="AX101" s="161" t="str" cm="1">
        <f t="array" ref="AX101">IFERROR(LOOKUP(2,1/(Atualizações!$H$1:$H$2994=Tb_Mapa[[#This Row],[SEI]]&amp;Mapa!CQ$3),Atualizações!$E$1:$E$2994),"NÃO")</f>
        <v>NÃO</v>
      </c>
    </row>
    <row r="102" spans="2:50" hidden="1">
      <c r="B102" s="51" t="s">
        <v>580</v>
      </c>
      <c r="C102" s="51" t="str">
        <f>_xlfn.XLOOKUP(Tb_Mapa[[#This Row],[SEI]],Tb_Portfólio[SEI],Tb_Portfólio[Portfólio 2025],"",0)</f>
        <v>Sim</v>
      </c>
      <c r="D102" s="158" t="str">
        <f>_xlfn.XLOOKUP(Tb_Mapa[[#This Row],[SEI]],Tb_Portfólio[SEI],Tb_Portfólio[Portfólio 2026],"",0)</f>
        <v>Sim</v>
      </c>
      <c r="E102" s="162" t="str">
        <f>_xlfn.XLOOKUP(Tb_Mapa[[#This Row],[SEI]],Tb_Portfólio[SEI],Tb_Portfólio[PROJETO],"",0)</f>
        <v>SireneJud 2.0 - Evoluções</v>
      </c>
      <c r="F102" s="143" t="str">
        <f>INDEX(Projetos!$G$3:$G$129,MATCH(Tb_Mapa[[#This Row],[SEI]],Projetos!$A$3:$A$129,0))</f>
        <v>André José da Silva Lima</v>
      </c>
      <c r="G102" s="682" t="s">
        <v>1711</v>
      </c>
      <c r="H102" s="166" t="str">
        <f>INDEX(Projetos!$T$3:$T$129,MATCH(B102,Projetos!$A$3:$A$129,0))</f>
        <v>Justiça 4.0</v>
      </c>
      <c r="I102" s="310">
        <f>INDEX(Projetos!$M$3:$M$129,MATCH(Tb_Mapa[[#This Row],[SEI]],Projetos!$A$3:$A$129,0))</f>
        <v>46387</v>
      </c>
      <c r="J102" s="164" t="str">
        <f ca="1">IF(Tb_Mapa[[#This Row],[SITUAÇÃO]]="Finalizado", "Data atualizada", IFERROR(IF(Tb_Mapa[[#This Row],[DATA DE TÉRMINO]]&lt;$I$1,"Atualizar data de encerramento","Data atualizada"),"Sem informação"))</f>
        <v>Data atualizada</v>
      </c>
      <c r="K102" s="311">
        <f>INDEX(Projetos!$N$3:$N$129,MATCH(Tb_Mapa[[#This Row],[SEI]],Projetos!$A$3:$A$129,0))</f>
        <v>0.75</v>
      </c>
      <c r="L102" s="311">
        <f>INDEX(Projetos!$O$3:$O$129,MATCH(Tb_Mapa[[#This Row],[SEI]],Projetos!$A$3:$A$129,0))</f>
        <v>0.67</v>
      </c>
      <c r="M102" s="165" t="str">
        <f ca="1">_xlfn.XLOOKUP(Tb_Mapa[[#This Row],[SEI]],Tb_Portfólio[SEI],Tb_Portfólio[Situação],"N/A",0)</f>
        <v>Em atenção</v>
      </c>
      <c r="N102" s="128" t="str" cm="1">
        <f t="array" ref="N102">IFERROR(LOOKUP(2,1/(Atualizações!$H$1:$H$486=Mapa!$B99&amp;Mapa!BG$3),Atualizações!$E$1:$E$486),"NÃO")</f>
        <v>NÃO</v>
      </c>
      <c r="O102" s="205"/>
      <c r="P102" s="205"/>
      <c r="Q102" s="205"/>
      <c r="R102" s="205"/>
      <c r="S102" s="205"/>
      <c r="T102" s="205"/>
      <c r="U102" s="205"/>
      <c r="V102" s="205"/>
      <c r="W102" s="205"/>
      <c r="X102" s="205"/>
      <c r="Y102" s="205"/>
      <c r="Z102" s="205" cm="1">
        <f t="array" ref="Z102">IFERROR(LOOKUP(2,1/(Atualizações!$H$1:$H$1029=Mapa!$B99&amp;Mapa!BS$3),Atualizações!$E$1:$E$1029),"NÃO")</f>
        <v>0.75</v>
      </c>
      <c r="AA102" s="205" cm="1">
        <f t="array" ref="AA102">IFERROR(LOOKUP(2,1/(Atualizações!$H$1:$H$1029=Mapa!$B99&amp;Mapa!BT$3),Atualizações!$E$1:$E$1029),"NÃO")</f>
        <v>0.75</v>
      </c>
      <c r="AB102" s="205" cm="1">
        <f t="array" ref="AB102">IFERROR(LOOKUP(2,1/(Atualizações!$H$1:$H$1029=Mapa!$B99&amp;Mapa!BU$3),Atualizações!$E$1:$E$1029),"NÃO")</f>
        <v>0.75</v>
      </c>
      <c r="AC102" s="161" cm="1">
        <f t="array" ref="AC102">IFERROR(LOOKUP(2,1/(Atualizações!$H$1:$H$1029=Mapa!$B99&amp;Mapa!BV$3),Atualizações!$E$1:$E$1029),"NÃO")</f>
        <v>0.75</v>
      </c>
      <c r="AD102" s="161" cm="1">
        <f t="array" ref="AD102">IFERROR(LOOKUP(2,1/(Atualizações!$H$1:$H$1029=Mapa!$B99&amp;Mapa!BW$3),Atualizações!$E$1:$E$1029),"NÃO")</f>
        <v>0.75</v>
      </c>
      <c r="AE102" s="161" cm="1">
        <f t="array" ref="AE102">IFERROR(LOOKUP(2,1/(Atualizações!$H$1:$H$1029=Mapa!$B99&amp;Mapa!BX$3),Atualizações!$E$1:$E$1029),"NÃO")</f>
        <v>0.75</v>
      </c>
      <c r="AF102" s="161" cm="1">
        <f t="array" ref="AF102">IFERROR(LOOKUP(2,1/(Atualizações!$H$1:$H$1029=Mapa!$B99&amp;Mapa!BY$3),Atualizações!$E$1:$E$1029),"NÃO")</f>
        <v>0.75</v>
      </c>
      <c r="AG102" s="161" cm="1">
        <f t="array" ref="AG102">IFERROR(LOOKUP(2,1/(Atualizações!$H$1:$H$1029=Mapa!$B99&amp;Mapa!BZ$3),Atualizações!$E$1:$E$1029),"NÃO")</f>
        <v>0.75</v>
      </c>
      <c r="AH102" s="161" cm="1">
        <f t="array" ref="AH102">IFERROR(LOOKUP(2,1/(Atualizações!$H$1:$H$1029=Mapa!$B99&amp;Mapa!CA$3),Atualizações!$E$1:$E$1029),"NÃO")</f>
        <v>0.81</v>
      </c>
      <c r="AI102" s="161" cm="1">
        <f t="array" ref="AI102">IFERROR(LOOKUP(2,1/(Atualizações!$H$1:$H$1029=Mapa!$B99&amp;Mapa!CB$3),Atualizações!$E$1:$E$1029),"NÃO")</f>
        <v>0.81</v>
      </c>
      <c r="AJ102" s="161" cm="1">
        <f t="array" ref="AJ102">IFERROR(LOOKUP(2,1/(Atualizações!$H$1:$H$1029=Mapa!$B99&amp;Mapa!CC$3),Atualizações!$E$1:$E$1029),"NÃO")</f>
        <v>0.81</v>
      </c>
      <c r="AK102" s="161" cm="1">
        <f t="array" ref="AK102">IFERROR(LOOKUP(2,1/(Atualizações!$H$1:$H$1029=Mapa!$B99&amp;Mapa!CD$3),Atualizações!$E$1:$E$1029),"NÃO")</f>
        <v>0.66</v>
      </c>
      <c r="AL102" s="161" cm="1">
        <f t="array" ref="AL102">IFERROR(LOOKUP(2,1/(Atualizações!$H$1:$H$1265=Mapa!$B99&amp;Mapa!CE$3),Atualizações!$E$1:$E$2994),"NÃO")</f>
        <v>0.66</v>
      </c>
      <c r="AM102" s="161" t="str" cm="1">
        <f t="array" ref="AM102">IFERROR(LOOKUP(2,1/(Atualizações!$H$1:$H$2994=Tb_Mapa[[#This Row],[SEI]]&amp;Mapa!CF$3),Atualizações!$E$1:$E$2994),"NÃO")</f>
        <v>NÃO</v>
      </c>
      <c r="AN102" s="161" cm="1">
        <f t="array" ref="AN102">IFERROR(LOOKUP(2,1/(Atualizações!$H$1:$H$2994=Tb_Mapa[[#This Row],[SEI]]&amp;Mapa!CG$3),Atualizações!$E$1:$E$2994),"NÃO")</f>
        <v>0.55000000000000004</v>
      </c>
      <c r="AO102" s="161" cm="1">
        <f t="array" ref="AO102">IFERROR(LOOKUP(2,1/(Atualizações!$H$1:$H$2994=Tb_Mapa[[#This Row],[SEI]]&amp;Mapa!CH$3),Atualizações!$E$1:$E$2994),"NÃO")</f>
        <v>0.67</v>
      </c>
      <c r="AP102" s="161" cm="1">
        <f t="array" ref="AP102">IFERROR(LOOKUP(2,1/(Atualizações!$H$1:$H$2994=Tb_Mapa[[#This Row],[SEI]]&amp;Mapa!CI$3),Atualizações!$E$1:$E$2994),"NÃO")</f>
        <v>0.67</v>
      </c>
      <c r="AQ102" s="161" cm="1">
        <f t="array" ref="AQ102">IFERROR(LOOKUP(2,1/(Atualizações!$H$1:$H$2994=Tb_Mapa[[#This Row],[SEI]]&amp;Mapa!CJ$3),Atualizações!$E$1:$E$2994),"NÃO")</f>
        <v>0.67</v>
      </c>
      <c r="AR102" s="161" t="str" cm="1">
        <f t="array" ref="AR102">IFERROR(LOOKUP(2,1/(Atualizações!$H$1:$H$2994=Tb_Mapa[[#This Row],[SEI]]&amp;Mapa!CK$3),Atualizações!$E$1:$E$2994),"NÃO")</f>
        <v>NÃO</v>
      </c>
      <c r="AS102" s="161" t="str" cm="1">
        <f t="array" ref="AS102">IFERROR(LOOKUP(2,1/(Atualizações!$H$1:$H$2994=Tb_Mapa[[#This Row],[SEI]]&amp;Mapa!CL$3),Atualizações!$E$1:$E$2994),"NÃO")</f>
        <v>NÃO</v>
      </c>
      <c r="AT102" s="161" t="str" cm="1">
        <f t="array" ref="AT102">IFERROR(LOOKUP(2,1/(Atualizações!$H$1:$H$2994=Tb_Mapa[[#This Row],[SEI]]&amp;Mapa!CM$3),Atualizações!$E$1:$E$2994),"NÃO")</f>
        <v>NÃO</v>
      </c>
      <c r="AU102" s="161" t="str" cm="1">
        <f t="array" ref="AU102">IFERROR(LOOKUP(2,1/(Atualizações!$H$1:$H$2994=Tb_Mapa[[#This Row],[SEI]]&amp;Mapa!CN$3),Atualizações!$E$1:$E$2994),"NÃO")</f>
        <v>NÃO</v>
      </c>
      <c r="AV102" s="161" t="str" cm="1">
        <f t="array" ref="AV102">IFERROR(LOOKUP(2,1/(Atualizações!$H$1:$H$2994=Tb_Mapa[[#This Row],[SEI]]&amp;Mapa!CO$3),Atualizações!$E$1:$E$2994),"NÃO")</f>
        <v>NÃO</v>
      </c>
      <c r="AW102" s="161" t="str" cm="1">
        <f t="array" ref="AW102">IFERROR(LOOKUP(2,1/(Atualizações!$H$1:$H$2994=Tb_Mapa[[#This Row],[SEI]]&amp;Mapa!CP$3),Atualizações!$E$1:$E$2994),"NÃO")</f>
        <v>NÃO</v>
      </c>
      <c r="AX102" s="161" t="str" cm="1">
        <f t="array" ref="AX102">IFERROR(LOOKUP(2,1/(Atualizações!$H$1:$H$2994=Tb_Mapa[[#This Row],[SEI]]&amp;Mapa!CQ$3),Atualizações!$E$1:$E$2994),"NÃO")</f>
        <v>NÃO</v>
      </c>
    </row>
    <row r="103" spans="2:50" ht="90">
      <c r="B103" s="700" t="s">
        <v>219</v>
      </c>
      <c r="C103" s="51" t="str">
        <f>_xlfn.XLOOKUP(Tb_Mapa[[#This Row],[SEI]],Tb_Portfólio[SEI],Tb_Portfólio[Portfólio 2025],"",0)</f>
        <v>Sim</v>
      </c>
      <c r="D103" s="158" t="str">
        <f>_xlfn.XLOOKUP(Tb_Mapa[[#This Row],[SEI]],Tb_Portfólio[SEI],Tb_Portfólio[Portfólio 2026],"",0)</f>
        <v>Sim</v>
      </c>
      <c r="E103" s="341" t="str">
        <f>_xlfn.XLOOKUP(Tb_Mapa[[#This Row],[SEI]],Tb_Portfólio[SEI],Tb_Portfólio[PROJETO],"",0)</f>
        <v xml:space="preserve">Aperfeiçoamento funcional em temáticas prioritárias para o CNJ e para Justiça Federal 
(cursos, capacitações, metodologias e ferramentas avançados) – Ciclo Avançado </v>
      </c>
      <c r="F103" s="143" t="str">
        <f>INDEX(Projetos!$G$3:$G$129,MATCH(Tb_Mapa[[#This Row],[SEI]],Projetos!$A$3:$A$129,0))</f>
        <v>Gladis Maddalozzo</v>
      </c>
      <c r="G103" s="683" t="s">
        <v>1723</v>
      </c>
      <c r="H103" s="166" t="str">
        <f>INDEX(Projetos!$T$3:$T$129,MATCH(B103,Projetos!$A$3:$A$129,0))</f>
        <v>Justiça 4.0</v>
      </c>
      <c r="I103" s="310">
        <f>INDEX(Projetos!$M$3:$M$129,MATCH(Tb_Mapa[[#This Row],[SEI]],Projetos!$A$3:$A$129,0))</f>
        <v>46246</v>
      </c>
      <c r="J103" s="164" t="str">
        <f ca="1">IF(Tb_Mapa[[#This Row],[SITUAÇÃO]]="Finalizado", "Data atualizada", IFERROR(IF(Tb_Mapa[[#This Row],[DATA DE TÉRMINO]]&lt;$I$1,"Atualizar data de encerramento","Data atualizada"),"Sem informação"))</f>
        <v>Data atualizada</v>
      </c>
      <c r="K103" s="311">
        <f>INDEX(Projetos!$N$3:$N$129,MATCH(Tb_Mapa[[#This Row],[SEI]],Projetos!$A$3:$A$129,0))</f>
        <v>0.84</v>
      </c>
      <c r="L103" s="311">
        <f>INDEX(Projetos!$O$3:$O$129,MATCH(Tb_Mapa[[#This Row],[SEI]],Projetos!$A$3:$A$129,0))</f>
        <v>0.88</v>
      </c>
      <c r="M103" s="165" t="str">
        <f ca="1">_xlfn.XLOOKUP(Tb_Mapa[[#This Row],[SEI]],Tb_Portfólio[SEI],Tb_Portfólio[Situação],"N/A",0)</f>
        <v>No prazo</v>
      </c>
      <c r="N103" s="128" t="str" cm="1">
        <f t="array" ref="N103">IFERROR(LOOKUP(2,1/(Atualizações!$H$1:$H$486=Mapa!$B101&amp;Mapa!BG$3),Atualizações!$E$1:$E$486),"NÃO")</f>
        <v>NÃO</v>
      </c>
      <c r="O103" s="205"/>
      <c r="P103" s="205"/>
      <c r="Q103" s="205"/>
      <c r="R103" s="205"/>
      <c r="S103" s="205"/>
      <c r="T103" s="205"/>
      <c r="U103" s="205"/>
      <c r="V103" s="205"/>
      <c r="W103" s="205"/>
      <c r="X103" s="205"/>
      <c r="Y103" s="205"/>
      <c r="Z103" s="205"/>
      <c r="AA103" s="340"/>
      <c r="AB103" s="340"/>
      <c r="AC103" s="161" t="str" cm="1">
        <f t="array" ref="AC103">IFERROR(LOOKUP(2,1/(Atualizações!$H$1:$H$1029=Mapa!$B101&amp;Mapa!BV$3),Atualizações!$E$1:$E$1029),"NÃO")</f>
        <v>NÃO</v>
      </c>
      <c r="AD103" s="161" t="str" cm="1">
        <f t="array" ref="AD103">IFERROR(LOOKUP(2,1/(Atualizações!$H$1:$H$1029=Mapa!$B101&amp;Mapa!BW$3),Atualizações!$E$1:$E$1029),"NÃO")</f>
        <v>NÃO</v>
      </c>
      <c r="AE103" s="161" t="str" cm="1">
        <f t="array" ref="AE103">IFERROR(LOOKUP(2,1/(Atualizações!$H$1:$H$1029=Mapa!$B101&amp;Mapa!BX$3),Atualizações!$E$1:$E$1029),"NÃO")</f>
        <v>NÃO</v>
      </c>
      <c r="AF103" s="161" t="str" cm="1">
        <f t="array" ref="AF103">IFERROR(LOOKUP(2,1/(Atualizações!$H$1:$H$1029=Mapa!$B101&amp;Mapa!BY$3),Atualizações!$E$1:$E$1029),"NÃO")</f>
        <v>NÃO</v>
      </c>
      <c r="AG103" s="161" t="str" cm="1">
        <f t="array" ref="AG103">IFERROR(LOOKUP(2,1/(Atualizações!$H$1:$H$1029=Mapa!$B101&amp;Mapa!BZ$3),Atualizações!$E$1:$E$1029),"NÃO")</f>
        <v>NÃO</v>
      </c>
      <c r="AH103" s="161" t="str" cm="1">
        <f t="array" ref="AH103">IFERROR(LOOKUP(2,1/(Atualizações!$H$1:$H$1029=Mapa!$B101&amp;Mapa!CA$3),Atualizações!$E$1:$E$1029),"NÃO")</f>
        <v>NÃO</v>
      </c>
      <c r="AI103" s="161" t="str" cm="1">
        <f t="array" ref="AI103">IFERROR(LOOKUP(2,1/(Atualizações!$H$1:$H$1029=Mapa!$B101&amp;Mapa!CB$3),Atualizações!$E$1:$E$1029),"NÃO")</f>
        <v>NÃO</v>
      </c>
      <c r="AJ103" s="161" t="str" cm="1">
        <f t="array" ref="AJ103">IFERROR(LOOKUP(2,1/(Atualizações!$H$1:$H$1029=Mapa!$B101&amp;Mapa!CC$3),Atualizações!$E$1:$E$1029),"NÃO")</f>
        <v>NÃO</v>
      </c>
      <c r="AK103" s="161" t="str" cm="1">
        <f t="array" ref="AK103">IFERROR(LOOKUP(2,1/(Atualizações!$H$1:$H$1029=Mapa!$B101&amp;Mapa!CD$3),Atualizações!$E$1:$E$1029),"NÃO")</f>
        <v>NÃO</v>
      </c>
      <c r="AL103" s="161" t="str" cm="1">
        <f t="array" ref="AL103">IFERROR(LOOKUP(2,1/(Atualizações!$H$1:$H$1265=Mapa!$B101&amp;Mapa!CE$3),Atualizações!$E$1:$E$2994),"NÃO")</f>
        <v>NÃO</v>
      </c>
      <c r="AM103" s="161" cm="1">
        <f t="array" ref="AM103">IFERROR(LOOKUP(2,1/(Atualizações!$H$1:$H$2994=Tb_Mapa[[#This Row],[SEI]]&amp;Mapa!CF$3),Atualizações!$E$1:$E$2994),"NÃO")</f>
        <v>0.63</v>
      </c>
      <c r="AN103" s="161" cm="1">
        <f t="array" ref="AN103">IFERROR(LOOKUP(2,1/(Atualizações!$H$1:$H$2994=Tb_Mapa[[#This Row],[SEI]]&amp;Mapa!CG$3),Atualizações!$E$1:$E$2994),"NÃO")</f>
        <v>0.63</v>
      </c>
      <c r="AO103" s="161" cm="1">
        <f t="array" ref="AO103">IFERROR(LOOKUP(2,1/(Atualizações!$H$1:$H$2994=Tb_Mapa[[#This Row],[SEI]]&amp;Mapa!CH$3),Atualizações!$E$1:$E$2994),"NÃO")</f>
        <v>0.67</v>
      </c>
      <c r="AP103" s="161" cm="1">
        <f t="array" ref="AP103">IFERROR(LOOKUP(2,1/(Atualizações!$H$1:$H$2994=Tb_Mapa[[#This Row],[SEI]]&amp;Mapa!CI$3),Atualizações!$E$1:$E$2994),"NÃO")</f>
        <v>0.77</v>
      </c>
      <c r="AQ103" s="161" cm="1">
        <f t="array" ref="AQ103">IFERROR(LOOKUP(2,1/(Atualizações!$H$1:$H$2994=Tb_Mapa[[#This Row],[SEI]]&amp;Mapa!CJ$3),Atualizações!$E$1:$E$2994),"NÃO")</f>
        <v>0.88</v>
      </c>
      <c r="AR103" s="161" t="str" cm="1">
        <f t="array" ref="AR103">IFERROR(LOOKUP(2,1/(Atualizações!$H$1:$H$2994=Tb_Mapa[[#This Row],[SEI]]&amp;Mapa!CK$3),Atualizações!$E$1:$E$2994),"NÃO")</f>
        <v>NÃO</v>
      </c>
      <c r="AS103" s="161" t="str" cm="1">
        <f t="array" ref="AS103">IFERROR(LOOKUP(2,1/(Atualizações!$H$1:$H$2994=Tb_Mapa[[#This Row],[SEI]]&amp;Mapa!CL$3),Atualizações!$E$1:$E$2994),"NÃO")</f>
        <v>NÃO</v>
      </c>
      <c r="AT103" s="161" t="str" cm="1">
        <f t="array" ref="AT103">IFERROR(LOOKUP(2,1/(Atualizações!$H$1:$H$2994=Tb_Mapa[[#This Row],[SEI]]&amp;Mapa!CM$3),Atualizações!$E$1:$E$2994),"NÃO")</f>
        <v>NÃO</v>
      </c>
      <c r="AU103" s="161" t="str" cm="1">
        <f t="array" ref="AU103">IFERROR(LOOKUP(2,1/(Atualizações!$H$1:$H$2994=Tb_Mapa[[#This Row],[SEI]]&amp;Mapa!CN$3),Atualizações!$E$1:$E$2994),"NÃO")</f>
        <v>NÃO</v>
      </c>
      <c r="AV103" s="161" t="str" cm="1">
        <f t="array" ref="AV103">IFERROR(LOOKUP(2,1/(Atualizações!$H$1:$H$2994=Tb_Mapa[[#This Row],[SEI]]&amp;Mapa!CO$3),Atualizações!$E$1:$E$2994),"NÃO")</f>
        <v>NÃO</v>
      </c>
      <c r="AW103" s="161" t="str" cm="1">
        <f t="array" ref="AW103">IFERROR(LOOKUP(2,1/(Atualizações!$H$1:$H$2994=Tb_Mapa[[#This Row],[SEI]]&amp;Mapa!CP$3),Atualizações!$E$1:$E$2994),"NÃO")</f>
        <v>NÃO</v>
      </c>
      <c r="AX103" s="161" t="str" cm="1">
        <f t="array" ref="AX103">IFERROR(LOOKUP(2,1/(Atualizações!$H$1:$H$2994=Tb_Mapa[[#This Row],[SEI]]&amp;Mapa!CQ$3),Atualizações!$E$1:$E$2994),"NÃO")</f>
        <v>NÃO</v>
      </c>
    </row>
    <row r="104" spans="2:50" ht="29.25" hidden="1" customHeight="1">
      <c r="B104" s="678" t="s">
        <v>141</v>
      </c>
      <c r="C104" s="678" t="str">
        <f>_xlfn.XLOOKUP(Tb_Mapa[[#This Row],[SEI]],Tb_Portfólio[SEI],Tb_Portfólio[Portfólio 2025],"",0)</f>
        <v>Sim</v>
      </c>
      <c r="D104" s="158" t="str">
        <f>_xlfn.XLOOKUP(Tb_Mapa[[#This Row],[SEI]],Tb_Portfólio[SEI],Tb_Portfólio[Portfólio 2026],"",0)</f>
        <v>Não</v>
      </c>
      <c r="E104" s="162" t="str">
        <f>_xlfn.XLOOKUP(Tb_Mapa[[#This Row],[SEI]],Tb_Portfólio[SEI],Tb_Portfólio[PROJETO],"",0)</f>
        <v>6ª edição da Série Justiça e pesquisa</v>
      </c>
      <c r="F104" s="170" t="str">
        <f>INDEX(Projetos!$G$3:$G$129,MATCH(B104,Projetos!$A$3:$A$129,0))</f>
        <v>Gabriela Moreira de Azevedo Soares</v>
      </c>
      <c r="G104" s="685" t="s">
        <v>1718</v>
      </c>
      <c r="H104" s="143">
        <f>INDEX(Projetos!$T$3:$T$129,MATCH(B104,Projetos!$A$3:$A$129,0))</f>
        <v>0</v>
      </c>
      <c r="I104" s="310" t="str">
        <f>INDEX(Projetos!$M$3:$M$129,MATCH(Mapa!B5,Projetos!$A$3:$A$129,0))</f>
        <v>27/8/2026</v>
      </c>
      <c r="J104" s="164" t="str">
        <f>IF(Tb_Mapa[[#This Row],[SITUAÇÃO]]="Finalizado", "Data atualizada", IFERROR(IF(I104&lt;$CN$3,"Atualizar data de encerramento","Data atualizada"),"Sem informação"))</f>
        <v>Data atualizada</v>
      </c>
      <c r="K104" s="311">
        <f>INDEX(Projetos!$N$3:$N$129,MATCH(Mapa!B5,Projetos!$A$3:$A$129,0))</f>
        <v>0.99</v>
      </c>
      <c r="L104" s="311">
        <f>INDEX(Projetos!$O$3:$O$129,MATCH(Mapa!B5,Projetos!$A$3:$A$129,0))</f>
        <v>0.99</v>
      </c>
      <c r="M104" s="165" t="str">
        <f>_xlfn.XLOOKUP(Tb_Mapa[[#This Row],[SEI]],Tb_Portfólio[SEI],Tb_Portfólio[Situação],"N/A",0)</f>
        <v>Finalizado</v>
      </c>
      <c r="N104" s="128" t="str" cm="1">
        <f t="array" ref="N104">IFERROR(LOOKUP(2,1/(Atualizações!$H$1:$H$486=Mapa!$B5&amp;Mapa!BG$3),Atualizações!$E$1:$E$486),"NÃO")</f>
        <v>NÃO</v>
      </c>
      <c r="O104" s="205" t="str" cm="1">
        <f t="array" ref="O104">IFERROR(LOOKUP(2,1/(Atualizações!$H$1:$H$580=Mapa!$B5&amp;Mapa!BH$3),Atualizações!$E$1:$E$580),"NÃO")</f>
        <v>NÃO</v>
      </c>
      <c r="P104" s="205" t="str" cm="1">
        <f t="array" ref="P104">IFERROR(LOOKUP(2,1/(Atualizações!$H$1:$H$580=Mapa!$B5&amp;Mapa!BI$3),Atualizações!$E$1:$E$580),"NÃO")</f>
        <v>NÃO</v>
      </c>
      <c r="Q104" s="205" t="str" cm="1">
        <f t="array" ref="Q104">IFERROR(LOOKUP(2,1/(Atualizações!$H$1:$H$580=Mapa!$B5&amp;Mapa!BJ$3),Atualizações!$E$1:$E$580),"NÃO")</f>
        <v>NÃO</v>
      </c>
      <c r="R104" s="205" t="str" cm="1">
        <f t="array" ref="R104">IFERROR(LOOKUP(2,1/(Atualizações!$H$1:$H$580=Mapa!$B5&amp;Mapa!BK$3),Atualizações!$E$1:$E$580),"NÃO")</f>
        <v>NÃO</v>
      </c>
      <c r="S104" s="205" t="str" cm="1">
        <f t="array" ref="S104">IFERROR(LOOKUP(2,1/(Atualizações!$H$1:$H$580=Mapa!$B5&amp;Mapa!BL$3),Atualizações!$E$1:$E$580),"NÃO")</f>
        <v>NÃO</v>
      </c>
      <c r="T104" s="205" t="str" cm="1">
        <f t="array" ref="T104">IFERROR(LOOKUP(2,1/(Atualizações!$H$1:$H$580=Mapa!$B5&amp;Mapa!BM$3),Atualizações!$E$1:$E$580),"NÃO")</f>
        <v>NÃO</v>
      </c>
      <c r="U104" s="205" t="str" cm="1">
        <f t="array" ref="U104">IFERROR(LOOKUP(2,1/(Atualizações!$H$1:$H$580=Mapa!$B5&amp;Mapa!BN$3),Atualizações!$E$1:$E$580),"NÃO")</f>
        <v>NÃO</v>
      </c>
      <c r="V104" s="205" t="str" cm="1">
        <f t="array" ref="V104">IFERROR(LOOKUP(2,1/(Atualizações!$H$1:$H$580=Mapa!$B5&amp;Mapa!BO$3),Atualizações!$E$1:$E$580),"NÃO")</f>
        <v>NÃO</v>
      </c>
      <c r="W104" s="205" t="str" cm="1">
        <f t="array" ref="W104">IFERROR(LOOKUP(2,1/(Atualizações!$H$1:$H$580=Mapa!$B5&amp;Mapa!BP$3),Atualizações!$E$1:$E$580),"NÃO")</f>
        <v>NÃO</v>
      </c>
      <c r="X104" s="205" t="str" cm="1">
        <f t="array" ref="X104">IFERROR(LOOKUP(2,1/(Atualizações!$H$1:$H$580=Mapa!$B5&amp;Mapa!BQ$3),Atualizações!$E$1:$E$580),"NÃO")</f>
        <v>NÃO</v>
      </c>
      <c r="Y104" s="205" t="str" cm="1">
        <f t="array" ref="Y104">IFERROR(LOOKUP(2,1/(Atualizações!$H$1:$H$580=Mapa!$B5&amp;Mapa!BR$3),Atualizações!$E$1:$E$580),"NÃO")</f>
        <v>NÃO</v>
      </c>
      <c r="Z104" s="205" t="str" cm="1">
        <f t="array" ref="Z104">IFERROR(LOOKUP(2,1/(Atualizações!$H$1:$H$1029=Mapa!$B5&amp;Mapa!BS$3),Atualizações!$E$1:$E$1029),"NÃO")</f>
        <v>NÃO</v>
      </c>
      <c r="AA104" s="205" t="str" cm="1">
        <f t="array" ref="AA104">IFERROR(LOOKUP(2,1/(Atualizações!$H$1:$H$1029=Mapa!$B5&amp;Mapa!BT$3),Atualizações!$E$1:$E$1029),"NÃO")</f>
        <v>NÃO</v>
      </c>
      <c r="AB104" s="205" t="str" cm="1">
        <f t="array" ref="AB104">IFERROR(LOOKUP(2,1/(Atualizações!$H$1:$H$1029=Mapa!$B5&amp;Mapa!BU$3),Atualizações!$E$1:$E$1029),"NÃO")</f>
        <v>NÃO</v>
      </c>
      <c r="AC104" s="161" t="str" cm="1">
        <f t="array" ref="AC104">IFERROR(LOOKUP(2,1/(Atualizações!$H$1:$H$1029=Mapa!$B5&amp;Mapa!BV$3),Atualizações!$E$1:$E$1029),"NÃO")</f>
        <v>NÃO</v>
      </c>
      <c r="AD104" s="161" t="str" cm="1">
        <f t="array" ref="AD104">IFERROR(LOOKUP(2,1/(Atualizações!$H$1:$H$1029=Mapa!$B5&amp;Mapa!BW$3),Atualizações!$E$1:$E$1029),"NÃO")</f>
        <v>NÃO</v>
      </c>
      <c r="AE104" s="161" cm="1">
        <f t="array" ref="AE104">IFERROR(LOOKUP(2,1/(Atualizações!$H$1:$H$1029=Mapa!$B5&amp;Mapa!BX$3),Atualizações!$E$1:$E$1029),"NÃO")</f>
        <v>0.05</v>
      </c>
      <c r="AF104" s="161" t="str" cm="1">
        <f t="array" ref="AF104">IFERROR(LOOKUP(2,1/(Atualizações!$H$1:$H$1029=Mapa!$B5&amp;Mapa!BY$3),Atualizações!$E$1:$E$1029),"NÃO")</f>
        <v>NÃO</v>
      </c>
      <c r="AG104" s="161" t="str" cm="1">
        <f t="array" ref="AG104">IFERROR(LOOKUP(2,1/(Atualizações!$H$1:$H$1029=Mapa!$B5&amp;Mapa!BZ$3),Atualizações!$E$1:$E$1029),"NÃO")</f>
        <v>NÃO</v>
      </c>
      <c r="AH104" s="161" t="str" cm="1">
        <f t="array" ref="AH104">IFERROR(LOOKUP(2,1/(Atualizações!$H$1:$H$1029=Mapa!$B5&amp;Mapa!CA$3),Atualizações!$E$1:$E$1029),"NÃO")</f>
        <v>NÃO</v>
      </c>
      <c r="AI104" s="161" t="str" cm="1">
        <f t="array" ref="AI104">IFERROR(LOOKUP(2,1/(Atualizações!$H$1:$H$1029=Mapa!$B5&amp;Mapa!CB$3),Atualizações!$E$1:$E$1029),"NÃO")</f>
        <v>NÃO</v>
      </c>
      <c r="AJ104" s="161" t="str" cm="1">
        <f t="array" ref="AJ104">IFERROR(LOOKUP(2,1/(Atualizações!$H$1:$H$1029=Mapa!$B5&amp;Mapa!CC$3),Atualizações!$E$1:$E$1029),"NÃO")</f>
        <v>NÃO</v>
      </c>
      <c r="AK104" s="161" t="str" cm="1">
        <f t="array" ref="AK104">IFERROR(LOOKUP(2,1/(Atualizações!$H$1:$H$1029=Mapa!$B5&amp;Mapa!CD$3),Atualizações!$E$1:$E$1029),"NÃO")</f>
        <v>NÃO</v>
      </c>
      <c r="AL104" s="161" t="str" cm="1">
        <f t="array" ref="AL104">IFERROR(LOOKUP(2,1/(Atualizações!$H$1:$H$1265=Mapa!$B5&amp;Mapa!CE$3),Atualizações!$E$1:$E$2994),"NÃO")</f>
        <v>NÃO</v>
      </c>
      <c r="AM104" s="161" t="str" cm="1">
        <f t="array" ref="AM104">IFERROR(LOOKUP(2,1/(Atualizações!$H$1:$H$2994=Tb_Mapa[[#This Row],[SEI]]&amp;Mapa!CF$3),Atualizações!$E$1:$E$2994),"NÃO")</f>
        <v>NÃO</v>
      </c>
      <c r="AN104" s="161" t="str" cm="1">
        <f t="array" ref="AN104">IFERROR(LOOKUP(2,1/(Atualizações!$H$1:$H$2994=Tb_Mapa[[#This Row],[SEI]]&amp;Mapa!CG$3),Atualizações!$E$1:$E$2994),"NÃO")</f>
        <v>NÃO</v>
      </c>
      <c r="AO104" s="161" t="str" cm="1">
        <f t="array" ref="AO104">IFERROR(LOOKUP(2,1/(Atualizações!$H$1:$H$2994=Tb_Mapa[[#This Row],[SEI]]&amp;Mapa!CH$3),Atualizações!$E$1:$E$2994),"NÃO")</f>
        <v>NÃO</v>
      </c>
      <c r="AP104" s="161" t="str" cm="1">
        <f t="array" ref="AP104">IFERROR(LOOKUP(2,1/(Atualizações!$H$1:$H$2994=Tb_Mapa[[#This Row],[SEI]]&amp;Mapa!CI$3),Atualizações!$E$1:$E$2994),"NÃO")</f>
        <v>NÃO</v>
      </c>
      <c r="AQ104" s="161" t="str" cm="1">
        <f t="array" ref="AQ104">IFERROR(LOOKUP(2,1/(Atualizações!$H$1:$H$2994=Tb_Mapa[[#This Row],[SEI]]&amp;Mapa!CJ$3),Atualizações!$E$1:$E$2994),"NÃO")</f>
        <v>NÃO</v>
      </c>
      <c r="AR104" s="161" t="str" cm="1">
        <f t="array" ref="AR104">IFERROR(LOOKUP(2,1/(Atualizações!$H$1:$H$2994=Tb_Mapa[[#This Row],[SEI]]&amp;Mapa!CK$3),Atualizações!$E$1:$E$2994),"NÃO")</f>
        <v>NÃO</v>
      </c>
      <c r="AS104" s="161" t="str" cm="1">
        <f t="array" ref="AS104">IFERROR(LOOKUP(2,1/(Atualizações!$H$1:$H$2994=Tb_Mapa[[#This Row],[SEI]]&amp;Mapa!CL$3),Atualizações!$E$1:$E$2994),"NÃO")</f>
        <v>NÃO</v>
      </c>
      <c r="AT104" s="161" t="str" cm="1">
        <f t="array" ref="AT104">IFERROR(LOOKUP(2,1/(Atualizações!$H$1:$H$2994=Tb_Mapa[[#This Row],[SEI]]&amp;Mapa!CM$3),Atualizações!$E$1:$E$2994),"NÃO")</f>
        <v>NÃO</v>
      </c>
      <c r="AU104" s="161" t="str" cm="1">
        <f t="array" ref="AU104">IFERROR(LOOKUP(2,1/(Atualizações!$H$1:$H$2994=Tb_Mapa[[#This Row],[SEI]]&amp;Mapa!CN$3),Atualizações!$E$1:$E$2994),"NÃO")</f>
        <v>NÃO</v>
      </c>
      <c r="AV104" s="161" t="str" cm="1">
        <f t="array" ref="AV104">IFERROR(LOOKUP(2,1/(Atualizações!$H$1:$H$2994=Tb_Mapa[[#This Row],[SEI]]&amp;Mapa!CO$3),Atualizações!$E$1:$E$2994),"NÃO")</f>
        <v>NÃO</v>
      </c>
      <c r="AW104" s="161" t="str" cm="1">
        <f t="array" ref="AW104">IFERROR(LOOKUP(2,1/(Atualizações!$H$1:$H$2994=Tb_Mapa[[#This Row],[SEI]]&amp;Mapa!CP$3),Atualizações!$E$1:$E$2994),"NÃO")</f>
        <v>NÃO</v>
      </c>
      <c r="AX104" s="161" t="str" cm="1">
        <f t="array" ref="AX104">IFERROR(LOOKUP(2,1/(Atualizações!$H$1:$H$2994=Tb_Mapa[[#This Row],[SEI]]&amp;Mapa!CQ$3),Atualizações!$E$1:$E$2994),"NÃO")</f>
        <v>NÃO</v>
      </c>
    </row>
    <row r="105" spans="2:50" ht="30" hidden="1">
      <c r="B105" s="678" t="s">
        <v>97</v>
      </c>
      <c r="C105" s="678" t="str">
        <f>_xlfn.XLOOKUP(Tb_Mapa[[#This Row],[SEI]],Tb_Portfólio[SEI],Tb_Portfólio[Portfólio 2025],"",0)</f>
        <v>Não</v>
      </c>
      <c r="D105" s="158" t="str">
        <f>_xlfn.XLOOKUP(Tb_Mapa[[#This Row],[SEI]],Tb_Portfólio[SEI],Tb_Portfólio[Portfólio 2026],"",0)</f>
        <v>Não</v>
      </c>
      <c r="E105" s="162" t="str">
        <f>_xlfn.XLOOKUP(Tb_Mapa[[#This Row],[SEI]],Tb_Portfólio[SEI],Tb_Portfólio[PROJETO],"",0)</f>
        <v>Execução Fiscal - Automação e Governança</v>
      </c>
      <c r="F105" s="680" t="str">
        <f>INDEX(Projetos!$G$3:$G$129,MATCH(B105,Projetos!$A$3:$A$129,0))</f>
        <v>Fernando Landim Caetano</v>
      </c>
      <c r="G105" s="682" t="s">
        <v>1712</v>
      </c>
      <c r="H105" s="166" t="str">
        <f>INDEX(Projetos!$T$3:$T$129,MATCH(B105,Projetos!$A$3:$A$129,0))</f>
        <v>Resolve</v>
      </c>
      <c r="I105" s="704">
        <f>INDEX(Projetos!$M$3:$M$129,MATCH(Mapa!B14,Projetos!$A$3:$A$129,0))</f>
        <v>46265</v>
      </c>
      <c r="J105" s="689" t="str">
        <f>IF(Tb_Mapa[[#This Row],[SITUAÇÃO]]="Finalizado", "Data atualizada", IFERROR(IF(I105&lt;$CN$3,"Atualizar data de encerramento","Data atualizada"),"Sem informação"))</f>
        <v>Data atualizada</v>
      </c>
      <c r="K105" s="319">
        <f>INDEX(Projetos!$N$3:$N$129,MATCH(Mapa!B14,Projetos!$A$3:$A$129,0))</f>
        <v>0.27</v>
      </c>
      <c r="L105" s="319">
        <f>INDEX(Projetos!$O$3:$O$129,MATCH(Mapa!B14,Projetos!$A$3:$A$129,0))</f>
        <v>0.5</v>
      </c>
      <c r="M105" s="165" t="str">
        <f>_xlfn.XLOOKUP(Tb_Mapa[[#This Row],[SEI]],Tb_Portfólio[SEI],Tb_Portfólio[Situação],"N/A",0)</f>
        <v>Finalizado</v>
      </c>
      <c r="N105" s="128" t="str" cm="1">
        <f t="array" ref="N105">IFERROR(LOOKUP(2,1/(Atualizações!$H$1:$H$486=Mapa!$B14&amp;Mapa!BG$3),Atualizações!$E$1:$E$486),"NÃO")</f>
        <v>NÃO</v>
      </c>
      <c r="O105" s="205" t="str" cm="1">
        <f t="array" ref="O105">IFERROR(LOOKUP(2,1/(Atualizações!$H$1:$H$580=Mapa!$B14&amp;Mapa!BH$3),Atualizações!$E$1:$E$580),"NÃO")</f>
        <v>NÃO</v>
      </c>
      <c r="P105" s="205" t="str" cm="1">
        <f t="array" ref="P105">IFERROR(LOOKUP(2,1/(Atualizações!$H$1:$H$580=Mapa!$B14&amp;Mapa!BI$3),Atualizações!$E$1:$E$580),"NÃO")</f>
        <v>NÃO</v>
      </c>
      <c r="Q105" s="205" t="str" cm="1">
        <f t="array" ref="Q105">IFERROR(LOOKUP(2,1/(Atualizações!$H$1:$H$580=Mapa!$B14&amp;Mapa!BJ$3),Atualizações!$E$1:$E$580),"NÃO")</f>
        <v>NÃO</v>
      </c>
      <c r="R105" s="205" t="str" cm="1">
        <f t="array" ref="R105">IFERROR(LOOKUP(2,1/(Atualizações!$H$1:$H$580=Mapa!$B14&amp;Mapa!BK$3),Atualizações!$E$1:$E$580),"NÃO")</f>
        <v>NÃO</v>
      </c>
      <c r="S105" s="205" t="str" cm="1">
        <f t="array" ref="S105">IFERROR(LOOKUP(2,1/(Atualizações!$H$1:$H$580=Mapa!$B14&amp;Mapa!BL$3),Atualizações!$E$1:$E$580),"NÃO")</f>
        <v>NÃO</v>
      </c>
      <c r="T105" s="205" t="str" cm="1">
        <f t="array" ref="T105">IFERROR(LOOKUP(2,1/(Atualizações!$H$1:$H$580=Mapa!$B14&amp;Mapa!BM$3),Atualizações!$E$1:$E$580),"NÃO")</f>
        <v>NÃO</v>
      </c>
      <c r="U105" s="205" t="str" cm="1">
        <f t="array" ref="U105">IFERROR(LOOKUP(2,1/(Atualizações!$H$1:$H$580=Mapa!$B14&amp;Mapa!BN$3),Atualizações!$E$1:$E$580),"NÃO")</f>
        <v>NÃO</v>
      </c>
      <c r="V105" s="205" t="str" cm="1">
        <f t="array" ref="V105">IFERROR(LOOKUP(2,1/(Atualizações!$H$1:$H$580=Mapa!$B14&amp;Mapa!BO$3),Atualizações!$E$1:$E$580),"NÃO")</f>
        <v>NÃO</v>
      </c>
      <c r="W105" s="205" t="str" cm="1">
        <f t="array" ref="W105">IFERROR(LOOKUP(2,1/(Atualizações!$H$1:$H$580=Mapa!$B14&amp;Mapa!BP$3),Atualizações!$E$1:$E$580),"NÃO")</f>
        <v>NÃO</v>
      </c>
      <c r="X105" s="205" t="str" cm="1">
        <f t="array" ref="X105">IFERROR(LOOKUP(2,1/(Atualizações!$H$1:$H$580=Mapa!$B14&amp;Mapa!BQ$3),Atualizações!$E$1:$E$580),"NÃO")</f>
        <v>NÃO</v>
      </c>
      <c r="Y105" s="205" t="str" cm="1">
        <f t="array" ref="Y105">IFERROR(LOOKUP(2,1/(Atualizações!$H$1:$H$580=Mapa!$B14&amp;Mapa!BR$3),Atualizações!$E$1:$E$580),"NÃO")</f>
        <v>NÃO</v>
      </c>
      <c r="Z105" s="205" t="str" cm="1">
        <f t="array" ref="Z105">IFERROR(LOOKUP(2,1/(Atualizações!$H$1:$H$1029=Mapa!$B14&amp;Mapa!BS$3),Atualizações!$E$1:$E$1029),"NÃO")</f>
        <v>NÃO</v>
      </c>
      <c r="AA105" s="205" t="str" cm="1">
        <f t="array" ref="AA105">IFERROR(LOOKUP(2,1/(Atualizações!$H$1:$H$1029=Mapa!$B14&amp;Mapa!BT$3),Atualizações!$E$1:$E$1029),"NÃO")</f>
        <v>NÃO</v>
      </c>
      <c r="AB105" s="205" t="str" cm="1">
        <f t="array" ref="AB105">IFERROR(LOOKUP(2,1/(Atualizações!$H$1:$H$1029=Mapa!$B14&amp;Mapa!BU$3),Atualizações!$E$1:$E$1029),"NÃO")</f>
        <v>NÃO</v>
      </c>
      <c r="AC105" s="205" t="str" cm="1">
        <f t="array" ref="AC105">IFERROR(LOOKUP(2,1/(Atualizações!$H$1:$H$1029=Mapa!$B14&amp;Mapa!BV$3),Atualizações!$E$1:$E$1029),"NÃO")</f>
        <v>NÃO</v>
      </c>
      <c r="AD105" s="205" t="str" cm="1">
        <f t="array" ref="AD105">IFERROR(LOOKUP(2,1/(Atualizações!$H$1:$H$1029=Mapa!$B14&amp;Mapa!BW$3),Atualizações!$E$1:$E$1029),"NÃO")</f>
        <v>NÃO</v>
      </c>
      <c r="AE105" s="161" t="str" cm="1">
        <f t="array" ref="AE105">IFERROR(LOOKUP(2,1/(Atualizações!$H$1:$H$1029=Mapa!$B14&amp;Mapa!BX$3),Atualizações!$E$1:$E$1029),"NÃO")</f>
        <v>NÃO</v>
      </c>
      <c r="AF105" s="161" t="str" cm="1">
        <f t="array" ref="AF105">IFERROR(LOOKUP(2,1/(Atualizações!$H$1:$H$1029=Mapa!$B14&amp;Mapa!BY$3),Atualizações!$E$1:$E$1029),"NÃO")</f>
        <v>NÃO</v>
      </c>
      <c r="AG105" s="161" t="str" cm="1">
        <f t="array" ref="AG105">IFERROR(LOOKUP(2,1/(Atualizações!$H$1:$H$1029=Mapa!$B14&amp;Mapa!BZ$3),Atualizações!$E$1:$E$1029),"NÃO")</f>
        <v>NÃO</v>
      </c>
      <c r="AH105" s="161" t="str" cm="1">
        <f t="array" ref="AH105">IFERROR(LOOKUP(2,1/(Atualizações!$H$1:$H$1029=Mapa!$B14&amp;Mapa!CA$3),Atualizações!$E$1:$E$1029),"NÃO")</f>
        <v>NÃO</v>
      </c>
      <c r="AI105" s="161" t="str" cm="1">
        <f t="array" ref="AI105">IFERROR(LOOKUP(2,1/(Atualizações!$H$1:$H$1029=Mapa!$B14&amp;Mapa!CB$3),Atualizações!$E$1:$E$1029),"NÃO")</f>
        <v>NÃO</v>
      </c>
      <c r="AJ105" s="161" t="str" cm="1">
        <f t="array" ref="AJ105">IFERROR(LOOKUP(2,1/(Atualizações!$H$1:$H$1029=Mapa!$B14&amp;Mapa!CC$3),Atualizações!$E$1:$E$1029),"NÃO")</f>
        <v>NÃO</v>
      </c>
      <c r="AK105" s="161" cm="1">
        <f t="array" ref="AK105">IFERROR(LOOKUP(2,1/(Atualizações!$H$1:$H$1029=Mapa!$B14&amp;Mapa!CD$3),Atualizações!$E$1:$E$1029),"NÃO")</f>
        <v>0</v>
      </c>
      <c r="AL105" s="161" t="str" cm="1">
        <f t="array" ref="AL105">IFERROR(LOOKUP(2,1/(Atualizações!$H$1:$H$1265=Mapa!$B14&amp;Mapa!CE$3),Atualizações!$E$1:$E$2994),"NÃO")</f>
        <v>NÃO</v>
      </c>
      <c r="AM105" s="161" t="str" cm="1">
        <f t="array" ref="AM105">IFERROR(LOOKUP(2,1/(Atualizações!$H$1:$H$2994=Tb_Mapa[[#This Row],[SEI]]&amp;Mapa!CF$3),Atualizações!$E$1:$E$2994),"NÃO")</f>
        <v>NÃO</v>
      </c>
      <c r="AN105" s="161" t="str" cm="1">
        <f t="array" ref="AN105">IFERROR(LOOKUP(2,1/(Atualizações!$H$1:$H$2994=Tb_Mapa[[#This Row],[SEI]]&amp;Mapa!CG$3),Atualizações!$E$1:$E$2994),"NÃO")</f>
        <v>NÃO</v>
      </c>
      <c r="AO105" s="161" t="str" cm="1">
        <f t="array" ref="AO105">IFERROR(LOOKUP(2,1/(Atualizações!$H$1:$H$2994=Tb_Mapa[[#This Row],[SEI]]&amp;Mapa!CH$3),Atualizações!$E$1:$E$2994),"NÃO")</f>
        <v>NÃO</v>
      </c>
      <c r="AP105" s="161" t="str" cm="1">
        <f t="array" ref="AP105">IFERROR(LOOKUP(2,1/(Atualizações!$H$1:$H$2994=Tb_Mapa[[#This Row],[SEI]]&amp;Mapa!CI$3),Atualizações!$E$1:$E$2994),"NÃO")</f>
        <v>NÃO</v>
      </c>
      <c r="AQ105" s="161" t="str" cm="1">
        <f t="array" ref="AQ105">IFERROR(LOOKUP(2,1/(Atualizações!$H$1:$H$2994=Tb_Mapa[[#This Row],[SEI]]&amp;Mapa!CJ$3),Atualizações!$E$1:$E$2994),"NÃO")</f>
        <v>NÃO</v>
      </c>
      <c r="AR105" s="161" t="str" cm="1">
        <f t="array" ref="AR105">IFERROR(LOOKUP(2,1/(Atualizações!$H$1:$H$2994=Tb_Mapa[[#This Row],[SEI]]&amp;Mapa!CK$3),Atualizações!$E$1:$E$2994),"NÃO")</f>
        <v>NÃO</v>
      </c>
      <c r="AS105" s="161" t="str" cm="1">
        <f t="array" ref="AS105">IFERROR(LOOKUP(2,1/(Atualizações!$H$1:$H$2994=Tb_Mapa[[#This Row],[SEI]]&amp;Mapa!CL$3),Atualizações!$E$1:$E$2994),"NÃO")</f>
        <v>NÃO</v>
      </c>
      <c r="AT105" s="161" t="str" cm="1">
        <f t="array" ref="AT105">IFERROR(LOOKUP(2,1/(Atualizações!$H$1:$H$2994=Tb_Mapa[[#This Row],[SEI]]&amp;Mapa!CM$3),Atualizações!$E$1:$E$2994),"NÃO")</f>
        <v>NÃO</v>
      </c>
      <c r="AU105" s="161" t="str" cm="1">
        <f t="array" ref="AU105">IFERROR(LOOKUP(2,1/(Atualizações!$H$1:$H$2994=Tb_Mapa[[#This Row],[SEI]]&amp;Mapa!CN$3),Atualizações!$E$1:$E$2994),"NÃO")</f>
        <v>NÃO</v>
      </c>
      <c r="AV105" s="161" t="str" cm="1">
        <f t="array" ref="AV105">IFERROR(LOOKUP(2,1/(Atualizações!$H$1:$H$2994=Tb_Mapa[[#This Row],[SEI]]&amp;Mapa!CO$3),Atualizações!$E$1:$E$2994),"NÃO")</f>
        <v>NÃO</v>
      </c>
      <c r="AW105" s="161" t="str" cm="1">
        <f t="array" ref="AW105">IFERROR(LOOKUP(2,1/(Atualizações!$H$1:$H$2994=Tb_Mapa[[#This Row],[SEI]]&amp;Mapa!CP$3),Atualizações!$E$1:$E$2994),"NÃO")</f>
        <v>NÃO</v>
      </c>
      <c r="AX105" s="161" t="str" cm="1">
        <f t="array" ref="AX105">IFERROR(LOOKUP(2,1/(Atualizações!$H$1:$H$2994=Tb_Mapa[[#This Row],[SEI]]&amp;Mapa!CQ$3),Atualizações!$E$1:$E$2994),"NÃO")</f>
        <v>NÃO</v>
      </c>
    </row>
    <row r="106" spans="2:50" ht="45" hidden="1">
      <c r="B106" s="19" t="s">
        <v>738</v>
      </c>
      <c r="C106" s="51" t="str">
        <f>_xlfn.XLOOKUP(Tb_Mapa[[#This Row],[SEI]],Tb_Portfólio[SEI],Tb_Portfólio[Portfólio 2025],"",0)</f>
        <v>Sim</v>
      </c>
      <c r="D106" s="158" t="str">
        <f>_xlfn.XLOOKUP(Tb_Mapa[[#This Row],[SEI]],Tb_Portfólio[SEI],Tb_Portfólio[Portfólio 2026],"",0)</f>
        <v>Sim</v>
      </c>
      <c r="E106" s="510" t="str">
        <f>_xlfn.XLOOKUP(Tb_Mapa[[#This Row],[SEI]],Tb_Portfólio[SEI],Tb_Portfólio[PROJETO],"",0)</f>
        <v>FONAR - Formulário Nacional de Avaliação de Risco e Formulário Rogéria</v>
      </c>
      <c r="F106" s="143" t="str">
        <f>INDEX(Projetos!$G$3:$G$129,MATCH(Tb_Mapa[[#This Row],[SEI]],Projetos!$A$3:$A$129,0))</f>
        <v>Diogo dos Santos Moreira</v>
      </c>
      <c r="G106" s="682" t="s">
        <v>1711</v>
      </c>
      <c r="H106" s="166" t="str">
        <f>INDEX(Projetos!$T$3:$T$129,MATCH(B106,Projetos!$A$3:$A$129,0))</f>
        <v>Justiça 4.0</v>
      </c>
      <c r="I106" s="310">
        <f>INDEX(Projetos!$M$3:$M$129,MATCH(Tb_Mapa[[#This Row],[SEI]],Projetos!$A$3:$A$129,0))</f>
        <v>46195</v>
      </c>
      <c r="J106" s="164" t="str">
        <f ca="1">IF(Tb_Mapa[[#This Row],[SITUAÇÃO]]="Finalizado", "Data atualizada", IFERROR(IF(Tb_Mapa[[#This Row],[DATA DE TÉRMINO]]&lt;$I$1,"Atualizar data de encerramento","Data atualizada"),"Sem informação"))</f>
        <v>Data atualizada</v>
      </c>
      <c r="K106" s="311">
        <f>INDEX(Projetos!$N$3:$N$129,MATCH(Tb_Mapa[[#This Row],[SEI]],Projetos!$A$3:$A$129,0))</f>
        <v>0.91</v>
      </c>
      <c r="L106" s="311">
        <f>INDEX(Projetos!$O$3:$O$129,MATCH(Tb_Mapa[[#This Row],[SEI]],Projetos!$A$3:$A$129,0))</f>
        <v>0.67</v>
      </c>
      <c r="M106" s="165" t="str">
        <f ca="1">_xlfn.XLOOKUP(Tb_Mapa[[#This Row],[SEI]],Tb_Portfólio[SEI],Tb_Portfólio[Situação],"N/A",0)</f>
        <v>Atrasado ou Crítico</v>
      </c>
      <c r="N106" s="128" t="str" cm="1">
        <f t="array" ref="N106">IFERROR(LOOKUP(2,1/(Atualizações!$H$1:$H$486=Mapa!$B109&amp;Mapa!BG$3),Atualizações!$E$1:$E$486),"NÃO")</f>
        <v>NÃO</v>
      </c>
      <c r="O106" s="205"/>
      <c r="P106" s="205"/>
      <c r="Q106" s="205"/>
      <c r="R106" s="205"/>
      <c r="S106" s="205"/>
      <c r="T106" s="205"/>
      <c r="U106" s="205"/>
      <c r="V106" s="205"/>
      <c r="W106" s="205"/>
      <c r="X106" s="205"/>
      <c r="Y106" s="205"/>
      <c r="Z106" s="205"/>
      <c r="AA106" s="340"/>
      <c r="AB106" s="340"/>
      <c r="AC106" s="340"/>
      <c r="AD106" s="340"/>
      <c r="AE106" s="161" t="str" cm="1">
        <f t="array" ref="AE106">IFERROR(LOOKUP(2,1/(Atualizações!$H$1:$H$1029=Mapa!$B109&amp;Mapa!BX$3),Atualizações!$E$1:$E$1029),"NÃO")</f>
        <v>NÃO</v>
      </c>
      <c r="AF106" s="161" t="str" cm="1">
        <f t="array" ref="AF106">IFERROR(LOOKUP(2,1/(Atualizações!$H$1:$H$1029=Mapa!$B109&amp;Mapa!BY$3),Atualizações!$E$1:$E$1029),"NÃO")</f>
        <v>NÃO</v>
      </c>
      <c r="AG106" s="161" t="str" cm="1">
        <f t="array" ref="AG106">IFERROR(LOOKUP(2,1/(Atualizações!$H$1:$H$1029=Mapa!$B109&amp;Mapa!BZ$3),Atualizações!$E$1:$E$1029),"NÃO")</f>
        <v>NÃO</v>
      </c>
      <c r="AH106" s="161" t="str" cm="1">
        <f t="array" ref="AH106">IFERROR(LOOKUP(2,1/(Atualizações!$H$1:$H$1029=Mapa!$B109&amp;Mapa!CA$3),Atualizações!$E$1:$E$1029),"NÃO")</f>
        <v>NÃO</v>
      </c>
      <c r="AI106" s="161" t="str" cm="1">
        <f t="array" ref="AI106">IFERROR(LOOKUP(2,1/(Atualizações!$H$1:$H$1029=Mapa!$B109&amp;Mapa!CB$3),Atualizações!$E$1:$E$1029),"NÃO")</f>
        <v>NÃO</v>
      </c>
      <c r="AJ106" s="161" t="str" cm="1">
        <f t="array" ref="AJ106">IFERROR(LOOKUP(2,1/(Atualizações!$H$1:$H$1029=Mapa!$B109&amp;Mapa!CC$3),Atualizações!$E$1:$E$1029),"NÃO")</f>
        <v>NÃO</v>
      </c>
      <c r="AK106" s="161" t="str" cm="1">
        <f t="array" ref="AK106">IFERROR(LOOKUP(2,1/(Atualizações!$H$1:$H$1029=Mapa!$B109&amp;Mapa!CD$3),Atualizações!$E$1:$E$1029),"NÃO")</f>
        <v>NÃO</v>
      </c>
      <c r="AL106" s="161" t="str" cm="1">
        <f t="array" ref="AL106">IFERROR(LOOKUP(2,1/(Atualizações!$H$1:$H$1265=Mapa!$B109&amp;Mapa!CE$3),Atualizações!$E$1:$E$2994),"NÃO")</f>
        <v>NÃO</v>
      </c>
      <c r="AM106" s="161" t="str" cm="1">
        <f t="array" ref="AM106">IFERROR(LOOKUP(2,1/(Atualizações!$H$1:$H$2994=Tb_Mapa[[#This Row],[SEI]]&amp;Mapa!CF$3),Atualizações!$E$1:$E$2994),"NÃO")</f>
        <v>NÃO</v>
      </c>
      <c r="AN106" s="161" cm="1">
        <f t="array" ref="AN106">IFERROR(LOOKUP(2,1/(Atualizações!$H$1:$H$2994=Tb_Mapa[[#This Row],[SEI]]&amp;Mapa!CG$3),Atualizações!$E$1:$E$2994),"NÃO")</f>
        <v>0.57999999999999996</v>
      </c>
      <c r="AO106" s="161" cm="1">
        <f t="array" ref="AO106">IFERROR(LOOKUP(2,1/(Atualizações!$H$1:$H$2994=Tb_Mapa[[#This Row],[SEI]]&amp;Mapa!CH$3),Atualizações!$E$1:$E$2994),"NÃO")</f>
        <v>0.63</v>
      </c>
      <c r="AP106" s="161" cm="1">
        <f t="array" ref="AP106">IFERROR(LOOKUP(2,1/(Atualizações!$H$1:$H$2994=Tb_Mapa[[#This Row],[SEI]]&amp;Mapa!CI$3),Atualizações!$E$1:$E$2994),"NÃO")</f>
        <v>0.68</v>
      </c>
      <c r="AQ106" s="161" cm="1">
        <f t="array" ref="AQ106">IFERROR(LOOKUP(2,1/(Atualizações!$H$1:$H$2994=Tb_Mapa[[#This Row],[SEI]]&amp;Mapa!CJ$3),Atualizações!$E$1:$E$2994),"NÃO")</f>
        <v>0.67</v>
      </c>
      <c r="AR106" s="161" t="str" cm="1">
        <f t="array" ref="AR106">IFERROR(LOOKUP(2,1/(Atualizações!$H$1:$H$2994=Tb_Mapa[[#This Row],[SEI]]&amp;Mapa!CK$3),Atualizações!$E$1:$E$2994),"NÃO")</f>
        <v>NÃO</v>
      </c>
      <c r="AS106" s="161" t="str" cm="1">
        <f t="array" ref="AS106">IFERROR(LOOKUP(2,1/(Atualizações!$H$1:$H$2994=Tb_Mapa[[#This Row],[SEI]]&amp;Mapa!CL$3),Atualizações!$E$1:$E$2994),"NÃO")</f>
        <v>NÃO</v>
      </c>
      <c r="AT106" s="161" t="str" cm="1">
        <f t="array" ref="AT106">IFERROR(LOOKUP(2,1/(Atualizações!$H$1:$H$2994=Tb_Mapa[[#This Row],[SEI]]&amp;Mapa!CM$3),Atualizações!$E$1:$E$2994),"NÃO")</f>
        <v>NÃO</v>
      </c>
      <c r="AU106" s="161" t="str" cm="1">
        <f t="array" ref="AU106">IFERROR(LOOKUP(2,1/(Atualizações!$H$1:$H$2994=Tb_Mapa[[#This Row],[SEI]]&amp;Mapa!CN$3),Atualizações!$E$1:$E$2994),"NÃO")</f>
        <v>NÃO</v>
      </c>
      <c r="AV106" s="161" t="str" cm="1">
        <f t="array" ref="AV106">IFERROR(LOOKUP(2,1/(Atualizações!$H$1:$H$2994=Tb_Mapa[[#This Row],[SEI]]&amp;Mapa!CO$3),Atualizações!$E$1:$E$2994),"NÃO")</f>
        <v>NÃO</v>
      </c>
      <c r="AW106" s="161" t="str" cm="1">
        <f t="array" ref="AW106">IFERROR(LOOKUP(2,1/(Atualizações!$H$1:$H$2994=Tb_Mapa[[#This Row],[SEI]]&amp;Mapa!CP$3),Atualizações!$E$1:$E$2994),"NÃO")</f>
        <v>NÃO</v>
      </c>
      <c r="AX106" s="161" t="str" cm="1">
        <f t="array" ref="AX106">IFERROR(LOOKUP(2,1/(Atualizações!$H$1:$H$2994=Tb_Mapa[[#This Row],[SEI]]&amp;Mapa!CQ$3),Atualizações!$E$1:$E$2994),"NÃO")</f>
        <v>NÃO</v>
      </c>
    </row>
    <row r="107" spans="2:50" ht="45" hidden="1">
      <c r="B107" s="51" t="s">
        <v>661</v>
      </c>
      <c r="C107" s="51" t="str">
        <f>_xlfn.XLOOKUP(Tb_Mapa[[#This Row],[SEI]],Tb_Portfólio[SEI],Tb_Portfólio[Portfólio 2025],"",0)</f>
        <v>Sim</v>
      </c>
      <c r="D107" s="158" t="str">
        <f>_xlfn.XLOOKUP(Tb_Mapa[[#This Row],[SEI]],Tb_Portfólio[SEI],Tb_Portfólio[Portfólio 2026],"",0)</f>
        <v>Sim</v>
      </c>
      <c r="E107" s="162" t="str">
        <f>_xlfn.XLOOKUP(Tb_Mapa[[#This Row],[SEI]],Tb_Portfólio[SEI],Tb_Portfólio[PROJETO],"",0)</f>
        <v>BNMP – Banco Nacional de Medidas Penais e Prisões – Melhorias Evolutivas</v>
      </c>
      <c r="F107" s="143" t="str">
        <f>INDEX(Projetos!$G$3:$G$129,MATCH(Tb_Mapa[[#This Row],[SEI]],Projetos!$A$3:$A$129,0))</f>
        <v>Gleidson de Moura Porto</v>
      </c>
      <c r="G107" s="702" t="s">
        <v>1710</v>
      </c>
      <c r="H107" s="166" t="str">
        <f>INDEX(Projetos!$T$3:$T$129,MATCH(B107,Projetos!$A$3:$A$129,0))</f>
        <v>Justiça 4.0</v>
      </c>
      <c r="I107" s="310">
        <f>INDEX(Projetos!$M$3:$M$129,MATCH(Tb_Mapa[[#This Row],[SEI]],Projetos!$A$3:$A$129,0))</f>
        <v>46379</v>
      </c>
      <c r="J107" s="164" t="str">
        <f ca="1">IF(Tb_Mapa[[#This Row],[SITUAÇÃO]]="Finalizado", "Data atualizada", IFERROR(IF(Tb_Mapa[[#This Row],[DATA DE TÉRMINO]]&lt;$I$1,"Atualizar data de encerramento","Data atualizada"),"Sem informação"))</f>
        <v>Data atualizada</v>
      </c>
      <c r="K107" s="311">
        <f>INDEX(Projetos!$N$3:$N$129,MATCH(Tb_Mapa[[#This Row],[SEI]],Projetos!$A$3:$A$129,0))</f>
        <v>0.73</v>
      </c>
      <c r="L107" s="311">
        <f>INDEX(Projetos!$O$3:$O$129,MATCH(Tb_Mapa[[#This Row],[SEI]],Projetos!$A$3:$A$129,0))</f>
        <v>0.67</v>
      </c>
      <c r="M107" s="165" t="str">
        <f ca="1">_xlfn.XLOOKUP(Tb_Mapa[[#This Row],[SEI]],Tb_Portfólio[SEI],Tb_Portfólio[Situação],"N/A",0)</f>
        <v>Em atenção</v>
      </c>
      <c r="N107" s="128" t="str" cm="1">
        <f t="array" ref="N107">IFERROR(LOOKUP(2,1/(Atualizações!$H$1:$H$486=Mapa!$B102&amp;Mapa!BG$3),Atualizações!$E$1:$E$486),"NÃO")</f>
        <v>NÃO</v>
      </c>
      <c r="O107" s="205"/>
      <c r="P107" s="205"/>
      <c r="Q107" s="205"/>
      <c r="R107" s="205"/>
      <c r="S107" s="205"/>
      <c r="T107" s="205"/>
      <c r="U107" s="205"/>
      <c r="V107" s="205"/>
      <c r="W107" s="205"/>
      <c r="X107" s="205"/>
      <c r="Y107" s="205"/>
      <c r="Z107" s="205"/>
      <c r="AA107" s="340"/>
      <c r="AB107" s="340"/>
      <c r="AC107" s="205" cm="1">
        <f t="array" ref="AC107">IFERROR(LOOKUP(2,1/(Atualizações!$H$1:$H$1029=Mapa!$B102&amp;Mapa!BV$3),Atualizações!$E$1:$E$1029),"NÃO")</f>
        <v>0.63</v>
      </c>
      <c r="AD107" s="205" cm="1">
        <f t="array" ref="AD107">IFERROR(LOOKUP(2,1/(Atualizações!$H$1:$H$1029=Mapa!$B102&amp;Mapa!BW$3),Atualizações!$E$1:$E$1029),"NÃO")</f>
        <v>0.63</v>
      </c>
      <c r="AE107" s="161" cm="1">
        <f t="array" ref="AE107">IFERROR(LOOKUP(2,1/(Atualizações!$H$1:$H$1029=Mapa!$B102&amp;Mapa!BX$3),Atualizações!$E$1:$E$1029),"NÃO")</f>
        <v>0.63</v>
      </c>
      <c r="AF107" s="161" cm="1">
        <f t="array" ref="AF107">IFERROR(LOOKUP(2,1/(Atualizações!$H$1:$H$1029=Mapa!$B102&amp;Mapa!BY$3),Atualizações!$E$1:$E$1029),"NÃO")</f>
        <v>0.63</v>
      </c>
      <c r="AG107" s="161" cm="1">
        <f t="array" ref="AG107">IFERROR(LOOKUP(2,1/(Atualizações!$H$1:$H$1029=Mapa!$B102&amp;Mapa!BZ$3),Atualizações!$E$1:$E$1029),"NÃO")</f>
        <v>0.63</v>
      </c>
      <c r="AH107" s="161" cm="1">
        <f t="array" ref="AH107">IFERROR(LOOKUP(2,1/(Atualizações!$H$1:$H$1029=Mapa!$B102&amp;Mapa!CA$3),Atualizações!$E$1:$E$1029),"NÃO")</f>
        <v>0.48</v>
      </c>
      <c r="AI107" s="161" cm="1">
        <f t="array" ref="AI107">IFERROR(LOOKUP(2,1/(Atualizações!$H$1:$H$1029=Mapa!$B102&amp;Mapa!CB$3),Atualizações!$E$1:$E$1029),"NÃO")</f>
        <v>0.71</v>
      </c>
      <c r="AJ107" s="161" cm="1">
        <f t="array" ref="AJ107">IFERROR(LOOKUP(2,1/(Atualizações!$H$1:$H$1029=Mapa!$B102&amp;Mapa!CC$3),Atualizações!$E$1:$E$1029),"NÃO")</f>
        <v>0.71</v>
      </c>
      <c r="AK107" s="161" cm="1">
        <f t="array" ref="AK107">IFERROR(LOOKUP(2,1/(Atualizações!$H$1:$H$1029=Mapa!$B102&amp;Mapa!CD$3),Atualizações!$E$1:$E$1029),"NÃO")</f>
        <v>0.79</v>
      </c>
      <c r="AL107" s="161" cm="1">
        <f t="array" ref="AL107">IFERROR(LOOKUP(2,1/(Atualizações!$H$1:$H$1265=Mapa!$B102&amp;Mapa!CE$3),Atualizações!$E$1:$E$2994),"NÃO")</f>
        <v>0.79</v>
      </c>
      <c r="AM107" s="161" cm="1">
        <f t="array" ref="AM107">IFERROR(LOOKUP(2,1/(Atualizações!$H$1:$H$2994=Tb_Mapa[[#This Row],[SEI]]&amp;Mapa!CF$3),Atualizações!$E$1:$E$2994),"NÃO")</f>
        <v>0.47</v>
      </c>
      <c r="AN107" s="161" cm="1">
        <f t="array" ref="AN107">IFERROR(LOOKUP(2,1/(Atualizações!$H$1:$H$2994=Tb_Mapa[[#This Row],[SEI]]&amp;Mapa!CG$3),Atualizações!$E$1:$E$2994),"NÃO")</f>
        <v>0.56000000000000005</v>
      </c>
      <c r="AO107" s="161" cm="1">
        <f t="array" ref="AO107">IFERROR(LOOKUP(2,1/(Atualizações!$H$1:$H$2994=Tb_Mapa[[#This Row],[SEI]]&amp;Mapa!CH$3),Atualizações!$E$1:$E$2994),"NÃO")</f>
        <v>0.6</v>
      </c>
      <c r="AP107" s="161" cm="1">
        <f t="array" ref="AP107">IFERROR(LOOKUP(2,1/(Atualizações!$H$1:$H$2994=Tb_Mapa[[#This Row],[SEI]]&amp;Mapa!CI$3),Atualizações!$E$1:$E$2994),"NÃO")</f>
        <v>0.65</v>
      </c>
      <c r="AQ107" s="161" cm="1">
        <f t="array" ref="AQ107">IFERROR(LOOKUP(2,1/(Atualizações!$H$1:$H$2994=Tb_Mapa[[#This Row],[SEI]]&amp;Mapa!CJ$3),Atualizações!$E$1:$E$2994),"NÃO")</f>
        <v>0.67</v>
      </c>
      <c r="AR107" s="161" t="str" cm="1">
        <f t="array" ref="AR107">IFERROR(LOOKUP(2,1/(Atualizações!$H$1:$H$2994=Tb_Mapa[[#This Row],[SEI]]&amp;Mapa!CK$3),Atualizações!$E$1:$E$2994),"NÃO")</f>
        <v>NÃO</v>
      </c>
      <c r="AS107" s="161" t="str" cm="1">
        <f t="array" ref="AS107">IFERROR(LOOKUP(2,1/(Atualizações!$H$1:$H$2994=Tb_Mapa[[#This Row],[SEI]]&amp;Mapa!CL$3),Atualizações!$E$1:$E$2994),"NÃO")</f>
        <v>NÃO</v>
      </c>
      <c r="AT107" s="161" t="str" cm="1">
        <f t="array" ref="AT107">IFERROR(LOOKUP(2,1/(Atualizações!$H$1:$H$2994=Tb_Mapa[[#This Row],[SEI]]&amp;Mapa!CM$3),Atualizações!$E$1:$E$2994),"NÃO")</f>
        <v>NÃO</v>
      </c>
      <c r="AU107" s="161" t="str" cm="1">
        <f t="array" ref="AU107">IFERROR(LOOKUP(2,1/(Atualizações!$H$1:$H$2994=Tb_Mapa[[#This Row],[SEI]]&amp;Mapa!CN$3),Atualizações!$E$1:$E$2994),"NÃO")</f>
        <v>NÃO</v>
      </c>
      <c r="AV107" s="161" t="str" cm="1">
        <f t="array" ref="AV107">IFERROR(LOOKUP(2,1/(Atualizações!$H$1:$H$2994=Tb_Mapa[[#This Row],[SEI]]&amp;Mapa!CO$3),Atualizações!$E$1:$E$2994),"NÃO")</f>
        <v>NÃO</v>
      </c>
      <c r="AW107" s="161" t="str" cm="1">
        <f t="array" ref="AW107">IFERROR(LOOKUP(2,1/(Atualizações!$H$1:$H$2994=Tb_Mapa[[#This Row],[SEI]]&amp;Mapa!CP$3),Atualizações!$E$1:$E$2994),"NÃO")</f>
        <v>NÃO</v>
      </c>
      <c r="AX107" s="161" t="str" cm="1">
        <f t="array" ref="AX107">IFERROR(LOOKUP(2,1/(Atualizações!$H$1:$H$2994=Tb_Mapa[[#This Row],[SEI]]&amp;Mapa!CQ$3),Atualizações!$E$1:$E$2994),"NÃO")</f>
        <v>NÃO</v>
      </c>
    </row>
    <row r="108" spans="2:50" ht="30" hidden="1">
      <c r="B108" s="51" t="s">
        <v>129</v>
      </c>
      <c r="C108" s="51" t="str">
        <f>_xlfn.XLOOKUP(Tb_Mapa[[#This Row],[SEI]],Tb_Portfólio[SEI],Tb_Portfólio[Portfólio 2025],"",0)</f>
        <v>Sim</v>
      </c>
      <c r="D108" s="158" t="str">
        <f>_xlfn.XLOOKUP(Tb_Mapa[[#This Row],[SEI]],Tb_Portfólio[SEI],Tb_Portfólio[Portfólio 2026],"",0)</f>
        <v>Sim</v>
      </c>
      <c r="E108" s="162" t="str">
        <f>_xlfn.XLOOKUP(Tb_Mapa[[#This Row],[SEI]],Tb_Portfólio[SEI],Tb_Portfólio[PROJETO],"",0)</f>
        <v>Data Lake - Melhorias Evolutivas e Corretivas</v>
      </c>
      <c r="F108" s="143" t="str">
        <f>INDEX(Projetos!$G$3:$G$129,MATCH(Tb_Mapa[[#This Row],[SEI]],Projetos!$A$3:$A$129,0))</f>
        <v>Marcos Cardoso</v>
      </c>
      <c r="G108" s="702" t="s">
        <v>1710</v>
      </c>
      <c r="H108" s="166" t="str">
        <f>INDEX(Projetos!$T$3:$T$129,MATCH(B108,Projetos!$A$3:$A$129,0))</f>
        <v>Justiça 4.0</v>
      </c>
      <c r="I108" s="310">
        <f>INDEX(Projetos!$M$3:$M$129,MATCH(Tb_Mapa[[#This Row],[SEI]],Projetos!$A$3:$A$129,0))</f>
        <v>46387</v>
      </c>
      <c r="J108" s="164" t="str">
        <f ca="1">IF(Tb_Mapa[[#This Row],[SITUAÇÃO]]="Finalizado", "Data atualizada", IFERROR(IF(Tb_Mapa[[#This Row],[DATA DE TÉRMINO]]&lt;$I$1,"Atualizar data de encerramento","Data atualizada"),"Sem informação"))</f>
        <v>Data atualizada</v>
      </c>
      <c r="K108" s="311">
        <f>INDEX(Projetos!$N$3:$N$129,MATCH(Tb_Mapa[[#This Row],[SEI]],Projetos!$A$3:$A$129,0))</f>
        <v>0.68</v>
      </c>
      <c r="L108" s="311">
        <f>INDEX(Projetos!$O$3:$O$129,MATCH(Tb_Mapa[[#This Row],[SEI]],Projetos!$A$3:$A$129,0))</f>
        <v>0.64</v>
      </c>
      <c r="M108" s="165" t="str">
        <f ca="1">_xlfn.XLOOKUP(Tb_Mapa[[#This Row],[SEI]],Tb_Portfólio[SEI],Tb_Portfólio[Situação],"N/A",0)</f>
        <v>Em atenção</v>
      </c>
      <c r="N108" s="128" t="str" cm="1">
        <f t="array" ref="N108">IFERROR(LOOKUP(2,1/(Atualizações!$H$1:$H$486=Mapa!$B104&amp;Mapa!BG$3),Atualizações!$E$1:$E$486),"NÃO")</f>
        <v>NÃO</v>
      </c>
      <c r="O108" s="205"/>
      <c r="P108" s="205"/>
      <c r="Q108" s="205"/>
      <c r="R108" s="205"/>
      <c r="S108" s="205"/>
      <c r="T108" s="205"/>
      <c r="U108" s="205"/>
      <c r="V108" s="205"/>
      <c r="W108" s="205"/>
      <c r="X108" s="205"/>
      <c r="Y108" s="205"/>
      <c r="Z108" s="205"/>
      <c r="AA108" s="340"/>
      <c r="AB108" s="340"/>
      <c r="AC108" s="205" t="str" cm="1">
        <f t="array" ref="AC108">IFERROR(LOOKUP(2,1/(Atualizações!$H$1:$H$1029=Mapa!$B104&amp;Mapa!BV$3),Atualizações!$E$1:$E$1029),"NÃO")</f>
        <v>NÃO</v>
      </c>
      <c r="AD108" s="205" t="str" cm="1">
        <f t="array" ref="AD108">IFERROR(LOOKUP(2,1/(Atualizações!$H$1:$H$1029=Mapa!$B104&amp;Mapa!BW$3),Atualizações!$E$1:$E$1029),"NÃO")</f>
        <v>NÃO</v>
      </c>
      <c r="AE108" s="161" t="str" cm="1">
        <f t="array" ref="AE108">IFERROR(LOOKUP(2,1/(Atualizações!$H$1:$H$1029=Mapa!$B104&amp;Mapa!BX$3),Atualizações!$E$1:$E$1029),"NÃO")</f>
        <v>NÃO</v>
      </c>
      <c r="AF108" s="161" t="str" cm="1">
        <f t="array" ref="AF108">IFERROR(LOOKUP(2,1/(Atualizações!$H$1:$H$1029=Mapa!$B104&amp;Mapa!BY$3),Atualizações!$E$1:$E$1029),"NÃO")</f>
        <v>NÃO</v>
      </c>
      <c r="AG108" s="161" t="str" cm="1">
        <f t="array" ref="AG108">IFERROR(LOOKUP(2,1/(Atualizações!$H$1:$H$1029=Mapa!$B104&amp;Mapa!BZ$3),Atualizações!$E$1:$E$1029),"NÃO")</f>
        <v>NÃO</v>
      </c>
      <c r="AH108" s="161" t="str" cm="1">
        <f t="array" ref="AH108">IFERROR(LOOKUP(2,1/(Atualizações!$H$1:$H$1029=Mapa!$B104&amp;Mapa!CA$3),Atualizações!$E$1:$E$1029),"NÃO")</f>
        <v>NÃO</v>
      </c>
      <c r="AI108" s="161" t="str" cm="1">
        <f t="array" ref="AI108">IFERROR(LOOKUP(2,1/(Atualizações!$H$1:$H$1029=Mapa!$B104&amp;Mapa!CB$3),Atualizações!$E$1:$E$1029),"NÃO")</f>
        <v>NÃO</v>
      </c>
      <c r="AJ108" s="161" t="str" cm="1">
        <f t="array" ref="AJ108">IFERROR(LOOKUP(2,1/(Atualizações!$H$1:$H$1029=Mapa!$B104&amp;Mapa!CC$3),Atualizações!$E$1:$E$1029),"NÃO")</f>
        <v>NÃO</v>
      </c>
      <c r="AK108" s="161" t="str" cm="1">
        <f t="array" ref="AK108">IFERROR(LOOKUP(2,1/(Atualizações!$H$1:$H$1029=Mapa!$B104&amp;Mapa!CD$3),Atualizações!$E$1:$E$1029),"NÃO")</f>
        <v>NÃO</v>
      </c>
      <c r="AL108" s="161" t="str" cm="1">
        <f t="array" ref="AL108">IFERROR(LOOKUP(2,1/(Atualizações!$H$1:$H$1265=Mapa!$B104&amp;Mapa!CE$3),Atualizações!$E$1:$E$2994),"NÃO")</f>
        <v>NÃO</v>
      </c>
      <c r="AM108" s="161" t="str" cm="1">
        <f t="array" ref="AM108">IFERROR(LOOKUP(2,1/(Atualizações!$H$1:$H$2994=Tb_Mapa[[#This Row],[SEI]]&amp;Mapa!CF$3),Atualizações!$E$1:$E$2994),"NÃO")</f>
        <v>NÃO</v>
      </c>
      <c r="AN108" s="161" cm="1">
        <f t="array" ref="AN108">IFERROR(LOOKUP(2,1/(Atualizações!$H$1:$H$2994=Tb_Mapa[[#This Row],[SEI]]&amp;Mapa!CG$3),Atualizações!$E$1:$E$2994),"NÃO")</f>
        <v>0.46</v>
      </c>
      <c r="AO108" s="161" cm="1">
        <f t="array" ref="AO108">IFERROR(LOOKUP(2,1/(Atualizações!$H$1:$H$2994=Tb_Mapa[[#This Row],[SEI]]&amp;Mapa!CH$3),Atualizações!$E$1:$E$2994),"NÃO")</f>
        <v>0.57999999999999996</v>
      </c>
      <c r="AP108" s="161" cm="1">
        <f t="array" ref="AP108">IFERROR(LOOKUP(2,1/(Atualizações!$H$1:$H$2994=Tb_Mapa[[#This Row],[SEI]]&amp;Mapa!CI$3),Atualizações!$E$1:$E$2994),"NÃO")</f>
        <v>0.63</v>
      </c>
      <c r="AQ108" s="161" cm="1">
        <f t="array" ref="AQ108">IFERROR(LOOKUP(2,1/(Atualizações!$H$1:$H$2994=Tb_Mapa[[#This Row],[SEI]]&amp;Mapa!CJ$3),Atualizações!$E$1:$E$2994),"NÃO")</f>
        <v>0.64</v>
      </c>
      <c r="AR108" s="161" t="str" cm="1">
        <f t="array" ref="AR108">IFERROR(LOOKUP(2,1/(Atualizações!$H$1:$H$2994=Tb_Mapa[[#This Row],[SEI]]&amp;Mapa!CK$3),Atualizações!$E$1:$E$2994),"NÃO")</f>
        <v>NÃO</v>
      </c>
      <c r="AS108" s="161" t="str" cm="1">
        <f t="array" ref="AS108">IFERROR(LOOKUP(2,1/(Atualizações!$H$1:$H$2994=Tb_Mapa[[#This Row],[SEI]]&amp;Mapa!CL$3),Atualizações!$E$1:$E$2994),"NÃO")</f>
        <v>NÃO</v>
      </c>
      <c r="AT108" s="161" t="str" cm="1">
        <f t="array" ref="AT108">IFERROR(LOOKUP(2,1/(Atualizações!$H$1:$H$2994=Tb_Mapa[[#This Row],[SEI]]&amp;Mapa!CM$3),Atualizações!$E$1:$E$2994),"NÃO")</f>
        <v>NÃO</v>
      </c>
      <c r="AU108" s="161" t="str" cm="1">
        <f t="array" ref="AU108">IFERROR(LOOKUP(2,1/(Atualizações!$H$1:$H$2994=Tb_Mapa[[#This Row],[SEI]]&amp;Mapa!CN$3),Atualizações!$E$1:$E$2994),"NÃO")</f>
        <v>NÃO</v>
      </c>
      <c r="AV108" s="161" t="str" cm="1">
        <f t="array" ref="AV108">IFERROR(LOOKUP(2,1/(Atualizações!$H$1:$H$2994=Tb_Mapa[[#This Row],[SEI]]&amp;Mapa!CO$3),Atualizações!$E$1:$E$2994),"NÃO")</f>
        <v>NÃO</v>
      </c>
      <c r="AW108" s="161" t="str" cm="1">
        <f t="array" ref="AW108">IFERROR(LOOKUP(2,1/(Atualizações!$H$1:$H$2994=Tb_Mapa[[#This Row],[SEI]]&amp;Mapa!CP$3),Atualizações!$E$1:$E$2994),"NÃO")</f>
        <v>NÃO</v>
      </c>
      <c r="AX108" s="161" t="str" cm="1">
        <f t="array" ref="AX108">IFERROR(LOOKUP(2,1/(Atualizações!$H$1:$H$2994=Tb_Mapa[[#This Row],[SEI]]&amp;Mapa!CQ$3),Atualizações!$E$1:$E$2994),"NÃO")</f>
        <v>NÃO</v>
      </c>
    </row>
    <row r="109" spans="2:50" ht="30" hidden="1">
      <c r="B109" s="678" t="s">
        <v>1724</v>
      </c>
      <c r="C109" s="678" t="str">
        <f>_xlfn.XLOOKUP(Tb_Mapa[[#This Row],[SEI]],Tb_Portfólio[SEI],Tb_Portfólio[Portfólio 2025],"",0)</f>
        <v/>
      </c>
      <c r="D109" s="158"/>
      <c r="E109" s="159" t="s">
        <v>1243</v>
      </c>
      <c r="F109" s="680" t="e">
        <f>INDEX(Projetos!$G$3:$G$129,MATCH(B109,Projetos!$A$3:$A$129,0))</f>
        <v>#N/A</v>
      </c>
      <c r="G109" s="682" t="s">
        <v>1712</v>
      </c>
      <c r="H109" s="166" t="e">
        <f>INDEX(Projetos!$T$3:$T$129,MATCH(B109,Projetos!$A$3:$A$129,0))</f>
        <v>#N/A</v>
      </c>
      <c r="I109" s="318">
        <f>INDEX(Projetos!$M$3:$M$129,MATCH(Mapa!B4,Projetos!$A$3:$A$129,0))</f>
        <v>46233</v>
      </c>
      <c r="J109" s="164" t="str">
        <f>IF(Tb_Mapa[[#This Row],[SITUAÇÃO]]="Finalizado", "Data atualizada", IFERROR(IF(I109&lt;$CN$3,"Atualizar data de encerramento","Data atualizada"),"Sem informação"))</f>
        <v>Atualizar data de encerramento</v>
      </c>
      <c r="K109" s="319">
        <f>INDEX(Projetos!$N$3:$N$129,MATCH(Mapa!B4,Projetos!$A$3:$A$129,0))</f>
        <v>0.75</v>
      </c>
      <c r="L109" s="319">
        <f>INDEX(Projetos!$O$3:$O$129,MATCH(Mapa!B4,Projetos!$A$3:$A$129,0))</f>
        <v>0.75</v>
      </c>
      <c r="M109" s="165" t="str">
        <f>_xlfn.XLOOKUP(Tb_Mapa[[#This Row],[SEI]],Tb_Portfólio[SEI],Tb_Portfólio[Situação],"N/A",0)</f>
        <v>N/A</v>
      </c>
      <c r="N109" s="128" t="str" cm="1">
        <f t="array" ref="N109">IFERROR(LOOKUP(2,1/(Atualizações!$H$1:$H$486=Mapa!$B4&amp;Mapa!BG$3),Atualizações!$E$1:$E$486),"NÃO")</f>
        <v>NÃO</v>
      </c>
      <c r="O109" s="205" t="str" cm="1">
        <f t="array" ref="O109">IFERROR(LOOKUP(2,1/(Atualizações!$H$1:$H$580=Mapa!$B4&amp;Mapa!BH$3),Atualizações!$E$1:$E$580),"NÃO")</f>
        <v>NÃO</v>
      </c>
      <c r="P109" s="205" t="str" cm="1">
        <f t="array" ref="P109">IFERROR(LOOKUP(2,1/(Atualizações!$H$1:$H$580=Mapa!$B4&amp;Mapa!BI$3),Atualizações!$E$1:$E$580),"NÃO")</f>
        <v>NÃO</v>
      </c>
      <c r="Q109" s="205" t="str" cm="1">
        <f t="array" ref="Q109">IFERROR(LOOKUP(2,1/(Atualizações!$H$1:$H$580=Mapa!$B4&amp;Mapa!BJ$3),Atualizações!$E$1:$E$580),"NÃO")</f>
        <v>NÃO</v>
      </c>
      <c r="R109" s="205" t="str" cm="1">
        <f t="array" ref="R109">IFERROR(LOOKUP(2,1/(Atualizações!$H$1:$H$580=Mapa!$B4&amp;Mapa!BK$3),Atualizações!$E$1:$E$580),"NÃO")</f>
        <v>NÃO</v>
      </c>
      <c r="S109" s="205" t="str" cm="1">
        <f t="array" ref="S109">IFERROR(LOOKUP(2,1/(Atualizações!$H$1:$H$580=Mapa!$B4&amp;Mapa!BL$3),Atualizações!$E$1:$E$580),"NÃO")</f>
        <v>NÃO</v>
      </c>
      <c r="T109" s="205" t="str" cm="1">
        <f t="array" ref="T109">IFERROR(LOOKUP(2,1/(Atualizações!$H$1:$H$580=Mapa!$B4&amp;Mapa!BM$3),Atualizações!$E$1:$E$580),"NÃO")</f>
        <v>NÃO</v>
      </c>
      <c r="U109" s="205" t="str" cm="1">
        <f t="array" ref="U109">IFERROR(LOOKUP(2,1/(Atualizações!$H$1:$H$580=Mapa!$B4&amp;Mapa!BN$3),Atualizações!$E$1:$E$580),"NÃO")</f>
        <v>NÃO</v>
      </c>
      <c r="V109" s="205" t="str" cm="1">
        <f t="array" ref="V109">IFERROR(LOOKUP(2,1/(Atualizações!$H$1:$H$580=Mapa!$B4&amp;Mapa!BO$3),Atualizações!$E$1:$E$580),"NÃO")</f>
        <v>NÃO</v>
      </c>
      <c r="W109" s="205" t="str" cm="1">
        <f t="array" ref="W109">IFERROR(LOOKUP(2,1/(Atualizações!$H$1:$H$580=Mapa!$B4&amp;Mapa!BP$3),Atualizações!$E$1:$E$580),"NÃO")</f>
        <v>NÃO</v>
      </c>
      <c r="X109" s="205" t="str" cm="1">
        <f t="array" ref="X109">IFERROR(LOOKUP(2,1/(Atualizações!$H$1:$H$580=Mapa!$B4&amp;Mapa!BQ$3),Atualizações!$E$1:$E$580),"NÃO")</f>
        <v>NÃO</v>
      </c>
      <c r="Y109" s="205" t="str" cm="1">
        <f t="array" ref="Y109">IFERROR(LOOKUP(2,1/(Atualizações!$H$1:$H$580=Mapa!$B4&amp;Mapa!BR$3),Atualizações!$E$1:$E$580),"NÃO")</f>
        <v>NÃO</v>
      </c>
      <c r="Z109" s="205" cm="1">
        <f t="array" ref="Z109">IFERROR(LOOKUP(2,1/(Atualizações!$H$1:$H$1029=Mapa!$B4&amp;Mapa!BS$3),Atualizações!$E$1:$E$1029),"NÃO")</f>
        <v>0.75</v>
      </c>
      <c r="AA109" s="205" t="str" cm="1">
        <f t="array" ref="AA109">IFERROR(LOOKUP(2,1/(Atualizações!$H$1:$H$1029=Mapa!$B4&amp;Mapa!BT$3),Atualizações!$E$1:$E$1029),"NÃO")</f>
        <v>NÃO</v>
      </c>
      <c r="AB109" s="205" t="str" cm="1">
        <f t="array" ref="AB109">IFERROR(LOOKUP(2,1/(Atualizações!$H$1:$H$1029=Mapa!$B4&amp;Mapa!BU$3),Atualizações!$E$1:$E$1029),"NÃO")</f>
        <v>NÃO</v>
      </c>
      <c r="AC109" s="205" t="str" cm="1">
        <f t="array" ref="AC109">IFERROR(LOOKUP(2,1/(Atualizações!$H$1:$H$1029=Mapa!$B4&amp;Mapa!BV$3),Atualizações!$E$1:$E$1029),"NÃO")</f>
        <v>NÃO</v>
      </c>
      <c r="AD109" s="205" t="str" cm="1">
        <f t="array" ref="AD109">IFERROR(LOOKUP(2,1/(Atualizações!$H$1:$H$1029=Mapa!$B4&amp;Mapa!BW$3),Atualizações!$E$1:$E$1029),"NÃO")</f>
        <v>NÃO</v>
      </c>
      <c r="AE109" s="161" t="str" cm="1">
        <f t="array" ref="AE109">IFERROR(LOOKUP(2,1/(Atualizações!$H$1:$H$1029=Mapa!$B4&amp;Mapa!BX$3),Atualizações!$E$1:$E$1029),"NÃO")</f>
        <v>NÃO</v>
      </c>
      <c r="AF109" s="161" t="str" cm="1">
        <f t="array" ref="AF109">IFERROR(LOOKUP(2,1/(Atualizações!$H$1:$H$1029=Mapa!$B4&amp;Mapa!BY$3),Atualizações!$E$1:$E$1029),"NÃO")</f>
        <v>NÃO</v>
      </c>
      <c r="AG109" s="161" cm="1">
        <f t="array" ref="AG109">IFERROR(LOOKUP(2,1/(Atualizações!$H$1:$H$1029=Mapa!$B4&amp;Mapa!BZ$3),Atualizações!$E$1:$E$1029),"NÃO")</f>
        <v>0.5</v>
      </c>
      <c r="AH109" s="161" t="str" cm="1">
        <f t="array" ref="AH109">IFERROR(LOOKUP(2,1/(Atualizações!$H$1:$H$1029=Mapa!$B4&amp;Mapa!CA$3),Atualizações!$E$1:$E$1029),"NÃO")</f>
        <v>NÃO</v>
      </c>
      <c r="AI109" s="161" t="str" cm="1">
        <f t="array" ref="AI109">IFERROR(LOOKUP(2,1/(Atualizações!$H$1:$H$1029=Mapa!$B4&amp;Mapa!CB$3),Atualizações!$E$1:$E$1029),"NÃO")</f>
        <v>NÃO</v>
      </c>
      <c r="AJ109" s="161" t="str" cm="1">
        <f t="array" ref="AJ109">IFERROR(LOOKUP(2,1/(Atualizações!$H$1:$H$1029=Mapa!$B4&amp;Mapa!CC$3),Atualizações!$E$1:$E$1029),"NÃO")</f>
        <v>NÃO</v>
      </c>
      <c r="AK109" s="161" t="str" cm="1">
        <f t="array" ref="AK109">IFERROR(LOOKUP(2,1/(Atualizações!$H$1:$H$1029=Mapa!$B4&amp;Mapa!CD$3),Atualizações!$E$1:$E$1029),"NÃO")</f>
        <v>NÃO</v>
      </c>
      <c r="AL109" s="161" cm="1">
        <f t="array" ref="AL109">IFERROR(LOOKUP(2,1/(Atualizações!$H$1:$H$1265=Mapa!$B4&amp;Mapa!CE$3),Atualizações!$E$1:$E$2994),"NÃO")</f>
        <v>0.7</v>
      </c>
      <c r="AM109" s="161" t="str" cm="1">
        <f t="array" ref="AM109">IFERROR(LOOKUP(2,1/(Atualizações!$H$1:$H$2994=Tb_Mapa[[#This Row],[SEI]]&amp;Mapa!CF$3),Atualizações!$E$1:$E$2994),"NÃO")</f>
        <v>NÃO</v>
      </c>
      <c r="AN109" s="161" t="str" cm="1">
        <f t="array" ref="AN109">IFERROR(LOOKUP(2,1/(Atualizações!$H$1:$H$2994=Tb_Mapa[[#This Row],[SEI]]&amp;Mapa!CG$3),Atualizações!$E$1:$E$2994),"NÃO")</f>
        <v>NÃO</v>
      </c>
      <c r="AO109" s="161" t="str" cm="1">
        <f t="array" ref="AO109">IFERROR(LOOKUP(2,1/(Atualizações!$H$1:$H$2994=Tb_Mapa[[#This Row],[SEI]]&amp;Mapa!CH$3),Atualizações!$E$1:$E$2994),"NÃO")</f>
        <v>NÃO</v>
      </c>
      <c r="AP109" s="161" t="str" cm="1">
        <f t="array" ref="AP109">IFERROR(LOOKUP(2,1/(Atualizações!$H$1:$H$2994=Tb_Mapa[[#This Row],[SEI]]&amp;Mapa!CI$3),Atualizações!$E$1:$E$2994),"NÃO")</f>
        <v>NÃO</v>
      </c>
      <c r="AQ109" s="161" t="str" cm="1">
        <f t="array" ref="AQ109">IFERROR(LOOKUP(2,1/(Atualizações!$H$1:$H$2994=Tb_Mapa[[#This Row],[SEI]]&amp;Mapa!CJ$3),Atualizações!$E$1:$E$2994),"NÃO")</f>
        <v>NÃO</v>
      </c>
      <c r="AR109" s="161" t="str" cm="1">
        <f t="array" ref="AR109">IFERROR(LOOKUP(2,1/(Atualizações!$H$1:$H$2994=Tb_Mapa[[#This Row],[SEI]]&amp;Mapa!CK$3),Atualizações!$E$1:$E$2994),"NÃO")</f>
        <v>NÃO</v>
      </c>
      <c r="AS109" s="161" t="str" cm="1">
        <f t="array" ref="AS109">IFERROR(LOOKUP(2,1/(Atualizações!$H$1:$H$2994=Tb_Mapa[[#This Row],[SEI]]&amp;Mapa!CL$3),Atualizações!$E$1:$E$2994),"NÃO")</f>
        <v>NÃO</v>
      </c>
      <c r="AT109" s="161" t="str" cm="1">
        <f t="array" ref="AT109">IFERROR(LOOKUP(2,1/(Atualizações!$H$1:$H$2994=Tb_Mapa[[#This Row],[SEI]]&amp;Mapa!CM$3),Atualizações!$E$1:$E$2994),"NÃO")</f>
        <v>NÃO</v>
      </c>
      <c r="AU109" s="161" t="str" cm="1">
        <f t="array" ref="AU109">IFERROR(LOOKUP(2,1/(Atualizações!$H$1:$H$2994=Tb_Mapa[[#This Row],[SEI]]&amp;Mapa!CN$3),Atualizações!$E$1:$E$2994),"NÃO")</f>
        <v>NÃO</v>
      </c>
      <c r="AV109" s="161" t="str" cm="1">
        <f t="array" ref="AV109">IFERROR(LOOKUP(2,1/(Atualizações!$H$1:$H$2994=Tb_Mapa[[#This Row],[SEI]]&amp;Mapa!CO$3),Atualizações!$E$1:$E$2994),"NÃO")</f>
        <v>NÃO</v>
      </c>
      <c r="AW109" s="161" t="str" cm="1">
        <f t="array" ref="AW109">IFERROR(LOOKUP(2,1/(Atualizações!$H$1:$H$2994=Tb_Mapa[[#This Row],[SEI]]&amp;Mapa!CP$3),Atualizações!$E$1:$E$2994),"NÃO")</f>
        <v>NÃO</v>
      </c>
      <c r="AX109" s="161" t="str" cm="1">
        <f t="array" ref="AX109">IFERROR(LOOKUP(2,1/(Atualizações!$H$1:$H$2994=Tb_Mapa[[#This Row],[SEI]]&amp;Mapa!CQ$3),Atualizações!$E$1:$E$2994),"NÃO")</f>
        <v>NÃO</v>
      </c>
    </row>
    <row r="110" spans="2:50" hidden="1">
      <c r="B110" s="23" t="s">
        <v>416</v>
      </c>
      <c r="C110" s="23" t="str">
        <f>_xlfn.XLOOKUP(Tb_Mapa[[#This Row],[SEI]],Tb_Portfólio[SEI],Tb_Portfólio[Portfólio 2025],"",0)</f>
        <v>Sim</v>
      </c>
      <c r="D110" s="158" t="str">
        <f>_xlfn.XLOOKUP(Tb_Mapa[[#This Row],[SEI]],Tb_Portfólio[SEI],Tb_Portfólio[Portfólio 2026],"",0)</f>
        <v>Sim</v>
      </c>
      <c r="E110" s="162" t="str">
        <f>_xlfn.XLOOKUP(Tb_Mapa[[#This Row],[SEI]],Tb_Portfólio[SEI],Tb_Portfólio[PROJETO],"",0)</f>
        <v>Conecta</v>
      </c>
      <c r="F110" s="143" t="str">
        <f>INDEX(Projetos!$G$3:$G$129,MATCH(Tb_Mapa[[#This Row],[SEI]],Projetos!$A$3:$A$129,0))</f>
        <v>Cesar Henrique de Oliveira Pereira</v>
      </c>
      <c r="G110" s="713" t="s">
        <v>1710</v>
      </c>
      <c r="H110" s="166" t="str">
        <f>INDEX(Projetos!$T$3:$T$129,MATCH(B110,Projetos!$A$3:$A$129,0))</f>
        <v>Justiça 4.0</v>
      </c>
      <c r="I110" s="310" t="str">
        <f>INDEX(Projetos!$M$3:$M$129,MATCH(Tb_Mapa[[#This Row],[SEI]],Projetos!$A$3:$A$129,0))</f>
        <v>31/12/2026</v>
      </c>
      <c r="J110" s="164" t="str">
        <f ca="1">IF(Tb_Mapa[[#This Row],[SITUAÇÃO]]="Finalizado", "Data atualizada", IFERROR(IF(Tb_Mapa[[#This Row],[DATA DE TÉRMINO]]&lt;$I$1,"Atualizar data de encerramento","Data atualizada"),"Sem informação"))</f>
        <v>Data atualizada</v>
      </c>
      <c r="K110" s="311">
        <f>INDEX(Projetos!$N$3:$N$129,MATCH(Tb_Mapa[[#This Row],[SEI]],Projetos!$A$3:$A$129,0))</f>
        <v>0.76</v>
      </c>
      <c r="L110" s="311">
        <f>INDEX(Projetos!$O$3:$O$129,MATCH(Tb_Mapa[[#This Row],[SEI]],Projetos!$A$3:$A$129,0))</f>
        <v>0.64</v>
      </c>
      <c r="M110" s="165" t="str">
        <f ca="1">_xlfn.XLOOKUP(Tb_Mapa[[#This Row],[SEI]],Tb_Portfólio[SEI],Tb_Portfólio[Situação],"N/A",0)</f>
        <v>Atrasado ou Crítico</v>
      </c>
      <c r="N110" s="128" t="str" cm="1">
        <f t="array" ref="N110">IFERROR(LOOKUP(2,1/(Atualizações!$H$1:$H$486=Mapa!$B37&amp;Mapa!BG$3),Atualizações!$E$1:$E$486),"NÃO")</f>
        <v>NÃO</v>
      </c>
      <c r="O110" s="205" t="str" cm="1">
        <f t="array" ref="O110">IFERROR(LOOKUP(2,1/(Atualizações!$H$1:$H$580=Mapa!$B37&amp;Mapa!BH$3),Atualizações!$E$1:$E$580),"NÃO")</f>
        <v>NÃO</v>
      </c>
      <c r="P110" s="205" t="str" cm="1">
        <f t="array" ref="P110">IFERROR(LOOKUP(2,1/(Atualizações!$H$1:$H$580=Mapa!$B37&amp;Mapa!BI$3),Atualizações!$E$1:$E$580),"NÃO")</f>
        <v>NÃO</v>
      </c>
      <c r="Q110" s="205" t="str" cm="1">
        <f t="array" ref="Q110">IFERROR(LOOKUP(2,1/(Atualizações!$H$1:$H$580=Mapa!$B37&amp;Mapa!BJ$3),Atualizações!$E$1:$E$580),"NÃO")</f>
        <v>NÃO</v>
      </c>
      <c r="R110" s="205" t="str" cm="1">
        <f t="array" ref="R110">IFERROR(LOOKUP(2,1/(Atualizações!$H$1:$H$580=Mapa!$B37&amp;Mapa!BK$3),Atualizações!$E$1:$E$580),"NÃO")</f>
        <v>NÃO</v>
      </c>
      <c r="S110" s="205" t="str" cm="1">
        <f t="array" ref="S110">IFERROR(LOOKUP(2,1/(Atualizações!$H$1:$H$580=Mapa!$B37&amp;Mapa!BL$3),Atualizações!$E$1:$E$580),"NÃO")</f>
        <v>NÃO</v>
      </c>
      <c r="T110" s="205" t="str" cm="1">
        <f t="array" ref="T110">IFERROR(LOOKUP(2,1/(Atualizações!$H$1:$H$580=Mapa!$B37&amp;Mapa!BM$3),Atualizações!$E$1:$E$580),"NÃO")</f>
        <v>NÃO</v>
      </c>
      <c r="U110" s="205" t="str" cm="1">
        <f t="array" ref="U110">IFERROR(LOOKUP(2,1/(Atualizações!$H$1:$H$580=Mapa!$B37&amp;Mapa!BN$3),Atualizações!$E$1:$E$580),"NÃO")</f>
        <v>NÃO</v>
      </c>
      <c r="V110" s="205" t="str" cm="1">
        <f t="array" ref="V110">IFERROR(LOOKUP(2,1/(Atualizações!$H$1:$H$580=Mapa!$B37&amp;Mapa!BO$3),Atualizações!$E$1:$E$580),"NÃO")</f>
        <v>NÃO</v>
      </c>
      <c r="W110" s="205" t="str" cm="1">
        <f t="array" ref="W110">IFERROR(LOOKUP(2,1/(Atualizações!$H$1:$H$580=Mapa!$B37&amp;Mapa!BP$3),Atualizações!$E$1:$E$580),"NÃO")</f>
        <v>NÃO</v>
      </c>
      <c r="X110" s="205" t="str" cm="1">
        <f t="array" ref="X110">IFERROR(LOOKUP(2,1/(Atualizações!$H$1:$H$580=Mapa!$B37&amp;Mapa!BQ$3),Atualizações!$E$1:$E$580),"NÃO")</f>
        <v>NÃO</v>
      </c>
      <c r="Y110" s="205" t="str" cm="1">
        <f t="array" ref="Y110">IFERROR(LOOKUP(2,1/(Atualizações!$H$1:$H$580=Mapa!$B37&amp;Mapa!BR$3),Atualizações!$E$1:$E$580),"NÃO")</f>
        <v>NÃO</v>
      </c>
      <c r="Z110" s="205" cm="1">
        <f t="array" ref="Z110">IFERROR(LOOKUP(2,1/(Atualizações!$H$1:$H$1029=Mapa!$B37&amp;Mapa!BS$3),Atualizações!$E$1:$E$1029),"NÃO")</f>
        <v>1</v>
      </c>
      <c r="AA110" s="205" t="str" cm="1">
        <f t="array" ref="AA110">IFERROR(LOOKUP(2,1/(Atualizações!$H$1:$H$1029=Mapa!$B37&amp;Mapa!BT$3),Atualizações!$E$1:$E$1029),"NÃO")</f>
        <v>NÃO</v>
      </c>
      <c r="AB110" s="205" t="str" cm="1">
        <f t="array" ref="AB110">IFERROR(LOOKUP(2,1/(Atualizações!$H$1:$H$1029=Mapa!$B37&amp;Mapa!BU$3),Atualizações!$E$1:$E$1029),"NÃO")</f>
        <v>NÃO</v>
      </c>
      <c r="AC110" s="205" t="str" cm="1">
        <f t="array" ref="AC110">IFERROR(LOOKUP(2,1/(Atualizações!$H$1:$H$1029=Mapa!$B37&amp;Mapa!BV$3),Atualizações!$E$1:$E$1029),"NÃO")</f>
        <v>NÃO</v>
      </c>
      <c r="AD110" s="205" t="str" cm="1">
        <f t="array" ref="AD110">IFERROR(LOOKUP(2,1/(Atualizações!$H$1:$H$1029=Mapa!$B37&amp;Mapa!BW$3),Atualizações!$E$1:$E$1029),"NÃO")</f>
        <v>NÃO</v>
      </c>
      <c r="AE110" s="205" t="str" cm="1">
        <f t="array" ref="AE110">IFERROR(LOOKUP(2,1/(Atualizações!$H$1:$H$1029=Mapa!$B37&amp;Mapa!BX$3),Atualizações!$E$1:$E$1029),"NÃO")</f>
        <v>NÃO</v>
      </c>
      <c r="AF110" s="205" t="str" cm="1">
        <f t="array" ref="AF110">IFERROR(LOOKUP(2,1/(Atualizações!$H$1:$H$1029=Mapa!$B37&amp;Mapa!BY$3),Atualizações!$E$1:$E$1029),"NÃO")</f>
        <v>NÃO</v>
      </c>
      <c r="AG110" s="205" t="str" cm="1">
        <f t="array" ref="AG110">IFERROR(LOOKUP(2,1/(Atualizações!$H$1:$H$1029=Mapa!$B37&amp;Mapa!BZ$3),Atualizações!$E$1:$E$1029),"NÃO")</f>
        <v>NÃO</v>
      </c>
      <c r="AH110" s="161" t="str" cm="1">
        <f t="array" ref="AH110">IFERROR(LOOKUP(2,1/(Atualizações!$H$1:$H$1029=Mapa!$B37&amp;Mapa!CA$3),Atualizações!$E$1:$E$1029),"NÃO")</f>
        <v>NÃO</v>
      </c>
      <c r="AI110" s="161" t="str" cm="1">
        <f t="array" ref="AI110">IFERROR(LOOKUP(2,1/(Atualizações!$H$1:$H$1029=Mapa!$B37&amp;Mapa!CB$3),Atualizações!$E$1:$E$1029),"NÃO")</f>
        <v>NÃO</v>
      </c>
      <c r="AJ110" s="161" t="str" cm="1">
        <f t="array" ref="AJ110">IFERROR(LOOKUP(2,1/(Atualizações!$H$1:$H$1029=Mapa!$B37&amp;Mapa!CC$3),Atualizações!$E$1:$E$1029),"NÃO")</f>
        <v>NÃO</v>
      </c>
      <c r="AK110" s="161" t="str" cm="1">
        <f t="array" ref="AK110">IFERROR(LOOKUP(2,1/(Atualizações!$H$1:$H$1029=Mapa!$B37&amp;Mapa!CD$3),Atualizações!$E$1:$E$1029),"NÃO")</f>
        <v>NÃO</v>
      </c>
      <c r="AL110" s="161" t="str" cm="1">
        <f t="array" ref="AL110">IFERROR(LOOKUP(2,1/(Atualizações!$H$1:$H$1265=Mapa!$B37&amp;Mapa!CE$3),Atualizações!$E$1:$E$2994),"NÃO")</f>
        <v>NÃO</v>
      </c>
      <c r="AM110" s="161" t="str" cm="1">
        <f t="array" ref="AM110">IFERROR(LOOKUP(2,1/(Atualizações!$H$1:$H$2994=Tb_Mapa[[#This Row],[SEI]]&amp;Mapa!CF$3),Atualizações!$E$1:$E$2994),"NÃO")</f>
        <v>NÃO</v>
      </c>
      <c r="AN110" s="161" cm="1">
        <f t="array" ref="AN110">IFERROR(LOOKUP(2,1/(Atualizações!$H$1:$H$2994=Tb_Mapa[[#This Row],[SEI]]&amp;Mapa!CG$3),Atualizações!$E$1:$E$2994),"NÃO")</f>
        <v>0.54</v>
      </c>
      <c r="AO110" s="161" cm="1">
        <f t="array" ref="AO110">IFERROR(LOOKUP(2,1/(Atualizações!$H$1:$H$2994=Tb_Mapa[[#This Row],[SEI]]&amp;Mapa!CH$3),Atualizações!$E$1:$E$2994),"NÃO")</f>
        <v>0.57999999999999996</v>
      </c>
      <c r="AP110" s="161" cm="1">
        <f t="array" ref="AP110">IFERROR(LOOKUP(2,1/(Atualizações!$H$1:$H$2994=Tb_Mapa[[#This Row],[SEI]]&amp;Mapa!CI$3),Atualizações!$E$1:$E$2994),"NÃO")</f>
        <v>0.64</v>
      </c>
      <c r="AQ110" s="161" cm="1">
        <f t="array" ref="AQ110">IFERROR(LOOKUP(2,1/(Atualizações!$H$1:$H$2994=Tb_Mapa[[#This Row],[SEI]]&amp;Mapa!CJ$3),Atualizações!$E$1:$E$2994),"NÃO")</f>
        <v>0.64</v>
      </c>
      <c r="AR110" s="161" t="str" cm="1">
        <f t="array" ref="AR110">IFERROR(LOOKUP(2,1/(Atualizações!$H$1:$H$2994=Tb_Mapa[[#This Row],[SEI]]&amp;Mapa!CK$3),Atualizações!$E$1:$E$2994),"NÃO")</f>
        <v>NÃO</v>
      </c>
      <c r="AS110" s="161" t="str" cm="1">
        <f t="array" ref="AS110">IFERROR(LOOKUP(2,1/(Atualizações!$H$1:$H$2994=Tb_Mapa[[#This Row],[SEI]]&amp;Mapa!CL$3),Atualizações!$E$1:$E$2994),"NÃO")</f>
        <v>NÃO</v>
      </c>
      <c r="AT110" s="161" t="str" cm="1">
        <f t="array" ref="AT110">IFERROR(LOOKUP(2,1/(Atualizações!$H$1:$H$2994=Tb_Mapa[[#This Row],[SEI]]&amp;Mapa!CM$3),Atualizações!$E$1:$E$2994),"NÃO")</f>
        <v>NÃO</v>
      </c>
      <c r="AU110" s="161" t="str" cm="1">
        <f t="array" ref="AU110">IFERROR(LOOKUP(2,1/(Atualizações!$H$1:$H$2994=Tb_Mapa[[#This Row],[SEI]]&amp;Mapa!CN$3),Atualizações!$E$1:$E$2994),"NÃO")</f>
        <v>NÃO</v>
      </c>
      <c r="AV110" s="161" t="str" cm="1">
        <f t="array" ref="AV110">IFERROR(LOOKUP(2,1/(Atualizações!$H$1:$H$2994=Tb_Mapa[[#This Row],[SEI]]&amp;Mapa!CO$3),Atualizações!$E$1:$E$2994),"NÃO")</f>
        <v>NÃO</v>
      </c>
      <c r="AW110" s="161" t="str" cm="1">
        <f t="array" ref="AW110">IFERROR(LOOKUP(2,1/(Atualizações!$H$1:$H$2994=Tb_Mapa[[#This Row],[SEI]]&amp;Mapa!CP$3),Atualizações!$E$1:$E$2994),"NÃO")</f>
        <v>NÃO</v>
      </c>
      <c r="AX110" s="161" t="str" cm="1">
        <f t="array" ref="AX110">IFERROR(LOOKUP(2,1/(Atualizações!$H$1:$H$2994=Tb_Mapa[[#This Row],[SEI]]&amp;Mapa!CQ$3),Atualizações!$E$1:$E$2994),"NÃO")</f>
        <v>NÃO</v>
      </c>
    </row>
    <row r="111" spans="2:50" ht="30" hidden="1">
      <c r="B111" s="51" t="s">
        <v>888</v>
      </c>
      <c r="C111" s="678" t="str">
        <f>_xlfn.XLOOKUP(Tb_Mapa[[#This Row],[SEI]],Tb_Portfólio[SEI],Tb_Portfólio[Portfólio 2025],"",0)</f>
        <v>Sim</v>
      </c>
      <c r="D111" s="158" t="str">
        <f>_xlfn.XLOOKUP(Tb_Mapa[[#This Row],[SEI]],Tb_Portfólio[SEI],Tb_Portfólio[Portfólio 2026],"",0)</f>
        <v>Não</v>
      </c>
      <c r="E111" s="162" t="str">
        <f>_xlfn.XLOOKUP(Tb_Mapa[[#This Row],[SEI]],Tb_Portfólio[SEI],Tb_Portfólio[PROJETO],"",0)</f>
        <v>Central de Regulação de Vagas (sistema penal)</v>
      </c>
      <c r="F111" s="170" t="str">
        <f>INDEX(Projetos!$G$3:$G$129,MATCH(B111,Projetos!$A$3:$A$129,0))</f>
        <v>Valdirene Daufemback</v>
      </c>
      <c r="G111" s="682" t="s">
        <v>1710</v>
      </c>
      <c r="H111" s="166" t="str">
        <f>INDEX(Projetos!$T$3:$T$129,MATCH(B111,Projetos!$A$3:$A$129,0))</f>
        <v>Fazendo Justiça</v>
      </c>
      <c r="I111" s="310">
        <f>INDEX(Projetos!$M$3:$M$129,MATCH(Mapa!B64,Projetos!$A$3:$A$129,0))</f>
        <v>46387</v>
      </c>
      <c r="J111" s="164" t="str">
        <f>IF(Tb_Mapa[[#This Row],[SITUAÇÃO]]="Finalizado", "Data atualizada", IFERROR(IF(I111&lt;$CN$3,"Atualizar data de encerramento","Data atualizada"),"Sem informação"))</f>
        <v>Data atualizada</v>
      </c>
      <c r="K111" s="311">
        <f>INDEX(Projetos!$N$3:$N$129,MATCH(Mapa!B64,Projetos!$A$3:$A$129,0))</f>
        <v>0.8</v>
      </c>
      <c r="L111" s="311">
        <f>INDEX(Projetos!$O$3:$O$129,MATCH(Mapa!B64,Projetos!$A$3:$A$129,0))</f>
        <v>0.55000000000000004</v>
      </c>
      <c r="M111" s="165" t="str">
        <f>_xlfn.XLOOKUP(Tb_Mapa[[#This Row],[SEI]],Tb_Portfólio[SEI],Tb_Portfólio[Situação],"N/A",0)</f>
        <v>Finalizado</v>
      </c>
      <c r="N111" s="128" t="str" cm="1">
        <f t="array" ref="N111">IFERROR(LOOKUP(2,1/(Atualizações!$H$1:$H$486=Mapa!$B64&amp;Mapa!BG$3),Atualizações!$E$1:$E$486),"NÃO")</f>
        <v>NÃO</v>
      </c>
      <c r="O111" s="205"/>
      <c r="P111" s="205"/>
      <c r="Q111" s="205"/>
      <c r="R111" s="205"/>
      <c r="S111" s="205"/>
      <c r="T111" s="205"/>
      <c r="U111" s="205"/>
      <c r="V111" s="205"/>
      <c r="W111" s="205"/>
      <c r="X111" s="205"/>
      <c r="Y111" s="205"/>
      <c r="Z111" s="205" cm="1">
        <f t="array" ref="Z111">IFERROR(LOOKUP(2,1/(Atualizações!$H$1:$H$1029=Mapa!$B64&amp;Mapa!BS$3),Atualizações!$E$1:$E$1029),"NÃO")</f>
        <v>0.64100000000000001</v>
      </c>
      <c r="AA111" s="205" cm="1">
        <f t="array" ref="AA111">IFERROR(LOOKUP(2,1/(Atualizações!$H$1:$H$1029=Mapa!$B64&amp;Mapa!BT$3),Atualizações!$E$1:$E$1029),"NÃO")</f>
        <v>0.65100000000000002</v>
      </c>
      <c r="AB111" s="205" cm="1">
        <f t="array" ref="AB111">IFERROR(LOOKUP(2,1/(Atualizações!$H$1:$H$1029=Mapa!$B64&amp;Mapa!BU$3),Atualizações!$E$1:$E$1029),"NÃO")</f>
        <v>0.66600000000000004</v>
      </c>
      <c r="AC111" s="205" cm="1">
        <f t="array" ref="AC111">IFERROR(LOOKUP(2,1/(Atualizações!$H$1:$H$1029=Mapa!$B64&amp;Mapa!BV$3),Atualizações!$E$1:$E$1029),"NÃO")</f>
        <v>0.66600000000000004</v>
      </c>
      <c r="AD111" s="205" cm="1">
        <f t="array" ref="AD111">IFERROR(LOOKUP(2,1/(Atualizações!$H$1:$H$1029=Mapa!$B64&amp;Mapa!BW$3),Atualizações!$E$1:$E$1029),"NÃO")</f>
        <v>0.66600000000000004</v>
      </c>
      <c r="AE111" s="205" cm="1">
        <f t="array" ref="AE111">IFERROR(LOOKUP(2,1/(Atualizações!$H$1:$H$1029=Mapa!$B64&amp;Mapa!BX$3),Atualizações!$E$1:$E$1029),"NÃO")</f>
        <v>0.67100000000000004</v>
      </c>
      <c r="AF111" s="205" cm="1">
        <f t="array" ref="AF111">IFERROR(LOOKUP(2,1/(Atualizações!$H$1:$H$1029=Mapa!$B64&amp;Mapa!BY$3),Atualizações!$E$1:$E$1029),"NÃO")</f>
        <v>0.71599999999999997</v>
      </c>
      <c r="AG111" s="205" cm="1">
        <f t="array" ref="AG111">IFERROR(LOOKUP(2,1/(Atualizações!$H$1:$H$1029=Mapa!$B64&amp;Mapa!BZ$3),Atualizações!$E$1:$E$1029),"NÃO")</f>
        <v>0.71599999999999997</v>
      </c>
      <c r="AH111" s="161" cm="1">
        <f t="array" ref="AH111">IFERROR(LOOKUP(2,1/(Atualizações!$H$1:$H$1029=Mapa!$B64&amp;Mapa!CA$3),Atualizações!$E$1:$E$1029),"NÃO")</f>
        <v>0.85</v>
      </c>
      <c r="AI111" s="161" cm="1">
        <f t="array" ref="AI111">IFERROR(LOOKUP(2,1/(Atualizações!$H$1:$H$1029=Mapa!$B64&amp;Mapa!CB$3),Atualizações!$E$1:$E$1029),"NÃO")</f>
        <v>0.95</v>
      </c>
      <c r="AJ111" s="161" cm="1">
        <f t="array" ref="AJ111">IFERROR(LOOKUP(2,1/(Atualizações!$H$1:$H$1029=Mapa!$B64&amp;Mapa!CC$3),Atualizações!$E$1:$E$1029),"NÃO")</f>
        <v>0.91</v>
      </c>
      <c r="AK111" s="161" cm="1">
        <f t="array" ref="AK111">IFERROR(LOOKUP(2,1/(Atualizações!$H$1:$H$1029=Mapa!$B64&amp;Mapa!CD$3),Atualizações!$E$1:$E$1029),"NÃO")</f>
        <v>0.9</v>
      </c>
      <c r="AL111" s="161" cm="1">
        <f t="array" ref="AL111">IFERROR(LOOKUP(2,1/(Atualizações!$H$1:$H$1265=Mapa!$B64&amp;Mapa!CE$3),Atualizações!$E$1:$E$2994),"NÃO")</f>
        <v>0.9</v>
      </c>
      <c r="AM111" s="161" t="str" cm="1">
        <f t="array" ref="AM111">IFERROR(LOOKUP(2,1/(Atualizações!$H$1:$H$2994=Tb_Mapa[[#This Row],[SEI]]&amp;Mapa!CF$3),Atualizações!$E$1:$E$2994),"NÃO")</f>
        <v>NÃO</v>
      </c>
      <c r="AN111" s="161" t="str" cm="1">
        <f t="array" ref="AN111">IFERROR(LOOKUP(2,1/(Atualizações!$H$1:$H$2994=Tb_Mapa[[#This Row],[SEI]]&amp;Mapa!CG$3),Atualizações!$E$1:$E$2994),"NÃO")</f>
        <v>NÃO</v>
      </c>
      <c r="AO111" s="161" t="str" cm="1">
        <f t="array" ref="AO111">IFERROR(LOOKUP(2,1/(Atualizações!$H$1:$H$2994=Tb_Mapa[[#This Row],[SEI]]&amp;Mapa!CH$3),Atualizações!$E$1:$E$2994),"NÃO")</f>
        <v>NÃO</v>
      </c>
      <c r="AP111" s="161" t="str" cm="1">
        <f t="array" ref="AP111">IFERROR(LOOKUP(2,1/(Atualizações!$H$1:$H$2994=Tb_Mapa[[#This Row],[SEI]]&amp;Mapa!CI$3),Atualizações!$E$1:$E$2994),"NÃO")</f>
        <v>NÃO</v>
      </c>
      <c r="AQ111" s="161" t="str" cm="1">
        <f t="array" ref="AQ111">IFERROR(LOOKUP(2,1/(Atualizações!$H$1:$H$2994=Tb_Mapa[[#This Row],[SEI]]&amp;Mapa!CJ$3),Atualizações!$E$1:$E$2994),"NÃO")</f>
        <v>NÃO</v>
      </c>
      <c r="AR111" s="161" t="str" cm="1">
        <f t="array" ref="AR111">IFERROR(LOOKUP(2,1/(Atualizações!$H$1:$H$2994=Tb_Mapa[[#This Row],[SEI]]&amp;Mapa!CK$3),Atualizações!$E$1:$E$2994),"NÃO")</f>
        <v>NÃO</v>
      </c>
      <c r="AS111" s="161" t="str" cm="1">
        <f t="array" ref="AS111">IFERROR(LOOKUP(2,1/(Atualizações!$H$1:$H$2994=Tb_Mapa[[#This Row],[SEI]]&amp;Mapa!CL$3),Atualizações!$E$1:$E$2994),"NÃO")</f>
        <v>NÃO</v>
      </c>
      <c r="AT111" s="161" t="str" cm="1">
        <f t="array" ref="AT111">IFERROR(LOOKUP(2,1/(Atualizações!$H$1:$H$2994=Tb_Mapa[[#This Row],[SEI]]&amp;Mapa!CM$3),Atualizações!$E$1:$E$2994),"NÃO")</f>
        <v>NÃO</v>
      </c>
      <c r="AU111" s="161" t="str" cm="1">
        <f t="array" ref="AU111">IFERROR(LOOKUP(2,1/(Atualizações!$H$1:$H$2994=Tb_Mapa[[#This Row],[SEI]]&amp;Mapa!CN$3),Atualizações!$E$1:$E$2994),"NÃO")</f>
        <v>NÃO</v>
      </c>
      <c r="AV111" s="161" t="str" cm="1">
        <f t="array" ref="AV111">IFERROR(LOOKUP(2,1/(Atualizações!$H$1:$H$2994=Tb_Mapa[[#This Row],[SEI]]&amp;Mapa!CO$3),Atualizações!$E$1:$E$2994),"NÃO")</f>
        <v>NÃO</v>
      </c>
      <c r="AW111" s="161" t="str" cm="1">
        <f t="array" ref="AW111">IFERROR(LOOKUP(2,1/(Atualizações!$H$1:$H$2994=Tb_Mapa[[#This Row],[SEI]]&amp;Mapa!CP$3),Atualizações!$E$1:$E$2994),"NÃO")</f>
        <v>NÃO</v>
      </c>
      <c r="AX111" s="161" t="str" cm="1">
        <f t="array" ref="AX111">IFERROR(LOOKUP(2,1/(Atualizações!$H$1:$H$2994=Tb_Mapa[[#This Row],[SEI]]&amp;Mapa!CQ$3),Atualizações!$E$1:$E$2994),"NÃO")</f>
        <v>NÃO</v>
      </c>
    </row>
    <row r="112" spans="2:50" ht="30" hidden="1">
      <c r="B112" s="678" t="s">
        <v>502</v>
      </c>
      <c r="C112" s="678" t="str">
        <f>_xlfn.XLOOKUP(Tb_Mapa[[#This Row],[SEI]],Tb_Portfólio[SEI],Tb_Portfólio[Portfólio 2025],"",0)</f>
        <v>Não</v>
      </c>
      <c r="D112" s="158" t="str">
        <f>_xlfn.XLOOKUP(Tb_Mapa[[#This Row],[SEI]],Tb_Portfólio[SEI],Tb_Portfólio[Portfólio 2026],"",0)</f>
        <v>Não</v>
      </c>
      <c r="E112" s="679" t="str">
        <f>_xlfn.XLOOKUP(Tb_Mapa[[#This Row],[SEI]],Tb_Portfólio[SEI],Tb_Portfólio[PROJETO],"",0)</f>
        <v>Plano Nacional de Inovação no Poder Judiciário</v>
      </c>
      <c r="F112" s="680" t="str">
        <f>INDEX(Projetos!$G$3:$G$129,MATCH(B112,Projetos!$A$3:$A$129,0))</f>
        <v>Wilfredo Enriqye Pires Pacheco</v>
      </c>
      <c r="G112" s="682" t="s">
        <v>1720</v>
      </c>
      <c r="H112" s="166" t="str">
        <f>INDEX(Projetos!$T$3:$T$129,MATCH(B112,Projetos!$A$3:$A$129,0))</f>
        <v>Justiça 4.0</v>
      </c>
      <c r="I112" s="318">
        <f>INDEX(Projetos!$M$3:$M$129,MATCH(Mapa!B19,Projetos!$A$3:$A$129,0))</f>
        <v>45657</v>
      </c>
      <c r="J112" s="164" t="str">
        <f>IF(Tb_Mapa[[#This Row],[SITUAÇÃO]]="Finalizado", "Data atualizada", IFERROR(IF(I112&lt;$CN$3,"Atualizar data de encerramento","Data atualizada"),"Sem informação"))</f>
        <v>Data atualizada</v>
      </c>
      <c r="K112" s="319">
        <f>INDEX(Projetos!$N$3:$N$129,MATCH(Mapa!B19,Projetos!$A$3:$A$129,0))</f>
        <v>1</v>
      </c>
      <c r="L112" s="319">
        <f>INDEX(Projetos!$O$3:$O$129,MATCH(Mapa!B19,Projetos!$A$3:$A$129,0))</f>
        <v>1</v>
      </c>
      <c r="M112" s="165" t="str">
        <f>_xlfn.XLOOKUP(Tb_Mapa[[#This Row],[SEI]],Tb_Portfólio[SEI],Tb_Portfólio[Situação],"N/A",0)</f>
        <v>Finalizado</v>
      </c>
      <c r="N112" s="128" t="str" cm="1">
        <f t="array" ref="N112">IFERROR(LOOKUP(2,1/(Atualizações!$H$1:$H$486=Mapa!$B19&amp;Mapa!BG$3),Atualizações!$E$1:$E$486),"NÃO")</f>
        <v>NÃO</v>
      </c>
      <c r="O112" s="205" t="str" cm="1">
        <f t="array" ref="O112">IFERROR(LOOKUP(2,1/(Atualizações!$H$1:$H$580=Mapa!$B19&amp;Mapa!BH$3),Atualizações!$E$1:$E$580),"NÃO")</f>
        <v>NÃO</v>
      </c>
      <c r="P112" s="205" t="str" cm="1">
        <f t="array" ref="P112">IFERROR(LOOKUP(2,1/(Atualizações!$H$1:$H$580=Mapa!$B19&amp;Mapa!BI$3),Atualizações!$E$1:$E$580),"NÃO")</f>
        <v>NÃO</v>
      </c>
      <c r="Q112" s="205" t="str" cm="1">
        <f t="array" ref="Q112">IFERROR(LOOKUP(2,1/(Atualizações!$H$1:$H$580=Mapa!$B19&amp;Mapa!BJ$3),Atualizações!$E$1:$E$580),"NÃO")</f>
        <v>NÃO</v>
      </c>
      <c r="R112" s="205" t="str" cm="1">
        <f t="array" ref="R112">IFERROR(LOOKUP(2,1/(Atualizações!$H$1:$H$580=Mapa!$B19&amp;Mapa!BK$3),Atualizações!$E$1:$E$580),"NÃO")</f>
        <v>NÃO</v>
      </c>
      <c r="S112" s="205" t="str" cm="1">
        <f t="array" ref="S112">IFERROR(LOOKUP(2,1/(Atualizações!$H$1:$H$580=Mapa!$B19&amp;Mapa!BL$3),Atualizações!$E$1:$E$580),"NÃO")</f>
        <v>NÃO</v>
      </c>
      <c r="T112" s="205" t="str" cm="1">
        <f t="array" ref="T112">IFERROR(LOOKUP(2,1/(Atualizações!$H$1:$H$580=Mapa!$B19&amp;Mapa!BM$3),Atualizações!$E$1:$E$580),"NÃO")</f>
        <v>NÃO</v>
      </c>
      <c r="U112" s="205" t="str" cm="1">
        <f t="array" ref="U112">IFERROR(LOOKUP(2,1/(Atualizações!$H$1:$H$580=Mapa!$B19&amp;Mapa!BN$3),Atualizações!$E$1:$E$580),"NÃO")</f>
        <v>NÃO</v>
      </c>
      <c r="V112" s="205" t="str" cm="1">
        <f t="array" ref="V112">IFERROR(LOOKUP(2,1/(Atualizações!$H$1:$H$580=Mapa!$B19&amp;Mapa!BO$3),Atualizações!$E$1:$E$580),"NÃO")</f>
        <v>NÃO</v>
      </c>
      <c r="W112" s="205" t="str" cm="1">
        <f t="array" ref="W112">IFERROR(LOOKUP(2,1/(Atualizações!$H$1:$H$580=Mapa!$B19&amp;Mapa!BP$3),Atualizações!$E$1:$E$580),"NÃO")</f>
        <v>NÃO</v>
      </c>
      <c r="X112" s="205" t="str" cm="1">
        <f t="array" ref="X112">IFERROR(LOOKUP(2,1/(Atualizações!$H$1:$H$580=Mapa!$B19&amp;Mapa!BQ$3),Atualizações!$E$1:$E$580),"NÃO")</f>
        <v>NÃO</v>
      </c>
      <c r="Y112" s="205" t="str" cm="1">
        <f t="array" ref="Y112">IFERROR(LOOKUP(2,1/(Atualizações!$H$1:$H$580=Mapa!$B19&amp;Mapa!BR$3),Atualizações!$E$1:$E$580),"NÃO")</f>
        <v>NÃO</v>
      </c>
      <c r="Z112" s="161" cm="1">
        <f t="array" ref="Z112">IFERROR(LOOKUP(2,1/(Atualizações!$H$1:$H$1029=Mapa!$B19&amp;Mapa!BS$3),Atualizações!$E$1:$E$1029),"NÃO")</f>
        <v>1</v>
      </c>
      <c r="AA112" s="161" t="str" cm="1">
        <f t="array" ref="AA112">IFERROR(LOOKUP(2,1/(Atualizações!$H$1:$H$1029=Mapa!$B19&amp;Mapa!BT$3),Atualizações!$E$1:$E$1029),"NÃO")</f>
        <v>NÃO</v>
      </c>
      <c r="AB112" s="161" t="str" cm="1">
        <f t="array" ref="AB112">IFERROR(LOOKUP(2,1/(Atualizações!$H$1:$H$1029=Mapa!$B19&amp;Mapa!BU$3),Atualizações!$E$1:$E$1029),"NÃO")</f>
        <v>NÃO</v>
      </c>
      <c r="AC112" s="161" t="str" cm="1">
        <f t="array" ref="AC112">IFERROR(LOOKUP(2,1/(Atualizações!$H$1:$H$1029=Mapa!$B19&amp;Mapa!BV$3),Atualizações!$E$1:$E$1029),"NÃO")</f>
        <v>NÃO</v>
      </c>
      <c r="AD112" s="161" t="str" cm="1">
        <f t="array" ref="AD112">IFERROR(LOOKUP(2,1/(Atualizações!$H$1:$H$1029=Mapa!$B19&amp;Mapa!BW$3),Atualizações!$E$1:$E$1029),"NÃO")</f>
        <v>NÃO</v>
      </c>
      <c r="AE112" s="161" t="str" cm="1">
        <f t="array" ref="AE112">IFERROR(LOOKUP(2,1/(Atualizações!$H$1:$H$1029=Mapa!$B19&amp;Mapa!BX$3),Atualizações!$E$1:$E$1029),"NÃO")</f>
        <v>NÃO</v>
      </c>
      <c r="AF112" s="161" t="str" cm="1">
        <f t="array" ref="AF112">IFERROR(LOOKUP(2,1/(Atualizações!$H$1:$H$1029=Mapa!$B19&amp;Mapa!BY$3),Atualizações!$E$1:$E$1029),"NÃO")</f>
        <v>NÃO</v>
      </c>
      <c r="AG112" s="161" t="str" cm="1">
        <f t="array" ref="AG112">IFERROR(LOOKUP(2,1/(Atualizações!$H$1:$H$1029=Mapa!$B19&amp;Mapa!BZ$3),Atualizações!$E$1:$E$1029),"NÃO")</f>
        <v>NÃO</v>
      </c>
      <c r="AH112" s="161" t="str" cm="1">
        <f t="array" ref="AH112">IFERROR(LOOKUP(2,1/(Atualizações!$H$1:$H$1029=Mapa!$B19&amp;Mapa!CA$3),Atualizações!$E$1:$E$1029),"NÃO")</f>
        <v>NÃO</v>
      </c>
      <c r="AI112" s="161" t="str" cm="1">
        <f t="array" ref="AI112">IFERROR(LOOKUP(2,1/(Atualizações!$H$1:$H$1029=Mapa!$B19&amp;Mapa!CB$3),Atualizações!$E$1:$E$1029),"NÃO")</f>
        <v>NÃO</v>
      </c>
      <c r="AJ112" s="161" t="str" cm="1">
        <f t="array" ref="AJ112">IFERROR(LOOKUP(2,1/(Atualizações!$H$1:$H$1029=Mapa!$B19&amp;Mapa!CC$3),Atualizações!$E$1:$E$1029),"NÃO")</f>
        <v>NÃO</v>
      </c>
      <c r="AK112" s="161" t="str" cm="1">
        <f t="array" ref="AK112">IFERROR(LOOKUP(2,1/(Atualizações!$H$1:$H$1029=Mapa!$B19&amp;Mapa!CD$3),Atualizações!$E$1:$E$1029),"NÃO")</f>
        <v>NÃO</v>
      </c>
      <c r="AL112" s="161" t="str" cm="1">
        <f t="array" ref="AL112">IFERROR(LOOKUP(2,1/(Atualizações!$H$1:$H$1265=Mapa!$B19&amp;Mapa!CE$3),Atualizações!$E$1:$E$2994),"NÃO")</f>
        <v>NÃO</v>
      </c>
      <c r="AM112" s="161" t="str" cm="1">
        <f t="array" ref="AM112">IFERROR(LOOKUP(2,1/(Atualizações!$H$1:$H$2994=Tb_Mapa[[#This Row],[SEI]]&amp;Mapa!CF$3),Atualizações!$E$1:$E$2994),"NÃO")</f>
        <v>NÃO</v>
      </c>
      <c r="AN112" s="161" t="str" cm="1">
        <f t="array" ref="AN112">IFERROR(LOOKUP(2,1/(Atualizações!$H$1:$H$2994=Tb_Mapa[[#This Row],[SEI]]&amp;Mapa!CG$3),Atualizações!$E$1:$E$2994),"NÃO")</f>
        <v>NÃO</v>
      </c>
      <c r="AO112" s="161" t="str" cm="1">
        <f t="array" ref="AO112">IFERROR(LOOKUP(2,1/(Atualizações!$H$1:$H$2994=Tb_Mapa[[#This Row],[SEI]]&amp;Mapa!CH$3),Atualizações!$E$1:$E$2994),"NÃO")</f>
        <v>NÃO</v>
      </c>
      <c r="AP112" s="161" t="str" cm="1">
        <f t="array" ref="AP112">IFERROR(LOOKUP(2,1/(Atualizações!$H$1:$H$2994=Tb_Mapa[[#This Row],[SEI]]&amp;Mapa!CI$3),Atualizações!$E$1:$E$2994),"NÃO")</f>
        <v>NÃO</v>
      </c>
      <c r="AQ112" s="161" t="str" cm="1">
        <f t="array" ref="AQ112">IFERROR(LOOKUP(2,1/(Atualizações!$H$1:$H$2994=Tb_Mapa[[#This Row],[SEI]]&amp;Mapa!CJ$3),Atualizações!$E$1:$E$2994),"NÃO")</f>
        <v>NÃO</v>
      </c>
      <c r="AR112" s="161" t="str" cm="1">
        <f t="array" ref="AR112">IFERROR(LOOKUP(2,1/(Atualizações!$H$1:$H$2994=Tb_Mapa[[#This Row],[SEI]]&amp;Mapa!CK$3),Atualizações!$E$1:$E$2994),"NÃO")</f>
        <v>NÃO</v>
      </c>
      <c r="AS112" s="161" t="str" cm="1">
        <f t="array" ref="AS112">IFERROR(LOOKUP(2,1/(Atualizações!$H$1:$H$2994=Tb_Mapa[[#This Row],[SEI]]&amp;Mapa!CL$3),Atualizações!$E$1:$E$2994),"NÃO")</f>
        <v>NÃO</v>
      </c>
      <c r="AT112" s="161" t="str" cm="1">
        <f t="array" ref="AT112">IFERROR(LOOKUP(2,1/(Atualizações!$H$1:$H$2994=Tb_Mapa[[#This Row],[SEI]]&amp;Mapa!CM$3),Atualizações!$E$1:$E$2994),"NÃO")</f>
        <v>NÃO</v>
      </c>
      <c r="AU112" s="161" t="str" cm="1">
        <f t="array" ref="AU112">IFERROR(LOOKUP(2,1/(Atualizações!$H$1:$H$2994=Tb_Mapa[[#This Row],[SEI]]&amp;Mapa!CN$3),Atualizações!$E$1:$E$2994),"NÃO")</f>
        <v>NÃO</v>
      </c>
      <c r="AV112" s="161" t="str" cm="1">
        <f t="array" ref="AV112">IFERROR(LOOKUP(2,1/(Atualizações!$H$1:$H$2994=Tb_Mapa[[#This Row],[SEI]]&amp;Mapa!CO$3),Atualizações!$E$1:$E$2994),"NÃO")</f>
        <v>NÃO</v>
      </c>
      <c r="AW112" s="161" t="str" cm="1">
        <f t="array" ref="AW112">IFERROR(LOOKUP(2,1/(Atualizações!$H$1:$H$2994=Tb_Mapa[[#This Row],[SEI]]&amp;Mapa!CP$3),Atualizações!$E$1:$E$2994),"NÃO")</f>
        <v>NÃO</v>
      </c>
      <c r="AX112" s="161" t="str" cm="1">
        <f t="array" ref="AX112">IFERROR(LOOKUP(2,1/(Atualizações!$H$1:$H$2994=Tb_Mapa[[#This Row],[SEI]]&amp;Mapa!CQ$3),Atualizações!$E$1:$E$2994),"NÃO")</f>
        <v>NÃO</v>
      </c>
    </row>
    <row r="113" spans="2:50" ht="30">
      <c r="B113" s="51" t="s">
        <v>722</v>
      </c>
      <c r="C113" s="51" t="str">
        <f>_xlfn.XLOOKUP(Tb_Mapa[[#This Row],[SEI]],Tb_Portfólio[SEI],Tb_Portfólio[Portfólio 2025],"",0)</f>
        <v>Sim</v>
      </c>
      <c r="D113" s="158" t="str">
        <f>_xlfn.XLOOKUP(Tb_Mapa[[#This Row],[SEI]],Tb_Portfólio[SEI],Tb_Portfólio[Portfólio 2026],"",0)</f>
        <v>Sim</v>
      </c>
      <c r="E113" s="679" t="str">
        <f>_xlfn.XLOOKUP(Tb_Mapa[[#This Row],[SEI]],Tb_Portfólio[SEI],Tb_Portfólio[PROJETO],"",0)</f>
        <v>Serviços Estruturantes - Melhorias Evolutivas e Corretivas</v>
      </c>
      <c r="F113" s="143" t="str">
        <f>INDEX(Projetos!$G$3:$G$129,MATCH(Tb_Mapa[[#This Row],[SEI]],Projetos!$A$3:$A$129,0))</f>
        <v>Marcos Cardoso</v>
      </c>
      <c r="G113" s="706" t="s">
        <v>1717</v>
      </c>
      <c r="H113" s="166" t="str">
        <f>INDEX(Projetos!$T$3:$T$129,MATCH(B113,Projetos!$A$3:$A$129,0))</f>
        <v>Justiça 4.0</v>
      </c>
      <c r="I113" s="310">
        <f>INDEX(Projetos!$M$3:$M$129,MATCH(Tb_Mapa[[#This Row],[SEI]],Projetos!$A$3:$A$129,0))</f>
        <v>46387</v>
      </c>
      <c r="J113" s="164" t="str">
        <f ca="1">IF(Tb_Mapa[[#This Row],[SITUAÇÃO]]="Finalizado", "Data atualizada", IFERROR(IF(Tb_Mapa[[#This Row],[DATA DE TÉRMINO]]&lt;$I$1,"Atualizar data de encerramento","Data atualizada"),"Sem informação"))</f>
        <v>Data atualizada</v>
      </c>
      <c r="K113" s="311">
        <f>INDEX(Projetos!$N$3:$N$129,MATCH(Tb_Mapa[[#This Row],[SEI]],Projetos!$A$3:$A$129,0))</f>
        <v>0.56000000000000005</v>
      </c>
      <c r="L113" s="311">
        <f>INDEX(Projetos!$O$3:$O$129,MATCH(Tb_Mapa[[#This Row],[SEI]],Projetos!$A$3:$A$129,0))</f>
        <v>0.56000000000000005</v>
      </c>
      <c r="M113" s="165" t="str">
        <f ca="1">_xlfn.XLOOKUP(Tb_Mapa[[#This Row],[SEI]],Tb_Portfólio[SEI],Tb_Portfólio[Situação],"N/A",0)</f>
        <v>No prazo</v>
      </c>
      <c r="N113" s="128" t="str" cm="1">
        <f t="array" ref="N113">IFERROR(LOOKUP(2,1/(Atualizações!$H$1:$H$486=Mapa!$B93&amp;Mapa!BG$3),Atualizações!$E$1:$E$486),"NÃO")</f>
        <v>NÃO</v>
      </c>
      <c r="O113" s="205"/>
      <c r="P113" s="205"/>
      <c r="Q113" s="205"/>
      <c r="R113" s="205"/>
      <c r="S113" s="205"/>
      <c r="T113" s="205"/>
      <c r="U113" s="205"/>
      <c r="V113" s="205"/>
      <c r="W113" s="205"/>
      <c r="X113" s="205"/>
      <c r="Y113" s="205"/>
      <c r="Z113" s="161" t="str" cm="1">
        <f t="array" ref="Z113">IFERROR(LOOKUP(2,1/(Atualizações!$H$1:$H$1029=Mapa!$B93&amp;Mapa!BS$3),Atualizações!$E$1:$E$1029),"NÃO")</f>
        <v>NÃO</v>
      </c>
      <c r="AA113" s="161" t="str" cm="1">
        <f t="array" ref="AA113">IFERROR(LOOKUP(2,1/(Atualizações!$H$1:$H$1029=Mapa!$B93&amp;Mapa!BT$3),Atualizações!$E$1:$E$1029),"NÃO")</f>
        <v>NÃO</v>
      </c>
      <c r="AB113" s="161" cm="1">
        <f t="array" ref="AB113">IFERROR(LOOKUP(2,1/(Atualizações!$H$1:$H$1029=Mapa!$B93&amp;Mapa!BU$3),Atualizações!$E$1:$E$1029),"NÃO")</f>
        <v>1</v>
      </c>
      <c r="AC113" s="161" t="str" cm="1">
        <f t="array" ref="AC113">IFERROR(LOOKUP(2,1/(Atualizações!$H$1:$H$1029=Mapa!$B93&amp;Mapa!BV$3),Atualizações!$E$1:$E$1029),"NÃO")</f>
        <v>NÃO</v>
      </c>
      <c r="AD113" s="161" t="str" cm="1">
        <f t="array" ref="AD113">IFERROR(LOOKUP(2,1/(Atualizações!$H$1:$H$1029=Mapa!$B93&amp;Mapa!BW$3),Atualizações!$E$1:$E$1029),"NÃO")</f>
        <v>NÃO</v>
      </c>
      <c r="AE113" s="161" t="str" cm="1">
        <f t="array" ref="AE113">IFERROR(LOOKUP(2,1/(Atualizações!$H$1:$H$1029=Mapa!$B93&amp;Mapa!BX$3),Atualizações!$E$1:$E$1029),"NÃO")</f>
        <v>NÃO</v>
      </c>
      <c r="AF113" s="161" t="str" cm="1">
        <f t="array" ref="AF113">IFERROR(LOOKUP(2,1/(Atualizações!$H$1:$H$1029=Mapa!$B93&amp;Mapa!BY$3),Atualizações!$E$1:$E$1029),"NÃO")</f>
        <v>NÃO</v>
      </c>
      <c r="AG113" s="161" t="str" cm="1">
        <f t="array" ref="AG113">IFERROR(LOOKUP(2,1/(Atualizações!$H$1:$H$1029=Mapa!$B93&amp;Mapa!BZ$3),Atualizações!$E$1:$E$1029),"NÃO")</f>
        <v>NÃO</v>
      </c>
      <c r="AH113" s="161" t="str" cm="1">
        <f t="array" ref="AH113">IFERROR(LOOKUP(2,1/(Atualizações!$H$1:$H$1029=Mapa!$B93&amp;Mapa!CA$3),Atualizações!$E$1:$E$1029),"NÃO")</f>
        <v>NÃO</v>
      </c>
      <c r="AI113" s="161" t="str" cm="1">
        <f t="array" ref="AI113">IFERROR(LOOKUP(2,1/(Atualizações!$H$1:$H$1029=Mapa!$B93&amp;Mapa!CB$3),Atualizações!$E$1:$E$1029),"NÃO")</f>
        <v>NÃO</v>
      </c>
      <c r="AJ113" s="161" t="str" cm="1">
        <f t="array" ref="AJ113">IFERROR(LOOKUP(2,1/(Atualizações!$H$1:$H$1029=Mapa!$B93&amp;Mapa!CC$3),Atualizações!$E$1:$E$1029),"NÃO")</f>
        <v>NÃO</v>
      </c>
      <c r="AK113" s="161" t="str" cm="1">
        <f t="array" ref="AK113">IFERROR(LOOKUP(2,1/(Atualizações!$H$1:$H$1029=Mapa!$B93&amp;Mapa!CD$3),Atualizações!$E$1:$E$1029),"NÃO")</f>
        <v>NÃO</v>
      </c>
      <c r="AL113" s="161" t="str" cm="1">
        <f t="array" ref="AL113">IFERROR(LOOKUP(2,1/(Atualizações!$H$1:$H$1265=Mapa!$B93&amp;Mapa!CE$3),Atualizações!$E$1:$E$2994),"NÃO")</f>
        <v>NÃO</v>
      </c>
      <c r="AM113" s="161" t="str" cm="1">
        <f t="array" ref="AM113">IFERROR(LOOKUP(2,1/(Atualizações!$H$1:$H$2994=Tb_Mapa[[#This Row],[SEI]]&amp;Mapa!CF$3),Atualizações!$E$1:$E$2994),"NÃO")</f>
        <v>NÃO</v>
      </c>
      <c r="AN113" s="161" cm="1">
        <f t="array" ref="AN113">IFERROR(LOOKUP(2,1/(Atualizações!$H$1:$H$2994=Tb_Mapa[[#This Row],[SEI]]&amp;Mapa!CG$3),Atualizações!$E$1:$E$2994),"NÃO")</f>
        <v>0.55000000000000004</v>
      </c>
      <c r="AO113" s="161" cm="1">
        <f t="array" ref="AO113">IFERROR(LOOKUP(2,1/(Atualizações!$H$1:$H$2994=Tb_Mapa[[#This Row],[SEI]]&amp;Mapa!CH$3),Atualizações!$E$1:$E$2994),"NÃO")</f>
        <v>0.55000000000000004</v>
      </c>
      <c r="AP113" s="161" cm="1">
        <f t="array" ref="AP113">IFERROR(LOOKUP(2,1/(Atualizações!$H$1:$H$2994=Tb_Mapa[[#This Row],[SEI]]&amp;Mapa!CI$3),Atualizações!$E$1:$E$2994),"NÃO")</f>
        <v>0.56000000000000005</v>
      </c>
      <c r="AQ113" s="161" cm="1">
        <f t="array" ref="AQ113">IFERROR(LOOKUP(2,1/(Atualizações!$H$1:$H$2994=Tb_Mapa[[#This Row],[SEI]]&amp;Mapa!CJ$3),Atualizações!$E$1:$E$2994),"NÃO")</f>
        <v>0.56000000000000005</v>
      </c>
      <c r="AR113" s="161" t="str" cm="1">
        <f t="array" ref="AR113">IFERROR(LOOKUP(2,1/(Atualizações!$H$1:$H$2994=Tb_Mapa[[#This Row],[SEI]]&amp;Mapa!CK$3),Atualizações!$E$1:$E$2994),"NÃO")</f>
        <v>NÃO</v>
      </c>
      <c r="AS113" s="161" t="str" cm="1">
        <f t="array" ref="AS113">IFERROR(LOOKUP(2,1/(Atualizações!$H$1:$H$2994=Tb_Mapa[[#This Row],[SEI]]&amp;Mapa!CL$3),Atualizações!$E$1:$E$2994),"NÃO")</f>
        <v>NÃO</v>
      </c>
      <c r="AT113" s="161" t="str" cm="1">
        <f t="array" ref="AT113">IFERROR(LOOKUP(2,1/(Atualizações!$H$1:$H$2994=Tb_Mapa[[#This Row],[SEI]]&amp;Mapa!CM$3),Atualizações!$E$1:$E$2994),"NÃO")</f>
        <v>NÃO</v>
      </c>
      <c r="AU113" s="161" t="str" cm="1">
        <f t="array" ref="AU113">IFERROR(LOOKUP(2,1/(Atualizações!$H$1:$H$2994=Tb_Mapa[[#This Row],[SEI]]&amp;Mapa!CN$3),Atualizações!$E$1:$E$2994),"NÃO")</f>
        <v>NÃO</v>
      </c>
      <c r="AV113" s="161" t="str" cm="1">
        <f t="array" ref="AV113">IFERROR(LOOKUP(2,1/(Atualizações!$H$1:$H$2994=Tb_Mapa[[#This Row],[SEI]]&amp;Mapa!CO$3),Atualizações!$E$1:$E$2994),"NÃO")</f>
        <v>NÃO</v>
      </c>
      <c r="AW113" s="161" t="str" cm="1">
        <f t="array" ref="AW113">IFERROR(LOOKUP(2,1/(Atualizações!$H$1:$H$2994=Tb_Mapa[[#This Row],[SEI]]&amp;Mapa!CP$3),Atualizações!$E$1:$E$2994),"NÃO")</f>
        <v>NÃO</v>
      </c>
      <c r="AX113" s="161" t="str" cm="1">
        <f t="array" ref="AX113">IFERROR(LOOKUP(2,1/(Atualizações!$H$1:$H$2994=Tb_Mapa[[#This Row],[SEI]]&amp;Mapa!CQ$3),Atualizações!$E$1:$E$2994),"NÃO")</f>
        <v>NÃO</v>
      </c>
    </row>
    <row r="114" spans="2:50" ht="30" hidden="1">
      <c r="B114" s="51" t="s">
        <v>800</v>
      </c>
      <c r="C114" s="51" t="str">
        <f>_xlfn.XLOOKUP(Tb_Mapa[[#This Row],[SEI]],Tb_Portfólio[SEI],Tb_Portfólio[Portfólio 2025],"",0)</f>
        <v>Não</v>
      </c>
      <c r="D114" s="158" t="str">
        <f>_xlfn.XLOOKUP(Tb_Mapa[[#This Row],[SEI]],Tb_Portfólio[SEI],Tb_Portfólio[Portfólio 2026],"",0)</f>
        <v>Não</v>
      </c>
      <c r="E114" s="679" t="str">
        <f>_xlfn.XLOOKUP(Tb_Mapa[[#This Row],[SEI]],Tb_Portfólio[SEI],Tb_Portfólio[PROJETO],"",0)</f>
        <v>Sistema Eletrônico de Execução Unificado - SEEU (sistema penal)</v>
      </c>
      <c r="F114" s="170" t="str">
        <f>INDEX(Projetos!$G$3:$G$129,MATCH(B114,Projetos!$A$3:$A$129,0))</f>
        <v>Valdirene Daufemback</v>
      </c>
      <c r="G114" s="682" t="s">
        <v>1712</v>
      </c>
      <c r="H114" s="166" t="str">
        <f>INDEX(Projetos!$T$3:$T$129,MATCH(B114,Projetos!$A$3:$A$129,0))</f>
        <v>Fazendo Justiça</v>
      </c>
      <c r="I114" s="310" t="str">
        <f>INDEX(Projetos!$M$3:$M$129,MATCH(Mapa!B72,Projetos!$A$3:$A$129,0))</f>
        <v>31/12/2024</v>
      </c>
      <c r="J114" s="164" t="str">
        <f>IF(Tb_Mapa[[#This Row],[SITUAÇÃO]]="Finalizado", "Data atualizada", IFERROR(IF(I114&lt;$CN$3,"Atualizar data de encerramento","Data atualizada"),"Sem informação"))</f>
        <v>Data atualizada</v>
      </c>
      <c r="K114" s="311">
        <f>INDEX(Projetos!$N$3:$N$129,MATCH(Mapa!B72,Projetos!$A$3:$A$129,0))</f>
        <v>0.997</v>
      </c>
      <c r="L114" s="311">
        <f>INDEX(Projetos!$O$3:$O$129,MATCH(Mapa!B72,Projetos!$A$3:$A$129,0))</f>
        <v>1</v>
      </c>
      <c r="M114" s="165" t="str">
        <f>_xlfn.XLOOKUP(Tb_Mapa[[#This Row],[SEI]],Tb_Portfólio[SEI],Tb_Portfólio[Situação],"N/A",0)</f>
        <v>Finalizado</v>
      </c>
      <c r="N114" s="128" t="str" cm="1">
        <f t="array" ref="N114">IFERROR(LOOKUP(2,1/(Atualizações!$H$1:$H$486=Mapa!$B72&amp;Mapa!BG$3),Atualizações!$E$1:$E$486),"NÃO")</f>
        <v>NÃO</v>
      </c>
      <c r="O114" s="205"/>
      <c r="P114" s="205"/>
      <c r="Q114" s="205"/>
      <c r="R114" s="205"/>
      <c r="S114" s="205"/>
      <c r="T114" s="205"/>
      <c r="U114" s="205"/>
      <c r="V114" s="205"/>
      <c r="W114" s="205"/>
      <c r="X114" s="205"/>
      <c r="Y114" s="205"/>
      <c r="Z114" s="161" cm="1">
        <f t="array" ref="Z114">IFERROR(LOOKUP(2,1/(Atualizações!$H$1:$H$1029=Mapa!$B72&amp;Mapa!BS$3),Atualizações!$E$1:$E$1029),"NÃO")</f>
        <v>1</v>
      </c>
      <c r="AA114" s="161" t="str" cm="1">
        <f t="array" ref="AA114">IFERROR(LOOKUP(2,1/(Atualizações!$H$1:$H$1029=Mapa!$B72&amp;Mapa!BT$3),Atualizações!$E$1:$E$1029),"NÃO")</f>
        <v>NÃO</v>
      </c>
      <c r="AB114" s="161" t="str" cm="1">
        <f t="array" ref="AB114">IFERROR(LOOKUP(2,1/(Atualizações!$H$1:$H$1029=Mapa!$B72&amp;Mapa!BU$3),Atualizações!$E$1:$E$1029),"NÃO")</f>
        <v>NÃO</v>
      </c>
      <c r="AC114" s="161" t="str" cm="1">
        <f t="array" ref="AC114">IFERROR(LOOKUP(2,1/(Atualizações!$H$1:$H$1029=Mapa!$B72&amp;Mapa!BV$3),Atualizações!$E$1:$E$1029),"NÃO")</f>
        <v>NÃO</v>
      </c>
      <c r="AD114" s="161" t="str" cm="1">
        <f t="array" ref="AD114">IFERROR(LOOKUP(2,1/(Atualizações!$H$1:$H$1029=Mapa!$B72&amp;Mapa!BW$3),Atualizações!$E$1:$E$1029),"NÃO")</f>
        <v>NÃO</v>
      </c>
      <c r="AE114" s="161" t="str" cm="1">
        <f t="array" ref="AE114">IFERROR(LOOKUP(2,1/(Atualizações!$H$1:$H$1029=Mapa!$B72&amp;Mapa!BX$3),Atualizações!$E$1:$E$1029),"NÃO")</f>
        <v>NÃO</v>
      </c>
      <c r="AF114" s="161" t="str" cm="1">
        <f t="array" ref="AF114">IFERROR(LOOKUP(2,1/(Atualizações!$H$1:$H$1029=Mapa!$B72&amp;Mapa!BY$3),Atualizações!$E$1:$E$1029),"NÃO")</f>
        <v>NÃO</v>
      </c>
      <c r="AG114" s="161" t="str" cm="1">
        <f t="array" ref="AG114">IFERROR(LOOKUP(2,1/(Atualizações!$H$1:$H$1029=Mapa!$B72&amp;Mapa!BZ$3),Atualizações!$E$1:$E$1029),"NÃO")</f>
        <v>NÃO</v>
      </c>
      <c r="AH114" s="161" t="str" cm="1">
        <f t="array" ref="AH114">IFERROR(LOOKUP(2,1/(Atualizações!$H$1:$H$1029=Mapa!$B72&amp;Mapa!CA$3),Atualizações!$E$1:$E$1029),"NÃO")</f>
        <v>NÃO</v>
      </c>
      <c r="AI114" s="161" t="str" cm="1">
        <f t="array" ref="AI114">IFERROR(LOOKUP(2,1/(Atualizações!$H$1:$H$1029=Mapa!$B72&amp;Mapa!CB$3),Atualizações!$E$1:$E$1029),"NÃO")</f>
        <v>NÃO</v>
      </c>
      <c r="AJ114" s="161" t="str" cm="1">
        <f t="array" ref="AJ114">IFERROR(LOOKUP(2,1/(Atualizações!$H$1:$H$1029=Mapa!$B72&amp;Mapa!CC$3),Atualizações!$E$1:$E$1029),"NÃO")</f>
        <v>NÃO</v>
      </c>
      <c r="AK114" s="161" t="str" cm="1">
        <f t="array" ref="AK114">IFERROR(LOOKUP(2,1/(Atualizações!$H$1:$H$1029=Mapa!$B72&amp;Mapa!CD$3),Atualizações!$E$1:$E$1029),"NÃO")</f>
        <v>NÃO</v>
      </c>
      <c r="AL114" s="161" t="str" cm="1">
        <f t="array" ref="AL114">IFERROR(LOOKUP(2,1/(Atualizações!$H$1:$H$1265=Mapa!$B72&amp;Mapa!CE$3),Atualizações!$E$1:$E$2994),"NÃO")</f>
        <v>NÃO</v>
      </c>
      <c r="AM114" s="161" t="str" cm="1">
        <f t="array" ref="AM114">IFERROR(LOOKUP(2,1/(Atualizações!$H$1:$H$2994=Tb_Mapa[[#This Row],[SEI]]&amp;Mapa!CF$3),Atualizações!$E$1:$E$2994),"NÃO")</f>
        <v>NÃO</v>
      </c>
      <c r="AN114" s="161" t="str" cm="1">
        <f t="array" ref="AN114">IFERROR(LOOKUP(2,1/(Atualizações!$H$1:$H$2994=Tb_Mapa[[#This Row],[SEI]]&amp;Mapa!CG$3),Atualizações!$E$1:$E$2994),"NÃO")</f>
        <v>NÃO</v>
      </c>
      <c r="AO114" s="161" t="str" cm="1">
        <f t="array" ref="AO114">IFERROR(LOOKUP(2,1/(Atualizações!$H$1:$H$2994=Tb_Mapa[[#This Row],[SEI]]&amp;Mapa!CH$3),Atualizações!$E$1:$E$2994),"NÃO")</f>
        <v>NÃO</v>
      </c>
      <c r="AP114" s="161" t="str" cm="1">
        <f t="array" ref="AP114">IFERROR(LOOKUP(2,1/(Atualizações!$H$1:$H$2994=Tb_Mapa[[#This Row],[SEI]]&amp;Mapa!CI$3),Atualizações!$E$1:$E$2994),"NÃO")</f>
        <v>NÃO</v>
      </c>
      <c r="AQ114" s="161" t="str" cm="1">
        <f t="array" ref="AQ114">IFERROR(LOOKUP(2,1/(Atualizações!$H$1:$H$2994=Tb_Mapa[[#This Row],[SEI]]&amp;Mapa!CJ$3),Atualizações!$E$1:$E$2994),"NÃO")</f>
        <v>NÃO</v>
      </c>
      <c r="AR114" s="161" t="str" cm="1">
        <f t="array" ref="AR114">IFERROR(LOOKUP(2,1/(Atualizações!$H$1:$H$2994=Tb_Mapa[[#This Row],[SEI]]&amp;Mapa!CK$3),Atualizações!$E$1:$E$2994),"NÃO")</f>
        <v>NÃO</v>
      </c>
      <c r="AS114" s="161" t="str" cm="1">
        <f t="array" ref="AS114">IFERROR(LOOKUP(2,1/(Atualizações!$H$1:$H$2994=Tb_Mapa[[#This Row],[SEI]]&amp;Mapa!CL$3),Atualizações!$E$1:$E$2994),"NÃO")</f>
        <v>NÃO</v>
      </c>
      <c r="AT114" s="161" t="str" cm="1">
        <f t="array" ref="AT114">IFERROR(LOOKUP(2,1/(Atualizações!$H$1:$H$2994=Tb_Mapa[[#This Row],[SEI]]&amp;Mapa!CM$3),Atualizações!$E$1:$E$2994),"NÃO")</f>
        <v>NÃO</v>
      </c>
      <c r="AU114" s="161" t="str" cm="1">
        <f t="array" ref="AU114">IFERROR(LOOKUP(2,1/(Atualizações!$H$1:$H$2994=Tb_Mapa[[#This Row],[SEI]]&amp;Mapa!CN$3),Atualizações!$E$1:$E$2994),"NÃO")</f>
        <v>NÃO</v>
      </c>
      <c r="AV114" s="161" t="str" cm="1">
        <f t="array" ref="AV114">IFERROR(LOOKUP(2,1/(Atualizações!$H$1:$H$2994=Tb_Mapa[[#This Row],[SEI]]&amp;Mapa!CO$3),Atualizações!$E$1:$E$2994),"NÃO")</f>
        <v>NÃO</v>
      </c>
      <c r="AW114" s="161" t="str" cm="1">
        <f t="array" ref="AW114">IFERROR(LOOKUP(2,1/(Atualizações!$H$1:$H$2994=Tb_Mapa[[#This Row],[SEI]]&amp;Mapa!CP$3),Atualizações!$E$1:$E$2994),"NÃO")</f>
        <v>NÃO</v>
      </c>
      <c r="AX114" s="161" t="str" cm="1">
        <f t="array" ref="AX114">IFERROR(LOOKUP(2,1/(Atualizações!$H$1:$H$2994=Tb_Mapa[[#This Row],[SEI]]&amp;Mapa!CQ$3),Atualizações!$E$1:$E$2994),"NÃO")</f>
        <v>NÃO</v>
      </c>
    </row>
    <row r="115" spans="2:50" ht="30" hidden="1">
      <c r="B115" s="24" t="s">
        <v>539</v>
      </c>
      <c r="C115" s="24" t="str">
        <f>_xlfn.XLOOKUP(Tb_Mapa[[#This Row],[SEI]],Tb_Portfólio[SEI],Tb_Portfólio[Portfólio 2025],"",0)</f>
        <v>Sim</v>
      </c>
      <c r="D115" s="158" t="str">
        <f>_xlfn.XLOOKUP(Tb_Mapa[[#This Row],[SEI]],Tb_Portfólio[SEI],Tb_Portfólio[Portfólio 2026],"",0)</f>
        <v>Sim</v>
      </c>
      <c r="E115" s="711" t="str">
        <f>_xlfn.XLOOKUP(Tb_Mapa[[#This Row],[SEI]],Tb_Portfólio[SEI],Tb_Portfólio[PROJETO],"",0)</f>
        <v>Desenvolvimento do módulo de Sessão de Julgamento (PDPJ-Br)</v>
      </c>
      <c r="F115" s="143" t="str">
        <f>INDEX(Projetos!$G$3:$G$129,MATCH(Tb_Mapa[[#This Row],[SEI]],Projetos!$A$3:$A$129,0))</f>
        <v>Daniel Arêas Brito</v>
      </c>
      <c r="G115" s="678" t="s">
        <v>1710</v>
      </c>
      <c r="H115" s="166" t="str">
        <f>INDEX(Projetos!$T$3:$T$129,MATCH(B115,Projetos!$A$3:$A$129,0))</f>
        <v>Justiça 4.0</v>
      </c>
      <c r="I115" s="310">
        <f>INDEX(Projetos!$M$3:$M$129,MATCH(Tb_Mapa[[#This Row],[SEI]],Projetos!$A$3:$A$129,0))</f>
        <v>46387</v>
      </c>
      <c r="J115" s="164" t="str">
        <f ca="1">IF(Tb_Mapa[[#This Row],[SITUAÇÃO]]="Finalizado", "Data atualizada", IFERROR(IF(Tb_Mapa[[#This Row],[DATA DE TÉRMINO]]&lt;$I$1,"Atualizar data de encerramento","Data atualizada"),"Sem informação"))</f>
        <v>Data atualizada</v>
      </c>
      <c r="K115" s="311">
        <f>INDEX(Projetos!$N$3:$N$129,MATCH(Tb_Mapa[[#This Row],[SEI]],Projetos!$A$3:$A$129,0))</f>
        <v>0.74</v>
      </c>
      <c r="L115" s="311">
        <f>INDEX(Projetos!$O$3:$O$129,MATCH(Tb_Mapa[[#This Row],[SEI]],Projetos!$A$3:$A$129,0))</f>
        <v>0.43</v>
      </c>
      <c r="M115" s="165" t="str">
        <f ca="1">_xlfn.XLOOKUP(Tb_Mapa[[#This Row],[SEI]],Tb_Portfólio[SEI],Tb_Portfólio[Situação],"N/A",0)</f>
        <v>Atrasado ou Crítico</v>
      </c>
      <c r="N115" s="128" t="str" cm="1">
        <f t="array" ref="N115">IFERROR(LOOKUP(2,1/(Atualizações!$H$1:$H$486=Mapa!$B59&amp;Mapa!BG$3),Atualizações!$E$1:$E$486),"NÃO")</f>
        <v>NÃO</v>
      </c>
      <c r="O115" s="205"/>
      <c r="P115" s="205"/>
      <c r="Q115" s="205"/>
      <c r="R115" s="205"/>
      <c r="S115" s="205"/>
      <c r="T115" s="205"/>
      <c r="U115" s="205"/>
      <c r="V115" s="205"/>
      <c r="W115" s="205"/>
      <c r="X115" s="205"/>
      <c r="Y115" s="205"/>
      <c r="Z115" s="205" cm="1">
        <f t="array" ref="Z115">IFERROR(LOOKUP(2,1/(Atualizações!$H$1:$H$1029=Mapa!$B59&amp;Mapa!BS$3),Atualizações!$E$1:$E$1029),"NÃO")</f>
        <v>0.95799999999999996</v>
      </c>
      <c r="AA115" s="205" cm="1">
        <f t="array" ref="AA115">IFERROR(LOOKUP(2,1/(Atualizações!$H$1:$H$1029=Mapa!$B59&amp;Mapa!BT$3),Atualizações!$E$1:$E$1029),"NÃO")</f>
        <v>0.96299999999999997</v>
      </c>
      <c r="AB115" s="205" cm="1">
        <f t="array" ref="AB115">IFERROR(LOOKUP(2,1/(Atualizações!$H$1:$H$1029=Mapa!$B59&amp;Mapa!BU$3),Atualizações!$E$1:$E$1029),"NÃO")</f>
        <v>1</v>
      </c>
      <c r="AC115" s="205" t="str" cm="1">
        <f t="array" ref="AC115">IFERROR(LOOKUP(2,1/(Atualizações!$H$1:$H$1029=Mapa!$B59&amp;Mapa!BV$3),Atualizações!$E$1:$E$1029),"NÃO")</f>
        <v>NÃO</v>
      </c>
      <c r="AD115" s="205" t="str" cm="1">
        <f t="array" ref="AD115">IFERROR(LOOKUP(2,1/(Atualizações!$H$1:$H$1029=Mapa!$B59&amp;Mapa!BW$3),Atualizações!$E$1:$E$1029),"NÃO")</f>
        <v>NÃO</v>
      </c>
      <c r="AE115" s="205" t="str" cm="1">
        <f t="array" ref="AE115">IFERROR(LOOKUP(2,1/(Atualizações!$H$1:$H$1029=Mapa!$B59&amp;Mapa!BX$3),Atualizações!$E$1:$E$1029),"NÃO")</f>
        <v>NÃO</v>
      </c>
      <c r="AF115" s="205" t="str" cm="1">
        <f t="array" ref="AF115">IFERROR(LOOKUP(2,1/(Atualizações!$H$1:$H$1029=Mapa!$B59&amp;Mapa!BY$3),Atualizações!$E$1:$E$1029),"NÃO")</f>
        <v>NÃO</v>
      </c>
      <c r="AG115" s="205" t="str" cm="1">
        <f t="array" ref="AG115">IFERROR(LOOKUP(2,1/(Atualizações!$H$1:$H$1029=Mapa!$B59&amp;Mapa!BZ$3),Atualizações!$E$1:$E$1029),"NÃO")</f>
        <v>NÃO</v>
      </c>
      <c r="AH115" s="205" t="str" cm="1">
        <f t="array" ref="AH115">IFERROR(LOOKUP(2,1/(Atualizações!$H$1:$H$1029=Mapa!$B59&amp;Mapa!CA$3),Atualizações!$E$1:$E$1029),"NÃO")</f>
        <v>NÃO</v>
      </c>
      <c r="AI115" s="205" t="str" cm="1">
        <f t="array" ref="AI115">IFERROR(LOOKUP(2,1/(Atualizações!$H$1:$H$1029=Mapa!$B59&amp;Mapa!CB$3),Atualizações!$E$1:$E$1029),"NÃO")</f>
        <v>NÃO</v>
      </c>
      <c r="AJ115" s="205" t="str" cm="1">
        <f t="array" ref="AJ115">IFERROR(LOOKUP(2,1/(Atualizações!$H$1:$H$1029=Mapa!$B59&amp;Mapa!CC$3),Atualizações!$E$1:$E$1029),"NÃO")</f>
        <v>NÃO</v>
      </c>
      <c r="AK115" s="161" t="str" cm="1">
        <f t="array" ref="AK115">IFERROR(LOOKUP(2,1/(Atualizações!$H$1:$H$1029=Mapa!$B59&amp;Mapa!CD$3),Atualizações!$E$1:$E$1029),"NÃO")</f>
        <v>NÃO</v>
      </c>
      <c r="AL115" s="161" t="str" cm="1">
        <f t="array" ref="AL115">IFERROR(LOOKUP(2,1/(Atualizações!$H$1:$H$1265=Mapa!$B59&amp;Mapa!CE$3),Atualizações!$E$1:$E$2994),"NÃO")</f>
        <v>NÃO</v>
      </c>
      <c r="AM115" s="161" t="str" cm="1">
        <f t="array" ref="AM115">IFERROR(LOOKUP(2,1/(Atualizações!$H$1:$H$2994=Tb_Mapa[[#This Row],[SEI]]&amp;Mapa!CF$3),Atualizações!$E$1:$E$2994),"NÃO")</f>
        <v>NÃO</v>
      </c>
      <c r="AN115" s="161" cm="1">
        <f t="array" ref="AN115">IFERROR(LOOKUP(2,1/(Atualizações!$H$1:$H$2994=Tb_Mapa[[#This Row],[SEI]]&amp;Mapa!CG$3),Atualizações!$E$1:$E$2994),"NÃO")</f>
        <v>0.54</v>
      </c>
      <c r="AO115" s="161" cm="1">
        <f t="array" ref="AO115">IFERROR(LOOKUP(2,1/(Atualizações!$H$1:$H$2994=Tb_Mapa[[#This Row],[SEI]]&amp;Mapa!CH$3),Atualizações!$E$1:$E$2994),"NÃO")</f>
        <v>0.54</v>
      </c>
      <c r="AP115" s="161" cm="1">
        <f t="array" ref="AP115">IFERROR(LOOKUP(2,1/(Atualizações!$H$1:$H$2994=Tb_Mapa[[#This Row],[SEI]]&amp;Mapa!CI$3),Atualizações!$E$1:$E$2994),"NÃO")</f>
        <v>0.51</v>
      </c>
      <c r="AQ115" s="161" cm="1">
        <f t="array" ref="AQ115">IFERROR(LOOKUP(2,1/(Atualizações!$H$1:$H$2994=Tb_Mapa[[#This Row],[SEI]]&amp;Mapa!CJ$3),Atualizações!$E$1:$E$2994),"NÃO")</f>
        <v>0.43</v>
      </c>
      <c r="AR115" s="161" t="str" cm="1">
        <f t="array" ref="AR115">IFERROR(LOOKUP(2,1/(Atualizações!$H$1:$H$2994=Tb_Mapa[[#This Row],[SEI]]&amp;Mapa!CK$3),Atualizações!$E$1:$E$2994),"NÃO")</f>
        <v>NÃO</v>
      </c>
      <c r="AS115" s="161" t="str" cm="1">
        <f t="array" ref="AS115">IFERROR(LOOKUP(2,1/(Atualizações!$H$1:$H$2994=Tb_Mapa[[#This Row],[SEI]]&amp;Mapa!CL$3),Atualizações!$E$1:$E$2994),"NÃO")</f>
        <v>NÃO</v>
      </c>
      <c r="AT115" s="161" t="str" cm="1">
        <f t="array" ref="AT115">IFERROR(LOOKUP(2,1/(Atualizações!$H$1:$H$2994=Tb_Mapa[[#This Row],[SEI]]&amp;Mapa!CM$3),Atualizações!$E$1:$E$2994),"NÃO")</f>
        <v>NÃO</v>
      </c>
      <c r="AU115" s="161" t="str" cm="1">
        <f t="array" ref="AU115">IFERROR(LOOKUP(2,1/(Atualizações!$H$1:$H$2994=Tb_Mapa[[#This Row],[SEI]]&amp;Mapa!CN$3),Atualizações!$E$1:$E$2994),"NÃO")</f>
        <v>NÃO</v>
      </c>
      <c r="AV115" s="161" t="str" cm="1">
        <f t="array" ref="AV115">IFERROR(LOOKUP(2,1/(Atualizações!$H$1:$H$2994=Tb_Mapa[[#This Row],[SEI]]&amp;Mapa!CO$3),Atualizações!$E$1:$E$2994),"NÃO")</f>
        <v>NÃO</v>
      </c>
      <c r="AW115" s="161" t="str" cm="1">
        <f t="array" ref="AW115">IFERROR(LOOKUP(2,1/(Atualizações!$H$1:$H$2994=Tb_Mapa[[#This Row],[SEI]]&amp;Mapa!CP$3),Atualizações!$E$1:$E$2994),"NÃO")</f>
        <v>NÃO</v>
      </c>
      <c r="AX115" s="161" t="str" cm="1">
        <f t="array" ref="AX115">IFERROR(LOOKUP(2,1/(Atualizações!$H$1:$H$2994=Tb_Mapa[[#This Row],[SEI]]&amp;Mapa!CQ$3),Atualizações!$E$1:$E$2994),"NÃO")</f>
        <v>NÃO</v>
      </c>
    </row>
    <row r="116" spans="2:50" ht="30" hidden="1">
      <c r="B116" s="51" t="s">
        <v>509</v>
      </c>
      <c r="C116" s="51" t="str">
        <f>_xlfn.XLOOKUP(Tb_Mapa[[#This Row],[SEI]],Tb_Portfólio[SEI],Tb_Portfólio[Portfólio 2025],"",0)</f>
        <v>Sim</v>
      </c>
      <c r="D116" s="158" t="str">
        <f>_xlfn.XLOOKUP(Tb_Mapa[[#This Row],[SEI]],Tb_Portfólio[SEI],Tb_Portfólio[Portfólio 2026],"",0)</f>
        <v>Não</v>
      </c>
      <c r="E116" s="679" t="str">
        <f>_xlfn.XLOOKUP(Tb_Mapa[[#This Row],[SEI]],Tb_Portfólio[SEI],Tb_Portfólio[PROJETO],"",0)</f>
        <v>IA para Gestão de Precedentes Qualificados</v>
      </c>
      <c r="F116" s="170" t="str">
        <f>INDEX(Projetos!$G$3:$G$129,MATCH(B116,Projetos!$A$3:$A$129,0))</f>
        <v>Cristiany dos Santos Souza</v>
      </c>
      <c r="G116" s="682" t="s">
        <v>1720</v>
      </c>
      <c r="H116" s="166" t="str">
        <f>INDEX(Projetos!$T$3:$T$129,MATCH(B116,Projetos!$A$3:$A$129,0))</f>
        <v>Justiça 4.0</v>
      </c>
      <c r="I116" s="310">
        <f>INDEX(Projetos!$M$3:$M$129,MATCH(Mapa!B95,Projetos!$A$3:$A$129,0))</f>
        <v>46379</v>
      </c>
      <c r="J116" s="164" t="str">
        <f>IF(Tb_Mapa[[#This Row],[SITUAÇÃO]]="Finalizado", "Data atualizada", IFERROR(IF(I116&lt;$CN$3,"Atualizar data de encerramento","Data atualizada"),"Sem informação"))</f>
        <v>Data atualizada</v>
      </c>
      <c r="K116" s="311">
        <f>INDEX(Projetos!$N$3:$N$129,MATCH(Mapa!B95,Projetos!$A$3:$A$129,0))</f>
        <v>0.85</v>
      </c>
      <c r="L116" s="311">
        <f>INDEX(Projetos!$O$3:$O$129,MATCH(Mapa!B95,Projetos!$A$3:$A$129,0))</f>
        <v>0.66</v>
      </c>
      <c r="M116" s="165" t="str">
        <f>_xlfn.XLOOKUP(Tb_Mapa[[#This Row],[SEI]],Tb_Portfólio[SEI],Tb_Portfólio[Situação],"N/A",0)</f>
        <v>Finalizado</v>
      </c>
      <c r="N116" s="128" t="str" cm="1">
        <f t="array" ref="N116">IFERROR(LOOKUP(2,1/(Atualizações!$H$1:$H$486=Mapa!$B95&amp;Mapa!BG$3),Atualizações!$E$1:$E$486),"NÃO")</f>
        <v>NÃO</v>
      </c>
      <c r="O116" s="205"/>
      <c r="P116" s="205"/>
      <c r="Q116" s="205"/>
      <c r="R116" s="205"/>
      <c r="S116" s="205"/>
      <c r="T116" s="205"/>
      <c r="U116" s="205"/>
      <c r="V116" s="205"/>
      <c r="W116" s="205"/>
      <c r="X116" s="205"/>
      <c r="Y116" s="205"/>
      <c r="Z116" s="205" cm="1">
        <f t="array" ref="Z116">IFERROR(LOOKUP(2,1/(Atualizações!$H$1:$H$1029=Mapa!$B95&amp;Mapa!BS$3),Atualizações!$E$1:$E$1029),"NÃO")</f>
        <v>0.73</v>
      </c>
      <c r="AA116" s="205" cm="1">
        <f t="array" ref="AA116">IFERROR(LOOKUP(2,1/(Atualizações!$H$1:$H$1029=Mapa!$B95&amp;Mapa!BT$3),Atualizações!$E$1:$E$1029),"NÃO")</f>
        <v>0.73299999999999998</v>
      </c>
      <c r="AB116" s="205" cm="1">
        <f t="array" ref="AB116">IFERROR(LOOKUP(2,1/(Atualizações!$H$1:$H$1029=Mapa!$B95&amp;Mapa!BU$3),Atualizações!$E$1:$E$1029),"NÃO")</f>
        <v>0.84</v>
      </c>
      <c r="AC116" s="205" cm="1">
        <f t="array" ref="AC116">IFERROR(LOOKUP(2,1/(Atualizações!$H$1:$H$1029=Mapa!$B95&amp;Mapa!BV$3),Atualizações!$E$1:$E$1029),"NÃO")</f>
        <v>0.83099999999999996</v>
      </c>
      <c r="AD116" s="205" cm="1">
        <f t="array" ref="AD116">IFERROR(LOOKUP(2,1/(Atualizações!$H$1:$H$1029=Mapa!$B95&amp;Mapa!BW$3),Atualizações!$E$1:$E$1029),"NÃO")</f>
        <v>0.81499999999999995</v>
      </c>
      <c r="AE116" s="205" cm="1">
        <f t="array" ref="AE116">IFERROR(LOOKUP(2,1/(Atualizações!$H$1:$H$1029=Mapa!$B95&amp;Mapa!BX$3),Atualizações!$E$1:$E$1029),"NÃO")</f>
        <v>0.83399999999999996</v>
      </c>
      <c r="AF116" s="205" cm="1">
        <f t="array" ref="AF116">IFERROR(LOOKUP(2,1/(Atualizações!$H$1:$H$1029=Mapa!$B95&amp;Mapa!BY$3),Atualizações!$E$1:$E$1029),"NÃO")</f>
        <v>0.84699999999999998</v>
      </c>
      <c r="AG116" s="205" cm="1">
        <f t="array" ref="AG116">IFERROR(LOOKUP(2,1/(Atualizações!$H$1:$H$1029=Mapa!$B95&amp;Mapa!BZ$3),Atualizações!$E$1:$E$1029),"NÃO")</f>
        <v>0.85399999999999998</v>
      </c>
      <c r="AH116" s="205" cm="1">
        <f t="array" ref="AH116">IFERROR(LOOKUP(2,1/(Atualizações!$H$1:$H$1029=Mapa!$B95&amp;Mapa!CA$3),Atualizações!$E$1:$E$1029),"NÃO")</f>
        <v>0.84</v>
      </c>
      <c r="AI116" s="205" cm="1">
        <f t="array" ref="AI116">IFERROR(LOOKUP(2,1/(Atualizações!$H$1:$H$1029=Mapa!$B95&amp;Mapa!CB$3),Atualizações!$E$1:$E$1029),"NÃO")</f>
        <v>0.85</v>
      </c>
      <c r="AJ116" s="205" cm="1">
        <f t="array" ref="AJ116">IFERROR(LOOKUP(2,1/(Atualizações!$H$1:$H$1029=Mapa!$B95&amp;Mapa!CC$3),Atualizações!$E$1:$E$1029),"NÃO")</f>
        <v>0.86</v>
      </c>
      <c r="AK116" s="161" cm="1">
        <f t="array" ref="AK116">IFERROR(LOOKUP(2,1/(Atualizações!$H$1:$H$1029=Mapa!$B95&amp;Mapa!CD$3),Atualizações!$E$1:$E$1029),"NÃO")</f>
        <v>0.56000000000000005</v>
      </c>
      <c r="AL116" s="161" cm="1">
        <f t="array" ref="AL116">IFERROR(LOOKUP(2,1/(Atualizações!$H$1:$H$1265=Mapa!$B95&amp;Mapa!CE$3),Atualizações!$E$1:$E$2994),"NÃO")</f>
        <v>0.56999999999999995</v>
      </c>
      <c r="AM116" s="161" t="str" cm="1">
        <f t="array" ref="AM116">IFERROR(LOOKUP(2,1/(Atualizações!$H$1:$H$2994=Tb_Mapa[[#This Row],[SEI]]&amp;Mapa!CF$3),Atualizações!$E$1:$E$2994),"NÃO")</f>
        <v>NÃO</v>
      </c>
      <c r="AN116" s="161" t="str" cm="1">
        <f t="array" ref="AN116">IFERROR(LOOKUP(2,1/(Atualizações!$H$1:$H$2994=Tb_Mapa[[#This Row],[SEI]]&amp;Mapa!CG$3),Atualizações!$E$1:$E$2994),"NÃO")</f>
        <v>NÃO</v>
      </c>
      <c r="AO116" s="161" t="str" cm="1">
        <f t="array" ref="AO116">IFERROR(LOOKUP(2,1/(Atualizações!$H$1:$H$2994=Tb_Mapa[[#This Row],[SEI]]&amp;Mapa!CH$3),Atualizações!$E$1:$E$2994),"NÃO")</f>
        <v>NÃO</v>
      </c>
      <c r="AP116" s="161" t="str" cm="1">
        <f t="array" ref="AP116">IFERROR(LOOKUP(2,1/(Atualizações!$H$1:$H$2994=Tb_Mapa[[#This Row],[SEI]]&amp;Mapa!CI$3),Atualizações!$E$1:$E$2994),"NÃO")</f>
        <v>NÃO</v>
      </c>
      <c r="AQ116" s="161" t="str" cm="1">
        <f t="array" ref="AQ116">IFERROR(LOOKUP(2,1/(Atualizações!$H$1:$H$2994=Tb_Mapa[[#This Row],[SEI]]&amp;Mapa!CJ$3),Atualizações!$E$1:$E$2994),"NÃO")</f>
        <v>NÃO</v>
      </c>
      <c r="AR116" s="161" t="str" cm="1">
        <f t="array" ref="AR116">IFERROR(LOOKUP(2,1/(Atualizações!$H$1:$H$2994=Tb_Mapa[[#This Row],[SEI]]&amp;Mapa!CK$3),Atualizações!$E$1:$E$2994),"NÃO")</f>
        <v>NÃO</v>
      </c>
      <c r="AS116" s="161" t="str" cm="1">
        <f t="array" ref="AS116">IFERROR(LOOKUP(2,1/(Atualizações!$H$1:$H$2994=Tb_Mapa[[#This Row],[SEI]]&amp;Mapa!CL$3),Atualizações!$E$1:$E$2994),"NÃO")</f>
        <v>NÃO</v>
      </c>
      <c r="AT116" s="161" t="str" cm="1">
        <f t="array" ref="AT116">IFERROR(LOOKUP(2,1/(Atualizações!$H$1:$H$2994=Tb_Mapa[[#This Row],[SEI]]&amp;Mapa!CM$3),Atualizações!$E$1:$E$2994),"NÃO")</f>
        <v>NÃO</v>
      </c>
      <c r="AU116" s="161" t="str" cm="1">
        <f t="array" ref="AU116">IFERROR(LOOKUP(2,1/(Atualizações!$H$1:$H$2994=Tb_Mapa[[#This Row],[SEI]]&amp;Mapa!CN$3),Atualizações!$E$1:$E$2994),"NÃO")</f>
        <v>NÃO</v>
      </c>
      <c r="AV116" s="161" t="str" cm="1">
        <f t="array" ref="AV116">IFERROR(LOOKUP(2,1/(Atualizações!$H$1:$H$2994=Tb_Mapa[[#This Row],[SEI]]&amp;Mapa!CO$3),Atualizações!$E$1:$E$2994),"NÃO")</f>
        <v>NÃO</v>
      </c>
      <c r="AW116" s="161" t="str" cm="1">
        <f t="array" ref="AW116">IFERROR(LOOKUP(2,1/(Atualizações!$H$1:$H$2994=Tb_Mapa[[#This Row],[SEI]]&amp;Mapa!CP$3),Atualizações!$E$1:$E$2994),"NÃO")</f>
        <v>NÃO</v>
      </c>
      <c r="AX116" s="161" t="str" cm="1">
        <f t="array" ref="AX116">IFERROR(LOOKUP(2,1/(Atualizações!$H$1:$H$2994=Tb_Mapa[[#This Row],[SEI]]&amp;Mapa!CQ$3),Atualizações!$E$1:$E$2994),"NÃO")</f>
        <v>NÃO</v>
      </c>
    </row>
    <row r="117" spans="2:50" hidden="1">
      <c r="B117" s="51" t="s">
        <v>152</v>
      </c>
      <c r="C117" s="51" t="str">
        <f>_xlfn.XLOOKUP(Tb_Mapa[[#This Row],[SEI]],Tb_Portfólio[SEI],Tb_Portfólio[Portfólio 2025],"",0)</f>
        <v>Sim</v>
      </c>
      <c r="D117" s="158" t="str">
        <f>_xlfn.XLOOKUP(Tb_Mapa[[#This Row],[SEI]],Tb_Portfólio[SEI],Tb_Portfólio[Portfólio 2026],"",0)</f>
        <v>Sim</v>
      </c>
      <c r="E117" s="679" t="str">
        <f>_xlfn.XLOOKUP(Tb_Mapa[[#This Row],[SEI]],Tb_Portfólio[SEI],Tb_Portfólio[PROJETO],"",0)</f>
        <v>Painel da Fazenda Nacional.</v>
      </c>
      <c r="F117" s="143" t="str">
        <f>INDEX(Projetos!$G$3:$G$129,MATCH(Tb_Mapa[[#This Row],[SEI]],Projetos!$A$3:$A$129,0))</f>
        <v>André José da Silva Lima</v>
      </c>
      <c r="G117" s="702" t="s">
        <v>1710</v>
      </c>
      <c r="H117" s="166" t="str">
        <f>INDEX(Projetos!$T$3:$T$129,MATCH(B117,Projetos!$A$3:$A$129,0))</f>
        <v>Justiça 4.0</v>
      </c>
      <c r="I117" s="310">
        <f>INDEX(Projetos!$M$3:$M$129,MATCH(Tb_Mapa[[#This Row],[SEI]],Projetos!$A$3:$A$129,0))</f>
        <v>46387</v>
      </c>
      <c r="J117" s="164" t="str">
        <f ca="1">IF(Tb_Mapa[[#This Row],[SITUAÇÃO]]="Finalizado", "Data atualizada", IFERROR(IF(Tb_Mapa[[#This Row],[DATA DE TÉRMINO]]&lt;$I$1,"Atualizar data de encerramento","Data atualizada"),"Sem informação"))</f>
        <v>Data atualizada</v>
      </c>
      <c r="K117" s="311">
        <f>INDEX(Projetos!$N$3:$N$129,MATCH(Tb_Mapa[[#This Row],[SEI]],Projetos!$A$3:$A$129,0))</f>
        <v>0.67</v>
      </c>
      <c r="L117" s="311">
        <f>INDEX(Projetos!$O$3:$O$129,MATCH(Tb_Mapa[[#This Row],[SEI]],Projetos!$A$3:$A$129,0))</f>
        <v>0.51</v>
      </c>
      <c r="M117" s="165" t="str">
        <f ca="1">_xlfn.XLOOKUP(Tb_Mapa[[#This Row],[SEI]],Tb_Portfólio[SEI],Tb_Portfólio[Situação],"N/A",0)</f>
        <v>Atrasado ou Crítico</v>
      </c>
      <c r="N117" s="128" t="str" cm="1">
        <f t="array" ref="N117">IFERROR(LOOKUP(2,1/(Atualizações!$H$1:$H$486=Mapa!$B103&amp;Mapa!BG$3),Atualizações!$E$1:$E$486),"NÃO")</f>
        <v>NÃO</v>
      </c>
      <c r="O117" s="205"/>
      <c r="P117" s="205"/>
      <c r="Q117" s="205"/>
      <c r="R117" s="205"/>
      <c r="S117" s="205"/>
      <c r="T117" s="205"/>
      <c r="U117" s="205"/>
      <c r="V117" s="205"/>
      <c r="W117" s="205"/>
      <c r="X117" s="205"/>
      <c r="Y117" s="205"/>
      <c r="Z117" s="205"/>
      <c r="AA117" s="340"/>
      <c r="AB117" s="340"/>
      <c r="AC117" s="205" t="str" cm="1">
        <f t="array" ref="AC117">IFERROR(LOOKUP(2,1/(Atualizações!$H$1:$H$1029=Mapa!$B103&amp;Mapa!BV$3),Atualizações!$E$1:$E$1029),"NÃO")</f>
        <v>NÃO</v>
      </c>
      <c r="AD117" s="205" cm="1">
        <f t="array" ref="AD117">IFERROR(LOOKUP(2,1/(Atualizações!$H$1:$H$1029=Mapa!$B103&amp;Mapa!BW$3),Atualizações!$E$1:$E$1029),"NÃO")</f>
        <v>8.6999999999999994E-2</v>
      </c>
      <c r="AE117" s="205" cm="1">
        <f t="array" ref="AE117">IFERROR(LOOKUP(2,1/(Atualizações!$H$1:$H$1029=Mapa!$B103&amp;Mapa!BX$3),Atualizações!$E$1:$E$1029),"NÃO")</f>
        <v>0.106</v>
      </c>
      <c r="AF117" s="205" cm="1">
        <f t="array" ref="AF117">IFERROR(LOOKUP(2,1/(Atualizações!$H$1:$H$1029=Mapa!$B103&amp;Mapa!BY$3),Atualizações!$E$1:$E$1029),"NÃO")</f>
        <v>0.17599999999999999</v>
      </c>
      <c r="AG117" s="205" cm="1">
        <f t="array" ref="AG117">IFERROR(LOOKUP(2,1/(Atualizações!$H$1:$H$1029=Mapa!$B103&amp;Mapa!BZ$3),Atualizações!$E$1:$E$1029),"NÃO")</f>
        <v>0.33900000000000002</v>
      </c>
      <c r="AH117" s="205" cm="1">
        <f t="array" ref="AH117">IFERROR(LOOKUP(2,1/(Atualizações!$H$1:$H$1029=Mapa!$B103&amp;Mapa!CA$3),Atualizações!$E$1:$E$1029),"NÃO")</f>
        <v>0.52</v>
      </c>
      <c r="AI117" s="205" cm="1">
        <f t="array" ref="AI117">IFERROR(LOOKUP(2,1/(Atualizações!$H$1:$H$1029=Mapa!$B103&amp;Mapa!CB$3),Atualizações!$E$1:$E$1029),"NÃO")</f>
        <v>0.56000000000000005</v>
      </c>
      <c r="AJ117" s="205" cm="1">
        <f t="array" ref="AJ117">IFERROR(LOOKUP(2,1/(Atualizações!$H$1:$H$1029=Mapa!$B103&amp;Mapa!CC$3),Atualizações!$E$1:$E$1029),"NÃO")</f>
        <v>0.62</v>
      </c>
      <c r="AK117" s="161" cm="1">
        <f t="array" ref="AK117">IFERROR(LOOKUP(2,1/(Atualizações!$H$1:$H$1029=Mapa!$B103&amp;Mapa!CD$3),Atualizações!$E$1:$E$1029),"NÃO")</f>
        <v>0.59</v>
      </c>
      <c r="AL117" s="161" cm="1">
        <f t="array" ref="AL117">IFERROR(LOOKUP(2,1/(Atualizações!$H$1:$H$1265=Mapa!$B103&amp;Mapa!CE$3),Atualizações!$E$1:$E$2994),"NÃO")</f>
        <v>0.61</v>
      </c>
      <c r="AM117" s="161" t="str" cm="1">
        <f t="array" ref="AM117">IFERROR(LOOKUP(2,1/(Atualizações!$H$1:$H$2994=Tb_Mapa[[#This Row],[SEI]]&amp;Mapa!CF$3),Atualizações!$E$1:$E$2994),"NÃO")</f>
        <v>NÃO</v>
      </c>
      <c r="AN117" s="161" cm="1">
        <f t="array" ref="AN117">IFERROR(LOOKUP(2,1/(Atualizações!$H$1:$H$2994=Tb_Mapa[[#This Row],[SEI]]&amp;Mapa!CG$3),Atualizações!$E$1:$E$2994),"NÃO")</f>
        <v>0.61</v>
      </c>
      <c r="AO117" s="161" cm="1">
        <f t="array" ref="AO117">IFERROR(LOOKUP(2,1/(Atualizações!$H$1:$H$2994=Tb_Mapa[[#This Row],[SEI]]&amp;Mapa!CH$3),Atualizações!$E$1:$E$2994),"NÃO")</f>
        <v>0.51</v>
      </c>
      <c r="AP117" s="161" cm="1">
        <f t="array" ref="AP117">IFERROR(LOOKUP(2,1/(Atualizações!$H$1:$H$2994=Tb_Mapa[[#This Row],[SEI]]&amp;Mapa!CI$3),Atualizações!$E$1:$E$2994),"NÃO")</f>
        <v>0.51</v>
      </c>
      <c r="AQ117" s="161" cm="1">
        <f t="array" ref="AQ117">IFERROR(LOOKUP(2,1/(Atualizações!$H$1:$H$2994=Tb_Mapa[[#This Row],[SEI]]&amp;Mapa!CJ$3),Atualizações!$E$1:$E$2994),"NÃO")</f>
        <v>0.51</v>
      </c>
      <c r="AR117" s="161" t="str" cm="1">
        <f t="array" ref="AR117">IFERROR(LOOKUP(2,1/(Atualizações!$H$1:$H$2994=Tb_Mapa[[#This Row],[SEI]]&amp;Mapa!CK$3),Atualizações!$E$1:$E$2994),"NÃO")</f>
        <v>NÃO</v>
      </c>
      <c r="AS117" s="161" t="str" cm="1">
        <f t="array" ref="AS117">IFERROR(LOOKUP(2,1/(Atualizações!$H$1:$H$2994=Tb_Mapa[[#This Row],[SEI]]&amp;Mapa!CL$3),Atualizações!$E$1:$E$2994),"NÃO")</f>
        <v>NÃO</v>
      </c>
      <c r="AT117" s="161" t="str" cm="1">
        <f t="array" ref="AT117">IFERROR(LOOKUP(2,1/(Atualizações!$H$1:$H$2994=Tb_Mapa[[#This Row],[SEI]]&amp;Mapa!CM$3),Atualizações!$E$1:$E$2994),"NÃO")</f>
        <v>NÃO</v>
      </c>
      <c r="AU117" s="161" t="str" cm="1">
        <f t="array" ref="AU117">IFERROR(LOOKUP(2,1/(Atualizações!$H$1:$H$2994=Tb_Mapa[[#This Row],[SEI]]&amp;Mapa!CN$3),Atualizações!$E$1:$E$2994),"NÃO")</f>
        <v>NÃO</v>
      </c>
      <c r="AV117" s="161" t="str" cm="1">
        <f t="array" ref="AV117">IFERROR(LOOKUP(2,1/(Atualizações!$H$1:$H$2994=Tb_Mapa[[#This Row],[SEI]]&amp;Mapa!CO$3),Atualizações!$E$1:$E$2994),"NÃO")</f>
        <v>NÃO</v>
      </c>
      <c r="AW117" s="161" t="str" cm="1">
        <f t="array" ref="AW117">IFERROR(LOOKUP(2,1/(Atualizações!$H$1:$H$2994=Tb_Mapa[[#This Row],[SEI]]&amp;Mapa!CP$3),Atualizações!$E$1:$E$2994),"NÃO")</f>
        <v>NÃO</v>
      </c>
      <c r="AX117" s="161" t="str" cm="1">
        <f t="array" ref="AX117">IFERROR(LOOKUP(2,1/(Atualizações!$H$1:$H$2994=Tb_Mapa[[#This Row],[SEI]]&amp;Mapa!CQ$3),Atualizações!$E$1:$E$2994),"NÃO")</f>
        <v>NÃO</v>
      </c>
    </row>
    <row r="118" spans="2:50" ht="30" hidden="1">
      <c r="B118" s="51" t="s">
        <v>756</v>
      </c>
      <c r="C118" s="51" t="str">
        <f>_xlfn.XLOOKUP(Tb_Mapa[[#This Row],[SEI]],Tb_Portfólio[SEI],Tb_Portfólio[Portfólio 2025],"",0)</f>
        <v>Não</v>
      </c>
      <c r="D118" s="158" t="str">
        <f>_xlfn.XLOOKUP(Tb_Mapa[[#This Row],[SEI]],Tb_Portfólio[SEI],Tb_Portfólio[Portfólio 2026],"",0)</f>
        <v>Sim</v>
      </c>
      <c r="E118" s="679" t="str">
        <f>_xlfn.XLOOKUP(Tb_Mapa[[#This Row],[SEI]],Tb_Portfólio[SEI],Tb_Portfólio[PROJETO],"",0)</f>
        <v>Módulo de Pessoal e Estrutura Judiciária Mensal (MPM) V.2</v>
      </c>
      <c r="F118" s="143" t="str">
        <f>INDEX(Projetos!$G$3:$G$129,MATCH(Tb_Mapa[[#This Row],[SEI]],Projetos!$A$3:$A$129,0))</f>
        <v>André José da Silva Lima</v>
      </c>
      <c r="G118" s="682" t="s">
        <v>1710</v>
      </c>
      <c r="H118" s="166" t="str">
        <f>INDEX(Projetos!$T$3:$T$129,MATCH(B118,Projetos!$A$3:$A$129,0))</f>
        <v>Justiça 4.0</v>
      </c>
      <c r="I118" s="310">
        <f>INDEX(Projetos!$M$3:$M$129,MATCH(Tb_Mapa[[#This Row],[SEI]],Projetos!$A$3:$A$129,0))</f>
        <v>46387</v>
      </c>
      <c r="J118" s="164" t="str">
        <f ca="1">IF(Tb_Mapa[[#This Row],[SITUAÇÃO]]="Finalizado", "Data atualizada", IFERROR(IF(Tb_Mapa[[#This Row],[DATA DE TÉRMINO]]&lt;$I$1,"Atualizar data de encerramento","Data atualizada"),"Sem informação"))</f>
        <v>Data atualizada</v>
      </c>
      <c r="K118" s="311">
        <f>INDEX(Projetos!$N$3:$N$129,MATCH(Tb_Mapa[[#This Row],[SEI]],Projetos!$A$3:$A$129,0))</f>
        <v>0.64</v>
      </c>
      <c r="L118" s="311">
        <f>INDEX(Projetos!$O$3:$O$129,MATCH(Tb_Mapa[[#This Row],[SEI]],Projetos!$A$3:$A$129,0))</f>
        <v>0.45</v>
      </c>
      <c r="M118" s="165" t="str">
        <f ca="1">_xlfn.XLOOKUP(Tb_Mapa[[#This Row],[SEI]],Tb_Portfólio[SEI],Tb_Portfólio[Situação],"N/A",0)</f>
        <v>Atrasado ou Crítico</v>
      </c>
      <c r="N118" s="128" t="str" cm="1">
        <f t="array" ref="N118">IFERROR(LOOKUP(2,1/(Atualizações!$H$1:$H$486=Mapa!$B115&amp;Mapa!BG$3),Atualizações!$E$1:$E$486),"NÃO")</f>
        <v>NÃO</v>
      </c>
      <c r="O118" s="205"/>
      <c r="P118" s="205"/>
      <c r="Q118" s="205"/>
      <c r="R118" s="205"/>
      <c r="S118" s="205"/>
      <c r="T118" s="205"/>
      <c r="U118" s="205"/>
      <c r="V118" s="205"/>
      <c r="W118" s="205"/>
      <c r="X118" s="205"/>
      <c r="Y118" s="205"/>
      <c r="Z118" s="205"/>
      <c r="AA118" s="340"/>
      <c r="AB118" s="340"/>
      <c r="AC118" s="340"/>
      <c r="AD118" s="340"/>
      <c r="AE118" s="340"/>
      <c r="AF118" s="340"/>
      <c r="AG118" s="340"/>
      <c r="AH118" s="340"/>
      <c r="AI118" s="340"/>
      <c r="AJ118" s="340"/>
      <c r="AK118" s="161" cm="1">
        <f t="array" ref="AK118">IFERROR(LOOKUP(2,1/(Atualizações!$H$1:$H$1029=Mapa!$B115&amp;Mapa!CD$3),Atualizações!$E$1:$E$1029),"NÃO")</f>
        <v>0.52</v>
      </c>
      <c r="AL118" s="161" cm="1">
        <f t="array" ref="AL118">IFERROR(LOOKUP(2,1/(Atualizações!$H$1:$H$1265=Mapa!$B115&amp;Mapa!CE$3),Atualizações!$E$1:$E$2994),"NÃO")</f>
        <v>0.54</v>
      </c>
      <c r="AM118" s="161" t="str" cm="1">
        <f t="array" ref="AM118">IFERROR(LOOKUP(2,1/(Atualizações!$H$1:$H$2994=Tb_Mapa[[#This Row],[SEI]]&amp;Mapa!CF$3),Atualizações!$E$1:$E$2994),"NÃO")</f>
        <v>NÃO</v>
      </c>
      <c r="AN118" s="161" cm="1">
        <f t="array" ref="AN118">IFERROR(LOOKUP(2,1/(Atualizações!$H$1:$H$2994=Tb_Mapa[[#This Row],[SEI]]&amp;Mapa!CG$3),Atualizações!$E$1:$E$2994),"NÃO")</f>
        <v>0.03</v>
      </c>
      <c r="AO118" s="161" cm="1">
        <f t="array" ref="AO118">IFERROR(LOOKUP(2,1/(Atualizações!$H$1:$H$2994=Tb_Mapa[[#This Row],[SEI]]&amp;Mapa!CH$3),Atualizações!$E$1:$E$2994),"NÃO")</f>
        <v>0.45</v>
      </c>
      <c r="AP118" s="161" cm="1">
        <f t="array" ref="AP118">IFERROR(LOOKUP(2,1/(Atualizações!$H$1:$H$2994=Tb_Mapa[[#This Row],[SEI]]&amp;Mapa!CI$3),Atualizações!$E$1:$E$2994),"NÃO")</f>
        <v>0.45</v>
      </c>
      <c r="AQ118" s="161" cm="1">
        <f t="array" ref="AQ118">IFERROR(LOOKUP(2,1/(Atualizações!$H$1:$H$2994=Tb_Mapa[[#This Row],[SEI]]&amp;Mapa!CJ$3),Atualizações!$E$1:$E$2994),"NÃO")</f>
        <v>0.45</v>
      </c>
      <c r="AR118" s="161" t="str" cm="1">
        <f t="array" ref="AR118">IFERROR(LOOKUP(2,1/(Atualizações!$H$1:$H$2994=Tb_Mapa[[#This Row],[SEI]]&amp;Mapa!CK$3),Atualizações!$E$1:$E$2994),"NÃO")</f>
        <v>NÃO</v>
      </c>
      <c r="AS118" s="161" t="str" cm="1">
        <f t="array" ref="AS118">IFERROR(LOOKUP(2,1/(Atualizações!$H$1:$H$2994=Tb_Mapa[[#This Row],[SEI]]&amp;Mapa!CL$3),Atualizações!$E$1:$E$2994),"NÃO")</f>
        <v>NÃO</v>
      </c>
      <c r="AT118" s="161" t="str" cm="1">
        <f t="array" ref="AT118">IFERROR(LOOKUP(2,1/(Atualizações!$H$1:$H$2994=Tb_Mapa[[#This Row],[SEI]]&amp;Mapa!CM$3),Atualizações!$E$1:$E$2994),"NÃO")</f>
        <v>NÃO</v>
      </c>
      <c r="AU118" s="161" t="str" cm="1">
        <f t="array" ref="AU118">IFERROR(LOOKUP(2,1/(Atualizações!$H$1:$H$2994=Tb_Mapa[[#This Row],[SEI]]&amp;Mapa!CN$3),Atualizações!$E$1:$E$2994),"NÃO")</f>
        <v>NÃO</v>
      </c>
      <c r="AV118" s="161" t="str" cm="1">
        <f t="array" ref="AV118">IFERROR(LOOKUP(2,1/(Atualizações!$H$1:$H$2994=Tb_Mapa[[#This Row],[SEI]]&amp;Mapa!CO$3),Atualizações!$E$1:$E$2994),"NÃO")</f>
        <v>NÃO</v>
      </c>
      <c r="AW118" s="161" t="str" cm="1">
        <f t="array" ref="AW118">IFERROR(LOOKUP(2,1/(Atualizações!$H$1:$H$2994=Tb_Mapa[[#This Row],[SEI]]&amp;Mapa!CP$3),Atualizações!$E$1:$E$2994),"NÃO")</f>
        <v>NÃO</v>
      </c>
      <c r="AX118" s="161" t="str" cm="1">
        <f t="array" ref="AX118">IFERROR(LOOKUP(2,1/(Atualizações!$H$1:$H$2994=Tb_Mapa[[#This Row],[SEI]]&amp;Mapa!CQ$3),Atualizações!$E$1:$E$2994),"NÃO")</f>
        <v>NÃO</v>
      </c>
    </row>
    <row r="119" spans="2:50" hidden="1">
      <c r="B119" s="51" t="s">
        <v>874</v>
      </c>
      <c r="C119" s="51" t="str">
        <f>_xlfn.XLOOKUP(Tb_Mapa[[#This Row],[SEI]],Tb_Portfólio[SEI],Tb_Portfólio[Portfólio 2025],"",0)</f>
        <v>Não</v>
      </c>
      <c r="D119" s="158" t="str">
        <f>_xlfn.XLOOKUP(Tb_Mapa[[#This Row],[SEI]],Tb_Portfólio[SEI],Tb_Portfólio[Portfólio 2026],"",0)</f>
        <v>Não</v>
      </c>
      <c r="E119" s="679" t="str">
        <f>_xlfn.XLOOKUP(Tb_Mapa[[#This Row],[SEI]],Tb_Portfólio[SEI],Tb_Portfólio[PROJETO],"",0)</f>
        <v>Formação e Cultura Institucional</v>
      </c>
      <c r="F119" s="170" t="str">
        <f>INDEX(Projetos!$G$3:$G$129,MATCH(B119,Projetos!$A$3:$A$129,0))</f>
        <v>Valdirene Daufemback</v>
      </c>
      <c r="G119" s="682" t="s">
        <v>1712</v>
      </c>
      <c r="H119" s="166" t="str">
        <f>INDEX(Projetos!$T$3:$T$129,MATCH(B119,Projetos!$A$3:$A$129,0))</f>
        <v>Fazendo Justiça</v>
      </c>
      <c r="I119" s="310">
        <f>INDEX(Projetos!$M$3:$M$129,MATCH(Mapa!B88,Projetos!$A$3:$A$129,0))</f>
        <v>45473</v>
      </c>
      <c r="J119" s="164" t="str">
        <f>IF(Tb_Mapa[[#This Row],[SITUAÇÃO]]="Finalizado", "Data atualizada", IFERROR(IF(I119&lt;$CN$3,"Atualizar data de encerramento","Data atualizada"),"Sem informação"))</f>
        <v>Data atualizada</v>
      </c>
      <c r="K119" s="311">
        <f>INDEX(Projetos!$N$3:$N$129,MATCH(Mapa!B88,Projetos!$A$3:$A$129,0))</f>
        <v>1</v>
      </c>
      <c r="L119" s="311">
        <f>INDEX(Projetos!$O$3:$O$129,MATCH(Mapa!B88,Projetos!$A$3:$A$129,0))</f>
        <v>1</v>
      </c>
      <c r="M119" s="165" t="str">
        <f>_xlfn.XLOOKUP(Tb_Mapa[[#This Row],[SEI]],Tb_Portfólio[SEI],Tb_Portfólio[Situação],"N/A",0)</f>
        <v>Finalizado</v>
      </c>
      <c r="N119" s="128" t="str" cm="1">
        <f t="array" ref="N119">IFERROR(LOOKUP(2,1/(Atualizações!$H$1:$H$486=Mapa!$B88&amp;Mapa!BG$3),Atualizações!$E$1:$E$486),"NÃO")</f>
        <v>NÃO</v>
      </c>
      <c r="O119" s="205"/>
      <c r="P119" s="205"/>
      <c r="Q119" s="205"/>
      <c r="R119" s="205"/>
      <c r="S119" s="205"/>
      <c r="T119" s="205"/>
      <c r="U119" s="205"/>
      <c r="V119" s="205"/>
      <c r="W119" s="205"/>
      <c r="X119" s="205"/>
      <c r="Y119" s="205"/>
      <c r="Z119" s="205" t="str" cm="1">
        <f t="array" ref="Z119">IFERROR(LOOKUP(2,1/(Atualizações!$H$1:$H$1029=Mapa!$B88&amp;Mapa!BS$3),Atualizações!$E$1:$E$1029),"NÃO")</f>
        <v>NÃO</v>
      </c>
      <c r="AA119" s="205" t="str" cm="1">
        <f t="array" ref="AA119">IFERROR(LOOKUP(2,1/(Atualizações!$H$1:$H$1029=Mapa!$B88&amp;Mapa!BT$3),Atualizações!$E$1:$E$1029),"NÃO")</f>
        <v>NÃO</v>
      </c>
      <c r="AB119" s="205" t="str" cm="1">
        <f t="array" ref="AB119">IFERROR(LOOKUP(2,1/(Atualizações!$H$1:$H$1029=Mapa!$B88&amp;Mapa!BU$3),Atualizações!$E$1:$E$1029),"NÃO")</f>
        <v>NÃO</v>
      </c>
      <c r="AC119" s="205" t="str" cm="1">
        <f t="array" ref="AC119">IFERROR(LOOKUP(2,1/(Atualizações!$H$1:$H$1029=Mapa!$B88&amp;Mapa!BV$3),Atualizações!$E$1:$E$1029),"NÃO")</f>
        <v>NÃO</v>
      </c>
      <c r="AD119" s="205" t="str" cm="1">
        <f t="array" ref="AD119">IFERROR(LOOKUP(2,1/(Atualizações!$H$1:$H$1029=Mapa!$B88&amp;Mapa!BW$3),Atualizações!$E$1:$E$1029),"NÃO")</f>
        <v>NÃO</v>
      </c>
      <c r="AE119" s="205" t="str" cm="1">
        <f t="array" ref="AE119">IFERROR(LOOKUP(2,1/(Atualizações!$H$1:$H$1029=Mapa!$B88&amp;Mapa!BX$3),Atualizações!$E$1:$E$1029),"NÃO")</f>
        <v>NÃO</v>
      </c>
      <c r="AF119" s="205" t="str" cm="1">
        <f t="array" ref="AF119">IFERROR(LOOKUP(2,1/(Atualizações!$H$1:$H$1029=Mapa!$B88&amp;Mapa!BY$3),Atualizações!$E$1:$E$1029),"NÃO")</f>
        <v>NÃO</v>
      </c>
      <c r="AG119" s="205" t="str" cm="1">
        <f t="array" ref="AG119">IFERROR(LOOKUP(2,1/(Atualizações!$H$1:$H$1029=Mapa!$B88&amp;Mapa!BZ$3),Atualizações!$E$1:$E$1029),"NÃO")</f>
        <v>NÃO</v>
      </c>
      <c r="AH119" s="205" t="str" cm="1">
        <f t="array" ref="AH119">IFERROR(LOOKUP(2,1/(Atualizações!$H$1:$H$1029=Mapa!$B88&amp;Mapa!CA$3),Atualizações!$E$1:$E$1029),"NÃO")</f>
        <v>NÃO</v>
      </c>
      <c r="AI119" s="205" t="str" cm="1">
        <f t="array" ref="AI119">IFERROR(LOOKUP(2,1/(Atualizações!$H$1:$H$1029=Mapa!$B88&amp;Mapa!CB$3),Atualizações!$E$1:$E$1029),"NÃO")</f>
        <v>NÃO</v>
      </c>
      <c r="AJ119" s="205" t="str" cm="1">
        <f t="array" ref="AJ119">IFERROR(LOOKUP(2,1/(Atualizações!$H$1:$H$1029=Mapa!$B88&amp;Mapa!CC$3),Atualizações!$E$1:$E$1029),"NÃO")</f>
        <v>NÃO</v>
      </c>
      <c r="AK119" s="161" t="str" cm="1">
        <f t="array" ref="AK119">IFERROR(LOOKUP(2,1/(Atualizações!$H$1:$H$1029=Mapa!$B88&amp;Mapa!CD$3),Atualizações!$E$1:$E$1029),"NÃO")</f>
        <v>NÃO</v>
      </c>
      <c r="AL119" s="161" t="str" cm="1">
        <f t="array" ref="AL119">IFERROR(LOOKUP(2,1/(Atualizações!$H$1:$H$1265=Mapa!$B88&amp;Mapa!CE$3),Atualizações!$E$1:$E$2994),"NÃO")</f>
        <v>NÃO</v>
      </c>
      <c r="AM119" s="161" t="str" cm="1">
        <f t="array" ref="AM119">IFERROR(LOOKUP(2,1/(Atualizações!$H$1:$H$2994=Tb_Mapa[[#This Row],[SEI]]&amp;Mapa!CF$3),Atualizações!$E$1:$E$2994),"NÃO")</f>
        <v>NÃO</v>
      </c>
      <c r="AN119" s="161" t="str" cm="1">
        <f t="array" ref="AN119">IFERROR(LOOKUP(2,1/(Atualizações!$H$1:$H$2994=Tb_Mapa[[#This Row],[SEI]]&amp;Mapa!CG$3),Atualizações!$E$1:$E$2994),"NÃO")</f>
        <v>NÃO</v>
      </c>
      <c r="AO119" s="161" t="str" cm="1">
        <f t="array" ref="AO119">IFERROR(LOOKUP(2,1/(Atualizações!$H$1:$H$2994=Tb_Mapa[[#This Row],[SEI]]&amp;Mapa!CH$3),Atualizações!$E$1:$E$2994),"NÃO")</f>
        <v>NÃO</v>
      </c>
      <c r="AP119" s="161" t="str" cm="1">
        <f t="array" ref="AP119">IFERROR(LOOKUP(2,1/(Atualizações!$H$1:$H$2994=Tb_Mapa[[#This Row],[SEI]]&amp;Mapa!CI$3),Atualizações!$E$1:$E$2994),"NÃO")</f>
        <v>NÃO</v>
      </c>
      <c r="AQ119" s="161" t="str" cm="1">
        <f t="array" ref="AQ119">IFERROR(LOOKUP(2,1/(Atualizações!$H$1:$H$2994=Tb_Mapa[[#This Row],[SEI]]&amp;Mapa!CJ$3),Atualizações!$E$1:$E$2994),"NÃO")</f>
        <v>NÃO</v>
      </c>
      <c r="AR119" s="161" t="str" cm="1">
        <f t="array" ref="AR119">IFERROR(LOOKUP(2,1/(Atualizações!$H$1:$H$2994=Tb_Mapa[[#This Row],[SEI]]&amp;Mapa!CK$3),Atualizações!$E$1:$E$2994),"NÃO")</f>
        <v>NÃO</v>
      </c>
      <c r="AS119" s="161" t="str" cm="1">
        <f t="array" ref="AS119">IFERROR(LOOKUP(2,1/(Atualizações!$H$1:$H$2994=Tb_Mapa[[#This Row],[SEI]]&amp;Mapa!CL$3),Atualizações!$E$1:$E$2994),"NÃO")</f>
        <v>NÃO</v>
      </c>
      <c r="AT119" s="161" t="str" cm="1">
        <f t="array" ref="AT119">IFERROR(LOOKUP(2,1/(Atualizações!$H$1:$H$2994=Tb_Mapa[[#This Row],[SEI]]&amp;Mapa!CM$3),Atualizações!$E$1:$E$2994),"NÃO")</f>
        <v>NÃO</v>
      </c>
      <c r="AU119" s="161" t="str" cm="1">
        <f t="array" ref="AU119">IFERROR(LOOKUP(2,1/(Atualizações!$H$1:$H$2994=Tb_Mapa[[#This Row],[SEI]]&amp;Mapa!CN$3),Atualizações!$E$1:$E$2994),"NÃO")</f>
        <v>NÃO</v>
      </c>
      <c r="AV119" s="161" t="str" cm="1">
        <f t="array" ref="AV119">IFERROR(LOOKUP(2,1/(Atualizações!$H$1:$H$2994=Tb_Mapa[[#This Row],[SEI]]&amp;Mapa!CO$3),Atualizações!$E$1:$E$2994),"NÃO")</f>
        <v>NÃO</v>
      </c>
      <c r="AW119" s="161" t="str" cm="1">
        <f t="array" ref="AW119">IFERROR(LOOKUP(2,1/(Atualizações!$H$1:$H$2994=Tb_Mapa[[#This Row],[SEI]]&amp;Mapa!CP$3),Atualizações!$E$1:$E$2994),"NÃO")</f>
        <v>NÃO</v>
      </c>
      <c r="AX119" s="161" t="str" cm="1">
        <f t="array" ref="AX119">IFERROR(LOOKUP(2,1/(Atualizações!$H$1:$H$2994=Tb_Mapa[[#This Row],[SEI]]&amp;Mapa!CQ$3),Atualizações!$E$1:$E$2994),"NÃO")</f>
        <v>NÃO</v>
      </c>
    </row>
    <row r="120" spans="2:50" ht="75" hidden="1">
      <c r="B120" s="51" t="s">
        <v>728</v>
      </c>
      <c r="C120" s="678" t="str">
        <f>_xlfn.XLOOKUP(Tb_Mapa[[#This Row],[SEI]],Tb_Portfólio[SEI],Tb_Portfólio[Portfólio 2025],"",0)</f>
        <v>Sim</v>
      </c>
      <c r="D120" s="158" t="str">
        <f>_xlfn.XLOOKUP(Tb_Mapa[[#This Row],[SEI]],Tb_Portfólio[SEI],Tb_Portfólio[Portfólio 2026],"",0)</f>
        <v>Sim</v>
      </c>
      <c r="E120" s="679" t="str">
        <f>_xlfn.XLOOKUP(Tb_Mapa[[#This Row],[SEI]],Tb_Portfólio[SEI],Tb_Portfólio[PROJETO],"",0)</f>
        <v>Programa de Acessibilidade e Inclusão do Conselho Nacional de Justiça (CNJ)</v>
      </c>
      <c r="F120" s="143" t="str">
        <f>INDEX(Projetos!$G$3:$G$129,MATCH(Tb_Mapa[[#This Row],[SEI]],Projetos!$A$3:$A$129,0))</f>
        <v>Juli Alves Silva</v>
      </c>
      <c r="G120" s="682" t="s">
        <v>1711</v>
      </c>
      <c r="H120" s="166" t="str">
        <f>INDEX(Projetos!$T$3:$T$129,MATCH(B120,Projetos!$A$3:$A$129,0))</f>
        <v>Programa de Acessibilidade e Inclusão do Conselho Nacional de Justiça (CNJ)</v>
      </c>
      <c r="I120" s="310">
        <f>INDEX(Projetos!$M$3:$M$129,MATCH(Tb_Mapa[[#This Row],[SEI]],Projetos!$A$3:$A$129,0))</f>
        <v>46376</v>
      </c>
      <c r="J120" s="164" t="str">
        <f ca="1">IF(Tb_Mapa[[#This Row],[SITUAÇÃO]]="Finalizado", "Data atualizada", IFERROR(IF(Tb_Mapa[[#This Row],[DATA DE TÉRMINO]]&lt;$I$1,"Atualizar data de encerramento","Data atualizada"),"Sem informação"))</f>
        <v>Data atualizada</v>
      </c>
      <c r="K120" s="311">
        <f>INDEX(Projetos!$N$3:$N$129,MATCH(Tb_Mapa[[#This Row],[SEI]],Projetos!$A$3:$A$129,0))</f>
        <v>0.43</v>
      </c>
      <c r="L120" s="311">
        <f>INDEX(Projetos!$O$3:$O$129,MATCH(Tb_Mapa[[#This Row],[SEI]],Projetos!$A$3:$A$129,0))</f>
        <v>0.43</v>
      </c>
      <c r="M120" s="165" t="str">
        <f ca="1">_xlfn.XLOOKUP(Tb_Mapa[[#This Row],[SEI]],Tb_Portfólio[SEI],Tb_Portfólio[Situação],"N/A",0)</f>
        <v>No prazo</v>
      </c>
      <c r="N120" s="128" t="str" cm="1">
        <f t="array" ref="N120">IFERROR(LOOKUP(2,1/(Atualizações!$H$1:$H$486=Mapa!$B90&amp;Mapa!BG$3),Atualizações!$E$1:$E$486),"NÃO")</f>
        <v>NÃO</v>
      </c>
      <c r="O120" s="205"/>
      <c r="P120" s="205"/>
      <c r="Q120" s="205"/>
      <c r="R120" s="205"/>
      <c r="S120" s="205"/>
      <c r="T120" s="205"/>
      <c r="U120" s="205"/>
      <c r="V120" s="205"/>
      <c r="W120" s="205"/>
      <c r="X120" s="205"/>
      <c r="Y120" s="205"/>
      <c r="Z120" s="205" t="str" cm="1">
        <f t="array" ref="Z120">IFERROR(LOOKUP(2,1/(Atualizações!$H$1:$H$1029=Mapa!$B90&amp;Mapa!BS$3),Atualizações!$E$1:$E$1029),"NÃO")</f>
        <v>NÃO</v>
      </c>
      <c r="AA120" s="205" t="str" cm="1">
        <f t="array" ref="AA120">IFERROR(LOOKUP(2,1/(Atualizações!$H$1:$H$1029=Mapa!$B90&amp;Mapa!BT$3),Atualizações!$E$1:$E$1029),"NÃO")</f>
        <v>NÃO</v>
      </c>
      <c r="AB120" s="205" t="str" cm="1">
        <f t="array" ref="AB120">IFERROR(LOOKUP(2,1/(Atualizações!$H$1:$H$1029=Mapa!$B90&amp;Mapa!BU$3),Atualizações!$E$1:$E$1029),"NÃO")</f>
        <v>NÃO</v>
      </c>
      <c r="AC120" s="205" t="str" cm="1">
        <f t="array" ref="AC120">IFERROR(LOOKUP(2,1/(Atualizações!$H$1:$H$1029=Mapa!$B90&amp;Mapa!BV$3),Atualizações!$E$1:$E$1029),"NÃO")</f>
        <v>NÃO</v>
      </c>
      <c r="AD120" s="205" t="str" cm="1">
        <f t="array" ref="AD120">IFERROR(LOOKUP(2,1/(Atualizações!$H$1:$H$1029=Mapa!$B90&amp;Mapa!BW$3),Atualizações!$E$1:$E$1029),"NÃO")</f>
        <v>NÃO</v>
      </c>
      <c r="AE120" s="205" t="str" cm="1">
        <f t="array" ref="AE120">IFERROR(LOOKUP(2,1/(Atualizações!$H$1:$H$1029=Mapa!$B90&amp;Mapa!BX$3),Atualizações!$E$1:$E$1029),"NÃO")</f>
        <v>NÃO</v>
      </c>
      <c r="AF120" s="205" t="str" cm="1">
        <f t="array" ref="AF120">IFERROR(LOOKUP(2,1/(Atualizações!$H$1:$H$1029=Mapa!$B90&amp;Mapa!BY$3),Atualizações!$E$1:$E$1029),"NÃO")</f>
        <v>NÃO</v>
      </c>
      <c r="AG120" s="205" t="str" cm="1">
        <f t="array" ref="AG120">IFERROR(LOOKUP(2,1/(Atualizações!$H$1:$H$1029=Mapa!$B90&amp;Mapa!BZ$3),Atualizações!$E$1:$E$1029),"NÃO")</f>
        <v>NÃO</v>
      </c>
      <c r="AH120" s="205" t="str" cm="1">
        <f t="array" ref="AH120">IFERROR(LOOKUP(2,1/(Atualizações!$H$1:$H$1029=Mapa!$B90&amp;Mapa!CA$3),Atualizações!$E$1:$E$1029),"NÃO")</f>
        <v>NÃO</v>
      </c>
      <c r="AI120" s="205" cm="1">
        <f t="array" ref="AI120">IFERROR(LOOKUP(2,1/(Atualizações!$H$1:$H$1029=Mapa!$B90&amp;Mapa!CB$3),Atualizações!$E$1:$E$1029),"NÃO")</f>
        <v>0.45</v>
      </c>
      <c r="AJ120" s="205" cm="1">
        <f t="array" ref="AJ120">IFERROR(LOOKUP(2,1/(Atualizações!$H$1:$H$1029=Mapa!$B90&amp;Mapa!CC$3),Atualizações!$E$1:$E$1029),"NÃO")</f>
        <v>0.54</v>
      </c>
      <c r="AK120" s="161" cm="1">
        <f t="array" ref="AK120">IFERROR(LOOKUP(2,1/(Atualizações!$H$1:$H$1029=Mapa!$B90&amp;Mapa!CD$3),Atualizações!$E$1:$E$1029),"NÃO")</f>
        <v>0.57999999999999996</v>
      </c>
      <c r="AL120" s="161" cm="1">
        <f t="array" ref="AL120">IFERROR(LOOKUP(2,1/(Atualizações!$H$1:$H$1265=Mapa!$B90&amp;Mapa!CE$3),Atualizações!$E$1:$E$2994),"NÃO")</f>
        <v>0.61</v>
      </c>
      <c r="AM120" s="161" t="str" cm="1">
        <f t="array" ref="AM120">IFERROR(LOOKUP(2,1/(Atualizações!$H$1:$H$2994=Tb_Mapa[[#This Row],[SEI]]&amp;Mapa!CF$3),Atualizações!$E$1:$E$2994),"NÃO")</f>
        <v>NÃO</v>
      </c>
      <c r="AN120" s="161" cm="1">
        <f t="array" ref="AN120">IFERROR(LOOKUP(2,1/(Atualizações!$H$1:$H$2994=Tb_Mapa[[#This Row],[SEI]]&amp;Mapa!CG$3),Atualizações!$E$1:$E$2994),"NÃO")</f>
        <v>0.35</v>
      </c>
      <c r="AO120" s="161" cm="1">
        <f t="array" ref="AO120">IFERROR(LOOKUP(2,1/(Atualizações!$H$1:$H$2994=Tb_Mapa[[#This Row],[SEI]]&amp;Mapa!CH$3),Atualizações!$E$1:$E$2994),"NÃO")</f>
        <v>0.43</v>
      </c>
      <c r="AP120" s="161" t="str" cm="1">
        <f t="array" ref="AP120">IFERROR(LOOKUP(2,1/(Atualizações!$H$1:$H$2994=Tb_Mapa[[#This Row],[SEI]]&amp;Mapa!CI$3),Atualizações!$E$1:$E$2994),"NÃO")</f>
        <v>NÃO</v>
      </c>
      <c r="AQ120" s="161" t="str" cm="1">
        <f t="array" ref="AQ120">IFERROR(LOOKUP(2,1/(Atualizações!$H$1:$H$2994=Tb_Mapa[[#This Row],[SEI]]&amp;Mapa!CJ$3),Atualizações!$E$1:$E$2994),"NÃO")</f>
        <v>NÃO</v>
      </c>
      <c r="AR120" s="161" t="str" cm="1">
        <f t="array" ref="AR120">IFERROR(LOOKUP(2,1/(Atualizações!$H$1:$H$2994=Tb_Mapa[[#This Row],[SEI]]&amp;Mapa!CK$3),Atualizações!$E$1:$E$2994),"NÃO")</f>
        <v>NÃO</v>
      </c>
      <c r="AS120" s="161" t="str" cm="1">
        <f t="array" ref="AS120">IFERROR(LOOKUP(2,1/(Atualizações!$H$1:$H$2994=Tb_Mapa[[#This Row],[SEI]]&amp;Mapa!CL$3),Atualizações!$E$1:$E$2994),"NÃO")</f>
        <v>NÃO</v>
      </c>
      <c r="AT120" s="161" t="str" cm="1">
        <f t="array" ref="AT120">IFERROR(LOOKUP(2,1/(Atualizações!$H$1:$H$2994=Tb_Mapa[[#This Row],[SEI]]&amp;Mapa!CM$3),Atualizações!$E$1:$E$2994),"NÃO")</f>
        <v>NÃO</v>
      </c>
      <c r="AU120" s="161" t="str" cm="1">
        <f t="array" ref="AU120">IFERROR(LOOKUP(2,1/(Atualizações!$H$1:$H$2994=Tb_Mapa[[#This Row],[SEI]]&amp;Mapa!CN$3),Atualizações!$E$1:$E$2994),"NÃO")</f>
        <v>NÃO</v>
      </c>
      <c r="AV120" s="161" t="str" cm="1">
        <f t="array" ref="AV120">IFERROR(LOOKUP(2,1/(Atualizações!$H$1:$H$2994=Tb_Mapa[[#This Row],[SEI]]&amp;Mapa!CO$3),Atualizações!$E$1:$E$2994),"NÃO")</f>
        <v>NÃO</v>
      </c>
      <c r="AW120" s="161" t="str" cm="1">
        <f t="array" ref="AW120">IFERROR(LOOKUP(2,1/(Atualizações!$H$1:$H$2994=Tb_Mapa[[#This Row],[SEI]]&amp;Mapa!CP$3),Atualizações!$E$1:$E$2994),"NÃO")</f>
        <v>NÃO</v>
      </c>
      <c r="AX120" s="161" t="str" cm="1">
        <f t="array" ref="AX120">IFERROR(LOOKUP(2,1/(Atualizações!$H$1:$H$2994=Tb_Mapa[[#This Row],[SEI]]&amp;Mapa!CQ$3),Atualizações!$E$1:$E$2994),"NÃO")</f>
        <v>NÃO</v>
      </c>
    </row>
    <row r="121" spans="2:50" ht="30" hidden="1">
      <c r="B121" s="700" t="s">
        <v>58</v>
      </c>
      <c r="C121" s="51" t="str">
        <f>_xlfn.XLOOKUP(Tb_Mapa[[#This Row],[SEI]],Tb_Portfólio[SEI],Tb_Portfólio[Portfólio 2025],"",0)</f>
        <v>Sim</v>
      </c>
      <c r="D121" s="158" t="str">
        <f>_xlfn.XLOOKUP(Tb_Mapa[[#This Row],[SEI]],Tb_Portfólio[SEI],Tb_Portfólio[Portfólio 2026],"",0)</f>
        <v>Sim</v>
      </c>
      <c r="E121" s="712" t="str">
        <f>_xlfn.XLOOKUP(Tb_Mapa[[#This Row],[SEI]],Tb_Portfólio[SEI],Tb_Portfólio[PROJETO],"",0)</f>
        <v>Phase-out: Transição Projetos X Operação</v>
      </c>
      <c r="F121" s="143" t="str">
        <f>INDEX(Projetos!$G$3:$G$129,MATCH(Tb_Mapa[[#This Row],[SEI]],Projetos!$A$3:$A$129,0))</f>
        <v>Renato Silveira</v>
      </c>
      <c r="G121" s="682" t="s">
        <v>1710</v>
      </c>
      <c r="H121" s="166" t="str">
        <f>INDEX(Projetos!$T$3:$T$129,MATCH(B121,Projetos!$A$3:$A$129,0))</f>
        <v>Justiça 4.0</v>
      </c>
      <c r="I121" s="310">
        <f>INDEX(Projetos!$M$3:$M$129,MATCH(Tb_Mapa[[#This Row],[SEI]],Projetos!$A$3:$A$129,0))</f>
        <v>46387</v>
      </c>
      <c r="J121" s="164" t="str">
        <f ca="1">IF(Tb_Mapa[[#This Row],[SITUAÇÃO]]="Finalizado", "Data atualizada", IFERROR(IF(Tb_Mapa[[#This Row],[DATA DE TÉRMINO]]&lt;$I$1,"Atualizar data de encerramento","Data atualizada"),"Sem informação"))</f>
        <v>Data atualizada</v>
      </c>
      <c r="K121" s="311">
        <f>INDEX(Projetos!$N$3:$N$129,MATCH(Tb_Mapa[[#This Row],[SEI]],Projetos!$A$3:$A$129,0))</f>
        <v>0.69</v>
      </c>
      <c r="L121" s="311">
        <f>INDEX(Projetos!$O$3:$O$129,MATCH(Tb_Mapa[[#This Row],[SEI]],Projetos!$A$3:$A$129,0))</f>
        <v>0.39</v>
      </c>
      <c r="M121" s="165" t="str">
        <f ca="1">_xlfn.XLOOKUP(Tb_Mapa[[#This Row],[SEI]],Tb_Portfólio[SEI],Tb_Portfólio[Situação],"N/A",0)</f>
        <v>Atrasado ou Crítico</v>
      </c>
      <c r="N121" s="128" t="str" cm="1">
        <f t="array" ref="N121">IFERROR(LOOKUP(2,1/(Atualizações!$H$1:$H$486=Mapa!$B94&amp;Mapa!BG$3),Atualizações!$E$1:$E$486),"NÃO")</f>
        <v>NÃO</v>
      </c>
      <c r="O121" s="205"/>
      <c r="P121" s="205"/>
      <c r="Q121" s="205"/>
      <c r="R121" s="205"/>
      <c r="S121" s="205"/>
      <c r="T121" s="205"/>
      <c r="U121" s="205"/>
      <c r="V121" s="205"/>
      <c r="W121" s="205"/>
      <c r="X121" s="205"/>
      <c r="Y121" s="205"/>
      <c r="Z121" s="205" cm="1">
        <f t="array" ref="Z121">IFERROR(LOOKUP(2,1/(Atualizações!$H$1:$H$1029=Mapa!$B94&amp;Mapa!BS$3),Atualizações!$E$1:$E$1029),"NÃO")</f>
        <v>0.93899999999999995</v>
      </c>
      <c r="AA121" s="205" cm="1">
        <f t="array" ref="AA121">IFERROR(LOOKUP(2,1/(Atualizações!$H$1:$H$1029=Mapa!$B94&amp;Mapa!BT$3),Atualizações!$E$1:$E$1029),"NÃO")</f>
        <v>0.93899999999999995</v>
      </c>
      <c r="AB121" s="205" cm="1">
        <f t="array" ref="AB121">IFERROR(LOOKUP(2,1/(Atualizações!$H$1:$H$1029=Mapa!$B94&amp;Mapa!BU$3),Atualizações!$E$1:$E$1029),"NÃO")</f>
        <v>0.93899999999999995</v>
      </c>
      <c r="AC121" s="205" cm="1">
        <f t="array" ref="AC121">IFERROR(LOOKUP(2,1/(Atualizações!$H$1:$H$1029=Mapa!$B94&amp;Mapa!BV$3),Atualizações!$E$1:$E$1029),"NÃO")</f>
        <v>0.93899999999999995</v>
      </c>
      <c r="AD121" s="205" cm="1">
        <f t="array" ref="AD121">IFERROR(LOOKUP(2,1/(Atualizações!$H$1:$H$1029=Mapa!$B94&amp;Mapa!BW$3),Atualizações!$E$1:$E$1029),"NÃO")</f>
        <v>0.93899999999999995</v>
      </c>
      <c r="AE121" s="205" cm="1">
        <f t="array" ref="AE121">IFERROR(LOOKUP(2,1/(Atualizações!$H$1:$H$1029=Mapa!$B94&amp;Mapa!BX$3),Atualizações!$E$1:$E$1029),"NÃO")</f>
        <v>0.93899999999999995</v>
      </c>
      <c r="AF121" s="205" cm="1">
        <f t="array" ref="AF121">IFERROR(LOOKUP(2,1/(Atualizações!$H$1:$H$1029=Mapa!$B94&amp;Mapa!BY$3),Atualizações!$E$1:$E$1029),"NÃO")</f>
        <v>0.93899999999999995</v>
      </c>
      <c r="AG121" s="205" cm="1">
        <f t="array" ref="AG121">IFERROR(LOOKUP(2,1/(Atualizações!$H$1:$H$1029=Mapa!$B94&amp;Mapa!BZ$3),Atualizações!$E$1:$E$1029),"NÃO")</f>
        <v>0.93899999999999995</v>
      </c>
      <c r="AH121" s="205" cm="1">
        <f t="array" ref="AH121">IFERROR(LOOKUP(2,1/(Atualizações!$H$1:$H$1029=Mapa!$B94&amp;Mapa!CA$3),Atualizações!$E$1:$E$1029),"NÃO")</f>
        <v>0.56000000000000005</v>
      </c>
      <c r="AI121" s="205" cm="1">
        <f t="array" ref="AI121">IFERROR(LOOKUP(2,1/(Atualizações!$H$1:$H$1029=Mapa!$B94&amp;Mapa!CB$3),Atualizações!$E$1:$E$1029),"NÃO")</f>
        <v>0.73</v>
      </c>
      <c r="AJ121" s="205" cm="1">
        <f t="array" ref="AJ121">IFERROR(LOOKUP(2,1/(Atualizações!$H$1:$H$1029=Mapa!$B94&amp;Mapa!CC$3),Atualizações!$E$1:$E$1029),"NÃO")</f>
        <v>0.73</v>
      </c>
      <c r="AK121" s="161" cm="1">
        <f t="array" ref="AK121">IFERROR(LOOKUP(2,1/(Atualizações!$H$1:$H$1029=Mapa!$B94&amp;Mapa!CD$3),Atualizações!$E$1:$E$1029),"NÃO")</f>
        <v>0.71</v>
      </c>
      <c r="AL121" s="161" cm="1">
        <f t="array" ref="AL121">IFERROR(LOOKUP(2,1/(Atualizações!$H$1:$H$1265=Mapa!$B94&amp;Mapa!CE$3),Atualizações!$E$1:$E$2994),"NÃO")</f>
        <v>0.71</v>
      </c>
      <c r="AM121" s="161" cm="1">
        <f t="array" ref="AM121">IFERROR(LOOKUP(2,1/(Atualizações!$H$1:$H$2994=Tb_Mapa[[#This Row],[SEI]]&amp;Mapa!CF$3),Atualizações!$E$1:$E$2994),"NÃO")</f>
        <v>0.74</v>
      </c>
      <c r="AN121" s="161" cm="1">
        <f t="array" ref="AN121">IFERROR(LOOKUP(2,1/(Atualizações!$H$1:$H$2994=Tb_Mapa[[#This Row],[SEI]]&amp;Mapa!CG$3),Atualizações!$E$1:$E$2994),"NÃO")</f>
        <v>0.74</v>
      </c>
      <c r="AO121" s="161" cm="1">
        <f t="array" ref="AO121">IFERROR(LOOKUP(2,1/(Atualizações!$H$1:$H$2994=Tb_Mapa[[#This Row],[SEI]]&amp;Mapa!CH$3),Atualizações!$E$1:$E$2994),"NÃO")</f>
        <v>0.39</v>
      </c>
      <c r="AP121" s="161" cm="1">
        <f t="array" ref="AP121">IFERROR(LOOKUP(2,1/(Atualizações!$H$1:$H$2994=Tb_Mapa[[#This Row],[SEI]]&amp;Mapa!CI$3),Atualizações!$E$1:$E$2994),"NÃO")</f>
        <v>0.39</v>
      </c>
      <c r="AQ121" s="161" cm="1">
        <f t="array" ref="AQ121">IFERROR(LOOKUP(2,1/(Atualizações!$H$1:$H$2994=Tb_Mapa[[#This Row],[SEI]]&amp;Mapa!CJ$3),Atualizações!$E$1:$E$2994),"NÃO")</f>
        <v>0.39</v>
      </c>
      <c r="AR121" s="161" t="str" cm="1">
        <f t="array" ref="AR121">IFERROR(LOOKUP(2,1/(Atualizações!$H$1:$H$2994=Tb_Mapa[[#This Row],[SEI]]&amp;Mapa!CK$3),Atualizações!$E$1:$E$2994),"NÃO")</f>
        <v>NÃO</v>
      </c>
      <c r="AS121" s="161" t="str" cm="1">
        <f t="array" ref="AS121">IFERROR(LOOKUP(2,1/(Atualizações!$H$1:$H$2994=Tb_Mapa[[#This Row],[SEI]]&amp;Mapa!CL$3),Atualizações!$E$1:$E$2994),"NÃO")</f>
        <v>NÃO</v>
      </c>
      <c r="AT121" s="161" t="str" cm="1">
        <f t="array" ref="AT121">IFERROR(LOOKUP(2,1/(Atualizações!$H$1:$H$2994=Tb_Mapa[[#This Row],[SEI]]&amp;Mapa!CM$3),Atualizações!$E$1:$E$2994),"NÃO")</f>
        <v>NÃO</v>
      </c>
      <c r="AU121" s="161" t="str" cm="1">
        <f t="array" ref="AU121">IFERROR(LOOKUP(2,1/(Atualizações!$H$1:$H$2994=Tb_Mapa[[#This Row],[SEI]]&amp;Mapa!CN$3),Atualizações!$E$1:$E$2994),"NÃO")</f>
        <v>NÃO</v>
      </c>
      <c r="AV121" s="161" t="str" cm="1">
        <f t="array" ref="AV121">IFERROR(LOOKUP(2,1/(Atualizações!$H$1:$H$2994=Tb_Mapa[[#This Row],[SEI]]&amp;Mapa!CO$3),Atualizações!$E$1:$E$2994),"NÃO")</f>
        <v>NÃO</v>
      </c>
      <c r="AW121" s="161" t="str" cm="1">
        <f t="array" ref="AW121">IFERROR(LOOKUP(2,1/(Atualizações!$H$1:$H$2994=Tb_Mapa[[#This Row],[SEI]]&amp;Mapa!CP$3),Atualizações!$E$1:$E$2994),"NÃO")</f>
        <v>NÃO</v>
      </c>
      <c r="AX121" s="161" t="str" cm="1">
        <f t="array" ref="AX121">IFERROR(LOOKUP(2,1/(Atualizações!$H$1:$H$2994=Tb_Mapa[[#This Row],[SEI]]&amp;Mapa!CQ$3),Atualizações!$E$1:$E$2994),"NÃO")</f>
        <v>NÃO</v>
      </c>
    </row>
    <row r="122" spans="2:50" hidden="1">
      <c r="B122" s="51" t="s">
        <v>766</v>
      </c>
      <c r="C122" s="51" t="str">
        <f>_xlfn.XLOOKUP(Tb_Mapa[[#This Row],[SEI]],Tb_Portfólio[SEI],Tb_Portfólio[Portfólio 2025],"",0)</f>
        <v>Sim</v>
      </c>
      <c r="D122" s="158" t="str">
        <f>_xlfn.XLOOKUP(Tb_Mapa[[#This Row],[SEI]],Tb_Portfólio[SEI],Tb_Portfólio[Portfólio 2026],"",0)</f>
        <v>Sim</v>
      </c>
      <c r="E122" s="679" t="str">
        <f>_xlfn.XLOOKUP(Tb_Mapa[[#This Row],[SEI]],Tb_Portfólio[SEI],Tb_Portfólio[PROJETO],"",0)</f>
        <v>Painel Crime Organizado</v>
      </c>
      <c r="F122" s="143" t="str">
        <f>INDEX(Projetos!$G$3:$G$129,MATCH(Tb_Mapa[[#This Row],[SEI]],Projetos!$A$3:$A$129,0))</f>
        <v>André José da Silva Lima</v>
      </c>
      <c r="G122" s="682" t="s">
        <v>1710</v>
      </c>
      <c r="H122" s="166" t="str">
        <f>INDEX(Projetos!$T$3:$T$129,MATCH(B122,Projetos!$A$3:$A$129,0))</f>
        <v>Justiça 4.0</v>
      </c>
      <c r="I122" s="310">
        <f>INDEX(Projetos!$M$3:$M$129,MATCH(Tb_Mapa[[#This Row],[SEI]],Projetos!$A$3:$A$129,0))</f>
        <v>46387</v>
      </c>
      <c r="J122" s="164" t="str">
        <f ca="1">IF(Tb_Mapa[[#This Row],[SITUAÇÃO]]="Finalizado", "Data atualizada", IFERROR(IF(Tb_Mapa[[#This Row],[DATA DE TÉRMINO]]&lt;$I$1,"Atualizar data de encerramento","Data atualizada"),"Sem informação"))</f>
        <v>Data atualizada</v>
      </c>
      <c r="K122" s="311">
        <f>INDEX(Projetos!$N$3:$N$129,MATCH(Tb_Mapa[[#This Row],[SEI]],Projetos!$A$3:$A$129,0))</f>
        <v>0.52</v>
      </c>
      <c r="L122" s="311">
        <f>INDEX(Projetos!$O$3:$O$129,MATCH(Tb_Mapa[[#This Row],[SEI]],Projetos!$A$3:$A$129,0))</f>
        <v>0.35</v>
      </c>
      <c r="M122" s="165" t="str">
        <f ca="1">_xlfn.XLOOKUP(Tb_Mapa[[#This Row],[SEI]],Tb_Portfólio[SEI],Tb_Portfólio[Situação],"N/A",0)</f>
        <v>Atrasado ou Crítico</v>
      </c>
      <c r="N122" s="128" t="str" cm="1">
        <f t="array" ref="N122">IFERROR(LOOKUP(2,1/(Atualizações!$H$1:$H$486=Mapa!$B114&amp;Mapa!BG$3),Atualizações!$E$1:$E$486),"NÃO")</f>
        <v>NÃO</v>
      </c>
      <c r="O122" s="205"/>
      <c r="P122" s="205"/>
      <c r="Q122" s="205"/>
      <c r="R122" s="205"/>
      <c r="S122" s="205"/>
      <c r="T122" s="205"/>
      <c r="U122" s="205"/>
      <c r="V122" s="205"/>
      <c r="W122" s="205"/>
      <c r="X122" s="205"/>
      <c r="Y122" s="205"/>
      <c r="Z122" s="205" cm="1">
        <f t="array" ref="Z122">IFERROR(LOOKUP(2,1/(Atualizações!$H$1:$H$1029=Mapa!$B114&amp;Mapa!BS$3),Atualizações!$E$1:$E$1029),"NÃO")</f>
        <v>1</v>
      </c>
      <c r="AA122" s="205" t="str" cm="1">
        <f t="array" ref="AA122">IFERROR(LOOKUP(2,1/(Atualizações!$H$1:$H$1029=Mapa!$B114&amp;Mapa!BT$3),Atualizações!$E$1:$E$1029),"NÃO")</f>
        <v>NÃO</v>
      </c>
      <c r="AB122" s="205" t="str" cm="1">
        <f t="array" ref="AB122">IFERROR(LOOKUP(2,1/(Atualizações!$H$1:$H$1029=Mapa!$B114&amp;Mapa!BU$3),Atualizações!$E$1:$E$1029),"NÃO")</f>
        <v>NÃO</v>
      </c>
      <c r="AC122" s="205" t="str" cm="1">
        <f t="array" ref="AC122">IFERROR(LOOKUP(2,1/(Atualizações!$H$1:$H$1029=Mapa!$B114&amp;Mapa!BV$3),Atualizações!$E$1:$E$1029),"NÃO")</f>
        <v>NÃO</v>
      </c>
      <c r="AD122" s="205" t="str" cm="1">
        <f t="array" ref="AD122">IFERROR(LOOKUP(2,1/(Atualizações!$H$1:$H$1029=Mapa!$B114&amp;Mapa!BW$3),Atualizações!$E$1:$E$1029),"NÃO")</f>
        <v>NÃO</v>
      </c>
      <c r="AE122" s="205" t="str" cm="1">
        <f t="array" ref="AE122">IFERROR(LOOKUP(2,1/(Atualizações!$H$1:$H$1029=Mapa!$B114&amp;Mapa!BX$3),Atualizações!$E$1:$E$1029),"NÃO")</f>
        <v>NÃO</v>
      </c>
      <c r="AF122" s="205" t="str" cm="1">
        <f t="array" ref="AF122">IFERROR(LOOKUP(2,1/(Atualizações!$H$1:$H$1029=Mapa!$B114&amp;Mapa!BY$3),Atualizações!$E$1:$E$1029),"NÃO")</f>
        <v>NÃO</v>
      </c>
      <c r="AG122" s="205" t="str" cm="1">
        <f t="array" ref="AG122">IFERROR(LOOKUP(2,1/(Atualizações!$H$1:$H$1029=Mapa!$B114&amp;Mapa!BZ$3),Atualizações!$E$1:$E$1029),"NÃO")</f>
        <v>NÃO</v>
      </c>
      <c r="AH122" s="205" t="str" cm="1">
        <f t="array" ref="AH122">IFERROR(LOOKUP(2,1/(Atualizações!$H$1:$H$1029=Mapa!$B114&amp;Mapa!CA$3),Atualizações!$E$1:$E$1029),"NÃO")</f>
        <v>NÃO</v>
      </c>
      <c r="AI122" s="205" t="str" cm="1">
        <f t="array" ref="AI122">IFERROR(LOOKUP(2,1/(Atualizações!$H$1:$H$1029=Mapa!$B114&amp;Mapa!CB$3),Atualizações!$E$1:$E$1029),"NÃO")</f>
        <v>NÃO</v>
      </c>
      <c r="AJ122" s="205" t="str" cm="1">
        <f t="array" ref="AJ122">IFERROR(LOOKUP(2,1/(Atualizações!$H$1:$H$1029=Mapa!$B114&amp;Mapa!CC$3),Atualizações!$E$1:$E$1029),"NÃO")</f>
        <v>NÃO</v>
      </c>
      <c r="AK122" s="161" t="str" cm="1">
        <f t="array" ref="AK122">IFERROR(LOOKUP(2,1/(Atualizações!$H$1:$H$1029=Mapa!$B114&amp;Mapa!CD$3),Atualizações!$E$1:$E$1029),"NÃO")</f>
        <v>NÃO</v>
      </c>
      <c r="AL122" s="161" t="str" cm="1">
        <f t="array" ref="AL122">IFERROR(LOOKUP(2,1/(Atualizações!$H$1:$H$1265=Mapa!$B114&amp;Mapa!CE$3),Atualizações!$E$1:$E$2994),"NÃO")</f>
        <v>NÃO</v>
      </c>
      <c r="AM122" s="161" cm="1">
        <f t="array" ref="AM122">IFERROR(LOOKUP(2,1/(Atualizações!$H$1:$H$2994=Tb_Mapa[[#This Row],[SEI]]&amp;Mapa!CF$3),Atualizações!$E$1:$E$2994),"NÃO")</f>
        <v>0.41</v>
      </c>
      <c r="AN122" s="161" cm="1">
        <f t="array" ref="AN122">IFERROR(LOOKUP(2,1/(Atualizações!$H$1:$H$2994=Tb_Mapa[[#This Row],[SEI]]&amp;Mapa!CG$3),Atualizações!$E$1:$E$2994),"NÃO")</f>
        <v>0.14000000000000001</v>
      </c>
      <c r="AO122" s="161" cm="1">
        <f t="array" ref="AO122">IFERROR(LOOKUP(2,1/(Atualizações!$H$1:$H$2994=Tb_Mapa[[#This Row],[SEI]]&amp;Mapa!CH$3),Atualizações!$E$1:$E$2994),"NÃO")</f>
        <v>0.35</v>
      </c>
      <c r="AP122" s="161" cm="1">
        <f t="array" ref="AP122">IFERROR(LOOKUP(2,1/(Atualizações!$H$1:$H$2994=Tb_Mapa[[#This Row],[SEI]]&amp;Mapa!CI$3),Atualizações!$E$1:$E$2994),"NÃO")</f>
        <v>0.35</v>
      </c>
      <c r="AQ122" s="161" cm="1">
        <f t="array" ref="AQ122">IFERROR(LOOKUP(2,1/(Atualizações!$H$1:$H$2994=Tb_Mapa[[#This Row],[SEI]]&amp;Mapa!CJ$3),Atualizações!$E$1:$E$2994),"NÃO")</f>
        <v>0.35</v>
      </c>
      <c r="AR122" s="161" t="str" cm="1">
        <f t="array" ref="AR122">IFERROR(LOOKUP(2,1/(Atualizações!$H$1:$H$2994=Tb_Mapa[[#This Row],[SEI]]&amp;Mapa!CK$3),Atualizações!$E$1:$E$2994),"NÃO")</f>
        <v>NÃO</v>
      </c>
      <c r="AS122" s="161" t="str" cm="1">
        <f t="array" ref="AS122">IFERROR(LOOKUP(2,1/(Atualizações!$H$1:$H$2994=Tb_Mapa[[#This Row],[SEI]]&amp;Mapa!CL$3),Atualizações!$E$1:$E$2994),"NÃO")</f>
        <v>NÃO</v>
      </c>
      <c r="AT122" s="161" t="str" cm="1">
        <f t="array" ref="AT122">IFERROR(LOOKUP(2,1/(Atualizações!$H$1:$H$2994=Tb_Mapa[[#This Row],[SEI]]&amp;Mapa!CM$3),Atualizações!$E$1:$E$2994),"NÃO")</f>
        <v>NÃO</v>
      </c>
      <c r="AU122" s="161" t="str" cm="1">
        <f t="array" ref="AU122">IFERROR(LOOKUP(2,1/(Atualizações!$H$1:$H$2994=Tb_Mapa[[#This Row],[SEI]]&amp;Mapa!CN$3),Atualizações!$E$1:$E$2994),"NÃO")</f>
        <v>NÃO</v>
      </c>
      <c r="AV122" s="161" t="str" cm="1">
        <f t="array" ref="AV122">IFERROR(LOOKUP(2,1/(Atualizações!$H$1:$H$2994=Tb_Mapa[[#This Row],[SEI]]&amp;Mapa!CO$3),Atualizações!$E$1:$E$2994),"NÃO")</f>
        <v>NÃO</v>
      </c>
      <c r="AW122" s="161" t="str" cm="1">
        <f t="array" ref="AW122">IFERROR(LOOKUP(2,1/(Atualizações!$H$1:$H$2994=Tb_Mapa[[#This Row],[SEI]]&amp;Mapa!CP$3),Atualizações!$E$1:$E$2994),"NÃO")</f>
        <v>NÃO</v>
      </c>
      <c r="AX122" s="161" t="str" cm="1">
        <f t="array" ref="AX122">IFERROR(LOOKUP(2,1/(Atualizações!$H$1:$H$2994=Tb_Mapa[[#This Row],[SEI]]&amp;Mapa!CQ$3),Atualizações!$E$1:$E$2994),"NÃO")</f>
        <v>NÃO</v>
      </c>
    </row>
    <row r="123" spans="2:50" ht="30" hidden="1">
      <c r="B123" s="678" t="s">
        <v>451</v>
      </c>
      <c r="C123" s="678" t="str">
        <f>_xlfn.XLOOKUP(Tb_Mapa[[#This Row],[SEI]],Tb_Portfólio[SEI],Tb_Portfólio[Portfólio 2025],"",0)</f>
        <v>Não</v>
      </c>
      <c r="D123" s="158" t="str">
        <f>_xlfn.XLOOKUP(Tb_Mapa[[#This Row],[SEI]],Tb_Portfólio[SEI],Tb_Portfólio[Portfólio 2026],"",0)</f>
        <v>Não</v>
      </c>
      <c r="E123" s="679" t="str">
        <f>_xlfn.XLOOKUP(Tb_Mapa[[#This Row],[SEI]],Tb_Portfólio[SEI],Tb_Portfólio[PROJETO],"",0)</f>
        <v>Conciliação e Mediação na prática</v>
      </c>
      <c r="F123" s="695" t="str">
        <f>INDEX(Projetos!$G$3:$G$129,MATCH(B123,Projetos!$A$3:$A$129,0))</f>
        <v>Luciano Almeida Lima</v>
      </c>
      <c r="G123" s="682" t="s">
        <v>1725</v>
      </c>
      <c r="H123" s="166">
        <f>INDEX(Projetos!$T$3:$T$129,MATCH(B123,Projetos!$A$3:$A$129,0))</f>
        <v>0</v>
      </c>
      <c r="I123" s="704">
        <f>INDEX(Projetos!$M$3:$M$129,MATCH(Mapa!B8,Projetos!$A$3:$A$129,0))</f>
        <v>45657</v>
      </c>
      <c r="J123" s="689" t="str">
        <f>IF(Tb_Mapa[[#This Row],[SITUAÇÃO]]="Finalizado", "Data atualizada", IFERROR(IF(I123&lt;$CN$3,"Atualizar data de encerramento","Data atualizada"),"Sem informação"))</f>
        <v>Atualizar data de encerramento</v>
      </c>
      <c r="K123" s="705">
        <f>INDEX(Projetos!$N$3:$N$129,MATCH(Mapa!B8,Projetos!$A$3:$A$129,0))</f>
        <v>1</v>
      </c>
      <c r="L123" s="705">
        <f>INDEX(Projetos!$O$3:$O$129,MATCH(Mapa!B8,Projetos!$A$3:$A$129,0))</f>
        <v>1</v>
      </c>
      <c r="M123" s="165" t="str">
        <f>_xlfn.XLOOKUP(Tb_Mapa[[#This Row],[SEI]],Tb_Portfólio[SEI],Tb_Portfólio[Situação],"N/A",0)</f>
        <v>Cancelado</v>
      </c>
      <c r="N123" s="128" t="str" cm="1">
        <f t="array" ref="N123">IFERROR(LOOKUP(2,1/(Atualizações!$H$1:$H$486=Mapa!$B8&amp;Mapa!BG$3),Atualizações!$E$1:$E$486),"NÃO")</f>
        <v>NÃO</v>
      </c>
      <c r="O123" s="205" t="str" cm="1">
        <f t="array" ref="O123">IFERROR(LOOKUP(2,1/(Atualizações!$H$1:$H$580=Mapa!$B8&amp;Mapa!BH$3),Atualizações!$E$1:$E$580),"NÃO")</f>
        <v>NÃO</v>
      </c>
      <c r="P123" s="205" t="str" cm="1">
        <f t="array" ref="P123">IFERROR(LOOKUP(2,1/(Atualizações!$H$1:$H$580=Mapa!$B8&amp;Mapa!BI$3),Atualizações!$E$1:$E$580),"NÃO")</f>
        <v>NÃO</v>
      </c>
      <c r="Q123" s="205" t="str" cm="1">
        <f t="array" ref="Q123">IFERROR(LOOKUP(2,1/(Atualizações!$H$1:$H$580=Mapa!$B8&amp;Mapa!BJ$3),Atualizações!$E$1:$E$580),"NÃO")</f>
        <v>NÃO</v>
      </c>
      <c r="R123" s="205" t="str" cm="1">
        <f t="array" ref="R123">IFERROR(LOOKUP(2,1/(Atualizações!$H$1:$H$580=Mapa!$B8&amp;Mapa!BK$3),Atualizações!$E$1:$E$580),"NÃO")</f>
        <v>NÃO</v>
      </c>
      <c r="S123" s="205" t="str" cm="1">
        <f t="array" ref="S123">IFERROR(LOOKUP(2,1/(Atualizações!$H$1:$H$580=Mapa!$B8&amp;Mapa!BL$3),Atualizações!$E$1:$E$580),"NÃO")</f>
        <v>NÃO</v>
      </c>
      <c r="T123" s="205" t="str" cm="1">
        <f t="array" ref="T123">IFERROR(LOOKUP(2,1/(Atualizações!$H$1:$H$580=Mapa!$B8&amp;Mapa!BM$3),Atualizações!$E$1:$E$580),"NÃO")</f>
        <v>NÃO</v>
      </c>
      <c r="U123" s="205" t="str" cm="1">
        <f t="array" ref="U123">IFERROR(LOOKUP(2,1/(Atualizações!$H$1:$H$580=Mapa!$B8&amp;Mapa!BN$3),Atualizações!$E$1:$E$580),"NÃO")</f>
        <v>NÃO</v>
      </c>
      <c r="V123" s="205" t="str" cm="1">
        <f t="array" ref="V123">IFERROR(LOOKUP(2,1/(Atualizações!$H$1:$H$580=Mapa!$B8&amp;Mapa!BO$3),Atualizações!$E$1:$E$580),"NÃO")</f>
        <v>NÃO</v>
      </c>
      <c r="W123" s="205" t="str" cm="1">
        <f t="array" ref="W123">IFERROR(LOOKUP(2,1/(Atualizações!$H$1:$H$580=Mapa!$B8&amp;Mapa!BP$3),Atualizações!$E$1:$E$580),"NÃO")</f>
        <v>NÃO</v>
      </c>
      <c r="X123" s="205" t="str" cm="1">
        <f t="array" ref="X123">IFERROR(LOOKUP(2,1/(Atualizações!$H$1:$H$580=Mapa!$B8&amp;Mapa!BQ$3),Atualizações!$E$1:$E$580),"NÃO")</f>
        <v>NÃO</v>
      </c>
      <c r="Y123" s="205" t="str" cm="1">
        <f t="array" ref="Y123">IFERROR(LOOKUP(2,1/(Atualizações!$H$1:$H$580=Mapa!$B8&amp;Mapa!BR$3),Atualizações!$E$1:$E$580),"NÃO")</f>
        <v>NÃO</v>
      </c>
      <c r="Z123" s="205" cm="1">
        <f t="array" ref="Z123">IFERROR(LOOKUP(2,1/(Atualizações!$H$1:$H$1029=Mapa!$B8&amp;Mapa!BS$3),Atualizações!$E$1:$E$1029),"NÃO")</f>
        <v>1</v>
      </c>
      <c r="AA123" s="205" t="str" cm="1">
        <f t="array" ref="AA123">IFERROR(LOOKUP(2,1/(Atualizações!$H$1:$H$1029=Mapa!$B8&amp;Mapa!BT$3),Atualizações!$E$1:$E$1029),"NÃO")</f>
        <v>NÃO</v>
      </c>
      <c r="AB123" s="205" t="str" cm="1">
        <f t="array" ref="AB123">IFERROR(LOOKUP(2,1/(Atualizações!$H$1:$H$1029=Mapa!$B8&amp;Mapa!BU$3),Atualizações!$E$1:$E$1029),"NÃO")</f>
        <v>NÃO</v>
      </c>
      <c r="AC123" s="205" t="str" cm="1">
        <f t="array" ref="AC123">IFERROR(LOOKUP(2,1/(Atualizações!$H$1:$H$1029=Mapa!$B8&amp;Mapa!BV$3),Atualizações!$E$1:$E$1029),"NÃO")</f>
        <v>NÃO</v>
      </c>
      <c r="AD123" s="205" t="str" cm="1">
        <f t="array" ref="AD123">IFERROR(LOOKUP(2,1/(Atualizações!$H$1:$H$1029=Mapa!$B8&amp;Mapa!BW$3),Atualizações!$E$1:$E$1029),"NÃO")</f>
        <v>NÃO</v>
      </c>
      <c r="AE123" s="205" t="str" cm="1">
        <f t="array" ref="AE123">IFERROR(LOOKUP(2,1/(Atualizações!$H$1:$H$1029=Mapa!$B8&amp;Mapa!BX$3),Atualizações!$E$1:$E$1029),"NÃO")</f>
        <v>NÃO</v>
      </c>
      <c r="AF123" s="205" t="str" cm="1">
        <f t="array" ref="AF123">IFERROR(LOOKUP(2,1/(Atualizações!$H$1:$H$1029=Mapa!$B8&amp;Mapa!BY$3),Atualizações!$E$1:$E$1029),"NÃO")</f>
        <v>NÃO</v>
      </c>
      <c r="AG123" s="205" t="str" cm="1">
        <f t="array" ref="AG123">IFERROR(LOOKUP(2,1/(Atualizações!$H$1:$H$1029=Mapa!$B8&amp;Mapa!BZ$3),Atualizações!$E$1:$E$1029),"NÃO")</f>
        <v>NÃO</v>
      </c>
      <c r="AH123" s="205" t="str" cm="1">
        <f t="array" ref="AH123">IFERROR(LOOKUP(2,1/(Atualizações!$H$1:$H$1029=Mapa!$B8&amp;Mapa!CA$3),Atualizações!$E$1:$E$1029),"NÃO")</f>
        <v>NÃO</v>
      </c>
      <c r="AI123" s="205" t="str" cm="1">
        <f t="array" ref="AI123">IFERROR(LOOKUP(2,1/(Atualizações!$H$1:$H$1029=Mapa!$B8&amp;Mapa!CB$3),Atualizações!$E$1:$E$1029),"NÃO")</f>
        <v>NÃO</v>
      </c>
      <c r="AJ123" s="205" t="str" cm="1">
        <f t="array" ref="AJ123">IFERROR(LOOKUP(2,1/(Atualizações!$H$1:$H$1029=Mapa!$B8&amp;Mapa!CC$3),Atualizações!$E$1:$E$1029),"NÃO")</f>
        <v>NÃO</v>
      </c>
      <c r="AK123" s="161" t="str" cm="1">
        <f t="array" ref="AK123">IFERROR(LOOKUP(2,1/(Atualizações!$H$1:$H$1029=Mapa!$B8&amp;Mapa!CD$3),Atualizações!$E$1:$E$1029),"NÃO")</f>
        <v>NÃO</v>
      </c>
      <c r="AL123" s="161" t="str" cm="1">
        <f t="array" ref="AL123">IFERROR(LOOKUP(2,1/(Atualizações!$H$1:$H$1265=Mapa!$B8&amp;Mapa!CE$3),Atualizações!$E$1:$E$2994),"NÃO")</f>
        <v>NÃO</v>
      </c>
      <c r="AM123" s="161" t="str" cm="1">
        <f t="array" ref="AM123">IFERROR(LOOKUP(2,1/(Atualizações!$H$1:$H$2994=Tb_Mapa[[#This Row],[SEI]]&amp;Mapa!CF$3),Atualizações!$E$1:$E$2994),"NÃO")</f>
        <v>NÃO</v>
      </c>
      <c r="AN123" s="161" t="str" cm="1">
        <f t="array" ref="AN123">IFERROR(LOOKUP(2,1/(Atualizações!$H$1:$H$2994=Tb_Mapa[[#This Row],[SEI]]&amp;Mapa!CG$3),Atualizações!$E$1:$E$2994),"NÃO")</f>
        <v>NÃO</v>
      </c>
      <c r="AO123" s="161" t="str" cm="1">
        <f t="array" ref="AO123">IFERROR(LOOKUP(2,1/(Atualizações!$H$1:$H$2994=Tb_Mapa[[#This Row],[SEI]]&amp;Mapa!CH$3),Atualizações!$E$1:$E$2994),"NÃO")</f>
        <v>NÃO</v>
      </c>
      <c r="AP123" s="161" t="str" cm="1">
        <f t="array" ref="AP123">IFERROR(LOOKUP(2,1/(Atualizações!$H$1:$H$2994=Tb_Mapa[[#This Row],[SEI]]&amp;Mapa!CI$3),Atualizações!$E$1:$E$2994),"NÃO")</f>
        <v>NÃO</v>
      </c>
      <c r="AQ123" s="161" t="str" cm="1">
        <f t="array" ref="AQ123">IFERROR(LOOKUP(2,1/(Atualizações!$H$1:$H$2994=Tb_Mapa[[#This Row],[SEI]]&amp;Mapa!CJ$3),Atualizações!$E$1:$E$2994),"NÃO")</f>
        <v>NÃO</v>
      </c>
      <c r="AR123" s="161" t="str" cm="1">
        <f t="array" ref="AR123">IFERROR(LOOKUP(2,1/(Atualizações!$H$1:$H$2994=Tb_Mapa[[#This Row],[SEI]]&amp;Mapa!CK$3),Atualizações!$E$1:$E$2994),"NÃO")</f>
        <v>NÃO</v>
      </c>
      <c r="AS123" s="161" t="str" cm="1">
        <f t="array" ref="AS123">IFERROR(LOOKUP(2,1/(Atualizações!$H$1:$H$2994=Tb_Mapa[[#This Row],[SEI]]&amp;Mapa!CL$3),Atualizações!$E$1:$E$2994),"NÃO")</f>
        <v>NÃO</v>
      </c>
      <c r="AT123" s="161" t="str" cm="1">
        <f t="array" ref="AT123">IFERROR(LOOKUP(2,1/(Atualizações!$H$1:$H$2994=Tb_Mapa[[#This Row],[SEI]]&amp;Mapa!CM$3),Atualizações!$E$1:$E$2994),"NÃO")</f>
        <v>NÃO</v>
      </c>
      <c r="AU123" s="161" t="str" cm="1">
        <f t="array" ref="AU123">IFERROR(LOOKUP(2,1/(Atualizações!$H$1:$H$2994=Tb_Mapa[[#This Row],[SEI]]&amp;Mapa!CN$3),Atualizações!$E$1:$E$2994),"NÃO")</f>
        <v>NÃO</v>
      </c>
      <c r="AV123" s="161" t="str" cm="1">
        <f t="array" ref="AV123">IFERROR(LOOKUP(2,1/(Atualizações!$H$1:$H$2994=Tb_Mapa[[#This Row],[SEI]]&amp;Mapa!CO$3),Atualizações!$E$1:$E$2994),"NÃO")</f>
        <v>NÃO</v>
      </c>
      <c r="AW123" s="161" t="str" cm="1">
        <f t="array" ref="AW123">IFERROR(LOOKUP(2,1/(Atualizações!$H$1:$H$2994=Tb_Mapa[[#This Row],[SEI]]&amp;Mapa!CP$3),Atualizações!$E$1:$E$2994),"NÃO")</f>
        <v>NÃO</v>
      </c>
      <c r="AX123" s="161" t="str" cm="1">
        <f t="array" ref="AX123">IFERROR(LOOKUP(2,1/(Atualizações!$H$1:$H$2994=Tb_Mapa[[#This Row],[SEI]]&amp;Mapa!CQ$3),Atualizações!$E$1:$E$2994),"NÃO")</f>
        <v>NÃO</v>
      </c>
    </row>
    <row r="124" spans="2:50" ht="30" hidden="1">
      <c r="B124" s="678" t="s">
        <v>298</v>
      </c>
      <c r="C124" s="678" t="str">
        <f>_xlfn.XLOOKUP(Tb_Mapa[[#This Row],[SEI]],Tb_Portfólio[SEI],Tb_Portfólio[Portfólio 2025],"",0)</f>
        <v>Não</v>
      </c>
      <c r="D124" s="158" t="str">
        <f>_xlfn.XLOOKUP(Tb_Mapa[[#This Row],[SEI]],Tb_Portfólio[SEI],Tb_Portfólio[Portfólio 2026],"",0)</f>
        <v>Não</v>
      </c>
      <c r="E124" s="679" t="str">
        <f>_xlfn.XLOOKUP(Tb_Mapa[[#This Row],[SEI]],Tb_Portfólio[SEI],Tb_Portfólio[PROJETO],"",0)</f>
        <v>Propagar - Inclusão, Acessibilidade, Justiça e Cidadania</v>
      </c>
      <c r="F124" s="697" t="str">
        <f>INDEX(Projetos!$G$3:$G$129,MATCH(B124,Projetos!$A$3:$A$129,0))</f>
        <v>Eneida Pimentel Barreto</v>
      </c>
      <c r="G124" s="685" t="s">
        <v>1718</v>
      </c>
      <c r="H124" s="143">
        <f>INDEX(Projetos!$T$3:$T$129,MATCH(B124,Projetos!$A$3:$A$129,0))</f>
        <v>0</v>
      </c>
      <c r="I124" s="688">
        <f>INDEX(Projetos!$M$3:$M$129,MATCH(Mapa!B22,Projetos!$A$3:$A$129,0))</f>
        <v>45807</v>
      </c>
      <c r="J124" s="689" t="str">
        <f>IF(Tb_Mapa[[#This Row],[SITUAÇÃO]]="Finalizado", "Data atualizada", IFERROR(IF(I124&lt;$CN$3,"Atualizar data de encerramento","Data atualizada"),"Sem informação"))</f>
        <v>Data atualizada</v>
      </c>
      <c r="K124" s="690">
        <f>INDEX(Projetos!$N$3:$N$129,MATCH(Mapa!B22,Projetos!$A$3:$A$129,0))</f>
        <v>1</v>
      </c>
      <c r="L124" s="690">
        <f>INDEX(Projetos!$O$3:$O$129,MATCH(Mapa!B22,Projetos!$A$3:$A$129,0))</f>
        <v>0.75</v>
      </c>
      <c r="M124" s="165" t="str">
        <f>_xlfn.XLOOKUP(Tb_Mapa[[#This Row],[SEI]],Tb_Portfólio[SEI],Tb_Portfólio[Situação],"N/A",0)</f>
        <v>Finalizado</v>
      </c>
      <c r="N124" s="128" t="str" cm="1">
        <f t="array" ref="N124">IFERROR(LOOKUP(2,1/(Atualizações!$H$1:$H$486=Mapa!$B22&amp;Mapa!BG$3),Atualizações!$E$1:$E$486),"NÃO")</f>
        <v>NÃO</v>
      </c>
      <c r="O124" s="205" t="str" cm="1">
        <f t="array" ref="O124">IFERROR(LOOKUP(2,1/(Atualizações!$H$1:$H$580=Mapa!$B22&amp;Mapa!BH$3),Atualizações!$E$1:$E$580),"NÃO")</f>
        <v>NÃO</v>
      </c>
      <c r="P124" s="205" t="str" cm="1">
        <f t="array" ref="P124">IFERROR(LOOKUP(2,1/(Atualizações!$H$1:$H$580=Mapa!$B22&amp;Mapa!BI$3),Atualizações!$E$1:$E$580),"NÃO")</f>
        <v>NÃO</v>
      </c>
      <c r="Q124" s="205" t="str" cm="1">
        <f t="array" ref="Q124">IFERROR(LOOKUP(2,1/(Atualizações!$H$1:$H$580=Mapa!$B22&amp;Mapa!BJ$3),Atualizações!$E$1:$E$580),"NÃO")</f>
        <v>NÃO</v>
      </c>
      <c r="R124" s="205" t="str" cm="1">
        <f t="array" ref="R124">IFERROR(LOOKUP(2,1/(Atualizações!$H$1:$H$580=Mapa!$B22&amp;Mapa!BK$3),Atualizações!$E$1:$E$580),"NÃO")</f>
        <v>NÃO</v>
      </c>
      <c r="S124" s="205" t="str" cm="1">
        <f t="array" ref="S124">IFERROR(LOOKUP(2,1/(Atualizações!$H$1:$H$580=Mapa!$B22&amp;Mapa!BL$3),Atualizações!$E$1:$E$580),"NÃO")</f>
        <v>NÃO</v>
      </c>
      <c r="T124" s="205" t="str" cm="1">
        <f t="array" ref="T124">IFERROR(LOOKUP(2,1/(Atualizações!$H$1:$H$580=Mapa!$B22&amp;Mapa!BM$3),Atualizações!$E$1:$E$580),"NÃO")</f>
        <v>NÃO</v>
      </c>
      <c r="U124" s="205" t="str" cm="1">
        <f t="array" ref="U124">IFERROR(LOOKUP(2,1/(Atualizações!$H$1:$H$580=Mapa!$B22&amp;Mapa!BN$3),Atualizações!$E$1:$E$580),"NÃO")</f>
        <v>NÃO</v>
      </c>
      <c r="V124" s="205" t="str" cm="1">
        <f t="array" ref="V124">IFERROR(LOOKUP(2,1/(Atualizações!$H$1:$H$580=Mapa!$B22&amp;Mapa!BO$3),Atualizações!$E$1:$E$580),"NÃO")</f>
        <v>NÃO</v>
      </c>
      <c r="W124" s="205" t="str" cm="1">
        <f t="array" ref="W124">IFERROR(LOOKUP(2,1/(Atualizações!$H$1:$H$580=Mapa!$B22&amp;Mapa!BP$3),Atualizações!$E$1:$E$580),"NÃO")</f>
        <v>NÃO</v>
      </c>
      <c r="X124" s="205" t="str" cm="1">
        <f t="array" ref="X124">IFERROR(LOOKUP(2,1/(Atualizações!$H$1:$H$580=Mapa!$B22&amp;Mapa!BQ$3),Atualizações!$E$1:$E$580),"NÃO")</f>
        <v>NÃO</v>
      </c>
      <c r="Y124" s="205" t="str" cm="1">
        <f t="array" ref="Y124">IFERROR(LOOKUP(2,1/(Atualizações!$H$1:$H$580=Mapa!$B22&amp;Mapa!BR$3),Atualizações!$E$1:$E$580),"NÃO")</f>
        <v>NÃO</v>
      </c>
      <c r="Z124" s="205" t="str" cm="1">
        <f t="array" ref="Z124">IFERROR(LOOKUP(2,1/(Atualizações!$H$1:$H$1029=Mapa!$B22&amp;Mapa!BS$3),Atualizações!$E$1:$E$1029),"NÃO")</f>
        <v>NÃO</v>
      </c>
      <c r="AA124" s="205" t="str" cm="1">
        <f t="array" ref="AA124">IFERROR(LOOKUP(2,1/(Atualizações!$H$1:$H$1029=Mapa!$B22&amp;Mapa!BT$3),Atualizações!$E$1:$E$1029),"NÃO")</f>
        <v>NÃO</v>
      </c>
      <c r="AB124" s="205" t="str" cm="1">
        <f t="array" ref="AB124">IFERROR(LOOKUP(2,1/(Atualizações!$H$1:$H$1029=Mapa!$B22&amp;Mapa!BU$3),Atualizações!$E$1:$E$1029),"NÃO")</f>
        <v>NÃO</v>
      </c>
      <c r="AC124" s="205" t="str" cm="1">
        <f t="array" ref="AC124">IFERROR(LOOKUP(2,1/(Atualizações!$H$1:$H$1029=Mapa!$B22&amp;Mapa!BV$3),Atualizações!$E$1:$E$1029),"NÃO")</f>
        <v>NÃO</v>
      </c>
      <c r="AD124" s="205" t="str" cm="1">
        <f t="array" ref="AD124">IFERROR(LOOKUP(2,1/(Atualizações!$H$1:$H$1029=Mapa!$B22&amp;Mapa!BW$3),Atualizações!$E$1:$E$1029),"NÃO")</f>
        <v>NÃO</v>
      </c>
      <c r="AE124" s="205" t="str" cm="1">
        <f t="array" ref="AE124">IFERROR(LOOKUP(2,1/(Atualizações!$H$1:$H$1029=Mapa!$B22&amp;Mapa!BX$3),Atualizações!$E$1:$E$1029),"NÃO")</f>
        <v>NÃO</v>
      </c>
      <c r="AF124" s="205" t="str" cm="1">
        <f t="array" ref="AF124">IFERROR(LOOKUP(2,1/(Atualizações!$H$1:$H$1029=Mapa!$B22&amp;Mapa!BY$3),Atualizações!$E$1:$E$1029),"NÃO")</f>
        <v>NÃO</v>
      </c>
      <c r="AG124" s="205" cm="1">
        <f t="array" ref="AG124">IFERROR(LOOKUP(2,1/(Atualizações!$H$1:$H$1029=Mapa!$B22&amp;Mapa!BZ$3),Atualizações!$E$1:$E$1029),"NÃO")</f>
        <v>1</v>
      </c>
      <c r="AH124" s="205" t="str" cm="1">
        <f t="array" ref="AH124">IFERROR(LOOKUP(2,1/(Atualizações!$H$1:$H$1029=Mapa!$B22&amp;Mapa!CA$3),Atualizações!$E$1:$E$1029),"NÃO")</f>
        <v>NÃO</v>
      </c>
      <c r="AI124" s="205" t="str" cm="1">
        <f t="array" ref="AI124">IFERROR(LOOKUP(2,1/(Atualizações!$H$1:$H$1029=Mapa!$B22&amp;Mapa!CB$3),Atualizações!$E$1:$E$1029),"NÃO")</f>
        <v>NÃO</v>
      </c>
      <c r="AJ124" s="205" cm="1">
        <f t="array" ref="AJ124">IFERROR(LOOKUP(2,1/(Atualizações!$H$1:$H$1029=Mapa!$B22&amp;Mapa!CC$3),Atualizações!$E$1:$E$1029),"NÃO")</f>
        <v>0.75</v>
      </c>
      <c r="AK124" s="161" t="str" cm="1">
        <f t="array" ref="AK124">IFERROR(LOOKUP(2,1/(Atualizações!$H$1:$H$1029=Mapa!$B22&amp;Mapa!CD$3),Atualizações!$E$1:$E$1029),"NÃO")</f>
        <v>NÃO</v>
      </c>
      <c r="AL124" s="161" t="str" cm="1">
        <f t="array" ref="AL124">IFERROR(LOOKUP(2,1/(Atualizações!$H$1:$H$1265=Mapa!$B22&amp;Mapa!CE$3),Atualizações!$E$1:$E$2994),"NÃO")</f>
        <v>NÃO</v>
      </c>
      <c r="AM124" s="161" t="str" cm="1">
        <f t="array" ref="AM124">IFERROR(LOOKUP(2,1/(Atualizações!$H$1:$H$2994=Tb_Mapa[[#This Row],[SEI]]&amp;Mapa!CF$3),Atualizações!$E$1:$E$2994),"NÃO")</f>
        <v>NÃO</v>
      </c>
      <c r="AN124" s="161" t="str" cm="1">
        <f t="array" ref="AN124">IFERROR(LOOKUP(2,1/(Atualizações!$H$1:$H$2994=Tb_Mapa[[#This Row],[SEI]]&amp;Mapa!CG$3),Atualizações!$E$1:$E$2994),"NÃO")</f>
        <v>NÃO</v>
      </c>
      <c r="AO124" s="161" t="str" cm="1">
        <f t="array" ref="AO124">IFERROR(LOOKUP(2,1/(Atualizações!$H$1:$H$2994=Tb_Mapa[[#This Row],[SEI]]&amp;Mapa!CH$3),Atualizações!$E$1:$E$2994),"NÃO")</f>
        <v>NÃO</v>
      </c>
      <c r="AP124" s="161" t="str" cm="1">
        <f t="array" ref="AP124">IFERROR(LOOKUP(2,1/(Atualizações!$H$1:$H$2994=Tb_Mapa[[#This Row],[SEI]]&amp;Mapa!CI$3),Atualizações!$E$1:$E$2994),"NÃO")</f>
        <v>NÃO</v>
      </c>
      <c r="AQ124" s="161" t="str" cm="1">
        <f t="array" ref="AQ124">IFERROR(LOOKUP(2,1/(Atualizações!$H$1:$H$2994=Tb_Mapa[[#This Row],[SEI]]&amp;Mapa!CJ$3),Atualizações!$E$1:$E$2994),"NÃO")</f>
        <v>NÃO</v>
      </c>
      <c r="AR124" s="161" t="str" cm="1">
        <f t="array" ref="AR124">IFERROR(LOOKUP(2,1/(Atualizações!$H$1:$H$2994=Tb_Mapa[[#This Row],[SEI]]&amp;Mapa!CK$3),Atualizações!$E$1:$E$2994),"NÃO")</f>
        <v>NÃO</v>
      </c>
      <c r="AS124" s="161" t="str" cm="1">
        <f t="array" ref="AS124">IFERROR(LOOKUP(2,1/(Atualizações!$H$1:$H$2994=Tb_Mapa[[#This Row],[SEI]]&amp;Mapa!CL$3),Atualizações!$E$1:$E$2994),"NÃO")</f>
        <v>NÃO</v>
      </c>
      <c r="AT124" s="161" t="str" cm="1">
        <f t="array" ref="AT124">IFERROR(LOOKUP(2,1/(Atualizações!$H$1:$H$2994=Tb_Mapa[[#This Row],[SEI]]&amp;Mapa!CM$3),Atualizações!$E$1:$E$2994),"NÃO")</f>
        <v>NÃO</v>
      </c>
      <c r="AU124" s="161" t="str" cm="1">
        <f t="array" ref="AU124">IFERROR(LOOKUP(2,1/(Atualizações!$H$1:$H$2994=Tb_Mapa[[#This Row],[SEI]]&amp;Mapa!CN$3),Atualizações!$E$1:$E$2994),"NÃO")</f>
        <v>NÃO</v>
      </c>
      <c r="AV124" s="161" t="str" cm="1">
        <f t="array" ref="AV124">IFERROR(LOOKUP(2,1/(Atualizações!$H$1:$H$2994=Tb_Mapa[[#This Row],[SEI]]&amp;Mapa!CO$3),Atualizações!$E$1:$E$2994),"NÃO")</f>
        <v>NÃO</v>
      </c>
      <c r="AW124" s="161" t="str" cm="1">
        <f t="array" ref="AW124">IFERROR(LOOKUP(2,1/(Atualizações!$H$1:$H$2994=Tb_Mapa[[#This Row],[SEI]]&amp;Mapa!CP$3),Atualizações!$E$1:$E$2994),"NÃO")</f>
        <v>NÃO</v>
      </c>
      <c r="AX124" s="161" t="str" cm="1">
        <f t="array" ref="AX124">IFERROR(LOOKUP(2,1/(Atualizações!$H$1:$H$2994=Tb_Mapa[[#This Row],[SEI]]&amp;Mapa!CQ$3),Atualizações!$E$1:$E$2994),"NÃO")</f>
        <v>NÃO</v>
      </c>
    </row>
    <row r="125" spans="2:50" ht="30">
      <c r="B125" s="51" t="s">
        <v>978</v>
      </c>
      <c r="C125" s="51" t="str">
        <f>_xlfn.XLOOKUP(Tb_Mapa[[#This Row],[SEI]],Tb_Portfólio[SEI],Tb_Portfólio[Portfólio 2025],"",0)</f>
        <v>Não</v>
      </c>
      <c r="D125" s="158" t="str">
        <f>_xlfn.XLOOKUP(Tb_Mapa[[#This Row],[SEI]],Tb_Portfólio[SEI],Tb_Portfólio[Portfólio 2026],"",0)</f>
        <v>Sim</v>
      </c>
      <c r="E125" s="679" t="str">
        <f>_xlfn.XLOOKUP(Tb_Mapa[[#This Row],[SEI]],Tb_Portfólio[SEI],Tb_Portfólio[PROJETO],"",0)</f>
        <v>Evolução do Sistema Nacional de Adoção (SNA)</v>
      </c>
      <c r="F125" s="143" t="str">
        <f>INDEX(Projetos!$G$3:$G$129,MATCH(Tb_Mapa[[#This Row],[SEI]],Projetos!$A$3:$A$129,0))</f>
        <v>Renato Lima de Aguiar Silveira</v>
      </c>
      <c r="G125" s="682" t="s">
        <v>1717</v>
      </c>
      <c r="H125" s="166" t="str">
        <f>INDEX(Projetos!$T$3:$T$129,MATCH(B125,Projetos!$A$3:$A$129,0))</f>
        <v>Justiça 4.0</v>
      </c>
      <c r="I125" s="310">
        <f>INDEX(Projetos!$M$3:$M$129,MATCH(Tb_Mapa[[#This Row],[SEI]],Projetos!$A$3:$A$129,0))</f>
        <v>46386</v>
      </c>
      <c r="J125" s="164" t="str">
        <f ca="1">IF(Tb_Mapa[[#This Row],[SITUAÇÃO]]="Finalizado", "Data atualizada", IFERROR(IF(Tb_Mapa[[#This Row],[DATA DE TÉRMINO]]&lt;$I$1,"Atualizar data de encerramento","Data atualizada"),"Sem informação"))</f>
        <v>Data atualizada</v>
      </c>
      <c r="K125" s="311">
        <f>INDEX(Projetos!$N$3:$N$129,MATCH(Tb_Mapa[[#This Row],[SEI]],Projetos!$A$3:$A$129,0))</f>
        <v>0.37</v>
      </c>
      <c r="L125" s="311">
        <f>INDEX(Projetos!$O$3:$O$129,MATCH(Tb_Mapa[[#This Row],[SEI]],Projetos!$A$3:$A$129,0))</f>
        <v>0.22</v>
      </c>
      <c r="M125" s="165" t="str">
        <f ca="1">_xlfn.XLOOKUP(Tb_Mapa[[#This Row],[SEI]],Tb_Portfólio[SEI],Tb_Portfólio[Situação],"N/A",0)</f>
        <v>Atrasado ou Crítico</v>
      </c>
      <c r="N125" s="128" t="str" cm="1">
        <f t="array" ref="N125">IFERROR(LOOKUP(2,1/(Atualizações!$H$1:$H$486=Mapa!$B121&amp;Mapa!BG$3),Atualizações!$E$1:$E$486),"NÃO")</f>
        <v>NÃO</v>
      </c>
      <c r="O125" s="205"/>
      <c r="P125" s="205"/>
      <c r="Q125" s="205"/>
      <c r="R125" s="205"/>
      <c r="S125" s="205"/>
      <c r="T125" s="205"/>
      <c r="U125" s="205"/>
      <c r="V125" s="205"/>
      <c r="W125" s="205"/>
      <c r="X125" s="205"/>
      <c r="Y125" s="205"/>
      <c r="Z125" s="205"/>
      <c r="AA125" s="340"/>
      <c r="AB125" s="340"/>
      <c r="AC125" s="340"/>
      <c r="AD125" s="340"/>
      <c r="AE125" s="340"/>
      <c r="AF125" s="340"/>
      <c r="AG125" s="340"/>
      <c r="AH125" s="340"/>
      <c r="AI125" s="340"/>
      <c r="AJ125" s="340"/>
      <c r="AK125" s="161" cm="1">
        <f t="array" ref="AK125">IFERROR(LOOKUP(2,1/(Atualizações!$H$1:$H$1029=Mapa!$B121&amp;Mapa!CD$3),Atualizações!$E$1:$E$1029),"NÃO")</f>
        <v>0.72</v>
      </c>
      <c r="AL125" s="161" cm="1">
        <f t="array" ref="AL125">IFERROR(LOOKUP(2,1/(Atualizações!$H$1:$H$1265=Mapa!$B121&amp;Mapa!CE$3),Atualizações!$E$1:$E$2994),"NÃO")</f>
        <v>0.75</v>
      </c>
      <c r="AM125" s="161" t="str" cm="1">
        <f t="array" ref="AM125">IFERROR(LOOKUP(2,1/(Atualizações!$H$1:$H$2994=Tb_Mapa[[#This Row],[SEI]]&amp;Mapa!CF$3),Atualizações!$E$1:$E$2994),"NÃO")</f>
        <v>NÃO</v>
      </c>
      <c r="AN125" s="161" t="str" cm="1">
        <f t="array" ref="AN125">IFERROR(LOOKUP(2,1/(Atualizações!$H$1:$H$2994=Tb_Mapa[[#This Row],[SEI]]&amp;Mapa!CG$3),Atualizações!$E$1:$E$2994),"NÃO")</f>
        <v>NÃO</v>
      </c>
      <c r="AO125" s="161" cm="1">
        <f t="array" ref="AO125">IFERROR(LOOKUP(2,1/(Atualizações!$H$1:$H$2994=Tb_Mapa[[#This Row],[SEI]]&amp;Mapa!CH$3),Atualizações!$E$1:$E$2994),"NÃO")</f>
        <v>0.24</v>
      </c>
      <c r="AP125" s="161" cm="1">
        <f t="array" ref="AP125">IFERROR(LOOKUP(2,1/(Atualizações!$H$1:$H$2994=Tb_Mapa[[#This Row],[SEI]]&amp;Mapa!CI$3),Atualizações!$E$1:$E$2994),"NÃO")</f>
        <v>0.28000000000000003</v>
      </c>
      <c r="AQ125" s="161" cm="1">
        <f t="array" ref="AQ125">IFERROR(LOOKUP(2,1/(Atualizações!$H$1:$H$2994=Tb_Mapa[[#This Row],[SEI]]&amp;Mapa!CJ$3),Atualizações!$E$1:$E$2994),"NÃO")</f>
        <v>0.22</v>
      </c>
      <c r="AR125" s="161" t="str" cm="1">
        <f t="array" ref="AR125">IFERROR(LOOKUP(2,1/(Atualizações!$H$1:$H$2994=Tb_Mapa[[#This Row],[SEI]]&amp;Mapa!CK$3),Atualizações!$E$1:$E$2994),"NÃO")</f>
        <v>NÃO</v>
      </c>
      <c r="AS125" s="161" t="str" cm="1">
        <f t="array" ref="AS125">IFERROR(LOOKUP(2,1/(Atualizações!$H$1:$H$2994=Tb_Mapa[[#This Row],[SEI]]&amp;Mapa!CL$3),Atualizações!$E$1:$E$2994),"NÃO")</f>
        <v>NÃO</v>
      </c>
      <c r="AT125" s="161" t="str" cm="1">
        <f t="array" ref="AT125">IFERROR(LOOKUP(2,1/(Atualizações!$H$1:$H$2994=Tb_Mapa[[#This Row],[SEI]]&amp;Mapa!CM$3),Atualizações!$E$1:$E$2994),"NÃO")</f>
        <v>NÃO</v>
      </c>
      <c r="AU125" s="161" t="str" cm="1">
        <f t="array" ref="AU125">IFERROR(LOOKUP(2,1/(Atualizações!$H$1:$H$2994=Tb_Mapa[[#This Row],[SEI]]&amp;Mapa!CN$3),Atualizações!$E$1:$E$2994),"NÃO")</f>
        <v>NÃO</v>
      </c>
      <c r="AV125" s="161" t="str" cm="1">
        <f t="array" ref="AV125">IFERROR(LOOKUP(2,1/(Atualizações!$H$1:$H$2994=Tb_Mapa[[#This Row],[SEI]]&amp;Mapa!CO$3),Atualizações!$E$1:$E$2994),"NÃO")</f>
        <v>NÃO</v>
      </c>
      <c r="AW125" s="161" t="str" cm="1">
        <f t="array" ref="AW125">IFERROR(LOOKUP(2,1/(Atualizações!$H$1:$H$2994=Tb_Mapa[[#This Row],[SEI]]&amp;Mapa!CP$3),Atualizações!$E$1:$E$2994),"NÃO")</f>
        <v>NÃO</v>
      </c>
      <c r="AX125" s="161" t="str" cm="1">
        <f t="array" ref="AX125">IFERROR(LOOKUP(2,1/(Atualizações!$H$1:$H$2994=Tb_Mapa[[#This Row],[SEI]]&amp;Mapa!CQ$3),Atualizações!$E$1:$E$2994),"NÃO")</f>
        <v>NÃO</v>
      </c>
    </row>
    <row r="126" spans="2:50" hidden="1">
      <c r="B126" s="51" t="s">
        <v>971</v>
      </c>
      <c r="C126" s="51" t="str">
        <f>_xlfn.XLOOKUP(Tb_Mapa[[#This Row],[SEI]],Tb_Portfólio[SEI],Tb_Portfólio[Portfólio 2025],"",0)</f>
        <v>Não</v>
      </c>
      <c r="D126" s="158" t="str">
        <f>_xlfn.XLOOKUP(Tb_Mapa[[#This Row],[SEI]],Tb_Portfólio[SEI],Tb_Portfólio[Portfólio 2026],"",0)</f>
        <v>Sim</v>
      </c>
      <c r="E126" s="679" t="str">
        <f>_xlfn.XLOOKUP(Tb_Mapa[[#This Row],[SEI]],Tb_Portfólio[SEI],Tb_Portfólio[PROJETO],"",0)</f>
        <v>Conexão Auditoria</v>
      </c>
      <c r="F126" s="170" t="str">
        <f>INDEX(Projetos!$G$3:$G$129,MATCH(Tb_Mapa[[#This Row],[SEI]],Projetos!$A$3:$A$129,0))</f>
        <v>Amanda Côrtes Gomes</v>
      </c>
      <c r="G126" s="682" t="s">
        <v>1711</v>
      </c>
      <c r="H126" s="166">
        <f>INDEX(Projetos!$T$3:$T$129,MATCH(B126,Projetos!$A$3:$A$129,0))</f>
        <v>0</v>
      </c>
      <c r="I126" s="310">
        <f>INDEX(Projetos!$M$3:$M$129,MATCH(Tb_Mapa[[#This Row],[SEI]],Projetos!$A$3:$A$129,0))</f>
        <v>46650</v>
      </c>
      <c r="J126" s="164" t="str">
        <f ca="1">IF(Tb_Mapa[[#This Row],[SITUAÇÃO]]="Finalizado", "Data atualizada", IFERROR(IF(Tb_Mapa[[#This Row],[DATA DE TÉRMINO]]&lt;$I$1,"Atualizar data de encerramento","Data atualizada"),"Sem informação"))</f>
        <v>Data atualizada</v>
      </c>
      <c r="K126" s="311">
        <f>INDEX(Projetos!$N$3:$N$129,MATCH(Tb_Mapa[[#This Row],[SEI]],Projetos!$A$3:$A$129,0))</f>
        <v>0</v>
      </c>
      <c r="L126" s="311">
        <f>INDEX(Projetos!$O$3:$O$129,MATCH(Tb_Mapa[[#This Row],[SEI]],Projetos!$A$3:$A$129,0))</f>
        <v>0</v>
      </c>
      <c r="M126" s="165" t="str">
        <f ca="1">_xlfn.XLOOKUP(Tb_Mapa[[#This Row],[SEI]],Tb_Portfólio[SEI],Tb_Portfólio[Situação],"N/A",0)</f>
        <v>Autorizado</v>
      </c>
      <c r="N126" s="128" t="str" cm="1">
        <f t="array" ref="N126">IFERROR(LOOKUP(2,1/(Atualizações!$H$1:$H$486=Mapa!$B125&amp;Mapa!BG$3),Atualizações!$E$1:$E$486),"NÃO")</f>
        <v>NÃO</v>
      </c>
      <c r="O126" s="205"/>
      <c r="P126" s="205"/>
      <c r="Q126" s="205"/>
      <c r="R126" s="205"/>
      <c r="S126" s="205"/>
      <c r="T126" s="205"/>
      <c r="U126" s="205"/>
      <c r="V126" s="205"/>
      <c r="W126" s="205"/>
      <c r="X126" s="205"/>
      <c r="Y126" s="205"/>
      <c r="Z126" s="205"/>
      <c r="AA126" s="340"/>
      <c r="AB126" s="340"/>
      <c r="AC126" s="340"/>
      <c r="AD126" s="340"/>
      <c r="AE126" s="340"/>
      <c r="AF126" s="340"/>
      <c r="AG126" s="340"/>
      <c r="AH126" s="340"/>
      <c r="AI126" s="340"/>
      <c r="AJ126" s="340"/>
      <c r="AK126" s="205" t="str" cm="1">
        <f t="array" ref="AK126">IFERROR(LOOKUP(2,1/(Atualizações!$H$1:$H$1029=Mapa!$B125&amp;Mapa!CD$3),Atualizações!$E$1:$E$1029),"NÃO")</f>
        <v>NÃO</v>
      </c>
      <c r="AL126" s="205" t="str" cm="1">
        <f t="array" ref="AL126">IFERROR(LOOKUP(2,1/(Atualizações!$H$1:$H$1265=Mapa!$B125&amp;Mapa!CE$3),Atualizações!$E$1:$E$2994),"NÃO")</f>
        <v>NÃO</v>
      </c>
      <c r="AM126" s="161" t="str" cm="1">
        <f t="array" ref="AM126">IFERROR(LOOKUP(2,1/(Atualizações!$H$1:$H$2994=Tb_Mapa[[#This Row],[SEI]]&amp;Mapa!CF$3),Atualizações!$E$1:$E$2994),"NÃO")</f>
        <v>NÃO</v>
      </c>
      <c r="AN126" s="161" t="str" cm="1">
        <f t="array" ref="AN126">IFERROR(LOOKUP(2,1/(Atualizações!$H$1:$H$2994=Tb_Mapa[[#This Row],[SEI]]&amp;Mapa!CG$3),Atualizações!$E$1:$E$2994),"NÃO")</f>
        <v>NÃO</v>
      </c>
      <c r="AO126" s="161" cm="1">
        <f t="array" ref="AO126">IFERROR(LOOKUP(2,1/(Atualizações!$H$1:$H$2994=Tb_Mapa[[#This Row],[SEI]]&amp;Mapa!CH$3),Atualizações!$E$1:$E$2994),"NÃO")</f>
        <v>0</v>
      </c>
      <c r="AP126" s="161" t="str" cm="1">
        <f t="array" ref="AP126">IFERROR(LOOKUP(2,1/(Atualizações!$H$1:$H$2994=Tb_Mapa[[#This Row],[SEI]]&amp;Mapa!CI$3),Atualizações!$E$1:$E$2994),"NÃO")</f>
        <v>NÃO</v>
      </c>
      <c r="AQ126" s="161" t="str" cm="1">
        <f t="array" ref="AQ126">IFERROR(LOOKUP(2,1/(Atualizações!$H$1:$H$2994=Tb_Mapa[[#This Row],[SEI]]&amp;Mapa!CJ$3),Atualizações!$E$1:$E$2994),"NÃO")</f>
        <v>NÃO</v>
      </c>
      <c r="AR126" s="161" t="str" cm="1">
        <f t="array" ref="AR126">IFERROR(LOOKUP(2,1/(Atualizações!$H$1:$H$2994=Tb_Mapa[[#This Row],[SEI]]&amp;Mapa!CK$3),Atualizações!$E$1:$E$2994),"NÃO")</f>
        <v>NÃO</v>
      </c>
      <c r="AS126" s="161" t="str" cm="1">
        <f t="array" ref="AS126">IFERROR(LOOKUP(2,1/(Atualizações!$H$1:$H$2994=Tb_Mapa[[#This Row],[SEI]]&amp;Mapa!CL$3),Atualizações!$E$1:$E$2994),"NÃO")</f>
        <v>NÃO</v>
      </c>
      <c r="AT126" s="161" t="str" cm="1">
        <f t="array" ref="AT126">IFERROR(LOOKUP(2,1/(Atualizações!$H$1:$H$2994=Tb_Mapa[[#This Row],[SEI]]&amp;Mapa!CM$3),Atualizações!$E$1:$E$2994),"NÃO")</f>
        <v>NÃO</v>
      </c>
      <c r="AU126" s="161" t="str" cm="1">
        <f t="array" ref="AU126">IFERROR(LOOKUP(2,1/(Atualizações!$H$1:$H$2994=Tb_Mapa[[#This Row],[SEI]]&amp;Mapa!CN$3),Atualizações!$E$1:$E$2994),"NÃO")</f>
        <v>NÃO</v>
      </c>
      <c r="AV126" s="161" t="str" cm="1">
        <f t="array" ref="AV126">IFERROR(LOOKUP(2,1/(Atualizações!$H$1:$H$2994=Tb_Mapa[[#This Row],[SEI]]&amp;Mapa!CO$3),Atualizações!$E$1:$E$2994),"NÃO")</f>
        <v>NÃO</v>
      </c>
      <c r="AW126" s="161" t="str" cm="1">
        <f t="array" ref="AW126">IFERROR(LOOKUP(2,1/(Atualizações!$H$1:$H$2994=Tb_Mapa[[#This Row],[SEI]]&amp;Mapa!CP$3),Atualizações!$E$1:$E$2994),"NÃO")</f>
        <v>NÃO</v>
      </c>
      <c r="AX126" s="161" t="str" cm="1">
        <f t="array" ref="AX126">IFERROR(LOOKUP(2,1/(Atualizações!$H$1:$H$2994=Tb_Mapa[[#This Row],[SEI]]&amp;Mapa!CQ$3),Atualizações!$E$1:$E$2994),"NÃO")</f>
        <v>NÃO</v>
      </c>
    </row>
    <row r="127" spans="2:50" ht="60" hidden="1">
      <c r="B127" s="51" t="s">
        <v>951</v>
      </c>
      <c r="C127" s="51" t="str">
        <f>_xlfn.XLOOKUP(Tb_Mapa[[#This Row],[SEI]],Tb_Portfólio[SEI],Tb_Portfólio[Portfólio 2025],"",0)</f>
        <v>Não</v>
      </c>
      <c r="D127" s="158" t="str">
        <f>_xlfn.XLOOKUP(Tb_Mapa[[#This Row],[SEI]],Tb_Portfólio[SEI],Tb_Portfólio[Portfólio 2026],"",0)</f>
        <v>Sim</v>
      </c>
      <c r="E127" s="679" t="str">
        <f>_xlfn.XLOOKUP(Tb_Mapa[[#This Row],[SEI]],Tb_Portfólio[SEI],Tb_Portfólio[PROJETO],"",0)</f>
        <v>Programa “Por Toda Parte, Por Todas Elas” – Plano 2026 de Enfrentamento da Violência contra Mulheres e Meninas.</v>
      </c>
      <c r="F127" s="170" t="str">
        <f>INDEX(Projetos!$G$3:$G$129,MATCH(Tb_Mapa[[#This Row],[SEI]],Projetos!$A$3:$A$129,0))</f>
        <v>Ceciana Ames Schallenberger</v>
      </c>
      <c r="G127" s="682" t="s">
        <v>1711</v>
      </c>
      <c r="H127" s="166">
        <f>INDEX(Projetos!$T$3:$T$129,MATCH(B127,Projetos!$A$3:$A$129,0))</f>
        <v>0</v>
      </c>
      <c r="I127" s="310">
        <f>INDEX(Projetos!$M$3:$M$129,MATCH(Tb_Mapa[[#This Row],[SEI]],Projetos!$A$3:$A$129,0))</f>
        <v>46650</v>
      </c>
      <c r="J127" s="164" t="str">
        <f ca="1">IF(Tb_Mapa[[#This Row],[SITUAÇÃO]]="Finalizado", "Data atualizada", IFERROR(IF(Tb_Mapa[[#This Row],[DATA DE TÉRMINO]]&lt;$I$1,"Atualizar data de encerramento","Data atualizada"),"Sem informação"))</f>
        <v>Data atualizada</v>
      </c>
      <c r="K127" s="311">
        <f>INDEX(Projetos!$N$3:$N$129,MATCH(Tb_Mapa[[#This Row],[SEI]],Projetos!$A$3:$A$129,0))</f>
        <v>0</v>
      </c>
      <c r="L127" s="311">
        <f>INDEX(Projetos!$O$3:$O$129,MATCH(Tb_Mapa[[#This Row],[SEI]],Projetos!$A$3:$A$129,0))</f>
        <v>0</v>
      </c>
      <c r="M127" s="165" t="str">
        <f ca="1">_xlfn.XLOOKUP(Tb_Mapa[[#This Row],[SEI]],Tb_Portfólio[SEI],Tb_Portfólio[Situação],"N/A",0)</f>
        <v>Autorizado</v>
      </c>
      <c r="N127" s="128" t="str" cm="1">
        <f t="array" ref="N127">IFERROR(LOOKUP(2,1/(Atualizações!$H$1:$H$486=Mapa!$B120&amp;Mapa!BG$3),Atualizações!$E$1:$E$486),"NÃO")</f>
        <v>NÃO</v>
      </c>
      <c r="O127" s="205"/>
      <c r="P127" s="205"/>
      <c r="Q127" s="205"/>
      <c r="R127" s="205"/>
      <c r="S127" s="205"/>
      <c r="T127" s="205"/>
      <c r="U127" s="205"/>
      <c r="V127" s="205"/>
      <c r="W127" s="205"/>
      <c r="X127" s="205"/>
      <c r="Y127" s="205"/>
      <c r="Z127" s="205"/>
      <c r="AA127" s="340"/>
      <c r="AB127" s="340"/>
      <c r="AC127" s="340"/>
      <c r="AD127" s="340"/>
      <c r="AE127" s="340"/>
      <c r="AF127" s="340"/>
      <c r="AG127" s="340"/>
      <c r="AH127" s="340"/>
      <c r="AI127" s="340"/>
      <c r="AJ127" s="340"/>
      <c r="AK127" s="205" t="str" cm="1">
        <f t="array" ref="AK127">IFERROR(LOOKUP(2,1/(Atualizações!$H$1:$H$1029=Mapa!$B120&amp;Mapa!CD$3),Atualizações!$E$1:$E$1029),"NÃO")</f>
        <v>NÃO</v>
      </c>
      <c r="AL127" s="205" t="str" cm="1">
        <f t="array" ref="AL127">IFERROR(LOOKUP(2,1/(Atualizações!$H$1:$H$1265=Mapa!$B120&amp;Mapa!CE$3),Atualizações!$E$1:$E$2994),"NÃO")</f>
        <v>NÃO</v>
      </c>
      <c r="AM127" s="161" t="str" cm="1">
        <f t="array" ref="AM127">IFERROR(LOOKUP(2,1/(Atualizações!$H$1:$H$2994=Tb_Mapa[[#This Row],[SEI]]&amp;Mapa!CF$3),Atualizações!$E$1:$E$2994),"NÃO")</f>
        <v>NÃO</v>
      </c>
      <c r="AN127" s="161" t="str" cm="1">
        <f t="array" ref="AN127">IFERROR(LOOKUP(2,1/(Atualizações!$H$1:$H$2994=Tb_Mapa[[#This Row],[SEI]]&amp;Mapa!CG$3),Atualizações!$E$1:$E$2994),"NÃO")</f>
        <v>NÃO</v>
      </c>
      <c r="AO127" s="161" cm="1">
        <f t="array" ref="AO127">IFERROR(LOOKUP(2,1/(Atualizações!$H$1:$H$2994=Tb_Mapa[[#This Row],[SEI]]&amp;Mapa!CH$3),Atualizações!$E$1:$E$2994),"NÃO")</f>
        <v>0</v>
      </c>
      <c r="AP127" s="161" t="str" cm="1">
        <f t="array" ref="AP127">IFERROR(LOOKUP(2,1/(Atualizações!$H$1:$H$2994=Tb_Mapa[[#This Row],[SEI]]&amp;Mapa!CI$3),Atualizações!$E$1:$E$2994),"NÃO")</f>
        <v>NÃO</v>
      </c>
      <c r="AQ127" s="161" t="str" cm="1">
        <f t="array" ref="AQ127">IFERROR(LOOKUP(2,1/(Atualizações!$H$1:$H$2994=Tb_Mapa[[#This Row],[SEI]]&amp;Mapa!CJ$3),Atualizações!$E$1:$E$2994),"NÃO")</f>
        <v>NÃO</v>
      </c>
      <c r="AR127" s="161" t="str" cm="1">
        <f t="array" ref="AR127">IFERROR(LOOKUP(2,1/(Atualizações!$H$1:$H$2994=Tb_Mapa[[#This Row],[SEI]]&amp;Mapa!CK$3),Atualizações!$E$1:$E$2994),"NÃO")</f>
        <v>NÃO</v>
      </c>
      <c r="AS127" s="161" t="str" cm="1">
        <f t="array" ref="AS127">IFERROR(LOOKUP(2,1/(Atualizações!$H$1:$H$2994=Tb_Mapa[[#This Row],[SEI]]&amp;Mapa!CL$3),Atualizações!$E$1:$E$2994),"NÃO")</f>
        <v>NÃO</v>
      </c>
      <c r="AT127" s="161" t="str" cm="1">
        <f t="array" ref="AT127">IFERROR(LOOKUP(2,1/(Atualizações!$H$1:$H$2994=Tb_Mapa[[#This Row],[SEI]]&amp;Mapa!CM$3),Atualizações!$E$1:$E$2994),"NÃO")</f>
        <v>NÃO</v>
      </c>
      <c r="AU127" s="161" t="str" cm="1">
        <f t="array" ref="AU127">IFERROR(LOOKUP(2,1/(Atualizações!$H$1:$H$2994=Tb_Mapa[[#This Row],[SEI]]&amp;Mapa!CN$3),Atualizações!$E$1:$E$2994),"NÃO")</f>
        <v>NÃO</v>
      </c>
      <c r="AV127" s="161" t="str" cm="1">
        <f t="array" ref="AV127">IFERROR(LOOKUP(2,1/(Atualizações!$H$1:$H$2994=Tb_Mapa[[#This Row],[SEI]]&amp;Mapa!CO$3),Atualizações!$E$1:$E$2994),"NÃO")</f>
        <v>NÃO</v>
      </c>
      <c r="AW127" s="161" t="str" cm="1">
        <f t="array" ref="AW127">IFERROR(LOOKUP(2,1/(Atualizações!$H$1:$H$2994=Tb_Mapa[[#This Row],[SEI]]&amp;Mapa!CP$3),Atualizações!$E$1:$E$2994),"NÃO")</f>
        <v>NÃO</v>
      </c>
      <c r="AX127" s="161" t="str" cm="1">
        <f t="array" ref="AX127">IFERROR(LOOKUP(2,1/(Atualizações!$H$1:$H$2994=Tb_Mapa[[#This Row],[SEI]]&amp;Mapa!CQ$3),Atualizações!$E$1:$E$2994),"NÃO")</f>
        <v>NÃO</v>
      </c>
    </row>
    <row r="128" spans="2:50" ht="30" hidden="1">
      <c r="B128" s="51" t="s">
        <v>944</v>
      </c>
      <c r="C128" s="51" t="str">
        <f>_xlfn.XLOOKUP(Tb_Mapa[[#This Row],[SEI]],Tb_Portfólio[SEI],Tb_Portfólio[Portfólio 2025],"",0)</f>
        <v>Não</v>
      </c>
      <c r="D128" s="158" t="str">
        <f>_xlfn.XLOOKUP(Tb_Mapa[[#This Row],[SEI]],Tb_Portfólio[SEI],Tb_Portfólio[Portfólio 2026],"",0)</f>
        <v>Sim</v>
      </c>
      <c r="E128" s="679" t="str">
        <f>_xlfn.XLOOKUP(Tb_Mapa[[#This Row],[SEI]],Tb_Portfólio[SEI],Tb_Portfólio[PROJETO],"",0)</f>
        <v>Subprograma Registre-se: Brasil Parente</v>
      </c>
      <c r="F128" s="170" t="str">
        <f>INDEX(Projetos!$G$3:$G$129,MATCH(Tb_Mapa[[#This Row],[SEI]],Projetos!$A$3:$A$129,0))</f>
        <v>Caio Henrique Faustino da Silva</v>
      </c>
      <c r="G128" s="682" t="s">
        <v>1711</v>
      </c>
      <c r="H128" s="166">
        <f>INDEX(Projetos!$T$3:$T$129,MATCH(B128,Projetos!$A$3:$A$129,0))</f>
        <v>0</v>
      </c>
      <c r="I128" s="310">
        <f>INDEX(Projetos!$M$3:$M$129,MATCH(Tb_Mapa[[#This Row],[SEI]],Projetos!$A$3:$A$129,0))</f>
        <v>46173</v>
      </c>
      <c r="J128" s="164" t="str">
        <f ca="1">IF(Tb_Mapa[[#This Row],[SITUAÇÃO]]="Finalizado", "Data atualizada", IFERROR(IF(Tb_Mapa[[#This Row],[DATA DE TÉRMINO]]&lt;$I$1,"Atualizar data de encerramento","Data atualizada"),"Sem informação"))</f>
        <v>Atualizar data de encerramento</v>
      </c>
      <c r="K128" s="311">
        <f>INDEX(Projetos!$N$3:$N$129,MATCH(Tb_Mapa[[#This Row],[SEI]],Projetos!$A$3:$A$129,0))</f>
        <v>0</v>
      </c>
      <c r="L128" s="311">
        <f>INDEX(Projetos!$O$3:$O$129,MATCH(Tb_Mapa[[#This Row],[SEI]],Projetos!$A$3:$A$129,0))</f>
        <v>0</v>
      </c>
      <c r="M128" s="165" t="str">
        <f ca="1">_xlfn.XLOOKUP(Tb_Mapa[[#This Row],[SEI]],Tb_Portfólio[SEI],Tb_Portfólio[Situação],"N/A",0)</f>
        <v>Atrasado ou Crítico</v>
      </c>
      <c r="N128" s="128" t="str" cm="1">
        <f t="array" ref="N128">IFERROR(LOOKUP(2,1/(Atualizações!$H$1:$H$486=Mapa!$B124&amp;Mapa!BG$3),Atualizações!$E$1:$E$486),"NÃO")</f>
        <v>NÃO</v>
      </c>
      <c r="O128" s="205"/>
      <c r="P128" s="205"/>
      <c r="Q128" s="205"/>
      <c r="R128" s="205"/>
      <c r="S128" s="205"/>
      <c r="T128" s="205"/>
      <c r="U128" s="205"/>
      <c r="V128" s="205"/>
      <c r="W128" s="205"/>
      <c r="X128" s="205"/>
      <c r="Y128" s="205"/>
      <c r="Z128" s="205"/>
      <c r="AA128" s="340"/>
      <c r="AB128" s="340"/>
      <c r="AC128" s="340"/>
      <c r="AD128" s="340"/>
      <c r="AE128" s="340"/>
      <c r="AF128" s="340"/>
      <c r="AG128" s="340"/>
      <c r="AH128" s="340"/>
      <c r="AI128" s="340"/>
      <c r="AJ128" s="340"/>
      <c r="AK128" s="205" t="str" cm="1">
        <f t="array" ref="AK128">IFERROR(LOOKUP(2,1/(Atualizações!$H$1:$H$1029=Mapa!$B124&amp;Mapa!CD$3),Atualizações!$E$1:$E$1029),"NÃO")</f>
        <v>NÃO</v>
      </c>
      <c r="AL128" s="205" t="str" cm="1">
        <f t="array" ref="AL128">IFERROR(LOOKUP(2,1/(Atualizações!$H$1:$H$1265=Mapa!$B124&amp;Mapa!CE$3),Atualizações!$E$1:$E$2994),"NÃO")</f>
        <v>NÃO</v>
      </c>
      <c r="AM128" s="161" t="str" cm="1">
        <f t="array" ref="AM128">IFERROR(LOOKUP(2,1/(Atualizações!$H$1:$H$2994=Tb_Mapa[[#This Row],[SEI]]&amp;Mapa!CF$3),Atualizações!$E$1:$E$2994),"NÃO")</f>
        <v>NÃO</v>
      </c>
      <c r="AN128" s="161" t="str" cm="1">
        <f t="array" ref="AN128">IFERROR(LOOKUP(2,1/(Atualizações!$H$1:$H$2994=Tb_Mapa[[#This Row],[SEI]]&amp;Mapa!CG$3),Atualizações!$E$1:$E$2994),"NÃO")</f>
        <v>NÃO</v>
      </c>
      <c r="AO128" s="161" cm="1">
        <f t="array" ref="AO128">IFERROR(LOOKUP(2,1/(Atualizações!$H$1:$H$2994=Tb_Mapa[[#This Row],[SEI]]&amp;Mapa!CH$3),Atualizações!$E$1:$E$2994),"NÃO")</f>
        <v>0</v>
      </c>
      <c r="AP128" s="161" t="str" cm="1">
        <f t="array" ref="AP128">IFERROR(LOOKUP(2,1/(Atualizações!$H$1:$H$2994=Tb_Mapa[[#This Row],[SEI]]&amp;Mapa!CI$3),Atualizações!$E$1:$E$2994),"NÃO")</f>
        <v>NÃO</v>
      </c>
      <c r="AQ128" s="161" t="str" cm="1">
        <f t="array" ref="AQ128">IFERROR(LOOKUP(2,1/(Atualizações!$H$1:$H$2994=Tb_Mapa[[#This Row],[SEI]]&amp;Mapa!CJ$3),Atualizações!$E$1:$E$2994),"NÃO")</f>
        <v>NÃO</v>
      </c>
      <c r="AR128" s="161" t="str" cm="1">
        <f t="array" ref="AR128">IFERROR(LOOKUP(2,1/(Atualizações!$H$1:$H$2994=Tb_Mapa[[#This Row],[SEI]]&amp;Mapa!CK$3),Atualizações!$E$1:$E$2994),"NÃO")</f>
        <v>NÃO</v>
      </c>
      <c r="AS128" s="161" t="str" cm="1">
        <f t="array" ref="AS128">IFERROR(LOOKUP(2,1/(Atualizações!$H$1:$H$2994=Tb_Mapa[[#This Row],[SEI]]&amp;Mapa!CL$3),Atualizações!$E$1:$E$2994),"NÃO")</f>
        <v>NÃO</v>
      </c>
      <c r="AT128" s="161" t="str" cm="1">
        <f t="array" ref="AT128">IFERROR(LOOKUP(2,1/(Atualizações!$H$1:$H$2994=Tb_Mapa[[#This Row],[SEI]]&amp;Mapa!CM$3),Atualizações!$E$1:$E$2994),"NÃO")</f>
        <v>NÃO</v>
      </c>
      <c r="AU128" s="161" t="str" cm="1">
        <f t="array" ref="AU128">IFERROR(LOOKUP(2,1/(Atualizações!$H$1:$H$2994=Tb_Mapa[[#This Row],[SEI]]&amp;Mapa!CN$3),Atualizações!$E$1:$E$2994),"NÃO")</f>
        <v>NÃO</v>
      </c>
      <c r="AV128" s="161" t="str" cm="1">
        <f t="array" ref="AV128">IFERROR(LOOKUP(2,1/(Atualizações!$H$1:$H$2994=Tb_Mapa[[#This Row],[SEI]]&amp;Mapa!CO$3),Atualizações!$E$1:$E$2994),"NÃO")</f>
        <v>NÃO</v>
      </c>
      <c r="AW128" s="161" t="str" cm="1">
        <f t="array" ref="AW128">IFERROR(LOOKUP(2,1/(Atualizações!$H$1:$H$2994=Tb_Mapa[[#This Row],[SEI]]&amp;Mapa!CP$3),Atualizações!$E$1:$E$2994),"NÃO")</f>
        <v>NÃO</v>
      </c>
      <c r="AX128" s="161" t="str" cm="1">
        <f t="array" ref="AX128">IFERROR(LOOKUP(2,1/(Atualizações!$H$1:$H$2994=Tb_Mapa[[#This Row],[SEI]]&amp;Mapa!CQ$3),Atualizações!$E$1:$E$2994),"NÃO")</f>
        <v>NÃO</v>
      </c>
    </row>
    <row r="129" spans="2:50" hidden="1">
      <c r="B129" s="51" t="s">
        <v>957</v>
      </c>
      <c r="C129" s="51" t="str">
        <f>_xlfn.XLOOKUP(Tb_Mapa[[#This Row],[SEI]],Tb_Portfólio[SEI],Tb_Portfólio[Portfólio 2025],"",0)</f>
        <v>Não</v>
      </c>
      <c r="D129" s="158" t="str">
        <f>_xlfn.XLOOKUP(Tb_Mapa[[#This Row],[SEI]],Tb_Portfólio[SEI],Tb_Portfólio[Portfólio 2026],"",0)</f>
        <v>Sim</v>
      </c>
      <c r="E129" s="679" t="str">
        <f>_xlfn.XLOOKUP(Tb_Mapa[[#This Row],[SEI]],Tb_Portfólio[SEI],Tb_Portfólio[PROJETO],"",0)</f>
        <v>Subprograma Registre-se Pop Rua</v>
      </c>
      <c r="F129" s="170" t="str">
        <f>INDEX(Projetos!$G$3:$G$129,MATCH(Tb_Mapa[[#This Row],[SEI]],Projetos!$A$3:$A$129,0))</f>
        <v>Caio Henrique Faustino da Silva</v>
      </c>
      <c r="G129" s="682" t="s">
        <v>1711</v>
      </c>
      <c r="H129" s="166">
        <f>INDEX(Projetos!$T$3:$T$129,MATCH(B129,Projetos!$A$3:$A$129,0))</f>
        <v>0</v>
      </c>
      <c r="I129" s="310">
        <f>INDEX(Projetos!$M$3:$M$129,MATCH(Tb_Mapa[[#This Row],[SEI]],Projetos!$A$3:$A$129,0))</f>
        <v>46376</v>
      </c>
      <c r="J129" s="164" t="str">
        <f ca="1">IF(Tb_Mapa[[#This Row],[SITUAÇÃO]]="Finalizado", "Data atualizada", IFERROR(IF(Tb_Mapa[[#This Row],[DATA DE TÉRMINO]]&lt;$I$1,"Atualizar data de encerramento","Data atualizada"),"Sem informação"))</f>
        <v>Data atualizada</v>
      </c>
      <c r="K129" s="311">
        <f>INDEX(Projetos!$N$3:$N$129,MATCH(Tb_Mapa[[#This Row],[SEI]],Projetos!$A$3:$A$129,0))</f>
        <v>0</v>
      </c>
      <c r="L129" s="311">
        <f>INDEX(Projetos!$O$3:$O$129,MATCH(Tb_Mapa[[#This Row],[SEI]],Projetos!$A$3:$A$129,0))</f>
        <v>0</v>
      </c>
      <c r="M129" s="165" t="str">
        <f ca="1">_xlfn.XLOOKUP(Tb_Mapa[[#This Row],[SEI]],Tb_Portfólio[SEI],Tb_Portfólio[Situação],"N/A",0)</f>
        <v>Autorizado</v>
      </c>
      <c r="N129" s="128" t="str" cm="1">
        <f t="array" ref="N129">IFERROR(LOOKUP(2,1/(Atualizações!$H$1:$H$486=Mapa!$B122&amp;Mapa!BG$3),Atualizações!$E$1:$E$486),"NÃO")</f>
        <v>NÃO</v>
      </c>
      <c r="O129" s="205"/>
      <c r="P129" s="205"/>
      <c r="Q129" s="205"/>
      <c r="R129" s="205"/>
      <c r="S129" s="205"/>
      <c r="T129" s="205"/>
      <c r="U129" s="205"/>
      <c r="V129" s="205"/>
      <c r="W129" s="205"/>
      <c r="X129" s="205"/>
      <c r="Y129" s="205"/>
      <c r="Z129" s="205"/>
      <c r="AA129" s="340"/>
      <c r="AB129" s="340"/>
      <c r="AC129" s="340"/>
      <c r="AD129" s="340"/>
      <c r="AE129" s="340"/>
      <c r="AF129" s="340"/>
      <c r="AG129" s="340"/>
      <c r="AH129" s="340"/>
      <c r="AI129" s="340"/>
      <c r="AJ129" s="340"/>
      <c r="AK129" s="205" cm="1">
        <f t="array" ref="AK129">IFERROR(LOOKUP(2,1/(Atualizações!$H$1:$H$1029=Mapa!$B122&amp;Mapa!CD$3),Atualizações!$E$1:$E$1029),"NÃO")</f>
        <v>0.38</v>
      </c>
      <c r="AL129" s="205" cm="1">
        <f t="array" ref="AL129">IFERROR(LOOKUP(2,1/(Atualizações!$H$1:$H$1265=Mapa!$B122&amp;Mapa!CE$3),Atualizações!$E$1:$E$2994),"NÃO")</f>
        <v>0.38</v>
      </c>
      <c r="AM129" s="161" t="str" cm="1">
        <f t="array" ref="AM129">IFERROR(LOOKUP(2,1/(Atualizações!$H$1:$H$2994=Tb_Mapa[[#This Row],[SEI]]&amp;Mapa!CF$3),Atualizações!$E$1:$E$2994),"NÃO")</f>
        <v>NÃO</v>
      </c>
      <c r="AN129" s="161" t="str" cm="1">
        <f t="array" ref="AN129">IFERROR(LOOKUP(2,1/(Atualizações!$H$1:$H$2994=Tb_Mapa[[#This Row],[SEI]]&amp;Mapa!CG$3),Atualizações!$E$1:$E$2994),"NÃO")</f>
        <v>NÃO</v>
      </c>
      <c r="AO129" s="161" cm="1">
        <f t="array" ref="AO129">IFERROR(LOOKUP(2,1/(Atualizações!$H$1:$H$2994=Tb_Mapa[[#This Row],[SEI]]&amp;Mapa!CH$3),Atualizações!$E$1:$E$2994),"NÃO")</f>
        <v>0</v>
      </c>
      <c r="AP129" s="161" t="str" cm="1">
        <f t="array" ref="AP129">IFERROR(LOOKUP(2,1/(Atualizações!$H$1:$H$2994=Tb_Mapa[[#This Row],[SEI]]&amp;Mapa!CI$3),Atualizações!$E$1:$E$2994),"NÃO")</f>
        <v>NÃO</v>
      </c>
      <c r="AQ129" s="161" t="str" cm="1">
        <f t="array" ref="AQ129">IFERROR(LOOKUP(2,1/(Atualizações!$H$1:$H$2994=Tb_Mapa[[#This Row],[SEI]]&amp;Mapa!CJ$3),Atualizações!$E$1:$E$2994),"NÃO")</f>
        <v>NÃO</v>
      </c>
      <c r="AR129" s="161" t="str" cm="1">
        <f t="array" ref="AR129">IFERROR(LOOKUP(2,1/(Atualizações!$H$1:$H$2994=Tb_Mapa[[#This Row],[SEI]]&amp;Mapa!CK$3),Atualizações!$E$1:$E$2994),"NÃO")</f>
        <v>NÃO</v>
      </c>
      <c r="AS129" s="161" t="str" cm="1">
        <f t="array" ref="AS129">IFERROR(LOOKUP(2,1/(Atualizações!$H$1:$H$2994=Tb_Mapa[[#This Row],[SEI]]&amp;Mapa!CL$3),Atualizações!$E$1:$E$2994),"NÃO")</f>
        <v>NÃO</v>
      </c>
      <c r="AT129" s="161" t="str" cm="1">
        <f t="array" ref="AT129">IFERROR(LOOKUP(2,1/(Atualizações!$H$1:$H$2994=Tb_Mapa[[#This Row],[SEI]]&amp;Mapa!CM$3),Atualizações!$E$1:$E$2994),"NÃO")</f>
        <v>NÃO</v>
      </c>
      <c r="AU129" s="161" t="str" cm="1">
        <f t="array" ref="AU129">IFERROR(LOOKUP(2,1/(Atualizações!$H$1:$H$2994=Tb_Mapa[[#This Row],[SEI]]&amp;Mapa!CN$3),Atualizações!$E$1:$E$2994),"NÃO")</f>
        <v>NÃO</v>
      </c>
      <c r="AV129" s="161" t="str" cm="1">
        <f t="array" ref="AV129">IFERROR(LOOKUP(2,1/(Atualizações!$H$1:$H$2994=Tb_Mapa[[#This Row],[SEI]]&amp;Mapa!CO$3),Atualizações!$E$1:$E$2994),"NÃO")</f>
        <v>NÃO</v>
      </c>
      <c r="AW129" s="161" t="str" cm="1">
        <f t="array" ref="AW129">IFERROR(LOOKUP(2,1/(Atualizações!$H$1:$H$2994=Tb_Mapa[[#This Row],[SEI]]&amp;Mapa!CP$3),Atualizações!$E$1:$E$2994),"NÃO")</f>
        <v>NÃO</v>
      </c>
      <c r="AX129" s="161" t="str" cm="1">
        <f t="array" ref="AX129">IFERROR(LOOKUP(2,1/(Atualizações!$H$1:$H$2994=Tb_Mapa[[#This Row],[SEI]]&amp;Mapa!CQ$3),Atualizações!$E$1:$E$2994),"NÃO")</f>
        <v>NÃO</v>
      </c>
    </row>
    <row r="130" spans="2:50" ht="30" hidden="1">
      <c r="B130" s="51" t="s">
        <v>963</v>
      </c>
      <c r="C130" s="51" t="str">
        <f>_xlfn.XLOOKUP(Tb_Mapa[[#This Row],[SEI]],Tb_Portfólio[SEI],Tb_Portfólio[Portfólio 2025],"",0)</f>
        <v>Não</v>
      </c>
      <c r="D130" s="158" t="str">
        <f>_xlfn.XLOOKUP(Tb_Mapa[[#This Row],[SEI]],Tb_Portfólio[SEI],Tb_Portfólio[Portfólio 2026],"",0)</f>
        <v>Sim</v>
      </c>
      <c r="E130" s="679" t="str">
        <f>_xlfn.XLOOKUP(Tb_Mapa[[#This Row],[SEI]],Tb_Portfólio[SEI],Tb_Portfólio[PROJETO],"",0)</f>
        <v>Campanha “Maio da Auditoria Interna” – CNJ 2026</v>
      </c>
      <c r="F130" s="170" t="str">
        <f>INDEX(Projetos!$G$3:$G$129,MATCH(Tb_Mapa[[#This Row],[SEI]],Projetos!$A$3:$A$129,0))</f>
        <v>Giovanna Gamba</v>
      </c>
      <c r="G130" s="682" t="s">
        <v>1711</v>
      </c>
      <c r="H130" s="166">
        <f>INDEX(Projetos!$T$3:$T$129,MATCH(B130,Projetos!$A$3:$A$129,0))</f>
        <v>0</v>
      </c>
      <c r="I130" s="310">
        <f>INDEX(Projetos!$M$3:$M$129,MATCH(Tb_Mapa[[#This Row],[SEI]],Projetos!$A$3:$A$129,0))</f>
        <v>46168</v>
      </c>
      <c r="J130" s="164" t="str">
        <f ca="1">IF(Tb_Mapa[[#This Row],[SITUAÇÃO]]="Finalizado", "Data atualizada", IFERROR(IF(Tb_Mapa[[#This Row],[DATA DE TÉRMINO]]&lt;$I$1,"Atualizar data de encerramento","Data atualizada"),"Sem informação"))</f>
        <v>Atualizar data de encerramento</v>
      </c>
      <c r="K130" s="311">
        <f>INDEX(Projetos!$N$3:$N$129,MATCH(Tb_Mapa[[#This Row],[SEI]],Projetos!$A$3:$A$129,0))</f>
        <v>0</v>
      </c>
      <c r="L130" s="311">
        <f>INDEX(Projetos!$O$3:$O$129,MATCH(Tb_Mapa[[#This Row],[SEI]],Projetos!$A$3:$A$129,0))</f>
        <v>0</v>
      </c>
      <c r="M130" s="165" t="str">
        <f ca="1">_xlfn.XLOOKUP(Tb_Mapa[[#This Row],[SEI]],Tb_Portfólio[SEI],Tb_Portfólio[Situação],"N/A",0)</f>
        <v>Atrasado ou Crítico</v>
      </c>
      <c r="N130" s="128" t="str" cm="1">
        <f t="array" ref="N130">IFERROR(LOOKUP(2,1/(Atualizações!$H$1:$H$486=Mapa!$B123&amp;Mapa!BG$3),Atualizações!$E$1:$E$486),"NÃO")</f>
        <v>NÃO</v>
      </c>
      <c r="O130" s="205"/>
      <c r="P130" s="205"/>
      <c r="Q130" s="205"/>
      <c r="R130" s="205"/>
      <c r="S130" s="205"/>
      <c r="T130" s="205"/>
      <c r="U130" s="205"/>
      <c r="V130" s="205"/>
      <c r="W130" s="205"/>
      <c r="X130" s="205"/>
      <c r="Y130" s="205"/>
      <c r="Z130" s="205"/>
      <c r="AA130" s="340"/>
      <c r="AB130" s="340"/>
      <c r="AC130" s="340"/>
      <c r="AD130" s="340"/>
      <c r="AE130" s="340"/>
      <c r="AF130" s="340"/>
      <c r="AG130" s="340"/>
      <c r="AH130" s="340"/>
      <c r="AI130" s="340"/>
      <c r="AJ130" s="340"/>
      <c r="AK130" s="205" t="str" cm="1">
        <f t="array" ref="AK130">IFERROR(LOOKUP(2,1/(Atualizações!$H$1:$H$1029=Mapa!$B123&amp;Mapa!CD$3),Atualizações!$E$1:$E$1029),"NÃO")</f>
        <v>NÃO</v>
      </c>
      <c r="AL130" s="205" t="str" cm="1">
        <f t="array" ref="AL130">IFERROR(LOOKUP(2,1/(Atualizações!$H$1:$H$1265=Mapa!$B123&amp;Mapa!CE$3),Atualizações!$E$1:$E$2994),"NÃO")</f>
        <v>NÃO</v>
      </c>
      <c r="AM130" s="161" t="str" cm="1">
        <f t="array" ref="AM130">IFERROR(LOOKUP(2,1/(Atualizações!$H$1:$H$2994=Tb_Mapa[[#This Row],[SEI]]&amp;Mapa!CF$3),Atualizações!$E$1:$E$2994),"NÃO")</f>
        <v>NÃO</v>
      </c>
      <c r="AN130" s="161" t="str" cm="1">
        <f t="array" ref="AN130">IFERROR(LOOKUP(2,1/(Atualizações!$H$1:$H$2994=Tb_Mapa[[#This Row],[SEI]]&amp;Mapa!CG$3),Atualizações!$E$1:$E$2994),"NÃO")</f>
        <v>NÃO</v>
      </c>
      <c r="AO130" s="161" cm="1">
        <f t="array" ref="AO130">IFERROR(LOOKUP(2,1/(Atualizações!$H$1:$H$2994=Tb_Mapa[[#This Row],[SEI]]&amp;Mapa!CH$3),Atualizações!$E$1:$E$2994),"NÃO")</f>
        <v>0</v>
      </c>
      <c r="AP130" s="161" t="str" cm="1">
        <f t="array" ref="AP130">IFERROR(LOOKUP(2,1/(Atualizações!$H$1:$H$2994=Tb_Mapa[[#This Row],[SEI]]&amp;Mapa!CI$3),Atualizações!$E$1:$E$2994),"NÃO")</f>
        <v>NÃO</v>
      </c>
      <c r="AQ130" s="161" t="str" cm="1">
        <f t="array" ref="AQ130">IFERROR(LOOKUP(2,1/(Atualizações!$H$1:$H$2994=Tb_Mapa[[#This Row],[SEI]]&amp;Mapa!CJ$3),Atualizações!$E$1:$E$2994),"NÃO")</f>
        <v>NÃO</v>
      </c>
      <c r="AR130" s="161" t="str" cm="1">
        <f t="array" ref="AR130">IFERROR(LOOKUP(2,1/(Atualizações!$H$1:$H$2994=Tb_Mapa[[#This Row],[SEI]]&amp;Mapa!CK$3),Atualizações!$E$1:$E$2994),"NÃO")</f>
        <v>NÃO</v>
      </c>
      <c r="AS130" s="161" t="str" cm="1">
        <f t="array" ref="AS130">IFERROR(LOOKUP(2,1/(Atualizações!$H$1:$H$2994=Tb_Mapa[[#This Row],[SEI]]&amp;Mapa!CL$3),Atualizações!$E$1:$E$2994),"NÃO")</f>
        <v>NÃO</v>
      </c>
      <c r="AT130" s="161" t="str" cm="1">
        <f t="array" ref="AT130">IFERROR(LOOKUP(2,1/(Atualizações!$H$1:$H$2994=Tb_Mapa[[#This Row],[SEI]]&amp;Mapa!CM$3),Atualizações!$E$1:$E$2994),"NÃO")</f>
        <v>NÃO</v>
      </c>
      <c r="AU130" s="161" t="str" cm="1">
        <f t="array" ref="AU130">IFERROR(LOOKUP(2,1/(Atualizações!$H$1:$H$2994=Tb_Mapa[[#This Row],[SEI]]&amp;Mapa!CN$3),Atualizações!$E$1:$E$2994),"NÃO")</f>
        <v>NÃO</v>
      </c>
      <c r="AV130" s="161" t="str" cm="1">
        <f t="array" ref="AV130">IFERROR(LOOKUP(2,1/(Atualizações!$H$1:$H$2994=Tb_Mapa[[#This Row],[SEI]]&amp;Mapa!CO$3),Atualizações!$E$1:$E$2994),"NÃO")</f>
        <v>NÃO</v>
      </c>
      <c r="AW130" s="161" t="str" cm="1">
        <f t="array" ref="AW130">IFERROR(LOOKUP(2,1/(Atualizações!$H$1:$H$2994=Tb_Mapa[[#This Row],[SEI]]&amp;Mapa!CP$3),Atualizações!$E$1:$E$2994),"NÃO")</f>
        <v>NÃO</v>
      </c>
      <c r="AX130" s="161" t="str" cm="1">
        <f t="array" ref="AX130">IFERROR(LOOKUP(2,1/(Atualizações!$H$1:$H$2994=Tb_Mapa[[#This Row],[SEI]]&amp;Mapa!CQ$3),Atualizações!$E$1:$E$2994),"NÃO")</f>
        <v>NÃO</v>
      </c>
    </row>
    <row r="131" spans="2:50" hidden="1">
      <c r="B131" s="51" t="s">
        <v>985</v>
      </c>
      <c r="C131" s="51" t="str">
        <f>_xlfn.XLOOKUP(Tb_Mapa[[#This Row],[SEI]],Tb_Portfólio[SEI],Tb_Portfólio[Portfólio 2025],"",0)</f>
        <v>Não</v>
      </c>
      <c r="D131" s="158" t="str">
        <f>_xlfn.XLOOKUP(Tb_Mapa[[#This Row],[SEI]],Tb_Portfólio[SEI],Tb_Portfólio[Portfólio 2026],"",0)</f>
        <v>Sim</v>
      </c>
      <c r="E131" s="679" t="str">
        <f>_xlfn.XLOOKUP(Tb_Mapa[[#This Row],[SEI]],Tb_Portfólio[SEI],Tb_Portfólio[PROJETO],"",0)</f>
        <v>Concilia + Saúde</v>
      </c>
      <c r="F131" s="170" t="str">
        <f>INDEX(Projetos!$G$3:$G$129,MATCH(B131,Projetos!$A$3:$A$129,0))</f>
        <v>Camila da Silva Barreiro</v>
      </c>
      <c r="G131" s="682" t="s">
        <v>1711</v>
      </c>
      <c r="H131" s="166">
        <f>INDEX(Projetos!$T$3:$T$129,MATCH(B131,Projetos!$A$3:$A$129,0))</f>
        <v>0</v>
      </c>
      <c r="I131" s="310">
        <f>INDEX(Projetos!$M$3:$M$129,MATCH(Tb_Mapa[[#This Row],[SEI]],Projetos!$A$3:$A$129,0))</f>
        <v>46326</v>
      </c>
      <c r="J131" s="164" t="str">
        <f ca="1">IF(Tb_Mapa[[#This Row],[SITUAÇÃO]]="Finalizado", "Data atualizada", IFERROR(IF(Tb_Mapa[[#This Row],[DATA DE TÉRMINO]]&lt;$I$1,"Atualizar data de encerramento","Data atualizada"),"Sem informação"))</f>
        <v>Data atualizada</v>
      </c>
      <c r="K131" s="311">
        <f>INDEX(Projetos!$N$3:$N$129,MATCH(Tb_Mapa[[#This Row],[SEI]],Projetos!$A$3:$A$129,0))</f>
        <v>0</v>
      </c>
      <c r="L131" s="311">
        <f>INDEX(Projetos!$O$3:$O$129,MATCH(Tb_Mapa[[#This Row],[SEI]],Projetos!$A$3:$A$129,0))</f>
        <v>0</v>
      </c>
      <c r="M131" s="165" t="str">
        <f ca="1">_xlfn.XLOOKUP(Tb_Mapa[[#This Row],[SEI]],Tb_Portfólio[SEI],Tb_Portfólio[Situação],"N/A",0)</f>
        <v>Autorizado</v>
      </c>
      <c r="N131" s="128" t="str" cm="1">
        <f t="array" ref="N131">IFERROR(LOOKUP(2,1/(Atualizações!$H$1:$H$486=Mapa!$B126&amp;Mapa!BG$3),Atualizações!$E$1:$E$486),"NÃO")</f>
        <v>NÃO</v>
      </c>
      <c r="O131" s="205"/>
      <c r="P131" s="205"/>
      <c r="Q131" s="205"/>
      <c r="R131" s="205"/>
      <c r="S131" s="205"/>
      <c r="T131" s="205"/>
      <c r="U131" s="205"/>
      <c r="V131" s="205"/>
      <c r="W131" s="205"/>
      <c r="X131" s="205"/>
      <c r="Y131" s="205"/>
      <c r="Z131" s="205"/>
      <c r="AA131" s="340"/>
      <c r="AB131" s="340"/>
      <c r="AC131" s="340"/>
      <c r="AD131" s="340"/>
      <c r="AE131" s="340"/>
      <c r="AF131" s="340"/>
      <c r="AG131" s="340"/>
      <c r="AH131" s="340"/>
      <c r="AI131" s="340"/>
      <c r="AJ131" s="340"/>
      <c r="AK131" s="340"/>
      <c r="AL131" s="340" t="str" cm="1">
        <f t="array" ref="AL131">IFERROR(LOOKUP(2,1/(Atualizações!$H$1:$H$1265=Mapa!$B126&amp;Mapa!CE$3),Atualizações!$E$1:$E$2994),"NÃO")</f>
        <v>NÃO</v>
      </c>
      <c r="AM131" s="161" t="str" cm="1">
        <f t="array" ref="AM131">IFERROR(LOOKUP(2,1/(Atualizações!$H$1:$H$2994=Tb_Mapa[[#This Row],[SEI]]&amp;Mapa!CF$3),Atualizações!$E$1:$E$2994),"NÃO")</f>
        <v>NÃO</v>
      </c>
      <c r="AN131" s="161" t="str" cm="1">
        <f t="array" ref="AN131">IFERROR(LOOKUP(2,1/(Atualizações!$H$1:$H$2994=Tb_Mapa[[#This Row],[SEI]]&amp;Mapa!CG$3),Atualizações!$E$1:$E$2994),"NÃO")</f>
        <v>NÃO</v>
      </c>
      <c r="AO131" s="161" cm="1">
        <f t="array" ref="AO131">IFERROR(LOOKUP(2,1/(Atualizações!$H$1:$H$2994=Tb_Mapa[[#This Row],[SEI]]&amp;Mapa!CH$3),Atualizações!$E$1:$E$2994),"NÃO")</f>
        <v>0</v>
      </c>
      <c r="AP131" s="161" t="str" cm="1">
        <f t="array" ref="AP131">IFERROR(LOOKUP(2,1/(Atualizações!$H$1:$H$2994=Tb_Mapa[[#This Row],[SEI]]&amp;Mapa!CI$3),Atualizações!$E$1:$E$2994),"NÃO")</f>
        <v>NÃO</v>
      </c>
      <c r="AQ131" s="161" t="str" cm="1">
        <f t="array" ref="AQ131">IFERROR(LOOKUP(2,1/(Atualizações!$H$1:$H$2994=Tb_Mapa[[#This Row],[SEI]]&amp;Mapa!CJ$3),Atualizações!$E$1:$E$2994),"NÃO")</f>
        <v>NÃO</v>
      </c>
      <c r="AR131" s="161" t="str" cm="1">
        <f t="array" ref="AR131">IFERROR(LOOKUP(2,1/(Atualizações!$H$1:$H$2994=Tb_Mapa[[#This Row],[SEI]]&amp;Mapa!CK$3),Atualizações!$E$1:$E$2994),"NÃO")</f>
        <v>NÃO</v>
      </c>
      <c r="AS131" s="161" t="str" cm="1">
        <f t="array" ref="AS131">IFERROR(LOOKUP(2,1/(Atualizações!$H$1:$H$2994=Tb_Mapa[[#This Row],[SEI]]&amp;Mapa!CL$3),Atualizações!$E$1:$E$2994),"NÃO")</f>
        <v>NÃO</v>
      </c>
      <c r="AT131" s="161" t="str" cm="1">
        <f t="array" ref="AT131">IFERROR(LOOKUP(2,1/(Atualizações!$H$1:$H$2994=Tb_Mapa[[#This Row],[SEI]]&amp;Mapa!CM$3),Atualizações!$E$1:$E$2994),"NÃO")</f>
        <v>NÃO</v>
      </c>
      <c r="AU131" s="161" t="str" cm="1">
        <f t="array" ref="AU131">IFERROR(LOOKUP(2,1/(Atualizações!$H$1:$H$2994=Tb_Mapa[[#This Row],[SEI]]&amp;Mapa!CN$3),Atualizações!$E$1:$E$2994),"NÃO")</f>
        <v>NÃO</v>
      </c>
      <c r="AV131" s="161" t="str" cm="1">
        <f t="array" ref="AV131">IFERROR(LOOKUP(2,1/(Atualizações!$H$1:$H$2994=Tb_Mapa[[#This Row],[SEI]]&amp;Mapa!CO$3),Atualizações!$E$1:$E$2994),"NÃO")</f>
        <v>NÃO</v>
      </c>
      <c r="AW131" s="161" t="str" cm="1">
        <f t="array" ref="AW131">IFERROR(LOOKUP(2,1/(Atualizações!$H$1:$H$2994=Tb_Mapa[[#This Row],[SEI]]&amp;Mapa!CP$3),Atualizações!$E$1:$E$2994),"NÃO")</f>
        <v>NÃO</v>
      </c>
      <c r="AX131" s="161" t="str" cm="1">
        <f t="array" ref="AX131">IFERROR(LOOKUP(2,1/(Atualizações!$H$1:$H$2994=Tb_Mapa[[#This Row],[SEI]]&amp;Mapa!CQ$3),Atualizações!$E$1:$E$2994),"NÃO")</f>
        <v>NÃO</v>
      </c>
    </row>
    <row r="132" spans="2:50">
      <c r="B132" t="s">
        <v>1618</v>
      </c>
      <c r="C132"/>
      <c r="D132"/>
      <c r="E132"/>
      <c r="F132" s="19"/>
      <c r="G132"/>
      <c r="H132"/>
      <c r="I132" s="211"/>
      <c r="J132"/>
      <c r="K132" s="211"/>
      <c r="L132" s="211"/>
      <c r="M132"/>
      <c r="N132" s="212"/>
      <c r="O132"/>
      <c r="P132"/>
      <c r="Q132"/>
      <c r="R132"/>
      <c r="S132"/>
      <c r="T132"/>
      <c r="U132"/>
      <c r="V132"/>
      <c r="W132"/>
      <c r="X132"/>
      <c r="Y132"/>
      <c r="Z132" s="35">
        <f>COUNTIF(Tb_Mapa[Dec-24],"Não")</f>
        <v>44</v>
      </c>
      <c r="AA132" s="35">
        <f>COUNTIF(Tb_Mapa[jan-25],"Não")</f>
        <v>75</v>
      </c>
      <c r="AB132" s="35">
        <f>COUNTIF(Tb_Mapa[fev/25],"Não")</f>
        <v>67</v>
      </c>
      <c r="AC132" s="35">
        <f>COUNTIF(Tb_Mapa[mar/25],"Não")</f>
        <v>77</v>
      </c>
      <c r="AD132" s="35">
        <f>COUNTIF(Tb_Mapa[abr/25],"Não")</f>
        <v>78</v>
      </c>
      <c r="AE132" s="35">
        <f>COUNTIF(Tb_Mapa[mai/25],"Não")</f>
        <v>75</v>
      </c>
      <c r="AF132" s="35">
        <f>COUNTIF(Tb_Mapa[jun/25],"Não")</f>
        <v>79</v>
      </c>
      <c r="AG132" s="35">
        <f>COUNTIF(Tb_Mapa[jul/25],"Não")</f>
        <v>73</v>
      </c>
      <c r="AH132" s="35">
        <f>COUNTIF(Tb_Mapa[ago/25],"Não")</f>
        <v>80</v>
      </c>
      <c r="AI132" s="35">
        <f>COUNTIF(Tb_Mapa[set/25],"Não")</f>
        <v>79</v>
      </c>
      <c r="AJ132" s="35">
        <f>COUNTIF(Tb_Mapa[out/25],"Não")</f>
        <v>81</v>
      </c>
      <c r="AK132" s="35">
        <f>COUNTIF(Tb_Mapa[nov/25],"Não")</f>
        <v>87</v>
      </c>
      <c r="AL132" s="35">
        <f>COUNTIF(Tb_Mapa[dez/25],"Não")</f>
        <v>86</v>
      </c>
      <c r="AM132" s="35">
        <f>COUNTIF(Tb_Mapa[jan/26],"Não")</f>
        <v>115</v>
      </c>
      <c r="AN132" s="35">
        <f>COUNTIF(Tb_Mapa[fev/26],"Não")</f>
        <v>93</v>
      </c>
      <c r="AO132" s="35">
        <f>COUNTIF(Tb_Mapa[mar/26],"Não")</f>
        <v>86</v>
      </c>
      <c r="AP132" s="35">
        <f>COUNTIF(Tb_Mapa[abr/26],"Não")</f>
        <v>85</v>
      </c>
      <c r="AQ132" s="35">
        <f>COUNTIF(Tb_Mapa[mai/26],"Não")</f>
        <v>96</v>
      </c>
      <c r="AR132" s="35">
        <f>COUNTIF(Tb_Mapa[jun/26],"Não")</f>
        <v>128</v>
      </c>
      <c r="AS132" s="35">
        <f>COUNTIF(Tb_Mapa[jul/26],"Não")</f>
        <v>128</v>
      </c>
      <c r="AT132" s="35">
        <f>COUNTIF(Tb_Mapa[ago/26],"Não")</f>
        <v>128</v>
      </c>
      <c r="AU132" s="35">
        <f>COUNTIF(Tb_Mapa[set/26],"Não")</f>
        <v>128</v>
      </c>
      <c r="AV132" s="35">
        <f>COUNTIF(Tb_Mapa[out/26],"Não")</f>
        <v>128</v>
      </c>
      <c r="AW132" s="35">
        <f>COUNTIF(Tb_Mapa[nov/26],"Não")</f>
        <v>128</v>
      </c>
      <c r="AX132" s="35">
        <f>COUNTIF(Tb_Mapa[dez/26],"Não")</f>
        <v>128</v>
      </c>
    </row>
    <row r="134" spans="2:50" ht="23.25" customHeight="1">
      <c r="E134" s="57" t="s">
        <v>1726</v>
      </c>
      <c r="F134" s="57" t="s">
        <v>1727</v>
      </c>
      <c r="H134" s="57"/>
      <c r="I134" s="57" t="s">
        <v>1728</v>
      </c>
      <c r="J134" s="77"/>
      <c r="M134" s="127">
        <v>1305400</v>
      </c>
    </row>
    <row r="135" spans="2:50">
      <c r="E135" s="67" t="s">
        <v>1729</v>
      </c>
      <c r="F135" s="65">
        <f ca="1">COUNTIF(Tb_Mapa[SITUAÇÃO],E135)</f>
        <v>18</v>
      </c>
      <c r="H135" s="65"/>
      <c r="I135" s="66">
        <f t="shared" ref="I135:I140" ca="1" si="0">F135/SUM($F$135:$F$140)</f>
        <v>0.31578947368421051</v>
      </c>
      <c r="J135" s="78"/>
    </row>
    <row r="136" spans="2:50">
      <c r="E136" s="67" t="s">
        <v>1730</v>
      </c>
      <c r="F136" s="65">
        <f ca="1">COUNTIF(Tb_Mapa[SITUAÇÃO],E136)</f>
        <v>18</v>
      </c>
      <c r="H136" s="65"/>
      <c r="I136" s="66">
        <f t="shared" ca="1" si="0"/>
        <v>0.31578947368421051</v>
      </c>
      <c r="J136" s="78"/>
    </row>
    <row r="137" spans="2:50">
      <c r="E137" s="67" t="s">
        <v>1731</v>
      </c>
      <c r="F137" s="65">
        <f ca="1">COUNTIF(Tb_Mapa[SITUAÇÃO],E137)</f>
        <v>0</v>
      </c>
      <c r="H137" s="65"/>
      <c r="I137" s="66">
        <f t="shared" ca="1" si="0"/>
        <v>0</v>
      </c>
      <c r="J137" s="78"/>
    </row>
    <row r="138" spans="2:50">
      <c r="E138" s="67" t="s">
        <v>1732</v>
      </c>
      <c r="F138" s="65">
        <f ca="1">COUNTIF(Tb_Mapa[SITUAÇÃO],E138)</f>
        <v>13</v>
      </c>
      <c r="H138" s="65"/>
      <c r="I138" s="66">
        <f t="shared" ca="1" si="0"/>
        <v>0.22807017543859648</v>
      </c>
      <c r="J138" s="78"/>
    </row>
    <row r="139" spans="2:50">
      <c r="E139" s="129" t="s">
        <v>49</v>
      </c>
      <c r="F139" s="65">
        <f ca="1">COUNTIF($M$4:$M$50,E139)</f>
        <v>0</v>
      </c>
      <c r="H139" s="65"/>
      <c r="I139" s="66">
        <f t="shared" ca="1" si="0"/>
        <v>0</v>
      </c>
      <c r="J139" s="78"/>
    </row>
    <row r="140" spans="2:50">
      <c r="E140" s="168" t="s">
        <v>1733</v>
      </c>
      <c r="F140" s="176">
        <f ca="1">COUNTIF($M$4:$M$50,E140)</f>
        <v>8</v>
      </c>
      <c r="I140" s="66">
        <f t="shared" ca="1" si="0"/>
        <v>0.14035087719298245</v>
      </c>
    </row>
  </sheetData>
  <phoneticPr fontId="14" type="noConversion"/>
  <conditionalFormatting sqref="G1:G132 G134:G1048576">
    <cfRule type="cellIs" dxfId="151" priority="1" operator="equal">
      <formula>"Juliana"</formula>
    </cfRule>
    <cfRule type="cellIs" dxfId="150" priority="2" operator="equal">
      <formula>"Igor"</formula>
    </cfRule>
    <cfRule type="cellIs" dxfId="149" priority="3" operator="equal">
      <formula>"Tony"</formula>
    </cfRule>
    <cfRule type="containsText" dxfId="148" priority="4" operator="containsText" text="Raphael">
      <formula>NOT(ISERROR(SEARCH("Raphael",G1)))</formula>
    </cfRule>
  </conditionalFormatting>
  <conditionalFormatting sqref="H4:J131">
    <cfRule type="cellIs" dxfId="147" priority="14" operator="lessThan">
      <formula>$I$1</formula>
    </cfRule>
  </conditionalFormatting>
  <conditionalFormatting sqref="J5:J104 J106:J120 J130:J131">
    <cfRule type="cellIs" dxfId="146" priority="5" operator="equal">
      <formula>"Atualizar data de encerramento"</formula>
    </cfRule>
  </conditionalFormatting>
  <conditionalFormatting sqref="M3:M131">
    <cfRule type="cellIs" dxfId="145" priority="9" operator="equal">
      <formula>"Concluído"</formula>
    </cfRule>
    <cfRule type="cellIs" dxfId="144" priority="10" operator="equal">
      <formula>"Cancelado"</formula>
    </cfRule>
  </conditionalFormatting>
  <conditionalFormatting sqref="M4:M131">
    <cfRule type="cellIs" dxfId="143" priority="11" operator="equal">
      <formula>"Atrasado ou crítico"</formula>
    </cfRule>
    <cfRule type="cellIs" dxfId="142" priority="12" operator="equal">
      <formula>"Em atenção"</formula>
    </cfRule>
    <cfRule type="cellIs" dxfId="141" priority="13" operator="equal">
      <formula>"No prazo"</formula>
    </cfRule>
  </conditionalFormatting>
  <conditionalFormatting sqref="N4:AX131">
    <cfRule type="cellIs" dxfId="140" priority="6" operator="equal">
      <formula>1</formula>
    </cfRule>
    <cfRule type="cellIs" dxfId="139" priority="7" operator="between">
      <formula>0</formula>
      <formula>100%</formula>
    </cfRule>
    <cfRule type="cellIs" dxfId="138" priority="22" operator="equal">
      <formula>"NÃO"</formula>
    </cfRule>
  </conditionalFormatting>
  <pageMargins left="0.511811024" right="0.511811024" top="0.78740157499999996" bottom="0.78740157499999996" header="0.31496062000000002" footer="0.31496062000000002"/>
  <pageSetup paperSize="9" orientation="portrait" horizontalDpi="90" verticalDpi="90"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J64"/>
  <sheetViews>
    <sheetView tabSelected="1" topLeftCell="A5" workbookViewId="0">
      <selection activeCell="A17" sqref="A17"/>
    </sheetView>
  </sheetViews>
  <sheetFormatPr defaultColWidth="9.140625" defaultRowHeight="15"/>
  <cols>
    <col min="1" max="1" width="54.5703125" style="79" customWidth="1"/>
    <col min="2" max="2" width="16.5703125" style="19" hidden="1" customWidth="1"/>
    <col min="3" max="3" width="15" style="19" hidden="1" customWidth="1"/>
    <col min="4" max="4" width="13.42578125" style="19" hidden="1" customWidth="1"/>
    <col min="5" max="5" width="18.85546875" style="18" hidden="1" customWidth="1"/>
    <col min="6" max="6" width="16.85546875" style="23" hidden="1" customWidth="1"/>
    <col min="7" max="7" width="15.85546875" style="18" hidden="1" customWidth="1"/>
    <col min="8" max="8" width="13.85546875" style="18" customWidth="1"/>
    <col min="9" max="9" width="17.5703125" style="18" customWidth="1"/>
    <col min="10" max="10" width="18.42578125" style="18" customWidth="1"/>
    <col min="11" max="16384" width="9.140625" style="18"/>
  </cols>
  <sheetData>
    <row r="1" spans="1:10" ht="18.75">
      <c r="A1" s="82" t="s">
        <v>1734</v>
      </c>
      <c r="B1" s="82">
        <f>COUNTA(Tb_Portfólio[SEI])</f>
        <v>127</v>
      </c>
      <c r="E1" s="19"/>
    </row>
    <row r="2" spans="1:10" ht="18.75">
      <c r="A2" s="82"/>
      <c r="B2" s="82"/>
      <c r="E2" s="19"/>
    </row>
    <row r="3" spans="1:10">
      <c r="C3" s="19">
        <v>2024</v>
      </c>
      <c r="E3" s="19">
        <v>2025</v>
      </c>
      <c r="H3" s="18">
        <v>2026</v>
      </c>
    </row>
    <row r="4" spans="1:10" ht="16.5">
      <c r="A4" s="727" t="s">
        <v>1735</v>
      </c>
      <c r="B4" s="728"/>
      <c r="C4" s="81"/>
      <c r="D4" s="81"/>
      <c r="E4" s="81"/>
      <c r="F4" s="81"/>
      <c r="G4" s="81"/>
      <c r="H4" s="81"/>
      <c r="I4" s="81"/>
      <c r="J4" s="81"/>
    </row>
    <row r="5" spans="1:10" ht="33">
      <c r="A5" s="80" t="s">
        <v>9</v>
      </c>
      <c r="B5" s="80" t="s">
        <v>1736</v>
      </c>
      <c r="C5" s="80" t="s">
        <v>1727</v>
      </c>
      <c r="D5" s="80" t="s">
        <v>1737</v>
      </c>
      <c r="E5" s="200" t="s">
        <v>1738</v>
      </c>
      <c r="F5" s="80" t="s">
        <v>1727</v>
      </c>
      <c r="G5" s="202" t="s">
        <v>1739</v>
      </c>
      <c r="H5" s="200" t="s">
        <v>1740</v>
      </c>
      <c r="I5" s="80" t="s">
        <v>1727</v>
      </c>
      <c r="J5" s="202" t="s">
        <v>1741</v>
      </c>
    </row>
    <row r="6" spans="1:10" ht="75">
      <c r="A6" s="8" t="s">
        <v>75</v>
      </c>
      <c r="B6" s="88">
        <f>C6+D6</f>
        <v>50</v>
      </c>
      <c r="C6" s="88">
        <f>SUMIF(Tb_Alinhamento[ALINHAMENTO ESTRATÉGICO],Simulação!A6,Tb_Alinhamento[2024])</f>
        <v>50</v>
      </c>
      <c r="D6" s="89"/>
      <c r="E6" s="201">
        <f>F6+G6</f>
        <v>25</v>
      </c>
      <c r="F6" s="88">
        <f>SUMIF(Tb_Alinhamento[ALINHAMENTO ESTRATÉGICO],Simulação!A6,Tb_Alinhamento[2025])</f>
        <v>25</v>
      </c>
      <c r="G6" s="335"/>
      <c r="H6" s="707">
        <f>I6+J6</f>
        <v>16</v>
      </c>
      <c r="I6" s="88">
        <f>SUMIF(Tb_Alinhamento[ALINHAMENTO ESTRATÉGICO],Simulação!A6,Tb_Alinhamento[2026])</f>
        <v>16</v>
      </c>
      <c r="J6" s="708"/>
    </row>
    <row r="7" spans="1:10" ht="30">
      <c r="A7" s="8" t="s">
        <v>390</v>
      </c>
      <c r="B7" s="88">
        <f t="shared" ref="B7:B23" si="0">C7+D7</f>
        <v>4</v>
      </c>
      <c r="C7" s="88">
        <f>SUMIF(Tb_Alinhamento[ALINHAMENTO ESTRATÉGICO],Simulação!A7,Tb_Alinhamento[2024])</f>
        <v>4</v>
      </c>
      <c r="D7" s="89"/>
      <c r="E7" s="201">
        <f t="shared" ref="E7:E23" si="1">F7+G7</f>
        <v>5</v>
      </c>
      <c r="F7" s="88">
        <f>SUMIF(Tb_Alinhamento[ALINHAMENTO ESTRATÉGICO],Simulação!A7,Tb_Alinhamento[2025])</f>
        <v>5</v>
      </c>
      <c r="G7" s="335"/>
      <c r="H7" s="707">
        <f t="shared" ref="H7:H23" si="2">I7+J7</f>
        <v>9</v>
      </c>
      <c r="I7" s="88">
        <f>SUMIF(Tb_Alinhamento[ALINHAMENTO ESTRATÉGICO],Simulação!A7,Tb_Alinhamento[2026])</f>
        <v>8</v>
      </c>
      <c r="J7" s="708">
        <v>1</v>
      </c>
    </row>
    <row r="8" spans="1:10" ht="30">
      <c r="A8" s="8" t="s">
        <v>88</v>
      </c>
      <c r="B8" s="88">
        <f t="shared" si="0"/>
        <v>9</v>
      </c>
      <c r="C8" s="88">
        <f>SUMIF(Tb_Alinhamento[ALINHAMENTO ESTRATÉGICO],Simulação!A8,Tb_Alinhamento[2024])</f>
        <v>9</v>
      </c>
      <c r="D8" s="89"/>
      <c r="E8" s="201">
        <f t="shared" si="1"/>
        <v>12</v>
      </c>
      <c r="F8" s="88">
        <f>SUMIF(Tb_Alinhamento[ALINHAMENTO ESTRATÉGICO],Simulação!A8,Tb_Alinhamento[2025])</f>
        <v>12</v>
      </c>
      <c r="G8" s="335"/>
      <c r="H8" s="707">
        <f t="shared" si="2"/>
        <v>11</v>
      </c>
      <c r="I8" s="88">
        <f>SUMIF(Tb_Alinhamento[ALINHAMENTO ESTRATÉGICO],Simulação!A8,Tb_Alinhamento[2026])</f>
        <v>11</v>
      </c>
      <c r="J8" s="708"/>
    </row>
    <row r="9" spans="1:10" ht="30">
      <c r="A9" s="8" t="s">
        <v>672</v>
      </c>
      <c r="B9" s="88">
        <f t="shared" si="0"/>
        <v>6</v>
      </c>
      <c r="C9" s="88">
        <f>SUMIF(Tb_Alinhamento[ALINHAMENTO ESTRATÉGICO],Simulação!A9,Tb_Alinhamento[2024])</f>
        <v>6</v>
      </c>
      <c r="D9" s="89"/>
      <c r="E9" s="201">
        <f t="shared" si="1"/>
        <v>5</v>
      </c>
      <c r="F9" s="88">
        <f>SUMIF(Tb_Alinhamento[ALINHAMENTO ESTRATÉGICO],Simulação!A9,Tb_Alinhamento[2025])</f>
        <v>5</v>
      </c>
      <c r="G9" s="335"/>
      <c r="H9" s="707">
        <f t="shared" si="2"/>
        <v>3</v>
      </c>
      <c r="I9" s="88">
        <f>SUMIF(Tb_Alinhamento[ALINHAMENTO ESTRATÉGICO],Simulação!A9,Tb_Alinhamento[2026])</f>
        <v>3</v>
      </c>
      <c r="J9" s="708"/>
    </row>
    <row r="10" spans="1:10">
      <c r="A10" s="8" t="s">
        <v>204</v>
      </c>
      <c r="B10" s="88">
        <f t="shared" si="0"/>
        <v>0</v>
      </c>
      <c r="C10" s="88">
        <f>SUMIF(Tb_Alinhamento[ALINHAMENTO ESTRATÉGICO],Simulação!A10,Tb_Alinhamento[2024])</f>
        <v>0</v>
      </c>
      <c r="D10" s="89"/>
      <c r="E10" s="201">
        <f t="shared" si="1"/>
        <v>1</v>
      </c>
      <c r="F10" s="88">
        <f>SUMIF(Tb_Alinhamento[ALINHAMENTO ESTRATÉGICO],Simulação!A10,Tb_Alinhamento[2025])</f>
        <v>1</v>
      </c>
      <c r="G10" s="335"/>
      <c r="H10" s="707">
        <f t="shared" si="2"/>
        <v>1</v>
      </c>
      <c r="I10" s="88">
        <f>SUMIF(Tb_Alinhamento[ALINHAMENTO ESTRATÉGICO],Simulação!A10,Tb_Alinhamento[2026])</f>
        <v>1</v>
      </c>
      <c r="J10" s="708"/>
    </row>
    <row r="11" spans="1:10">
      <c r="A11" s="8" t="s">
        <v>448</v>
      </c>
      <c r="B11" s="88">
        <f t="shared" si="0"/>
        <v>1</v>
      </c>
      <c r="C11" s="88">
        <f>SUMIF(Tb_Alinhamento[ALINHAMENTO ESTRATÉGICO],Simulação!A11,Tb_Alinhamento[2024])</f>
        <v>1</v>
      </c>
      <c r="D11" s="89"/>
      <c r="E11" s="201">
        <f t="shared" si="1"/>
        <v>1</v>
      </c>
      <c r="F11" s="88">
        <f>SUMIF(Tb_Alinhamento[ALINHAMENTO ESTRATÉGICO],Simulação!A11,Tb_Alinhamento[2025])</f>
        <v>1</v>
      </c>
      <c r="G11" s="335"/>
      <c r="H11" s="707">
        <f t="shared" si="2"/>
        <v>0</v>
      </c>
      <c r="I11" s="88">
        <f>SUMIF(Tb_Alinhamento[ALINHAMENTO ESTRATÉGICO],Simulação!A11,Tb_Alinhamento[2026])</f>
        <v>0</v>
      </c>
      <c r="J11" s="708"/>
    </row>
    <row r="12" spans="1:10" ht="30">
      <c r="A12" s="8" t="s">
        <v>240</v>
      </c>
      <c r="B12" s="88">
        <f t="shared" si="0"/>
        <v>47</v>
      </c>
      <c r="C12" s="88">
        <f>SUMIF(Tb_Alinhamento[ALINHAMENTO ESTRATÉGICO],Simulação!A12,Tb_Alinhamento[2024])</f>
        <v>47</v>
      </c>
      <c r="D12" s="89"/>
      <c r="E12" s="201">
        <f t="shared" si="1"/>
        <v>29</v>
      </c>
      <c r="F12" s="88">
        <f>SUMIF(Tb_Alinhamento[ALINHAMENTO ESTRATÉGICO],Simulação!A12,Tb_Alinhamento[2025])</f>
        <v>29</v>
      </c>
      <c r="G12" s="335"/>
      <c r="H12" s="707">
        <f t="shared" si="2"/>
        <v>28</v>
      </c>
      <c r="I12" s="88">
        <f>SUMIF(Tb_Alinhamento[ALINHAMENTO ESTRATÉGICO],Simulação!A12,Tb_Alinhamento[2026])</f>
        <v>27</v>
      </c>
      <c r="J12" s="708">
        <v>1</v>
      </c>
    </row>
    <row r="13" spans="1:10" ht="30">
      <c r="A13" s="8" t="s">
        <v>455</v>
      </c>
      <c r="B13" s="88">
        <f t="shared" si="0"/>
        <v>2</v>
      </c>
      <c r="C13" s="88">
        <f>SUMIF(Tb_Alinhamento[ALINHAMENTO ESTRATÉGICO],Simulação!A13,Tb_Alinhamento[2024])</f>
        <v>2</v>
      </c>
      <c r="D13" s="89"/>
      <c r="E13" s="201">
        <f t="shared" si="1"/>
        <v>1</v>
      </c>
      <c r="F13" s="88">
        <f>SUMIF(Tb_Alinhamento[ALINHAMENTO ESTRATÉGICO],Simulação!A13,Tb_Alinhamento[2025])</f>
        <v>1</v>
      </c>
      <c r="G13" s="335"/>
      <c r="H13" s="707">
        <f t="shared" si="2"/>
        <v>2</v>
      </c>
      <c r="I13" s="88">
        <f>SUMIF(Tb_Alinhamento[ALINHAMENTO ESTRATÉGICO],Simulação!A13,Tb_Alinhamento[2026])</f>
        <v>2</v>
      </c>
      <c r="J13" s="708"/>
    </row>
    <row r="14" spans="1:10" ht="30.75">
      <c r="A14" s="8" t="s">
        <v>165</v>
      </c>
      <c r="B14" s="88">
        <f t="shared" si="0"/>
        <v>19</v>
      </c>
      <c r="C14" s="88">
        <f>SUMIF(Tb_Alinhamento[ALINHAMENTO ESTRATÉGICO],Simulação!A14,Tb_Alinhamento[2024])</f>
        <v>19</v>
      </c>
      <c r="D14" s="89"/>
      <c r="E14" s="201">
        <f t="shared" si="1"/>
        <v>20</v>
      </c>
      <c r="F14" s="88">
        <f>SUMIF(Tb_Alinhamento[ALINHAMENTO ESTRATÉGICO],Simulação!A14,Tb_Alinhamento[2025])</f>
        <v>20</v>
      </c>
      <c r="G14" s="335"/>
      <c r="H14" s="707">
        <f t="shared" si="2"/>
        <v>19</v>
      </c>
      <c r="I14" s="88">
        <f>SUMIF(Tb_Alinhamento[ALINHAMENTO ESTRATÉGICO],Simulação!A14,Tb_Alinhamento[2026])</f>
        <v>19</v>
      </c>
      <c r="J14" s="708"/>
    </row>
    <row r="15" spans="1:10" ht="30">
      <c r="A15" s="8" t="s">
        <v>62</v>
      </c>
      <c r="B15" s="88">
        <f t="shared" si="0"/>
        <v>6</v>
      </c>
      <c r="C15" s="88">
        <f>SUMIF(Tb_Alinhamento[ALINHAMENTO ESTRATÉGICO],Simulação!A15,Tb_Alinhamento[2024])</f>
        <v>6</v>
      </c>
      <c r="D15" s="89"/>
      <c r="E15" s="201">
        <f t="shared" si="1"/>
        <v>5</v>
      </c>
      <c r="F15" s="88">
        <f>SUMIF(Tb_Alinhamento[ALINHAMENTO ESTRATÉGICO],Simulação!A15,Tb_Alinhamento[2025])</f>
        <v>5</v>
      </c>
      <c r="G15" s="335"/>
      <c r="H15" s="707">
        <f t="shared" si="2"/>
        <v>4</v>
      </c>
      <c r="I15" s="88">
        <f>SUMIF(Tb_Alinhamento[ALINHAMENTO ESTRATÉGICO],Simulação!A15,Tb_Alinhamento[2026])</f>
        <v>4</v>
      </c>
      <c r="J15" s="708"/>
    </row>
    <row r="16" spans="1:10" ht="30">
      <c r="A16" s="8" t="s">
        <v>1619</v>
      </c>
      <c r="B16" s="88">
        <f t="shared" si="0"/>
        <v>0</v>
      </c>
      <c r="C16" s="88">
        <f>SUMIF(Tb_Alinhamento[ALINHAMENTO ESTRATÉGICO],Simulação!A16,Tb_Alinhamento[2024])</f>
        <v>0</v>
      </c>
      <c r="D16" s="89"/>
      <c r="E16" s="201">
        <f t="shared" si="1"/>
        <v>0</v>
      </c>
      <c r="F16" s="88">
        <f>SUMIF(Tb_Alinhamento[ALINHAMENTO ESTRATÉGICO],Simulação!A16,Tb_Alinhamento[2025])</f>
        <v>0</v>
      </c>
      <c r="G16" s="335"/>
      <c r="H16" s="707">
        <f t="shared" si="2"/>
        <v>0</v>
      </c>
      <c r="I16" s="88">
        <f>SUMIF(Tb_Alinhamento[ALINHAMENTO ESTRATÉGICO],Simulação!A16,Tb_Alinhamento[2026])</f>
        <v>0</v>
      </c>
      <c r="J16" s="708"/>
    </row>
    <row r="17" spans="1:10" ht="30">
      <c r="A17" s="8" t="s">
        <v>346</v>
      </c>
      <c r="B17" s="88">
        <f t="shared" si="0"/>
        <v>4</v>
      </c>
      <c r="C17" s="88">
        <f>SUMIF(Tb_Alinhamento[ALINHAMENTO ESTRATÉGICO],Simulação!A17,Tb_Alinhamento[2024])</f>
        <v>4</v>
      </c>
      <c r="D17" s="89"/>
      <c r="E17" s="201">
        <f t="shared" si="1"/>
        <v>3</v>
      </c>
      <c r="F17" s="88">
        <f>SUMIF(Tb_Alinhamento[ALINHAMENTO ESTRATÉGICO],Simulação!A17,Tb_Alinhamento[2025])</f>
        <v>3</v>
      </c>
      <c r="G17" s="335"/>
      <c r="H17" s="707">
        <f t="shared" si="2"/>
        <v>5</v>
      </c>
      <c r="I17" s="88">
        <f>SUMIF(Tb_Alinhamento[ALINHAMENTO ESTRATÉGICO],Simulação!A17,Tb_Alinhamento[2026])</f>
        <v>5</v>
      </c>
      <c r="J17" s="708"/>
    </row>
    <row r="18" spans="1:10">
      <c r="A18" s="8" t="s">
        <v>104</v>
      </c>
      <c r="B18" s="88">
        <f t="shared" si="0"/>
        <v>10</v>
      </c>
      <c r="C18" s="88">
        <f>SUMIF(Tb_Alinhamento[ALINHAMENTO ESTRATÉGICO],Simulação!A18,Tb_Alinhamento[2024])</f>
        <v>10</v>
      </c>
      <c r="D18" s="89"/>
      <c r="E18" s="201">
        <f t="shared" si="1"/>
        <v>10</v>
      </c>
      <c r="F18" s="88">
        <f>SUMIF(Tb_Alinhamento[ALINHAMENTO ESTRATÉGICO],Simulação!A18,Tb_Alinhamento[2025])</f>
        <v>10</v>
      </c>
      <c r="G18" s="335"/>
      <c r="H18" s="707">
        <f t="shared" si="2"/>
        <v>12</v>
      </c>
      <c r="I18" s="88">
        <f>SUMIF(Tb_Alinhamento[ALINHAMENTO ESTRATÉGICO],Simulação!A18,Tb_Alinhamento[2026])</f>
        <v>12</v>
      </c>
      <c r="J18" s="708"/>
    </row>
    <row r="19" spans="1:10" ht="30">
      <c r="A19" s="8" t="s">
        <v>305</v>
      </c>
      <c r="B19" s="88">
        <f t="shared" si="0"/>
        <v>4</v>
      </c>
      <c r="C19" s="88">
        <f>SUMIF(Tb_Alinhamento[ALINHAMENTO ESTRATÉGICO],Simulação!A19,Tb_Alinhamento[2024])</f>
        <v>4</v>
      </c>
      <c r="D19" s="89"/>
      <c r="E19" s="201">
        <f t="shared" si="1"/>
        <v>3</v>
      </c>
      <c r="F19" s="88">
        <f>SUMIF(Tb_Alinhamento[ALINHAMENTO ESTRATÉGICO],Simulação!A19,Tb_Alinhamento[2025])</f>
        <v>3</v>
      </c>
      <c r="G19" s="335"/>
      <c r="H19" s="707">
        <f t="shared" si="2"/>
        <v>4</v>
      </c>
      <c r="I19" s="88">
        <f>SUMIF(Tb_Alinhamento[ALINHAMENTO ESTRATÉGICO],Simulação!A19,Tb_Alinhamento[2026])</f>
        <v>4</v>
      </c>
      <c r="J19" s="708"/>
    </row>
    <row r="20" spans="1:10" ht="30">
      <c r="A20" s="8" t="s">
        <v>1620</v>
      </c>
      <c r="B20" s="88">
        <f t="shared" si="0"/>
        <v>4</v>
      </c>
      <c r="C20" s="88">
        <f>SUMIF(Tb_Alinhamento[ALINHAMENTO ESTRATÉGICO],Simulação!A20,Tb_Alinhamento[2024])</f>
        <v>4</v>
      </c>
      <c r="D20" s="89"/>
      <c r="E20" s="201">
        <f t="shared" si="1"/>
        <v>3</v>
      </c>
      <c r="F20" s="88">
        <f>SUMIF(Tb_Alinhamento[ALINHAMENTO ESTRATÉGICO],Simulação!A20,Tb_Alinhamento[2025])</f>
        <v>3</v>
      </c>
      <c r="G20" s="335"/>
      <c r="H20" s="707">
        <f t="shared" si="2"/>
        <v>1</v>
      </c>
      <c r="I20" s="88">
        <f>SUMIF(Tb_Alinhamento[ALINHAMENTO ESTRATÉGICO],Simulação!A20,Tb_Alinhamento[2026])</f>
        <v>1</v>
      </c>
      <c r="J20" s="708"/>
    </row>
    <row r="21" spans="1:10">
      <c r="A21" s="8" t="s">
        <v>213</v>
      </c>
      <c r="B21" s="88">
        <f t="shared" si="0"/>
        <v>6</v>
      </c>
      <c r="C21" s="88">
        <f>SUMIF(Tb_Alinhamento[ALINHAMENTO ESTRATÉGICO],Simulação!A21,Tb_Alinhamento[2024])</f>
        <v>6</v>
      </c>
      <c r="D21" s="89"/>
      <c r="E21" s="201">
        <f t="shared" si="1"/>
        <v>4</v>
      </c>
      <c r="F21" s="88">
        <f>SUMIF(Tb_Alinhamento[ALINHAMENTO ESTRATÉGICO],Simulação!A21,Tb_Alinhamento[2025])</f>
        <v>4</v>
      </c>
      <c r="G21" s="335"/>
      <c r="H21" s="201">
        <f t="shared" si="2"/>
        <v>2</v>
      </c>
      <c r="I21" s="88">
        <f>SUMIF(Tb_Alinhamento[ALINHAMENTO ESTRATÉGICO],Simulação!A21,Tb_Alinhamento[2026])</f>
        <v>2</v>
      </c>
      <c r="J21" s="708"/>
    </row>
    <row r="22" spans="1:10" ht="30">
      <c r="A22" s="8" t="s">
        <v>1621</v>
      </c>
      <c r="B22" s="88">
        <f t="shared" si="0"/>
        <v>0</v>
      </c>
      <c r="C22" s="88">
        <f>SUMIF(Tb_Alinhamento[ALINHAMENTO ESTRATÉGICO],Simulação!A22,Tb_Alinhamento[2024])</f>
        <v>0</v>
      </c>
      <c r="D22" s="89"/>
      <c r="E22" s="201">
        <f t="shared" si="1"/>
        <v>0</v>
      </c>
      <c r="F22" s="88">
        <f>SUMIF(Tb_Alinhamento[ALINHAMENTO ESTRATÉGICO],Simulação!A22,Tb_Alinhamento[2025])</f>
        <v>0</v>
      </c>
      <c r="G22" s="335"/>
      <c r="H22" s="201">
        <f t="shared" si="2"/>
        <v>0</v>
      </c>
      <c r="I22" s="88">
        <f>SUMIF(Tb_Alinhamento[ALINHAMENTO ESTRATÉGICO],Simulação!A22,Tb_Alinhamento[2026])</f>
        <v>0</v>
      </c>
      <c r="J22" s="708"/>
    </row>
    <row r="23" spans="1:10" ht="30">
      <c r="A23" s="8" t="s">
        <v>1622</v>
      </c>
      <c r="B23" s="88">
        <f t="shared" si="0"/>
        <v>0</v>
      </c>
      <c r="C23" s="88">
        <f>SUMIF(Tb_Alinhamento[ALINHAMENTO ESTRATÉGICO],Simulação!A23,Tb_Alinhamento[2024])</f>
        <v>0</v>
      </c>
      <c r="D23" s="89"/>
      <c r="E23" s="201">
        <f t="shared" si="1"/>
        <v>0</v>
      </c>
      <c r="F23" s="88">
        <f>SUMIF(Tb_Alinhamento[ALINHAMENTO ESTRATÉGICO],Simulação!A23,Tb_Alinhamento[2025])</f>
        <v>0</v>
      </c>
      <c r="G23" s="335"/>
      <c r="H23" s="201">
        <f t="shared" si="2"/>
        <v>0</v>
      </c>
      <c r="I23" s="88">
        <f>SUMIF(Tb_Alinhamento[ALINHAMENTO ESTRATÉGICO],Simulação!A23,Tb_Alinhamento[2026])</f>
        <v>0</v>
      </c>
      <c r="J23" s="708"/>
    </row>
    <row r="24" spans="1:10" ht="15.75">
      <c r="A24" s="84" t="s">
        <v>1736</v>
      </c>
      <c r="B24" s="85">
        <f>SUM(B6:B23)</f>
        <v>172</v>
      </c>
      <c r="C24" s="85">
        <f>SUM(C6:C23)</f>
        <v>172</v>
      </c>
      <c r="D24" s="85">
        <f t="shared" ref="D24:J24" si="3">SUM(D6:D23)</f>
        <v>0</v>
      </c>
      <c r="E24" s="85">
        <f t="shared" si="3"/>
        <v>127</v>
      </c>
      <c r="F24" s="85">
        <f t="shared" si="3"/>
        <v>127</v>
      </c>
      <c r="G24" s="85">
        <f t="shared" si="3"/>
        <v>0</v>
      </c>
      <c r="H24" s="85">
        <f>SUM(H6:H23)</f>
        <v>117</v>
      </c>
      <c r="I24" s="85">
        <f t="shared" si="3"/>
        <v>115</v>
      </c>
      <c r="J24" s="85">
        <f t="shared" si="3"/>
        <v>2</v>
      </c>
    </row>
    <row r="25" spans="1:10">
      <c r="C25" s="19" t="s">
        <v>1724</v>
      </c>
    </row>
    <row r="26" spans="1:10">
      <c r="E26" s="19"/>
    </row>
    <row r="27" spans="1:10">
      <c r="E27" s="19"/>
    </row>
    <row r="28" spans="1:10">
      <c r="E28" s="19"/>
    </row>
    <row r="29" spans="1:10">
      <c r="E29" s="19"/>
    </row>
    <row r="30" spans="1:10">
      <c r="E30" s="19"/>
    </row>
    <row r="31" spans="1:10">
      <c r="E31" s="19"/>
    </row>
    <row r="32" spans="1:10">
      <c r="E32" s="19"/>
    </row>
    <row r="33" spans="5:5">
      <c r="E33" s="19"/>
    </row>
    <row r="34" spans="5:5">
      <c r="E34" s="19"/>
    </row>
    <row r="35" spans="5:5">
      <c r="E35" s="19"/>
    </row>
    <row r="36" spans="5:5">
      <c r="E36" s="19"/>
    </row>
    <row r="37" spans="5:5">
      <c r="E37" s="19"/>
    </row>
    <row r="38" spans="5:5">
      <c r="E38" s="19"/>
    </row>
    <row r="39" spans="5:5">
      <c r="E39" s="19"/>
    </row>
    <row r="40" spans="5:5">
      <c r="E40" s="19"/>
    </row>
    <row r="41" spans="5:5">
      <c r="E41" s="19"/>
    </row>
    <row r="42" spans="5:5">
      <c r="E42" s="19"/>
    </row>
    <row r="43" spans="5:5">
      <c r="E43" s="19"/>
    </row>
    <row r="44" spans="5:5">
      <c r="E44" s="19"/>
    </row>
    <row r="45" spans="5:5">
      <c r="E45" s="19"/>
    </row>
    <row r="46" spans="5:5">
      <c r="E46" s="19"/>
    </row>
    <row r="47" spans="5:5">
      <c r="E47" s="19"/>
    </row>
    <row r="48" spans="5:5">
      <c r="E48" s="19"/>
    </row>
    <row r="49" spans="1:10">
      <c r="E49" s="19"/>
    </row>
    <row r="50" spans="1:10" ht="16.5">
      <c r="A50" s="727" t="s">
        <v>1742</v>
      </c>
      <c r="B50" s="728"/>
      <c r="C50" s="81"/>
      <c r="D50" s="81"/>
      <c r="E50" s="81"/>
      <c r="F50" s="81"/>
      <c r="G50" s="81"/>
      <c r="H50" s="81"/>
      <c r="I50" s="81"/>
      <c r="J50" s="81"/>
    </row>
    <row r="51" spans="1:10" ht="33">
      <c r="A51" s="83" t="s">
        <v>10</v>
      </c>
      <c r="B51" s="83" t="s">
        <v>1743</v>
      </c>
      <c r="C51" s="83" t="s">
        <v>1744</v>
      </c>
      <c r="D51" s="83" t="s">
        <v>1737</v>
      </c>
      <c r="E51" s="200" t="s">
        <v>1738</v>
      </c>
      <c r="F51" s="80" t="s">
        <v>1745</v>
      </c>
      <c r="G51" s="202" t="s">
        <v>1739</v>
      </c>
      <c r="H51" s="200" t="s">
        <v>1740</v>
      </c>
      <c r="I51" s="80" t="s">
        <v>1746</v>
      </c>
      <c r="J51" s="202" t="s">
        <v>1741</v>
      </c>
    </row>
    <row r="52" spans="1:10">
      <c r="A52" s="71" t="s">
        <v>120</v>
      </c>
      <c r="B52" s="90">
        <f>SUM(C52:D52)</f>
        <v>42</v>
      </c>
      <c r="C52" s="88">
        <f>SUMIF(Tb_Alinhamento[ALINHAMENTO ESTRATÉGICO],Simulação!A52,Tb_Alinhamento[2024])</f>
        <v>42</v>
      </c>
      <c r="D52" s="91"/>
      <c r="E52" s="90">
        <f>SUM(F52:G52)</f>
        <v>22</v>
      </c>
      <c r="F52" s="88">
        <f>SUMIF(Tb_Alinhamento[ALINHAMENTO ESTRATÉGICO],Simulação!A52,Tb_Alinhamento[2025])</f>
        <v>22</v>
      </c>
      <c r="G52" s="91"/>
      <c r="H52" s="90">
        <f>SUM(I52:J52)</f>
        <v>21</v>
      </c>
      <c r="I52" s="88">
        <f>SUMIF(Tb_Alinhamento[ALINHAMENTO ESTRATÉGICO],Simulação!A52,Tb_Alinhamento[2026])</f>
        <v>20</v>
      </c>
      <c r="J52" s="91">
        <v>1</v>
      </c>
    </row>
    <row r="53" spans="1:10" ht="33">
      <c r="A53" s="17" t="s">
        <v>166</v>
      </c>
      <c r="B53" s="90">
        <f t="shared" ref="B53:B63" si="4">SUM(C53:D53)</f>
        <v>15</v>
      </c>
      <c r="C53" s="88">
        <f>SUMIF(Tb_Alinhamento[ALINHAMENTO ESTRATÉGICO],Simulação!A53,Tb_Alinhamento[2024])</f>
        <v>15</v>
      </c>
      <c r="D53" s="91"/>
      <c r="E53" s="90">
        <f t="shared" ref="E53:E63" si="5">SUM(F53:G53)</f>
        <v>15</v>
      </c>
      <c r="F53" s="88">
        <f>SUMIF(Tb_Alinhamento[ALINHAMENTO ESTRATÉGICO],Simulação!A53,Tb_Alinhamento[2025])</f>
        <v>15</v>
      </c>
      <c r="G53" s="91"/>
      <c r="H53" s="90">
        <f t="shared" ref="H53:H63" si="6">SUM(I53:J53)</f>
        <v>18</v>
      </c>
      <c r="I53" s="88">
        <f>SUMIF(Tb_Alinhamento[ALINHAMENTO ESTRATÉGICO],Simulação!A53,Tb_Alinhamento[2026])</f>
        <v>17</v>
      </c>
      <c r="J53" s="91">
        <v>1</v>
      </c>
    </row>
    <row r="54" spans="1:10" ht="33">
      <c r="A54" s="17" t="s">
        <v>105</v>
      </c>
      <c r="B54" s="90">
        <f t="shared" si="4"/>
        <v>15</v>
      </c>
      <c r="C54" s="88">
        <f>SUMIF(Tb_Alinhamento[ALINHAMENTO ESTRATÉGICO],Simulação!A54,Tb_Alinhamento[2024])</f>
        <v>15</v>
      </c>
      <c r="D54" s="91"/>
      <c r="E54" s="90">
        <f t="shared" si="5"/>
        <v>19</v>
      </c>
      <c r="F54" s="88">
        <f>SUMIF(Tb_Alinhamento[ALINHAMENTO ESTRATÉGICO],Simulação!A54,Tb_Alinhamento[2025])</f>
        <v>19</v>
      </c>
      <c r="G54" s="91"/>
      <c r="H54" s="90">
        <f t="shared" si="6"/>
        <v>15</v>
      </c>
      <c r="I54" s="88">
        <f>SUMIF(Tb_Alinhamento[ALINHAMENTO ESTRATÉGICO],Simulação!A54,Tb_Alinhamento[2026])</f>
        <v>15</v>
      </c>
      <c r="J54" s="91"/>
    </row>
    <row r="55" spans="1:10" ht="33">
      <c r="A55" s="17" t="s">
        <v>575</v>
      </c>
      <c r="B55" s="90">
        <f t="shared" si="4"/>
        <v>3</v>
      </c>
      <c r="C55" s="88">
        <f>SUMIF(Tb_Alinhamento[ALINHAMENTO ESTRATÉGICO],Simulação!A55,Tb_Alinhamento[2024])</f>
        <v>3</v>
      </c>
      <c r="D55" s="91"/>
      <c r="E55" s="90">
        <f t="shared" si="5"/>
        <v>3</v>
      </c>
      <c r="F55" s="88">
        <f>SUMIF(Tb_Alinhamento[ALINHAMENTO ESTRATÉGICO],Simulação!A55,Tb_Alinhamento[2025])</f>
        <v>3</v>
      </c>
      <c r="G55" s="91"/>
      <c r="H55" s="90">
        <f t="shared" si="6"/>
        <v>3</v>
      </c>
      <c r="I55" s="88">
        <f>SUMIF(Tb_Alinhamento[ALINHAMENTO ESTRATÉGICO],Simulação!A55,Tb_Alinhamento[2026])</f>
        <v>3</v>
      </c>
      <c r="J55" s="91"/>
    </row>
    <row r="56" spans="1:10" ht="33">
      <c r="A56" s="17" t="s">
        <v>89</v>
      </c>
      <c r="B56" s="90">
        <f t="shared" si="4"/>
        <v>2</v>
      </c>
      <c r="C56" s="88">
        <f>SUMIF(Tb_Alinhamento[ALINHAMENTO ESTRATÉGICO],Simulação!A56,Tb_Alinhamento[2024])</f>
        <v>2</v>
      </c>
      <c r="D56" s="91"/>
      <c r="E56" s="90">
        <f t="shared" si="5"/>
        <v>1</v>
      </c>
      <c r="F56" s="88">
        <f>SUMIF(Tb_Alinhamento[ALINHAMENTO ESTRATÉGICO],Simulação!A56,Tb_Alinhamento[2025])</f>
        <v>1</v>
      </c>
      <c r="G56" s="91"/>
      <c r="H56" s="90">
        <f t="shared" si="6"/>
        <v>2</v>
      </c>
      <c r="I56" s="88">
        <f>SUMIF(Tb_Alinhamento[ALINHAMENTO ESTRATÉGICO],Simulação!A56,Tb_Alinhamento[2026])</f>
        <v>2</v>
      </c>
      <c r="J56" s="91"/>
    </row>
    <row r="57" spans="1:10" ht="33">
      <c r="A57" s="17" t="s">
        <v>647</v>
      </c>
      <c r="B57" s="90">
        <f t="shared" si="4"/>
        <v>1</v>
      </c>
      <c r="C57" s="88">
        <f>SUMIF(Tb_Alinhamento[ALINHAMENTO ESTRATÉGICO],Simulação!A57,Tb_Alinhamento[2024])</f>
        <v>1</v>
      </c>
      <c r="D57" s="91"/>
      <c r="E57" s="90">
        <f t="shared" si="5"/>
        <v>1</v>
      </c>
      <c r="F57" s="88">
        <f>SUMIF(Tb_Alinhamento[ALINHAMENTO ESTRATÉGICO],Simulação!A57,Tb_Alinhamento[2025])</f>
        <v>1</v>
      </c>
      <c r="G57" s="91"/>
      <c r="H57" s="90">
        <f t="shared" si="6"/>
        <v>1</v>
      </c>
      <c r="I57" s="88">
        <f>SUMIF(Tb_Alinhamento[ALINHAMENTO ESTRATÉGICO],Simulação!A57,Tb_Alinhamento[2026])</f>
        <v>1</v>
      </c>
      <c r="J57" s="91"/>
    </row>
    <row r="58" spans="1:10" ht="16.5">
      <c r="A58" s="17" t="s">
        <v>1624</v>
      </c>
      <c r="B58" s="90">
        <f t="shared" si="4"/>
        <v>2</v>
      </c>
      <c r="C58" s="88">
        <f>SUMIF(Tb_Alinhamento[ALINHAMENTO ESTRATÉGICO],Simulação!A58,Tb_Alinhamento[2024])</f>
        <v>2</v>
      </c>
      <c r="D58" s="91"/>
      <c r="E58" s="90">
        <f t="shared" si="5"/>
        <v>1</v>
      </c>
      <c r="F58" s="88">
        <f>SUMIF(Tb_Alinhamento[ALINHAMENTO ESTRATÉGICO],Simulação!A58,Tb_Alinhamento[2025])</f>
        <v>1</v>
      </c>
      <c r="G58" s="91"/>
      <c r="H58" s="90">
        <f t="shared" si="6"/>
        <v>2</v>
      </c>
      <c r="I58" s="88">
        <f>SUMIF(Tb_Alinhamento[ALINHAMENTO ESTRATÉGICO],Simulação!A58,Tb_Alinhamento[2026])</f>
        <v>2</v>
      </c>
      <c r="J58" s="91"/>
    </row>
    <row r="59" spans="1:10" ht="16.5">
      <c r="A59" s="17" t="s">
        <v>76</v>
      </c>
      <c r="B59" s="90">
        <f t="shared" si="4"/>
        <v>33</v>
      </c>
      <c r="C59" s="88">
        <f>SUMIF(Tb_Alinhamento[ALINHAMENTO ESTRATÉGICO],Simulação!A59,Tb_Alinhamento[2024])</f>
        <v>33</v>
      </c>
      <c r="D59" s="91"/>
      <c r="E59" s="90">
        <f t="shared" si="5"/>
        <v>13</v>
      </c>
      <c r="F59" s="88">
        <f>SUMIF(Tb_Alinhamento[ALINHAMENTO ESTRATÉGICO],Simulação!A59,Tb_Alinhamento[2025])</f>
        <v>13</v>
      </c>
      <c r="G59" s="91"/>
      <c r="H59" s="90">
        <f t="shared" si="6"/>
        <v>11</v>
      </c>
      <c r="I59" s="88">
        <f>SUMIF(Tb_Alinhamento[ALINHAMENTO ESTRATÉGICO],Simulação!A59,Tb_Alinhamento[2026])</f>
        <v>11</v>
      </c>
      <c r="J59" s="91"/>
    </row>
    <row r="60" spans="1:10" ht="33">
      <c r="A60" s="17" t="s">
        <v>146</v>
      </c>
      <c r="B60" s="90">
        <f t="shared" si="4"/>
        <v>19</v>
      </c>
      <c r="C60" s="88">
        <f>SUMIF(Tb_Alinhamento[ALINHAMENTO ESTRATÉGICO],Simulação!A60,Tb_Alinhamento[2024])</f>
        <v>19</v>
      </c>
      <c r="D60" s="91"/>
      <c r="E60" s="90">
        <f t="shared" si="5"/>
        <v>25</v>
      </c>
      <c r="F60" s="88">
        <f>SUMIF(Tb_Alinhamento[ALINHAMENTO ESTRATÉGICO],Simulação!A60,Tb_Alinhamento[2025])</f>
        <v>25</v>
      </c>
      <c r="G60" s="91"/>
      <c r="H60" s="90">
        <f t="shared" si="6"/>
        <v>23</v>
      </c>
      <c r="I60" s="88">
        <f>SUMIF(Tb_Alinhamento[ALINHAMENTO ESTRATÉGICO],Simulação!A60,Tb_Alinhamento[2026])</f>
        <v>23</v>
      </c>
      <c r="J60" s="91"/>
    </row>
    <row r="61" spans="1:10" ht="16.5">
      <c r="A61" s="17" t="s">
        <v>214</v>
      </c>
      <c r="B61" s="90">
        <f t="shared" si="4"/>
        <v>7</v>
      </c>
      <c r="C61" s="88">
        <f>SUMIF(Tb_Alinhamento[ALINHAMENTO ESTRATÉGICO],Simulação!A61,Tb_Alinhamento[2024])</f>
        <v>7</v>
      </c>
      <c r="D61" s="91"/>
      <c r="E61" s="90">
        <f t="shared" si="5"/>
        <v>4</v>
      </c>
      <c r="F61" s="88">
        <f>SUMIF(Tb_Alinhamento[ALINHAMENTO ESTRATÉGICO],Simulação!A61,Tb_Alinhamento[2025])</f>
        <v>4</v>
      </c>
      <c r="G61" s="91"/>
      <c r="H61" s="90">
        <f t="shared" si="6"/>
        <v>3</v>
      </c>
      <c r="I61" s="88">
        <f>SUMIF(Tb_Alinhamento[ALINHAMENTO ESTRATÉGICO],Simulação!A61,Tb_Alinhamento[2026])</f>
        <v>3</v>
      </c>
      <c r="J61" s="91"/>
    </row>
    <row r="62" spans="1:10" ht="33">
      <c r="A62" s="17" t="s">
        <v>1625</v>
      </c>
      <c r="B62" s="90">
        <f t="shared" si="4"/>
        <v>0</v>
      </c>
      <c r="C62" s="88">
        <f>SUMIF(Tb_Alinhamento[ALINHAMENTO ESTRATÉGICO],Simulação!A62,Tb_Alinhamento[2024])</f>
        <v>0</v>
      </c>
      <c r="D62" s="91"/>
      <c r="E62" s="90">
        <f t="shared" si="5"/>
        <v>0</v>
      </c>
      <c r="F62" s="88">
        <f>SUMIF(Tb_Alinhamento[ALINHAMENTO ESTRATÉGICO],Simulação!A62,Tb_Alinhamento[2025])</f>
        <v>0</v>
      </c>
      <c r="G62" s="91"/>
      <c r="H62" s="90">
        <f t="shared" si="6"/>
        <v>0</v>
      </c>
      <c r="I62" s="88">
        <f>SUMIF(Tb_Alinhamento[ALINHAMENTO ESTRATÉGICO],Simulação!A62,Tb_Alinhamento[2026])</f>
        <v>0</v>
      </c>
      <c r="J62" s="91"/>
    </row>
    <row r="63" spans="1:10" ht="33">
      <c r="A63" s="17" t="s">
        <v>176</v>
      </c>
      <c r="B63" s="90">
        <f t="shared" si="4"/>
        <v>22</v>
      </c>
      <c r="C63" s="88">
        <f>SUMIF(Tb_Alinhamento[ALINHAMENTO ESTRATÉGICO],Simulação!A63,Tb_Alinhamento[2024])</f>
        <v>22</v>
      </c>
      <c r="D63" s="91"/>
      <c r="E63" s="90">
        <f t="shared" si="5"/>
        <v>26</v>
      </c>
      <c r="F63" s="88">
        <f>SUMIF(Tb_Alinhamento[ALINHAMENTO ESTRATÉGICO],Simulação!A63,Tb_Alinhamento[2025])</f>
        <v>26</v>
      </c>
      <c r="G63" s="91"/>
      <c r="H63" s="90">
        <f t="shared" si="6"/>
        <v>22</v>
      </c>
      <c r="I63" s="88">
        <f>SUMIF(Tb_Alinhamento[ALINHAMENTO ESTRATÉGICO],Simulação!A63,Tb_Alinhamento[2026])</f>
        <v>22</v>
      </c>
      <c r="J63" s="91"/>
    </row>
    <row r="64" spans="1:10" ht="15.75">
      <c r="A64" s="86" t="s">
        <v>1618</v>
      </c>
      <c r="B64" s="87">
        <f>SUM(B52:B63)</f>
        <v>161</v>
      </c>
      <c r="C64" s="87">
        <f t="shared" ref="C64:J64" si="7">SUM(C52:C63)</f>
        <v>161</v>
      </c>
      <c r="D64" s="87">
        <f>SUM(D52:D63)</f>
        <v>0</v>
      </c>
      <c r="E64" s="87">
        <f t="shared" si="7"/>
        <v>130</v>
      </c>
      <c r="F64" s="87">
        <f t="shared" si="7"/>
        <v>130</v>
      </c>
      <c r="G64" s="87">
        <f t="shared" si="7"/>
        <v>0</v>
      </c>
      <c r="H64" s="87">
        <f t="shared" si="7"/>
        <v>121</v>
      </c>
      <c r="I64" s="87">
        <f t="shared" si="7"/>
        <v>119</v>
      </c>
      <c r="J64" s="87">
        <f t="shared" si="7"/>
        <v>2</v>
      </c>
    </row>
  </sheetData>
  <mergeCells count="2">
    <mergeCell ref="A4:B4"/>
    <mergeCell ref="A50:B50"/>
  </mergeCells>
  <conditionalFormatting sqref="A51">
    <cfRule type="duplicateValues" dxfId="74" priority="1"/>
  </conditionalFormatting>
  <conditionalFormatting sqref="A52:A64 E65:E1048576">
    <cfRule type="duplicateValues" dxfId="73" priority="3"/>
  </conditionalFormatting>
  <pageMargins left="0.511811024" right="0.511811024" top="0.78740157499999996" bottom="0.78740157499999996" header="0.31496062000000002" footer="0.31496062000000002"/>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6DFF-0B57-4BA6-881F-19DEBDC25D78}">
  <sheetPr>
    <tabColor rgb="FF92D050"/>
  </sheetPr>
  <dimension ref="A1:J469"/>
  <sheetViews>
    <sheetView topLeftCell="A302" workbookViewId="0"/>
  </sheetViews>
  <sheetFormatPr defaultColWidth="43.5703125" defaultRowHeight="15"/>
  <cols>
    <col min="1" max="1" width="16" style="436" bestFit="1" customWidth="1"/>
    <col min="2" max="3" width="43.5703125" style="436"/>
    <col min="4" max="4" width="17" style="436" customWidth="1"/>
    <col min="5" max="5" width="15.5703125" style="436" customWidth="1"/>
    <col min="6" max="6" width="10.140625" style="436" customWidth="1"/>
    <col min="7" max="7" width="22" style="436" hidden="1" customWidth="1"/>
    <col min="8" max="8" width="19.5703125" style="436" hidden="1" customWidth="1"/>
    <col min="9" max="9" width="18" style="436" bestFit="1" customWidth="1"/>
    <col min="10" max="10" width="58.42578125" style="436" bestFit="1" customWidth="1"/>
    <col min="11" max="16384" width="43.5703125" style="436"/>
  </cols>
  <sheetData>
    <row r="1" spans="1:10">
      <c r="A1" s="436" t="s">
        <v>1</v>
      </c>
      <c r="B1" s="436" t="s">
        <v>1588</v>
      </c>
      <c r="C1" s="436" t="s">
        <v>1747</v>
      </c>
      <c r="D1" s="436" t="s">
        <v>1748</v>
      </c>
      <c r="E1" s="436" t="s">
        <v>1749</v>
      </c>
      <c r="F1" s="436" t="s">
        <v>1750</v>
      </c>
      <c r="G1" s="436" t="s">
        <v>1751</v>
      </c>
      <c r="H1" s="436" t="s">
        <v>1752</v>
      </c>
      <c r="I1" s="436" t="s">
        <v>57</v>
      </c>
      <c r="J1" s="436" t="s">
        <v>1753</v>
      </c>
    </row>
    <row r="2" spans="1:10" ht="105" hidden="1">
      <c r="A2" s="436" t="s">
        <v>209</v>
      </c>
      <c r="B2" s="436" t="str">
        <f>_xlfn.XLOOKUP(Tb_Entregas[[#This Row],[SEI]],Tb_Portfólio[SEI],Tb_Portfólio[PROJETO],"",0)</f>
        <v>Capacitação técnica para desenvolvedores nas tecnologias da PDPJ - BR</v>
      </c>
      <c r="C2" s="438" t="s">
        <v>1754</v>
      </c>
      <c r="D2" s="437">
        <v>45208</v>
      </c>
      <c r="E2" s="437">
        <v>45208</v>
      </c>
      <c r="F2" s="441">
        <v>1</v>
      </c>
      <c r="G2" s="442">
        <v>33000</v>
      </c>
      <c r="H2" s="442">
        <v>33000</v>
      </c>
      <c r="I2" s="436" t="str">
        <f>_xlfn.XLOOKUP(Tb_Entregas[[#This Row],[SEI]],Tb_Mapa[SEI],Tb_Mapa[CONSULTOR RESPONSÁVEL],"",0)</f>
        <v>Tony</v>
      </c>
    </row>
    <row r="3" spans="1:10" ht="30" hidden="1">
      <c r="A3" s="436" t="s">
        <v>209</v>
      </c>
      <c r="B3" s="436" t="str">
        <f>_xlfn.XLOOKUP(Tb_Entregas[[#This Row],[SEI]],Tb_Portfólio[SEI],Tb_Portfólio[PROJETO],"",0)</f>
        <v>Capacitação técnica para desenvolvedores nas tecnologias da PDPJ - BR</v>
      </c>
      <c r="C3" s="438" t="s">
        <v>1755</v>
      </c>
      <c r="D3" s="437">
        <v>45310</v>
      </c>
      <c r="E3" s="437">
        <v>45309</v>
      </c>
      <c r="F3" s="441">
        <v>1</v>
      </c>
      <c r="G3" s="442">
        <v>98800</v>
      </c>
      <c r="H3" s="442">
        <v>98800</v>
      </c>
      <c r="I3" s="436" t="str">
        <f>_xlfn.XLOOKUP(Tb_Entregas[[#This Row],[SEI]],Tb_Mapa[SEI],Tb_Mapa[CONSULTOR RESPONSÁVEL],"",0)</f>
        <v>Tony</v>
      </c>
    </row>
    <row r="4" spans="1:10" hidden="1">
      <c r="A4" s="436" t="s">
        <v>209</v>
      </c>
      <c r="B4" s="436" t="str">
        <f>_xlfn.XLOOKUP(Tb_Entregas[[#This Row],[SEI]],Tb_Portfólio[SEI],Tb_Portfólio[PROJETO],"",0)</f>
        <v>Capacitação técnica para desenvolvedores nas tecnologias da PDPJ - BR</v>
      </c>
      <c r="C4" s="438" t="s">
        <v>1756</v>
      </c>
      <c r="D4" s="437">
        <v>45412</v>
      </c>
      <c r="E4" s="437">
        <v>45408</v>
      </c>
      <c r="F4" s="441">
        <v>1</v>
      </c>
      <c r="G4" s="442">
        <v>31300</v>
      </c>
      <c r="H4" s="442">
        <v>31300</v>
      </c>
      <c r="I4" s="436" t="str">
        <f>_xlfn.XLOOKUP(Tb_Entregas[[#This Row],[SEI]],Tb_Mapa[SEI],Tb_Mapa[CONSULTOR RESPONSÁVEL],"",0)</f>
        <v>Tony</v>
      </c>
    </row>
    <row r="5" spans="1:10" ht="30" hidden="1">
      <c r="A5" s="436" t="s">
        <v>209</v>
      </c>
      <c r="B5" s="436" t="str">
        <f>_xlfn.XLOOKUP(Tb_Entregas[[#This Row],[SEI]],Tb_Portfólio[SEI],Tb_Portfólio[PROJETO],"",0)</f>
        <v>Capacitação técnica para desenvolvedores nas tecnologias da PDPJ - BR</v>
      </c>
      <c r="C5" s="438" t="s">
        <v>1757</v>
      </c>
      <c r="D5" s="437">
        <v>45457</v>
      </c>
      <c r="E5" s="437">
        <v>45455</v>
      </c>
      <c r="F5" s="441">
        <v>1</v>
      </c>
      <c r="G5" s="442">
        <v>99400</v>
      </c>
      <c r="H5" s="442">
        <v>99400</v>
      </c>
      <c r="I5" s="436" t="str">
        <f>_xlfn.XLOOKUP(Tb_Entregas[[#This Row],[SEI]],Tb_Mapa[SEI],Tb_Mapa[CONSULTOR RESPONSÁVEL],"",0)</f>
        <v>Tony</v>
      </c>
    </row>
    <row r="6" spans="1:10" hidden="1">
      <c r="A6" s="436" t="s">
        <v>209</v>
      </c>
      <c r="B6" s="436" t="str">
        <f>_xlfn.XLOOKUP(Tb_Entregas[[#This Row],[SEI]],Tb_Portfólio[SEI],Tb_Portfólio[PROJETO],"",0)</f>
        <v>Capacitação técnica para desenvolvedores nas tecnologias da PDPJ - BR</v>
      </c>
      <c r="C6" s="438" t="s">
        <v>1758</v>
      </c>
      <c r="D6" s="437">
        <v>45544</v>
      </c>
      <c r="E6" s="437">
        <v>45544</v>
      </c>
      <c r="F6" s="441">
        <v>1</v>
      </c>
      <c r="G6" s="442">
        <v>66920</v>
      </c>
      <c r="H6" s="442">
        <v>66920</v>
      </c>
      <c r="I6" s="436" t="str">
        <f>_xlfn.XLOOKUP(Tb_Entregas[[#This Row],[SEI]],Tb_Mapa[SEI],Tb_Mapa[CONSULTOR RESPONSÁVEL],"",0)</f>
        <v>Tony</v>
      </c>
    </row>
    <row r="7" spans="1:10" ht="30" hidden="1">
      <c r="A7" s="436" t="s">
        <v>209</v>
      </c>
      <c r="B7" s="436" t="str">
        <f>_xlfn.XLOOKUP(Tb_Entregas[[#This Row],[SEI]],Tb_Portfólio[SEI],Tb_Portfólio[PROJETO],"",0)</f>
        <v>Capacitação técnica para desenvolvedores nas tecnologias da PDPJ - BR</v>
      </c>
      <c r="C7" s="438" t="s">
        <v>1759</v>
      </c>
      <c r="D7" s="437">
        <v>45716</v>
      </c>
      <c r="E7" s="437">
        <v>45715</v>
      </c>
      <c r="F7" s="441">
        <v>1</v>
      </c>
      <c r="G7" s="442">
        <v>100440</v>
      </c>
      <c r="H7" s="442">
        <v>100440</v>
      </c>
      <c r="I7" s="436" t="str">
        <f>_xlfn.XLOOKUP(Tb_Entregas[[#This Row],[SEI]],Tb_Mapa[SEI],Tb_Mapa[CONSULTOR RESPONSÁVEL],"",0)</f>
        <v>Tony</v>
      </c>
    </row>
    <row r="8" spans="1:10" ht="30" hidden="1">
      <c r="A8" s="436" t="s">
        <v>209</v>
      </c>
      <c r="B8" s="436" t="str">
        <f>_xlfn.XLOOKUP(Tb_Entregas[[#This Row],[SEI]],Tb_Portfólio[SEI],Tb_Portfólio[PROJETO],"",0)</f>
        <v>Capacitação técnica para desenvolvedores nas tecnologias da PDPJ - BR</v>
      </c>
      <c r="C8" s="438" t="s">
        <v>1760</v>
      </c>
      <c r="D8" s="437">
        <v>45520</v>
      </c>
      <c r="E8" s="437">
        <v>45520</v>
      </c>
      <c r="F8" s="441">
        <v>1</v>
      </c>
      <c r="G8" s="442">
        <v>101420</v>
      </c>
      <c r="H8" s="442">
        <v>101420</v>
      </c>
      <c r="I8" s="436" t="str">
        <f>_xlfn.XLOOKUP(Tb_Entregas[[#This Row],[SEI]],Tb_Mapa[SEI],Tb_Mapa[CONSULTOR RESPONSÁVEL],"",0)</f>
        <v>Tony</v>
      </c>
    </row>
    <row r="9" spans="1:10" hidden="1">
      <c r="A9" s="436" t="s">
        <v>209</v>
      </c>
      <c r="B9" s="436" t="str">
        <f>_xlfn.XLOOKUP(Tb_Entregas[[#This Row],[SEI]],Tb_Portfólio[SEI],Tb_Portfólio[PROJETO],"",0)</f>
        <v>Capacitação técnica para desenvolvedores nas tecnologias da PDPJ - BR</v>
      </c>
      <c r="C9" s="438" t="s">
        <v>1761</v>
      </c>
      <c r="D9" s="437">
        <v>45758</v>
      </c>
      <c r="E9" s="443">
        <v>45841</v>
      </c>
      <c r="F9" s="441">
        <v>0.78</v>
      </c>
      <c r="G9" s="442">
        <v>65300</v>
      </c>
      <c r="H9" s="442">
        <v>65300</v>
      </c>
      <c r="I9" s="436" t="str">
        <f>_xlfn.XLOOKUP(Tb_Entregas[[#This Row],[SEI]],Tb_Mapa[SEI],Tb_Mapa[CONSULTOR RESPONSÁVEL],"",0)</f>
        <v>Tony</v>
      </c>
    </row>
    <row r="10" spans="1:10" ht="30" hidden="1">
      <c r="A10" s="436" t="s">
        <v>209</v>
      </c>
      <c r="B10" s="436" t="str">
        <f>_xlfn.XLOOKUP(Tb_Entregas[[#This Row],[SEI]],Tb_Portfólio[SEI],Tb_Portfólio[PROJETO],"",0)</f>
        <v>Capacitação técnica para desenvolvedores nas tecnologias da PDPJ - BR</v>
      </c>
      <c r="C10" s="438" t="s">
        <v>1762</v>
      </c>
      <c r="D10" s="437">
        <v>45666</v>
      </c>
      <c r="E10" s="437">
        <v>45666</v>
      </c>
      <c r="F10" s="441">
        <v>1</v>
      </c>
      <c r="G10" s="442">
        <v>66300</v>
      </c>
      <c r="H10" s="442">
        <v>66300</v>
      </c>
      <c r="I10" s="436" t="str">
        <f>_xlfn.XLOOKUP(Tb_Entregas[[#This Row],[SEI]],Tb_Mapa[SEI],Tb_Mapa[CONSULTOR RESPONSÁVEL],"",0)</f>
        <v>Tony</v>
      </c>
    </row>
    <row r="11" spans="1:10" hidden="1">
      <c r="A11" s="436" t="s">
        <v>487</v>
      </c>
      <c r="B11" s="436" t="str">
        <f>_xlfn.XLOOKUP(Tb_Entregas[[#This Row],[SEI]],Tb_Portfólio[SEI],Tb_Portfólio[PROJETO],"",0)</f>
        <v>Demandas Complexas</v>
      </c>
      <c r="C11" s="438" t="s">
        <v>1763</v>
      </c>
      <c r="D11" s="443">
        <v>45208</v>
      </c>
      <c r="E11" s="443">
        <v>45208</v>
      </c>
      <c r="F11" s="441">
        <v>1</v>
      </c>
      <c r="G11" s="444">
        <v>0</v>
      </c>
      <c r="H11" s="444">
        <v>0</v>
      </c>
      <c r="I11" s="436" t="str">
        <f>_xlfn.XLOOKUP(Tb_Entregas[[#This Row],[SEI]],Tb_Mapa[SEI],Tb_Mapa[CONSULTOR RESPONSÁVEL],"",0)</f>
        <v>Tony</v>
      </c>
    </row>
    <row r="12" spans="1:10" hidden="1">
      <c r="A12" s="436" t="s">
        <v>487</v>
      </c>
      <c r="B12" s="436" t="str">
        <f>_xlfn.XLOOKUP(Tb_Entregas[[#This Row],[SEI]],Tb_Portfólio[SEI],Tb_Portfólio[PROJETO],"",0)</f>
        <v>Demandas Complexas</v>
      </c>
      <c r="C12" s="438" t="s">
        <v>1764</v>
      </c>
      <c r="D12" s="443">
        <v>45208</v>
      </c>
      <c r="E12" s="443">
        <v>45208</v>
      </c>
      <c r="F12" s="441">
        <v>1</v>
      </c>
      <c r="G12" s="444">
        <v>0</v>
      </c>
      <c r="H12" s="444">
        <v>0</v>
      </c>
      <c r="I12" s="436" t="str">
        <f>_xlfn.XLOOKUP(Tb_Entregas[[#This Row],[SEI]],Tb_Mapa[SEI],Tb_Mapa[CONSULTOR RESPONSÁVEL],"",0)</f>
        <v>Tony</v>
      </c>
    </row>
    <row r="13" spans="1:10" hidden="1">
      <c r="A13" s="436" t="s">
        <v>229</v>
      </c>
      <c r="B13" s="436" t="str">
        <f>_xlfn.XLOOKUP(Tb_Entregas[[#This Row],[SEI]],Tb_Portfólio[SEI],Tb_Portfólio[PROJETO],"",0)</f>
        <v>Gabinete do Juízo</v>
      </c>
      <c r="C13" s="438" t="s">
        <v>1765</v>
      </c>
      <c r="D13" s="443">
        <v>45258</v>
      </c>
      <c r="E13" s="443">
        <v>45258</v>
      </c>
      <c r="F13" s="441">
        <v>1</v>
      </c>
      <c r="G13" s="444">
        <v>0</v>
      </c>
      <c r="H13" s="444">
        <v>0</v>
      </c>
      <c r="I13" s="436" t="str">
        <f>_xlfn.XLOOKUP(Tb_Entregas[[#This Row],[SEI]],Tb_Mapa[SEI],Tb_Mapa[CONSULTOR RESPONSÁVEL],"",0)</f>
        <v>Tony</v>
      </c>
    </row>
    <row r="14" spans="1:10" hidden="1">
      <c r="A14" s="436" t="s">
        <v>229</v>
      </c>
      <c r="B14" s="436" t="str">
        <f>_xlfn.XLOOKUP(Tb_Entregas[[#This Row],[SEI]],Tb_Portfólio[SEI],Tb_Portfólio[PROJETO],"",0)</f>
        <v>Gabinete do Juízo</v>
      </c>
      <c r="C14" s="438" t="s">
        <v>1766</v>
      </c>
      <c r="D14" s="443">
        <v>45258</v>
      </c>
      <c r="E14" s="443">
        <v>45258</v>
      </c>
      <c r="F14" s="441">
        <v>1</v>
      </c>
      <c r="G14" s="444">
        <v>0</v>
      </c>
      <c r="H14" s="444">
        <v>0</v>
      </c>
      <c r="I14" s="436" t="str">
        <f>_xlfn.XLOOKUP(Tb_Entregas[[#This Row],[SEI]],Tb_Mapa[SEI],Tb_Mapa[CONSULTOR RESPONSÁVEL],"",0)</f>
        <v>Tony</v>
      </c>
    </row>
    <row r="15" spans="1:10" hidden="1">
      <c r="A15" s="436" t="s">
        <v>229</v>
      </c>
      <c r="B15" s="436" t="str">
        <f>_xlfn.XLOOKUP(Tb_Entregas[[#This Row],[SEI]],Tb_Portfólio[SEI],Tb_Portfólio[PROJETO],"",0)</f>
        <v>Gabinete do Juízo</v>
      </c>
      <c r="C15" s="438" t="s">
        <v>1767</v>
      </c>
      <c r="D15" s="443">
        <v>45258</v>
      </c>
      <c r="E15" s="443">
        <v>45258</v>
      </c>
      <c r="F15" s="441">
        <v>1</v>
      </c>
      <c r="G15" s="444">
        <v>0</v>
      </c>
      <c r="H15" s="444">
        <v>0</v>
      </c>
      <c r="I15" s="436" t="str">
        <f>_xlfn.XLOOKUP(Tb_Entregas[[#This Row],[SEI]],Tb_Mapa[SEI],Tb_Mapa[CONSULTOR RESPONSÁVEL],"",0)</f>
        <v>Tony</v>
      </c>
    </row>
    <row r="16" spans="1:10" hidden="1">
      <c r="A16" s="436" t="s">
        <v>229</v>
      </c>
      <c r="B16" s="436" t="str">
        <f>_xlfn.XLOOKUP(Tb_Entregas[[#This Row],[SEI]],Tb_Portfólio[SEI],Tb_Portfólio[PROJETO],"",0)</f>
        <v>Gabinete do Juízo</v>
      </c>
      <c r="C16" s="438" t="s">
        <v>1768</v>
      </c>
      <c r="D16" s="443">
        <v>45258</v>
      </c>
      <c r="E16" s="443">
        <v>45258</v>
      </c>
      <c r="F16" s="441">
        <v>1</v>
      </c>
      <c r="G16" s="444">
        <v>0</v>
      </c>
      <c r="H16" s="444">
        <v>0</v>
      </c>
      <c r="I16" s="436" t="str">
        <f>_xlfn.XLOOKUP(Tb_Entregas[[#This Row],[SEI]],Tb_Mapa[SEI],Tb_Mapa[CONSULTOR RESPONSÁVEL],"",0)</f>
        <v>Tony</v>
      </c>
    </row>
    <row r="17" spans="1:9" hidden="1">
      <c r="A17" s="436" t="s">
        <v>229</v>
      </c>
      <c r="B17" s="436" t="str">
        <f>_xlfn.XLOOKUP(Tb_Entregas[[#This Row],[SEI]],Tb_Portfólio[SEI],Tb_Portfólio[PROJETO],"",0)</f>
        <v>Gabinete do Juízo</v>
      </c>
      <c r="C17" s="438" t="s">
        <v>1769</v>
      </c>
      <c r="D17" s="443">
        <v>45258</v>
      </c>
      <c r="E17" s="443">
        <v>45258</v>
      </c>
      <c r="F17" s="441">
        <v>1</v>
      </c>
      <c r="G17" s="444">
        <v>0</v>
      </c>
      <c r="H17" s="444">
        <v>0</v>
      </c>
      <c r="I17" s="436" t="str">
        <f>_xlfn.XLOOKUP(Tb_Entregas[[#This Row],[SEI]],Tb_Mapa[SEI],Tb_Mapa[CONSULTOR RESPONSÁVEL],"",0)</f>
        <v>Tony</v>
      </c>
    </row>
    <row r="18" spans="1:9" ht="30" hidden="1">
      <c r="A18" s="436" t="s">
        <v>229</v>
      </c>
      <c r="B18" s="436" t="str">
        <f>_xlfn.XLOOKUP(Tb_Entregas[[#This Row],[SEI]],Tb_Portfólio[SEI],Tb_Portfólio[PROJETO],"",0)</f>
        <v>Gabinete do Juízo</v>
      </c>
      <c r="C18" s="438" t="s">
        <v>1770</v>
      </c>
      <c r="D18" s="443">
        <v>45258</v>
      </c>
      <c r="E18" s="443">
        <v>45258</v>
      </c>
      <c r="F18" s="441">
        <v>1</v>
      </c>
      <c r="G18" s="444">
        <v>0</v>
      </c>
      <c r="H18" s="444">
        <v>0</v>
      </c>
      <c r="I18" s="436" t="str">
        <f>_xlfn.XLOOKUP(Tb_Entregas[[#This Row],[SEI]],Tb_Mapa[SEI],Tb_Mapa[CONSULTOR RESPONSÁVEL],"",0)</f>
        <v>Tony</v>
      </c>
    </row>
    <row r="19" spans="1:9" hidden="1">
      <c r="A19" s="436" t="s">
        <v>229</v>
      </c>
      <c r="B19" s="436" t="str">
        <f>_xlfn.XLOOKUP(Tb_Entregas[[#This Row],[SEI]],Tb_Portfólio[SEI],Tb_Portfólio[PROJETO],"",0)</f>
        <v>Gabinete do Juízo</v>
      </c>
      <c r="C19" s="438" t="s">
        <v>1771</v>
      </c>
      <c r="D19" s="438"/>
      <c r="E19" s="438"/>
      <c r="F19" s="441">
        <v>1</v>
      </c>
      <c r="G19" s="444">
        <v>0</v>
      </c>
      <c r="H19" s="444">
        <v>0</v>
      </c>
      <c r="I19" s="436" t="str">
        <f>_xlfn.XLOOKUP(Tb_Entregas[[#This Row],[SEI]],Tb_Mapa[SEI],Tb_Mapa[CONSULTOR RESPONSÁVEL],"",0)</f>
        <v>Tony</v>
      </c>
    </row>
    <row r="20" spans="1:9" hidden="1">
      <c r="A20" s="436" t="s">
        <v>229</v>
      </c>
      <c r="B20" s="436" t="str">
        <f>_xlfn.XLOOKUP(Tb_Entregas[[#This Row],[SEI]],Tb_Portfólio[SEI],Tb_Portfólio[PROJETO],"",0)</f>
        <v>Gabinete do Juízo</v>
      </c>
      <c r="C20" s="438" t="s">
        <v>1772</v>
      </c>
      <c r="D20" s="443">
        <v>45258</v>
      </c>
      <c r="E20" s="443">
        <v>45258</v>
      </c>
      <c r="F20" s="441">
        <v>1</v>
      </c>
      <c r="G20" s="444">
        <v>0</v>
      </c>
      <c r="H20" s="444">
        <v>0</v>
      </c>
      <c r="I20" s="436" t="str">
        <f>_xlfn.XLOOKUP(Tb_Entregas[[#This Row],[SEI]],Tb_Mapa[SEI],Tb_Mapa[CONSULTOR RESPONSÁVEL],"",0)</f>
        <v>Tony</v>
      </c>
    </row>
    <row r="21" spans="1:9" hidden="1">
      <c r="A21" s="436" t="s">
        <v>229</v>
      </c>
      <c r="B21" s="436" t="str">
        <f>_xlfn.XLOOKUP(Tb_Entregas[[#This Row],[SEI]],Tb_Portfólio[SEI],Tb_Portfólio[PROJETO],"",0)</f>
        <v>Gabinete do Juízo</v>
      </c>
      <c r="C21" s="438" t="s">
        <v>1773</v>
      </c>
      <c r="D21" s="443">
        <v>45258</v>
      </c>
      <c r="E21" s="443">
        <v>45258</v>
      </c>
      <c r="F21" s="441">
        <v>1</v>
      </c>
      <c r="G21" s="444">
        <v>0</v>
      </c>
      <c r="H21" s="444">
        <v>0</v>
      </c>
      <c r="I21" s="436" t="str">
        <f>_xlfn.XLOOKUP(Tb_Entregas[[#This Row],[SEI]],Tb_Mapa[SEI],Tb_Mapa[CONSULTOR RESPONSÁVEL],"",0)</f>
        <v>Tony</v>
      </c>
    </row>
    <row r="22" spans="1:9" hidden="1">
      <c r="A22" s="436" t="s">
        <v>229</v>
      </c>
      <c r="B22" s="436" t="str">
        <f>_xlfn.XLOOKUP(Tb_Entregas[[#This Row],[SEI]],Tb_Portfólio[SEI],Tb_Portfólio[PROJETO],"",0)</f>
        <v>Gabinete do Juízo</v>
      </c>
      <c r="C22" s="438" t="s">
        <v>1774</v>
      </c>
      <c r="D22" s="443">
        <v>45593</v>
      </c>
      <c r="E22" s="443">
        <v>45593</v>
      </c>
      <c r="F22" s="441">
        <v>1</v>
      </c>
      <c r="G22" s="444">
        <v>0</v>
      </c>
      <c r="H22" s="444">
        <v>0</v>
      </c>
      <c r="I22" s="436" t="str">
        <f>_xlfn.XLOOKUP(Tb_Entregas[[#This Row],[SEI]],Tb_Mapa[SEI],Tb_Mapa[CONSULTOR RESPONSÁVEL],"",0)</f>
        <v>Tony</v>
      </c>
    </row>
    <row r="23" spans="1:9" hidden="1">
      <c r="A23" s="436" t="s">
        <v>229</v>
      </c>
      <c r="B23" s="436" t="str">
        <f>_xlfn.XLOOKUP(Tb_Entregas[[#This Row],[SEI]],Tb_Portfólio[SEI],Tb_Portfólio[PROJETO],"",0)</f>
        <v>Gabinete do Juízo</v>
      </c>
      <c r="C23" s="438" t="s">
        <v>1775</v>
      </c>
      <c r="D23" s="443">
        <v>45350</v>
      </c>
      <c r="E23" s="443">
        <v>45350</v>
      </c>
      <c r="F23" s="441">
        <v>1</v>
      </c>
      <c r="G23" s="444">
        <v>0</v>
      </c>
      <c r="H23" s="444">
        <v>0</v>
      </c>
      <c r="I23" s="436" t="str">
        <f>_xlfn.XLOOKUP(Tb_Entregas[[#This Row],[SEI]],Tb_Mapa[SEI],Tb_Mapa[CONSULTOR RESPONSÁVEL],"",0)</f>
        <v>Tony</v>
      </c>
    </row>
    <row r="24" spans="1:9" ht="30" hidden="1">
      <c r="A24" s="436" t="s">
        <v>229</v>
      </c>
      <c r="B24" s="436" t="str">
        <f>_xlfn.XLOOKUP(Tb_Entregas[[#This Row],[SEI]],Tb_Portfólio[SEI],Tb_Portfólio[PROJETO],"",0)</f>
        <v>Gabinete do Juízo</v>
      </c>
      <c r="C24" s="438" t="s">
        <v>1776</v>
      </c>
      <c r="D24" s="438"/>
      <c r="E24" s="438"/>
      <c r="F24" s="441">
        <v>0.5</v>
      </c>
      <c r="G24" s="444">
        <v>0</v>
      </c>
      <c r="H24" s="444">
        <v>0</v>
      </c>
      <c r="I24" s="436" t="str">
        <f>_xlfn.XLOOKUP(Tb_Entregas[[#This Row],[SEI]],Tb_Mapa[SEI],Tb_Mapa[CONSULTOR RESPONSÁVEL],"",0)</f>
        <v>Tony</v>
      </c>
    </row>
    <row r="25" spans="1:9" hidden="1">
      <c r="A25" s="436" t="s">
        <v>229</v>
      </c>
      <c r="B25" s="436" t="str">
        <f>_xlfn.XLOOKUP(Tb_Entregas[[#This Row],[SEI]],Tb_Portfólio[SEI],Tb_Portfólio[PROJETO],"",0)</f>
        <v>Gabinete do Juízo</v>
      </c>
      <c r="C25" s="438" t="s">
        <v>1777</v>
      </c>
      <c r="D25" s="443">
        <v>45258</v>
      </c>
      <c r="E25" s="443">
        <v>45258</v>
      </c>
      <c r="F25" s="441">
        <v>1</v>
      </c>
      <c r="G25" s="444">
        <v>0</v>
      </c>
      <c r="H25" s="444">
        <v>0</v>
      </c>
      <c r="I25" s="436" t="str">
        <f>_xlfn.XLOOKUP(Tb_Entregas[[#This Row],[SEI]],Tb_Mapa[SEI],Tb_Mapa[CONSULTOR RESPONSÁVEL],"",0)</f>
        <v>Tony</v>
      </c>
    </row>
    <row r="26" spans="1:9" hidden="1">
      <c r="A26" s="436" t="s">
        <v>229</v>
      </c>
      <c r="B26" s="436" t="str">
        <f>_xlfn.XLOOKUP(Tb_Entregas[[#This Row],[SEI]],Tb_Portfólio[SEI],Tb_Portfólio[PROJETO],"",0)</f>
        <v>Gabinete do Juízo</v>
      </c>
      <c r="C26" s="438" t="s">
        <v>1778</v>
      </c>
      <c r="D26" s="443">
        <v>45723</v>
      </c>
      <c r="E26" s="443">
        <v>45723</v>
      </c>
      <c r="F26" s="441">
        <v>1</v>
      </c>
      <c r="G26" s="444">
        <v>0</v>
      </c>
      <c r="H26" s="444">
        <v>0</v>
      </c>
      <c r="I26" s="436" t="str">
        <f>_xlfn.XLOOKUP(Tb_Entregas[[#This Row],[SEI]],Tb_Mapa[SEI],Tb_Mapa[CONSULTOR RESPONSÁVEL],"",0)</f>
        <v>Tony</v>
      </c>
    </row>
    <row r="27" spans="1:9" ht="30" hidden="1">
      <c r="A27" s="436" t="s">
        <v>229</v>
      </c>
      <c r="B27" s="436" t="str">
        <f>_xlfn.XLOOKUP(Tb_Entregas[[#This Row],[SEI]],Tb_Portfólio[SEI],Tb_Portfólio[PROJETO],"",0)</f>
        <v>Gabinete do Juízo</v>
      </c>
      <c r="C27" s="438" t="s">
        <v>1779</v>
      </c>
      <c r="D27" s="443">
        <v>45723</v>
      </c>
      <c r="E27" s="443">
        <v>45723</v>
      </c>
      <c r="F27" s="441">
        <v>1</v>
      </c>
      <c r="G27" s="444">
        <v>0</v>
      </c>
      <c r="H27" s="444">
        <v>0</v>
      </c>
      <c r="I27" s="436" t="str">
        <f>_xlfn.XLOOKUP(Tb_Entregas[[#This Row],[SEI]],Tb_Mapa[SEI],Tb_Mapa[CONSULTOR RESPONSÁVEL],"",0)</f>
        <v>Tony</v>
      </c>
    </row>
    <row r="28" spans="1:9" hidden="1">
      <c r="A28" s="436" t="s">
        <v>229</v>
      </c>
      <c r="B28" s="436" t="str">
        <f>_xlfn.XLOOKUP(Tb_Entregas[[#This Row],[SEI]],Tb_Portfólio[SEI],Tb_Portfólio[PROJETO],"",0)</f>
        <v>Gabinete do Juízo</v>
      </c>
      <c r="C28" s="438" t="s">
        <v>1780</v>
      </c>
      <c r="D28" s="438"/>
      <c r="E28" s="438"/>
      <c r="F28" s="441">
        <v>0</v>
      </c>
      <c r="G28" s="444">
        <v>0</v>
      </c>
      <c r="H28" s="444">
        <v>0</v>
      </c>
      <c r="I28" s="436" t="str">
        <f>_xlfn.XLOOKUP(Tb_Entregas[[#This Row],[SEI]],Tb_Mapa[SEI],Tb_Mapa[CONSULTOR RESPONSÁVEL],"",0)</f>
        <v>Tony</v>
      </c>
    </row>
    <row r="29" spans="1:9" ht="30" hidden="1">
      <c r="A29" s="436" t="s">
        <v>229</v>
      </c>
      <c r="B29" s="436" t="str">
        <f>_xlfn.XLOOKUP(Tb_Entregas[[#This Row],[SEI]],Tb_Portfólio[SEI],Tb_Portfólio[PROJETO],"",0)</f>
        <v>Gabinete do Juízo</v>
      </c>
      <c r="C29" s="438" t="s">
        <v>1781</v>
      </c>
      <c r="D29" s="438"/>
      <c r="E29" s="438"/>
      <c r="F29" s="441">
        <v>0.5</v>
      </c>
      <c r="G29" s="444">
        <v>0</v>
      </c>
      <c r="H29" s="444">
        <v>0</v>
      </c>
      <c r="I29" s="436" t="str">
        <f>_xlfn.XLOOKUP(Tb_Entregas[[#This Row],[SEI]],Tb_Mapa[SEI],Tb_Mapa[CONSULTOR RESPONSÁVEL],"",0)</f>
        <v>Tony</v>
      </c>
    </row>
    <row r="30" spans="1:9" ht="30" hidden="1">
      <c r="A30" s="436" t="s">
        <v>229</v>
      </c>
      <c r="B30" s="436" t="str">
        <f>_xlfn.XLOOKUP(Tb_Entregas[[#This Row],[SEI]],Tb_Portfólio[SEI],Tb_Portfólio[PROJETO],"",0)</f>
        <v>Gabinete do Juízo</v>
      </c>
      <c r="C30" s="438" t="s">
        <v>1782</v>
      </c>
      <c r="D30" s="438"/>
      <c r="E30" s="438"/>
      <c r="F30" s="441">
        <v>0.8</v>
      </c>
      <c r="G30" s="444">
        <v>0</v>
      </c>
      <c r="H30" s="444">
        <v>0</v>
      </c>
      <c r="I30" s="436" t="str">
        <f>_xlfn.XLOOKUP(Tb_Entregas[[#This Row],[SEI]],Tb_Mapa[SEI],Tb_Mapa[CONSULTOR RESPONSÁVEL],"",0)</f>
        <v>Tony</v>
      </c>
    </row>
    <row r="31" spans="1:9" ht="45" hidden="1">
      <c r="A31" s="436" t="s">
        <v>182</v>
      </c>
      <c r="B31" s="436" t="str">
        <f>_xlfn.XLOOKUP(Tb_Entregas[[#This Row],[SEI]],Tb_Portfólio[SEI],Tb_Portfólio[PROJETO],"",0)</f>
        <v xml:space="preserve">Mineração de Processos do Pje </v>
      </c>
      <c r="C31" s="438" t="s">
        <v>1783</v>
      </c>
      <c r="D31" s="443">
        <v>44286</v>
      </c>
      <c r="E31" s="443">
        <v>44286</v>
      </c>
      <c r="F31" s="441">
        <v>1</v>
      </c>
      <c r="G31" s="444">
        <v>0</v>
      </c>
      <c r="H31" s="444">
        <v>0</v>
      </c>
      <c r="I31" s="436" t="str">
        <f>_xlfn.XLOOKUP(Tb_Entregas[[#This Row],[SEI]],Tb_Mapa[SEI],Tb_Mapa[CONSULTOR RESPONSÁVEL],"",0)</f>
        <v>Tony</v>
      </c>
    </row>
    <row r="32" spans="1:9" ht="75" hidden="1">
      <c r="A32" s="436" t="s">
        <v>182</v>
      </c>
      <c r="B32" s="436" t="str">
        <f>_xlfn.XLOOKUP(Tb_Entregas[[#This Row],[SEI]],Tb_Portfólio[SEI],Tb_Portfólio[PROJETO],"",0)</f>
        <v xml:space="preserve">Mineração de Processos do Pje </v>
      </c>
      <c r="C32" s="438" t="s">
        <v>1784</v>
      </c>
      <c r="D32" s="443">
        <v>44316</v>
      </c>
      <c r="E32" s="443">
        <v>44341</v>
      </c>
      <c r="F32" s="441">
        <v>1</v>
      </c>
      <c r="G32" s="444">
        <v>0</v>
      </c>
      <c r="H32" s="444">
        <v>0</v>
      </c>
      <c r="I32" s="436" t="str">
        <f>_xlfn.XLOOKUP(Tb_Entregas[[#This Row],[SEI]],Tb_Mapa[SEI],Tb_Mapa[CONSULTOR RESPONSÁVEL],"",0)</f>
        <v>Tony</v>
      </c>
    </row>
    <row r="33" spans="1:9" ht="30" hidden="1">
      <c r="A33" s="436" t="s">
        <v>182</v>
      </c>
      <c r="B33" s="436" t="str">
        <f>_xlfn.XLOOKUP(Tb_Entregas[[#This Row],[SEI]],Tb_Portfólio[SEI],Tb_Portfólio[PROJETO],"",0)</f>
        <v xml:space="preserve">Mineração de Processos do Pje </v>
      </c>
      <c r="C33" s="438" t="s">
        <v>1785</v>
      </c>
      <c r="D33" s="443">
        <v>44501</v>
      </c>
      <c r="E33" s="443">
        <v>44518</v>
      </c>
      <c r="F33" s="441">
        <v>1</v>
      </c>
      <c r="G33" s="444">
        <v>0</v>
      </c>
      <c r="H33" s="444">
        <v>0</v>
      </c>
      <c r="I33" s="436" t="str">
        <f>_xlfn.XLOOKUP(Tb_Entregas[[#This Row],[SEI]],Tb_Mapa[SEI],Tb_Mapa[CONSULTOR RESPONSÁVEL],"",0)</f>
        <v>Tony</v>
      </c>
    </row>
    <row r="34" spans="1:9" ht="45" hidden="1">
      <c r="A34" s="436" t="s">
        <v>182</v>
      </c>
      <c r="B34" s="436" t="str">
        <f>_xlfn.XLOOKUP(Tb_Entregas[[#This Row],[SEI]],Tb_Portfólio[SEI],Tb_Portfólio[PROJETO],"",0)</f>
        <v xml:space="preserve">Mineração de Processos do Pje </v>
      </c>
      <c r="C34" s="438" t="s">
        <v>1786</v>
      </c>
      <c r="D34" s="443">
        <v>44501</v>
      </c>
      <c r="E34" s="443">
        <v>44594</v>
      </c>
      <c r="F34" s="441">
        <v>1</v>
      </c>
      <c r="G34" s="444">
        <v>0</v>
      </c>
      <c r="H34" s="444">
        <v>0</v>
      </c>
      <c r="I34" s="436" t="str">
        <f>_xlfn.XLOOKUP(Tb_Entregas[[#This Row],[SEI]],Tb_Mapa[SEI],Tb_Mapa[CONSULTOR RESPONSÁVEL],"",0)</f>
        <v>Tony</v>
      </c>
    </row>
    <row r="35" spans="1:9" ht="45" hidden="1">
      <c r="A35" s="436" t="s">
        <v>182</v>
      </c>
      <c r="B35" s="436" t="str">
        <f>_xlfn.XLOOKUP(Tb_Entregas[[#This Row],[SEI]],Tb_Portfólio[SEI],Tb_Portfólio[PROJETO],"",0)</f>
        <v xml:space="preserve">Mineração de Processos do Pje </v>
      </c>
      <c r="C35" s="438" t="s">
        <v>1787</v>
      </c>
      <c r="D35" s="443">
        <v>44501</v>
      </c>
      <c r="E35" s="443">
        <v>44518</v>
      </c>
      <c r="F35" s="441">
        <v>1</v>
      </c>
      <c r="G35" s="444">
        <v>0</v>
      </c>
      <c r="H35" s="444">
        <v>0</v>
      </c>
      <c r="I35" s="436" t="str">
        <f>_xlfn.XLOOKUP(Tb_Entregas[[#This Row],[SEI]],Tb_Mapa[SEI],Tb_Mapa[CONSULTOR RESPONSÁVEL],"",0)</f>
        <v>Tony</v>
      </c>
    </row>
    <row r="36" spans="1:9" ht="75" hidden="1">
      <c r="A36" s="436" t="s">
        <v>182</v>
      </c>
      <c r="B36" s="436" t="str">
        <f>_xlfn.XLOOKUP(Tb_Entregas[[#This Row],[SEI]],Tb_Portfólio[SEI],Tb_Portfólio[PROJETO],"",0)</f>
        <v xml:space="preserve">Mineração de Processos do Pje </v>
      </c>
      <c r="C36" s="438" t="s">
        <v>1788</v>
      </c>
      <c r="D36" s="443">
        <v>44635</v>
      </c>
      <c r="E36" s="443">
        <v>44641</v>
      </c>
      <c r="F36" s="441">
        <v>1</v>
      </c>
      <c r="G36" s="444">
        <v>0</v>
      </c>
      <c r="H36" s="444">
        <v>0</v>
      </c>
      <c r="I36" s="436" t="str">
        <f>_xlfn.XLOOKUP(Tb_Entregas[[#This Row],[SEI]],Tb_Mapa[SEI],Tb_Mapa[CONSULTOR RESPONSÁVEL],"",0)</f>
        <v>Tony</v>
      </c>
    </row>
    <row r="37" spans="1:9" ht="45" hidden="1">
      <c r="A37" s="436" t="s">
        <v>182</v>
      </c>
      <c r="B37" s="436" t="str">
        <f>_xlfn.XLOOKUP(Tb_Entregas[[#This Row],[SEI]],Tb_Portfólio[SEI],Tb_Portfólio[PROJETO],"",0)</f>
        <v xml:space="preserve">Mineração de Processos do Pje </v>
      </c>
      <c r="C37" s="438" t="s">
        <v>1789</v>
      </c>
      <c r="D37" s="443">
        <v>44682</v>
      </c>
      <c r="E37" s="443">
        <v>44795</v>
      </c>
      <c r="F37" s="441">
        <v>1</v>
      </c>
      <c r="G37" s="444">
        <v>0</v>
      </c>
      <c r="H37" s="444">
        <v>0</v>
      </c>
      <c r="I37" s="436" t="str">
        <f>_xlfn.XLOOKUP(Tb_Entregas[[#This Row],[SEI]],Tb_Mapa[SEI],Tb_Mapa[CONSULTOR RESPONSÁVEL],"",0)</f>
        <v>Tony</v>
      </c>
    </row>
    <row r="38" spans="1:9" ht="60" hidden="1">
      <c r="A38" s="436" t="s">
        <v>182</v>
      </c>
      <c r="B38" s="436" t="str">
        <f>_xlfn.XLOOKUP(Tb_Entregas[[#This Row],[SEI]],Tb_Portfólio[SEI],Tb_Portfólio[PROJETO],"",0)</f>
        <v xml:space="preserve">Mineração de Processos do Pje </v>
      </c>
      <c r="C38" s="438" t="s">
        <v>1790</v>
      </c>
      <c r="D38" s="443">
        <v>44774</v>
      </c>
      <c r="E38" s="443">
        <v>44783</v>
      </c>
      <c r="F38" s="441">
        <v>1</v>
      </c>
      <c r="G38" s="444">
        <v>0</v>
      </c>
      <c r="H38" s="444">
        <v>0</v>
      </c>
      <c r="I38" s="436" t="str">
        <f>_xlfn.XLOOKUP(Tb_Entregas[[#This Row],[SEI]],Tb_Mapa[SEI],Tb_Mapa[CONSULTOR RESPONSÁVEL],"",0)</f>
        <v>Tony</v>
      </c>
    </row>
    <row r="39" spans="1:9" ht="135" hidden="1">
      <c r="A39" s="436" t="s">
        <v>182</v>
      </c>
      <c r="B39" s="436" t="str">
        <f>_xlfn.XLOOKUP(Tb_Entregas[[#This Row],[SEI]],Tb_Portfólio[SEI],Tb_Portfólio[PROJETO],"",0)</f>
        <v xml:space="preserve">Mineração de Processos do Pje </v>
      </c>
      <c r="C39" s="438" t="s">
        <v>1791</v>
      </c>
      <c r="D39" s="443">
        <v>44835</v>
      </c>
      <c r="E39" s="443">
        <v>44886</v>
      </c>
      <c r="F39" s="441">
        <v>1</v>
      </c>
      <c r="G39" s="444">
        <v>0</v>
      </c>
      <c r="H39" s="444">
        <v>0</v>
      </c>
      <c r="I39" s="436" t="str">
        <f>_xlfn.XLOOKUP(Tb_Entregas[[#This Row],[SEI]],Tb_Mapa[SEI],Tb_Mapa[CONSULTOR RESPONSÁVEL],"",0)</f>
        <v>Tony</v>
      </c>
    </row>
    <row r="40" spans="1:9" ht="75" hidden="1">
      <c r="A40" s="436" t="s">
        <v>182</v>
      </c>
      <c r="B40" s="436" t="str">
        <f>_xlfn.XLOOKUP(Tb_Entregas[[#This Row],[SEI]],Tb_Portfólio[SEI],Tb_Portfólio[PROJETO],"",0)</f>
        <v xml:space="preserve">Mineração de Processos do Pje </v>
      </c>
      <c r="C40" s="438" t="s">
        <v>1792</v>
      </c>
      <c r="D40" s="443">
        <v>44866</v>
      </c>
      <c r="E40" s="443">
        <v>44890</v>
      </c>
      <c r="F40" s="441">
        <v>1</v>
      </c>
      <c r="G40" s="444">
        <v>0</v>
      </c>
      <c r="H40" s="444">
        <v>0</v>
      </c>
      <c r="I40" s="436" t="str">
        <f>_xlfn.XLOOKUP(Tb_Entregas[[#This Row],[SEI]],Tb_Mapa[SEI],Tb_Mapa[CONSULTOR RESPONSÁVEL],"",0)</f>
        <v>Tony</v>
      </c>
    </row>
    <row r="41" spans="1:9" ht="90" hidden="1">
      <c r="A41" s="436" t="s">
        <v>182</v>
      </c>
      <c r="B41" s="436" t="str">
        <f>_xlfn.XLOOKUP(Tb_Entregas[[#This Row],[SEI]],Tb_Portfólio[SEI],Tb_Portfólio[PROJETO],"",0)</f>
        <v xml:space="preserve">Mineração de Processos do Pje </v>
      </c>
      <c r="C41" s="438" t="s">
        <v>1793</v>
      </c>
      <c r="D41" s="443">
        <v>44866</v>
      </c>
      <c r="E41" s="443">
        <v>44805</v>
      </c>
      <c r="F41" s="441">
        <v>1</v>
      </c>
      <c r="G41" s="444">
        <v>0</v>
      </c>
      <c r="H41" s="444">
        <v>0</v>
      </c>
      <c r="I41" s="436" t="str">
        <f>_xlfn.XLOOKUP(Tb_Entregas[[#This Row],[SEI]],Tb_Mapa[SEI],Tb_Mapa[CONSULTOR RESPONSÁVEL],"",0)</f>
        <v>Tony</v>
      </c>
    </row>
    <row r="42" spans="1:9" ht="45" hidden="1">
      <c r="A42" s="436" t="s">
        <v>182</v>
      </c>
      <c r="B42" s="436" t="str">
        <f>_xlfn.XLOOKUP(Tb_Entregas[[#This Row],[SEI]],Tb_Portfólio[SEI],Tb_Portfólio[PROJETO],"",0)</f>
        <v xml:space="preserve">Mineração de Processos do Pje </v>
      </c>
      <c r="C42" s="438" t="s">
        <v>1794</v>
      </c>
      <c r="D42" s="443">
        <v>44957</v>
      </c>
      <c r="E42" s="443">
        <v>44957</v>
      </c>
      <c r="F42" s="441">
        <v>1</v>
      </c>
      <c r="G42" s="444">
        <v>0</v>
      </c>
      <c r="H42" s="444">
        <v>0</v>
      </c>
      <c r="I42" s="436" t="str">
        <f>_xlfn.XLOOKUP(Tb_Entregas[[#This Row],[SEI]],Tb_Mapa[SEI],Tb_Mapa[CONSULTOR RESPONSÁVEL],"",0)</f>
        <v>Tony</v>
      </c>
    </row>
    <row r="43" spans="1:9" ht="105" hidden="1">
      <c r="A43" s="436" t="s">
        <v>182</v>
      </c>
      <c r="B43" s="436" t="str">
        <f>_xlfn.XLOOKUP(Tb_Entregas[[#This Row],[SEI]],Tb_Portfólio[SEI],Tb_Portfólio[PROJETO],"",0)</f>
        <v xml:space="preserve">Mineração de Processos do Pje </v>
      </c>
      <c r="C43" s="438" t="s">
        <v>1795</v>
      </c>
      <c r="D43" s="443">
        <v>45077</v>
      </c>
      <c r="E43" s="443">
        <v>45103</v>
      </c>
      <c r="F43" s="441">
        <v>1</v>
      </c>
      <c r="G43" s="444">
        <v>0</v>
      </c>
      <c r="H43" s="444">
        <v>0</v>
      </c>
      <c r="I43" s="436" t="str">
        <f>_xlfn.XLOOKUP(Tb_Entregas[[#This Row],[SEI]],Tb_Mapa[SEI],Tb_Mapa[CONSULTOR RESPONSÁVEL],"",0)</f>
        <v>Tony</v>
      </c>
    </row>
    <row r="44" spans="1:9" ht="150" hidden="1">
      <c r="A44" s="436" t="s">
        <v>182</v>
      </c>
      <c r="B44" s="436" t="str">
        <f>_xlfn.XLOOKUP(Tb_Entregas[[#This Row],[SEI]],Tb_Portfólio[SEI],Tb_Portfólio[PROJETO],"",0)</f>
        <v xml:space="preserve">Mineração de Processos do Pje </v>
      </c>
      <c r="C44" s="438" t="s">
        <v>1796</v>
      </c>
      <c r="D44" s="443">
        <v>45107</v>
      </c>
      <c r="E44" s="443">
        <v>45169</v>
      </c>
      <c r="F44" s="441">
        <v>1</v>
      </c>
      <c r="G44" s="444">
        <v>0</v>
      </c>
      <c r="H44" s="444">
        <v>0</v>
      </c>
      <c r="I44" s="436" t="str">
        <f>_xlfn.XLOOKUP(Tb_Entregas[[#This Row],[SEI]],Tb_Mapa[SEI],Tb_Mapa[CONSULTOR RESPONSÁVEL],"",0)</f>
        <v>Tony</v>
      </c>
    </row>
    <row r="45" spans="1:9" ht="75" hidden="1">
      <c r="A45" s="436" t="s">
        <v>182</v>
      </c>
      <c r="B45" s="436" t="str">
        <f>_xlfn.XLOOKUP(Tb_Entregas[[#This Row],[SEI]],Tb_Portfólio[SEI],Tb_Portfólio[PROJETO],"",0)</f>
        <v xml:space="preserve">Mineração de Processos do Pje </v>
      </c>
      <c r="C45" s="438" t="s">
        <v>1797</v>
      </c>
      <c r="D45" s="443">
        <v>45138</v>
      </c>
      <c r="E45" s="443">
        <v>45201</v>
      </c>
      <c r="F45" s="441">
        <v>1</v>
      </c>
      <c r="G45" s="444">
        <v>0</v>
      </c>
      <c r="H45" s="444">
        <v>0</v>
      </c>
      <c r="I45" s="436" t="str">
        <f>_xlfn.XLOOKUP(Tb_Entregas[[#This Row],[SEI]],Tb_Mapa[SEI],Tb_Mapa[CONSULTOR RESPONSÁVEL],"",0)</f>
        <v>Tony</v>
      </c>
    </row>
    <row r="46" spans="1:9" ht="60" hidden="1">
      <c r="A46" s="436" t="s">
        <v>182</v>
      </c>
      <c r="B46" s="436" t="str">
        <f>_xlfn.XLOOKUP(Tb_Entregas[[#This Row],[SEI]],Tb_Portfólio[SEI],Tb_Portfólio[PROJETO],"",0)</f>
        <v xml:space="preserve">Mineração de Processos do Pje </v>
      </c>
      <c r="C46" s="438" t="s">
        <v>1798</v>
      </c>
      <c r="D46" s="443">
        <v>45198</v>
      </c>
      <c r="E46" s="443">
        <v>45247</v>
      </c>
      <c r="F46" s="441">
        <v>1</v>
      </c>
      <c r="G46" s="444">
        <v>0</v>
      </c>
      <c r="H46" s="444">
        <v>0</v>
      </c>
      <c r="I46" s="436" t="str">
        <f>_xlfn.XLOOKUP(Tb_Entregas[[#This Row],[SEI]],Tb_Mapa[SEI],Tb_Mapa[CONSULTOR RESPONSÁVEL],"",0)</f>
        <v>Tony</v>
      </c>
    </row>
    <row r="47" spans="1:9" ht="135" hidden="1">
      <c r="A47" s="436" t="s">
        <v>182</v>
      </c>
      <c r="B47" s="436" t="str">
        <f>_xlfn.XLOOKUP(Tb_Entregas[[#This Row],[SEI]],Tb_Portfólio[SEI],Tb_Portfólio[PROJETO],"",0)</f>
        <v xml:space="preserve">Mineração de Processos do Pje </v>
      </c>
      <c r="C47" s="438" t="s">
        <v>1799</v>
      </c>
      <c r="D47" s="443">
        <v>45260</v>
      </c>
      <c r="E47" s="443">
        <v>45278</v>
      </c>
      <c r="F47" s="441">
        <v>1</v>
      </c>
      <c r="G47" s="444">
        <v>0</v>
      </c>
      <c r="H47" s="444">
        <v>0</v>
      </c>
      <c r="I47" s="436" t="str">
        <f>_xlfn.XLOOKUP(Tb_Entregas[[#This Row],[SEI]],Tb_Mapa[SEI],Tb_Mapa[CONSULTOR RESPONSÁVEL],"",0)</f>
        <v>Tony</v>
      </c>
    </row>
    <row r="48" spans="1:9" ht="150" hidden="1">
      <c r="A48" s="436" t="s">
        <v>182</v>
      </c>
      <c r="B48" s="436" t="str">
        <f>_xlfn.XLOOKUP(Tb_Entregas[[#This Row],[SEI]],Tb_Portfólio[SEI],Tb_Portfólio[PROJETO],"",0)</f>
        <v xml:space="preserve">Mineração de Processos do Pje </v>
      </c>
      <c r="C48" s="438" t="s">
        <v>1800</v>
      </c>
      <c r="D48" s="443">
        <v>45504</v>
      </c>
      <c r="E48" s="443">
        <v>45520</v>
      </c>
      <c r="F48" s="441">
        <v>1</v>
      </c>
      <c r="G48" s="444">
        <v>0</v>
      </c>
      <c r="H48" s="444">
        <v>0</v>
      </c>
      <c r="I48" s="436" t="str">
        <f>_xlfn.XLOOKUP(Tb_Entregas[[#This Row],[SEI]],Tb_Mapa[SEI],Tb_Mapa[CONSULTOR RESPONSÁVEL],"",0)</f>
        <v>Tony</v>
      </c>
    </row>
    <row r="49" spans="1:9" ht="45" hidden="1">
      <c r="A49" s="436" t="s">
        <v>182</v>
      </c>
      <c r="B49" s="436" t="str">
        <f>_xlfn.XLOOKUP(Tb_Entregas[[#This Row],[SEI]],Tb_Portfólio[SEI],Tb_Portfólio[PROJETO],"",0)</f>
        <v xml:space="preserve">Mineração de Processos do Pje </v>
      </c>
      <c r="C49" s="438" t="s">
        <v>1801</v>
      </c>
      <c r="D49" s="443">
        <v>45534</v>
      </c>
      <c r="E49" s="443">
        <v>45554</v>
      </c>
      <c r="F49" s="441">
        <v>1</v>
      </c>
      <c r="G49" s="444">
        <v>0</v>
      </c>
      <c r="H49" s="444">
        <v>0</v>
      </c>
      <c r="I49" s="436" t="str">
        <f>_xlfn.XLOOKUP(Tb_Entregas[[#This Row],[SEI]],Tb_Mapa[SEI],Tb_Mapa[CONSULTOR RESPONSÁVEL],"",0)</f>
        <v>Tony</v>
      </c>
    </row>
    <row r="50" spans="1:9" ht="60" hidden="1">
      <c r="A50" s="436" t="s">
        <v>182</v>
      </c>
      <c r="B50" s="436" t="str">
        <f>_xlfn.XLOOKUP(Tb_Entregas[[#This Row],[SEI]],Tb_Portfólio[SEI],Tb_Portfólio[PROJETO],"",0)</f>
        <v xml:space="preserve">Mineração de Processos do Pje </v>
      </c>
      <c r="C50" s="438" t="s">
        <v>1802</v>
      </c>
      <c r="D50" s="443">
        <v>45777</v>
      </c>
      <c r="E50" s="443">
        <v>45777</v>
      </c>
      <c r="F50" s="441">
        <v>1</v>
      </c>
      <c r="G50" s="444">
        <v>0</v>
      </c>
      <c r="H50" s="444">
        <v>0</v>
      </c>
      <c r="I50" s="436" t="str">
        <f>_xlfn.XLOOKUP(Tb_Entregas[[#This Row],[SEI]],Tb_Mapa[SEI],Tb_Mapa[CONSULTOR RESPONSÁVEL],"",0)</f>
        <v>Tony</v>
      </c>
    </row>
    <row r="51" spans="1:9" ht="90" hidden="1">
      <c r="A51" s="436" t="s">
        <v>182</v>
      </c>
      <c r="B51" s="436" t="str">
        <f>_xlfn.XLOOKUP(Tb_Entregas[[#This Row],[SEI]],Tb_Portfólio[SEI],Tb_Portfólio[PROJETO],"",0)</f>
        <v xml:space="preserve">Mineração de Processos do Pje </v>
      </c>
      <c r="C51" s="438" t="s">
        <v>1803</v>
      </c>
      <c r="D51" s="443">
        <v>45777</v>
      </c>
      <c r="E51" s="443"/>
      <c r="F51" s="441">
        <v>0.75</v>
      </c>
      <c r="G51" s="444">
        <v>0</v>
      </c>
      <c r="H51" s="444">
        <v>0</v>
      </c>
      <c r="I51" s="436" t="str">
        <f>_xlfn.XLOOKUP(Tb_Entregas[[#This Row],[SEI]],Tb_Mapa[SEI],Tb_Mapa[CONSULTOR RESPONSÁVEL],"",0)</f>
        <v>Tony</v>
      </c>
    </row>
    <row r="52" spans="1:9" hidden="1">
      <c r="A52" s="436" t="s">
        <v>358</v>
      </c>
      <c r="B52" s="436" t="str">
        <f>_xlfn.XLOOKUP(Tb_Entregas[[#This Row],[SEI]],Tb_Portfólio[SEI],Tb_Portfólio[PROJETO],"",0)</f>
        <v>Prevjud - Automação de Processos Previdenciários - Justiça 4.0</v>
      </c>
      <c r="C52" s="438" t="s">
        <v>1804</v>
      </c>
      <c r="D52" s="437">
        <v>44674</v>
      </c>
      <c r="E52" s="437">
        <v>44674</v>
      </c>
      <c r="F52" s="441">
        <v>1</v>
      </c>
      <c r="G52" s="444">
        <v>0</v>
      </c>
      <c r="H52" s="444">
        <v>0</v>
      </c>
      <c r="I52" s="436" t="str">
        <f>_xlfn.XLOOKUP(Tb_Entregas[[#This Row],[SEI]],Tb_Mapa[SEI],Tb_Mapa[CONSULTOR RESPONSÁVEL],"",0)</f>
        <v>Tony</v>
      </c>
    </row>
    <row r="53" spans="1:9" hidden="1">
      <c r="A53" s="436" t="s">
        <v>358</v>
      </c>
      <c r="B53" s="436" t="str">
        <f>_xlfn.XLOOKUP(Tb_Entregas[[#This Row],[SEI]],Tb_Portfólio[SEI],Tb_Portfólio[PROJETO],"",0)</f>
        <v>Prevjud - Automação de Processos Previdenciários - Justiça 4.0</v>
      </c>
      <c r="C53" s="438" t="s">
        <v>1805</v>
      </c>
      <c r="D53" s="437">
        <v>44963</v>
      </c>
      <c r="E53" s="437">
        <v>45258</v>
      </c>
      <c r="F53" s="441">
        <v>1</v>
      </c>
      <c r="G53" s="444">
        <v>0</v>
      </c>
      <c r="H53" s="444">
        <v>0</v>
      </c>
      <c r="I53" s="436" t="str">
        <f>_xlfn.XLOOKUP(Tb_Entregas[[#This Row],[SEI]],Tb_Mapa[SEI],Tb_Mapa[CONSULTOR RESPONSÁVEL],"",0)</f>
        <v>Tony</v>
      </c>
    </row>
    <row r="54" spans="1:9" hidden="1">
      <c r="A54" s="436" t="s">
        <v>358</v>
      </c>
      <c r="B54" s="436" t="str">
        <f>_xlfn.XLOOKUP(Tb_Entregas[[#This Row],[SEI]],Tb_Portfólio[SEI],Tb_Portfólio[PROJETO],"",0)</f>
        <v>Prevjud - Automação de Processos Previdenciários - Justiça 4.0</v>
      </c>
      <c r="C54" s="438" t="s">
        <v>1806</v>
      </c>
      <c r="D54" s="437">
        <v>44772</v>
      </c>
      <c r="E54" s="437">
        <v>44772</v>
      </c>
      <c r="F54" s="441">
        <v>1</v>
      </c>
      <c r="G54" s="444">
        <v>0</v>
      </c>
      <c r="H54" s="444">
        <v>0</v>
      </c>
      <c r="I54" s="436" t="str">
        <f>_xlfn.XLOOKUP(Tb_Entregas[[#This Row],[SEI]],Tb_Mapa[SEI],Tb_Mapa[CONSULTOR RESPONSÁVEL],"",0)</f>
        <v>Tony</v>
      </c>
    </row>
    <row r="55" spans="1:9" hidden="1">
      <c r="A55" s="436" t="s">
        <v>358</v>
      </c>
      <c r="B55" s="436" t="str">
        <f>_xlfn.XLOOKUP(Tb_Entregas[[#This Row],[SEI]],Tb_Portfólio[SEI],Tb_Portfólio[PROJETO],"",0)</f>
        <v>Prevjud - Automação de Processos Previdenciários - Justiça 4.0</v>
      </c>
      <c r="C55" s="438" t="s">
        <v>1807</v>
      </c>
      <c r="D55" s="437">
        <v>44788</v>
      </c>
      <c r="E55" s="437">
        <v>44788</v>
      </c>
      <c r="F55" s="441">
        <v>1</v>
      </c>
      <c r="G55" s="444">
        <v>0</v>
      </c>
      <c r="H55" s="444">
        <v>0</v>
      </c>
      <c r="I55" s="436" t="str">
        <f>_xlfn.XLOOKUP(Tb_Entregas[[#This Row],[SEI]],Tb_Mapa[SEI],Tb_Mapa[CONSULTOR RESPONSÁVEL],"",0)</f>
        <v>Tony</v>
      </c>
    </row>
    <row r="56" spans="1:9" hidden="1">
      <c r="A56" s="436" t="s">
        <v>358</v>
      </c>
      <c r="B56" s="436" t="str">
        <f>_xlfn.XLOOKUP(Tb_Entregas[[#This Row],[SEI]],Tb_Portfólio[SEI],Tb_Portfólio[PROJETO],"",0)</f>
        <v>Prevjud - Automação de Processos Previdenciários - Justiça 4.0</v>
      </c>
      <c r="C56" s="438" t="s">
        <v>1808</v>
      </c>
      <c r="D56" s="437">
        <v>45198</v>
      </c>
      <c r="E56" s="437">
        <v>45519</v>
      </c>
      <c r="F56" s="441">
        <v>1</v>
      </c>
      <c r="G56" s="444">
        <v>0</v>
      </c>
      <c r="H56" s="444">
        <v>0</v>
      </c>
      <c r="I56" s="436" t="str">
        <f>_xlfn.XLOOKUP(Tb_Entregas[[#This Row],[SEI]],Tb_Mapa[SEI],Tb_Mapa[CONSULTOR RESPONSÁVEL],"",0)</f>
        <v>Tony</v>
      </c>
    </row>
    <row r="57" spans="1:9" hidden="1">
      <c r="A57" s="436" t="s">
        <v>358</v>
      </c>
      <c r="B57" s="436" t="str">
        <f>_xlfn.XLOOKUP(Tb_Entregas[[#This Row],[SEI]],Tb_Portfólio[SEI],Tb_Portfólio[PROJETO],"",0)</f>
        <v>Prevjud - Automação de Processos Previdenciários - Justiça 4.0</v>
      </c>
      <c r="C57" s="438" t="s">
        <v>1809</v>
      </c>
      <c r="D57" s="437">
        <v>44926</v>
      </c>
      <c r="E57" s="437">
        <v>44926</v>
      </c>
      <c r="F57" s="441">
        <v>1</v>
      </c>
      <c r="G57" s="444">
        <v>0</v>
      </c>
      <c r="H57" s="444">
        <v>0</v>
      </c>
      <c r="I57" s="436" t="str">
        <f>_xlfn.XLOOKUP(Tb_Entregas[[#This Row],[SEI]],Tb_Mapa[SEI],Tb_Mapa[CONSULTOR RESPONSÁVEL],"",0)</f>
        <v>Tony</v>
      </c>
    </row>
    <row r="58" spans="1:9" hidden="1">
      <c r="A58" s="436" t="s">
        <v>358</v>
      </c>
      <c r="B58" s="436" t="str">
        <f>_xlfn.XLOOKUP(Tb_Entregas[[#This Row],[SEI]],Tb_Portfólio[SEI],Tb_Portfólio[PROJETO],"",0)</f>
        <v>Prevjud - Automação de Processos Previdenciários - Justiça 4.0</v>
      </c>
      <c r="C58" s="438" t="s">
        <v>1810</v>
      </c>
      <c r="D58" s="437">
        <v>45638</v>
      </c>
      <c r="E58" s="443">
        <v>45638</v>
      </c>
      <c r="F58" s="441">
        <v>1</v>
      </c>
      <c r="G58" s="444">
        <v>0</v>
      </c>
      <c r="H58" s="444">
        <v>0</v>
      </c>
      <c r="I58" s="436" t="str">
        <f>_xlfn.XLOOKUP(Tb_Entregas[[#This Row],[SEI]],Tb_Mapa[SEI],Tb_Mapa[CONSULTOR RESPONSÁVEL],"",0)</f>
        <v>Tony</v>
      </c>
    </row>
    <row r="59" spans="1:9" hidden="1">
      <c r="A59" s="436" t="s">
        <v>358</v>
      </c>
      <c r="B59" s="436" t="str">
        <f>_xlfn.XLOOKUP(Tb_Entregas[[#This Row],[SEI]],Tb_Portfólio[SEI],Tb_Portfólio[PROJETO],"",0)</f>
        <v>Prevjud - Automação de Processos Previdenciários - Justiça 4.0</v>
      </c>
      <c r="C59" s="438" t="s">
        <v>1811</v>
      </c>
      <c r="D59" s="437">
        <v>45205</v>
      </c>
      <c r="E59" s="437">
        <v>45532</v>
      </c>
      <c r="F59" s="441">
        <v>1</v>
      </c>
      <c r="G59" s="444">
        <v>0</v>
      </c>
      <c r="H59" s="444">
        <v>0</v>
      </c>
      <c r="I59" s="436" t="str">
        <f>_xlfn.XLOOKUP(Tb_Entregas[[#This Row],[SEI]],Tb_Mapa[SEI],Tb_Mapa[CONSULTOR RESPONSÁVEL],"",0)</f>
        <v>Tony</v>
      </c>
    </row>
    <row r="60" spans="1:9" hidden="1">
      <c r="A60" s="436" t="s">
        <v>358</v>
      </c>
      <c r="B60" s="436" t="str">
        <f>_xlfn.XLOOKUP(Tb_Entregas[[#This Row],[SEI]],Tb_Portfólio[SEI],Tb_Portfólio[PROJETO],"",0)</f>
        <v>Prevjud - Automação de Processos Previdenciários - Justiça 4.0</v>
      </c>
      <c r="C60" s="438" t="s">
        <v>1812</v>
      </c>
      <c r="D60" s="437">
        <v>45848</v>
      </c>
      <c r="E60" s="438"/>
      <c r="F60" s="441">
        <v>0</v>
      </c>
      <c r="G60" s="444">
        <v>0</v>
      </c>
      <c r="H60" s="444">
        <v>0</v>
      </c>
      <c r="I60" s="436" t="str">
        <f>_xlfn.XLOOKUP(Tb_Entregas[[#This Row],[SEI]],Tb_Mapa[SEI],Tb_Mapa[CONSULTOR RESPONSÁVEL],"",0)</f>
        <v>Tony</v>
      </c>
    </row>
    <row r="61" spans="1:9" ht="30" hidden="1">
      <c r="A61" s="436" t="s">
        <v>358</v>
      </c>
      <c r="B61" s="436" t="str">
        <f>_xlfn.XLOOKUP(Tb_Entregas[[#This Row],[SEI]],Tb_Portfólio[SEI],Tb_Portfólio[PROJETO],"",0)</f>
        <v>Prevjud - Automação de Processos Previdenciários - Justiça 4.0</v>
      </c>
      <c r="C61" s="438" t="s">
        <v>1813</v>
      </c>
      <c r="D61" s="437">
        <v>45745</v>
      </c>
      <c r="E61" s="443">
        <v>45703</v>
      </c>
      <c r="F61" s="441">
        <v>1</v>
      </c>
      <c r="G61" s="444">
        <v>0</v>
      </c>
      <c r="H61" s="444">
        <v>0</v>
      </c>
      <c r="I61" s="436" t="str">
        <f>_xlfn.XLOOKUP(Tb_Entregas[[#This Row],[SEI]],Tb_Mapa[SEI],Tb_Mapa[CONSULTOR RESPONSÁVEL],"",0)</f>
        <v>Tony</v>
      </c>
    </row>
    <row r="62" spans="1:9" hidden="1">
      <c r="A62" s="436" t="s">
        <v>358</v>
      </c>
      <c r="B62" s="436" t="str">
        <f>_xlfn.XLOOKUP(Tb_Entregas[[#This Row],[SEI]],Tb_Portfólio[SEI],Tb_Portfólio[PROJETO],"",0)</f>
        <v>Prevjud - Automação de Processos Previdenciários - Justiça 4.0</v>
      </c>
      <c r="C62" s="438" t="s">
        <v>1814</v>
      </c>
      <c r="D62" s="437">
        <v>45674</v>
      </c>
      <c r="E62" s="438"/>
      <c r="F62" s="441">
        <v>0.97</v>
      </c>
      <c r="G62" s="444">
        <v>0</v>
      </c>
      <c r="H62" s="444">
        <v>0</v>
      </c>
      <c r="I62" s="436" t="str">
        <f>_xlfn.XLOOKUP(Tb_Entregas[[#This Row],[SEI]],Tb_Mapa[SEI],Tb_Mapa[CONSULTOR RESPONSÁVEL],"",0)</f>
        <v>Tony</v>
      </c>
    </row>
    <row r="63" spans="1:9" hidden="1">
      <c r="A63" s="436" t="s">
        <v>70</v>
      </c>
      <c r="B63" s="436" t="str">
        <f>_xlfn.XLOOKUP(Tb_Entregas[[#This Row],[SEI]],Tb_Portfólio[SEI],Tb_Portfólio[PROJETO],"",0)</f>
        <v>Mapa Nacional do Tribunal do Júri</v>
      </c>
      <c r="C63" s="438" t="s">
        <v>1815</v>
      </c>
      <c r="D63" s="437">
        <v>45351</v>
      </c>
      <c r="E63" s="437">
        <v>45351</v>
      </c>
      <c r="F63" s="441">
        <v>1</v>
      </c>
      <c r="G63" s="444">
        <v>0</v>
      </c>
      <c r="H63" s="444">
        <v>0</v>
      </c>
      <c r="I63" s="436" t="str">
        <f>_xlfn.XLOOKUP(Tb_Entregas[[#This Row],[SEI]],Tb_Mapa[SEI],Tb_Mapa[CONSULTOR RESPONSÁVEL],"",0)</f>
        <v>Tony</v>
      </c>
    </row>
    <row r="64" spans="1:9" hidden="1">
      <c r="A64" s="436" t="s">
        <v>70</v>
      </c>
      <c r="B64" s="436" t="str">
        <f>_xlfn.XLOOKUP(Tb_Entregas[[#This Row],[SEI]],Tb_Portfólio[SEI],Tb_Portfólio[PROJETO],"",0)</f>
        <v>Mapa Nacional do Tribunal do Júri</v>
      </c>
      <c r="C64" s="438" t="s">
        <v>1816</v>
      </c>
      <c r="D64" s="437">
        <v>45365</v>
      </c>
      <c r="E64" s="437">
        <v>45365</v>
      </c>
      <c r="F64" s="441">
        <v>1</v>
      </c>
      <c r="G64" s="444">
        <v>0</v>
      </c>
      <c r="H64" s="444">
        <v>0</v>
      </c>
      <c r="I64" s="436" t="str">
        <f>_xlfn.XLOOKUP(Tb_Entregas[[#This Row],[SEI]],Tb_Mapa[SEI],Tb_Mapa[CONSULTOR RESPONSÁVEL],"",0)</f>
        <v>Tony</v>
      </c>
    </row>
    <row r="65" spans="1:10" hidden="1">
      <c r="A65" s="436" t="s">
        <v>70</v>
      </c>
      <c r="B65" s="436" t="str">
        <f>_xlfn.XLOOKUP(Tb_Entregas[[#This Row],[SEI]],Tb_Portfólio[SEI],Tb_Portfólio[PROJETO],"",0)</f>
        <v>Mapa Nacional do Tribunal do Júri</v>
      </c>
      <c r="C65" s="438" t="s">
        <v>1817</v>
      </c>
      <c r="D65" s="437">
        <v>45625</v>
      </c>
      <c r="E65" s="443">
        <v>45808</v>
      </c>
      <c r="F65" s="441">
        <v>1</v>
      </c>
      <c r="G65" s="444">
        <v>0</v>
      </c>
      <c r="H65" s="444">
        <v>0</v>
      </c>
      <c r="I65" s="436" t="str">
        <f>_xlfn.XLOOKUP(Tb_Entregas[[#This Row],[SEI]],Tb_Mapa[SEI],Tb_Mapa[CONSULTOR RESPONSÁVEL],"",0)</f>
        <v>Tony</v>
      </c>
    </row>
    <row r="66" spans="1:10" ht="30" hidden="1">
      <c r="A66" s="436" t="s">
        <v>70</v>
      </c>
      <c r="B66" s="436" t="str">
        <f>_xlfn.XLOOKUP(Tb_Entregas[[#This Row],[SEI]],Tb_Portfólio[SEI],Tb_Portfólio[PROJETO],"",0)</f>
        <v>Mapa Nacional do Tribunal do Júri</v>
      </c>
      <c r="C66" s="438" t="s">
        <v>1818</v>
      </c>
      <c r="D66" s="437">
        <v>45838</v>
      </c>
      <c r="E66" s="438"/>
      <c r="F66" s="441">
        <v>0</v>
      </c>
      <c r="G66" s="444">
        <v>0</v>
      </c>
      <c r="H66" s="444">
        <v>0</v>
      </c>
      <c r="I66" s="436" t="str">
        <f>_xlfn.XLOOKUP(Tb_Entregas[[#This Row],[SEI]],Tb_Mapa[SEI],Tb_Mapa[CONSULTOR RESPONSÁVEL],"",0)</f>
        <v>Tony</v>
      </c>
    </row>
    <row r="67" spans="1:10" hidden="1">
      <c r="A67" s="436" t="s">
        <v>70</v>
      </c>
      <c r="B67" s="436" t="str">
        <f>_xlfn.XLOOKUP(Tb_Entregas[[#This Row],[SEI]],Tb_Portfólio[SEI],Tb_Portfólio[PROJETO],"",0)</f>
        <v>Mapa Nacional do Tribunal do Júri</v>
      </c>
      <c r="C67" s="438" t="s">
        <v>1819</v>
      </c>
      <c r="D67" s="437">
        <v>45928</v>
      </c>
      <c r="E67" s="443">
        <v>45917</v>
      </c>
      <c r="F67" s="441">
        <v>1</v>
      </c>
      <c r="G67" s="444">
        <v>0</v>
      </c>
      <c r="H67" s="444">
        <v>0</v>
      </c>
      <c r="I67" s="436" t="str">
        <f>_xlfn.XLOOKUP(Tb_Entregas[[#This Row],[SEI]],Tb_Mapa[SEI],Tb_Mapa[CONSULTOR RESPONSÁVEL],"",0)</f>
        <v>Tony</v>
      </c>
    </row>
    <row r="68" spans="1:10" ht="30" hidden="1">
      <c r="A68" s="436" t="s">
        <v>404</v>
      </c>
      <c r="B68" s="436" t="str">
        <f>_xlfn.XLOOKUP(Tb_Entregas[[#This Row],[SEI]],Tb_Portfólio[SEI],Tb_Portfólio[PROJETO],"",0)</f>
        <v>Consulta Nacional de Pessoas (FAC Nacional)</v>
      </c>
      <c r="C68" s="438" t="s">
        <v>1820</v>
      </c>
      <c r="D68" s="437">
        <v>45419</v>
      </c>
      <c r="E68" s="437">
        <v>45419</v>
      </c>
      <c r="F68" s="441">
        <v>1</v>
      </c>
      <c r="G68" s="444">
        <v>0</v>
      </c>
      <c r="H68" s="444">
        <v>0</v>
      </c>
      <c r="I68" s="436" t="str">
        <f>_xlfn.XLOOKUP(Tb_Entregas[[#This Row],[SEI]],Tb_Mapa[SEI],Tb_Mapa[CONSULTOR RESPONSÁVEL],"",0)</f>
        <v>Tony</v>
      </c>
    </row>
    <row r="69" spans="1:10" ht="30" hidden="1">
      <c r="A69" s="436" t="s">
        <v>404</v>
      </c>
      <c r="B69" s="436" t="str">
        <f>_xlfn.XLOOKUP(Tb_Entregas[[#This Row],[SEI]],Tb_Portfólio[SEI],Tb_Portfólio[PROJETO],"",0)</f>
        <v>Consulta Nacional de Pessoas (FAC Nacional)</v>
      </c>
      <c r="C69" s="438" t="s">
        <v>1821</v>
      </c>
      <c r="D69" s="437">
        <v>45434</v>
      </c>
      <c r="E69" s="437">
        <v>45434</v>
      </c>
      <c r="F69" s="441">
        <v>1</v>
      </c>
      <c r="G69" s="444">
        <v>0</v>
      </c>
      <c r="H69" s="444">
        <v>0</v>
      </c>
      <c r="I69" s="436" t="str">
        <f>_xlfn.XLOOKUP(Tb_Entregas[[#This Row],[SEI]],Tb_Mapa[SEI],Tb_Mapa[CONSULTOR RESPONSÁVEL],"",0)</f>
        <v>Tony</v>
      </c>
    </row>
    <row r="70" spans="1:10" ht="45" hidden="1">
      <c r="A70" s="445" t="s">
        <v>404</v>
      </c>
      <c r="B70" s="445" t="str">
        <f>_xlfn.XLOOKUP(Tb_Entregas[[#This Row],[SEI]],Tb_Portfólio[SEI],Tb_Portfólio[PROJETO],"",0)</f>
        <v>Consulta Nacional de Pessoas (FAC Nacional)</v>
      </c>
      <c r="C70" s="447" t="s">
        <v>1822</v>
      </c>
      <c r="D70" s="448">
        <v>45446</v>
      </c>
      <c r="E70" s="447"/>
      <c r="F70" s="449">
        <v>0</v>
      </c>
      <c r="G70" s="450">
        <v>0</v>
      </c>
      <c r="H70" s="450">
        <v>0</v>
      </c>
      <c r="I70" s="445" t="str">
        <f>_xlfn.XLOOKUP(Tb_Entregas[[#This Row],[SEI]],Tb_Mapa[SEI],Tb_Mapa[CONSULTOR RESPONSÁVEL],"",0)</f>
        <v>Tony</v>
      </c>
      <c r="J70" s="438" t="s">
        <v>1823</v>
      </c>
    </row>
    <row r="71" spans="1:10" ht="45" hidden="1">
      <c r="A71" s="445" t="s">
        <v>404</v>
      </c>
      <c r="B71" s="445" t="str">
        <f>_xlfn.XLOOKUP(Tb_Entregas[[#This Row],[SEI]],Tb_Portfólio[SEI],Tb_Portfólio[PROJETO],"",0)</f>
        <v>Consulta Nacional de Pessoas (FAC Nacional)</v>
      </c>
      <c r="C71" s="447" t="s">
        <v>1824</v>
      </c>
      <c r="D71" s="448">
        <v>45446</v>
      </c>
      <c r="E71" s="447"/>
      <c r="F71" s="449">
        <v>0</v>
      </c>
      <c r="G71" s="450">
        <v>0</v>
      </c>
      <c r="H71" s="450">
        <v>0</v>
      </c>
      <c r="I71" s="445" t="str">
        <f>_xlfn.XLOOKUP(Tb_Entregas[[#This Row],[SEI]],Tb_Mapa[SEI],Tb_Mapa[CONSULTOR RESPONSÁVEL],"",0)</f>
        <v>Tony</v>
      </c>
      <c r="J71" s="438" t="s">
        <v>1823</v>
      </c>
    </row>
    <row r="72" spans="1:10" ht="30" hidden="1">
      <c r="A72" s="436" t="s">
        <v>404</v>
      </c>
      <c r="B72" s="436" t="str">
        <f>_xlfn.XLOOKUP(Tb_Entregas[[#This Row],[SEI]],Tb_Portfólio[SEI],Tb_Portfólio[PROJETO],"",0)</f>
        <v>Consulta Nacional de Pessoas (FAC Nacional)</v>
      </c>
      <c r="C72" s="438" t="s">
        <v>1825</v>
      </c>
      <c r="D72" s="437">
        <v>45687</v>
      </c>
      <c r="E72" s="437">
        <v>45713</v>
      </c>
      <c r="F72" s="441">
        <v>1</v>
      </c>
      <c r="G72" s="444">
        <v>0</v>
      </c>
      <c r="H72" s="444">
        <v>0</v>
      </c>
      <c r="I72" s="436" t="str">
        <f>_xlfn.XLOOKUP(Tb_Entregas[[#This Row],[SEI]],Tb_Mapa[SEI],Tb_Mapa[CONSULTOR RESPONSÁVEL],"",0)</f>
        <v>Tony</v>
      </c>
    </row>
    <row r="73" spans="1:10" hidden="1">
      <c r="A73" s="436" t="s">
        <v>404</v>
      </c>
      <c r="B73" s="436" t="str">
        <f>_xlfn.XLOOKUP(Tb_Entregas[[#This Row],[SEI]],Tb_Portfólio[SEI],Tb_Portfólio[PROJETO],"",0)</f>
        <v>Consulta Nacional de Pessoas (FAC Nacional)</v>
      </c>
      <c r="C73" s="438" t="s">
        <v>1826</v>
      </c>
      <c r="D73" s="437">
        <v>45687</v>
      </c>
      <c r="E73" s="443">
        <v>45713</v>
      </c>
      <c r="F73" s="441">
        <v>1</v>
      </c>
      <c r="G73" s="444">
        <v>0</v>
      </c>
      <c r="H73" s="444">
        <v>0</v>
      </c>
      <c r="I73" s="436" t="str">
        <f>_xlfn.XLOOKUP(Tb_Entregas[[#This Row],[SEI]],Tb_Mapa[SEI],Tb_Mapa[CONSULTOR RESPONSÁVEL],"",0)</f>
        <v>Tony</v>
      </c>
    </row>
    <row r="74" spans="1:10" hidden="1">
      <c r="A74" s="436" t="s">
        <v>404</v>
      </c>
      <c r="B74" s="436" t="str">
        <f>_xlfn.XLOOKUP(Tb_Entregas[[#This Row],[SEI]],Tb_Portfólio[SEI],Tb_Portfólio[PROJETO],"",0)</f>
        <v>Consulta Nacional de Pessoas (FAC Nacional)</v>
      </c>
      <c r="C74" s="438" t="s">
        <v>1827</v>
      </c>
      <c r="D74" s="437">
        <v>45628</v>
      </c>
      <c r="E74" s="437">
        <v>45713</v>
      </c>
      <c r="F74" s="441">
        <v>1</v>
      </c>
      <c r="G74" s="444">
        <v>0</v>
      </c>
      <c r="H74" s="444">
        <v>0</v>
      </c>
      <c r="I74" s="436" t="str">
        <f>_xlfn.XLOOKUP(Tb_Entregas[[#This Row],[SEI]],Tb_Mapa[SEI],Tb_Mapa[CONSULTOR RESPONSÁVEL],"",0)</f>
        <v>Tony</v>
      </c>
    </row>
    <row r="75" spans="1:10" ht="105" hidden="1">
      <c r="A75" s="436" t="s">
        <v>404</v>
      </c>
      <c r="B75" s="436" t="str">
        <f>_xlfn.XLOOKUP(Tb_Entregas[[#This Row],[SEI]],Tb_Portfólio[SEI],Tb_Portfólio[PROJETO],"",0)</f>
        <v>Consulta Nacional de Pessoas (FAC Nacional)</v>
      </c>
      <c r="C75" s="438" t="s">
        <v>1828</v>
      </c>
      <c r="D75" s="437">
        <v>45993</v>
      </c>
      <c r="E75" s="438"/>
      <c r="F75" s="441">
        <v>0.67</v>
      </c>
      <c r="G75" s="444">
        <v>0</v>
      </c>
      <c r="H75" s="444">
        <v>0</v>
      </c>
      <c r="I75" s="436" t="str">
        <f>_xlfn.XLOOKUP(Tb_Entregas[[#This Row],[SEI]],Tb_Mapa[SEI],Tb_Mapa[CONSULTOR RESPONSÁVEL],"",0)</f>
        <v>Tony</v>
      </c>
      <c r="J75" s="438" t="s">
        <v>1829</v>
      </c>
    </row>
    <row r="76" spans="1:10" ht="45" hidden="1">
      <c r="A76" s="436" t="s">
        <v>404</v>
      </c>
      <c r="B76" s="436" t="str">
        <f>_xlfn.XLOOKUP(Tb_Entregas[[#This Row],[SEI]],Tb_Portfólio[SEI],Tb_Portfólio[PROJETO],"",0)</f>
        <v>Consulta Nacional de Pessoas (FAC Nacional)</v>
      </c>
      <c r="C76" s="438" t="s">
        <v>1830</v>
      </c>
      <c r="D76" s="437">
        <v>45993</v>
      </c>
      <c r="E76" s="438"/>
      <c r="F76" s="441">
        <v>0</v>
      </c>
      <c r="G76" s="444">
        <v>0</v>
      </c>
      <c r="H76" s="444">
        <v>0</v>
      </c>
      <c r="I76" s="436" t="str">
        <f>_xlfn.XLOOKUP(Tb_Entregas[[#This Row],[SEI]],Tb_Mapa[SEI],Tb_Mapa[CONSULTOR RESPONSÁVEL],"",0)</f>
        <v>Tony</v>
      </c>
      <c r="J76" s="438" t="s">
        <v>1831</v>
      </c>
    </row>
    <row r="77" spans="1:10" hidden="1">
      <c r="A77" s="436" t="s">
        <v>384</v>
      </c>
      <c r="B77" s="436" t="str">
        <f>_xlfn.XLOOKUP(Tb_Entregas[[#This Row],[SEI]],Tb_Portfólio[SEI],Tb_Portfólio[PROJETO],"",0)</f>
        <v>Integra - Serviço de Monitoramento de Atos do CNJ</v>
      </c>
      <c r="C77" s="438" t="s">
        <v>1832</v>
      </c>
      <c r="D77" s="437">
        <v>45412</v>
      </c>
      <c r="E77" s="437">
        <v>45412</v>
      </c>
      <c r="F77" s="441">
        <v>1</v>
      </c>
      <c r="G77" s="444">
        <v>0</v>
      </c>
      <c r="H77" s="444">
        <v>0</v>
      </c>
      <c r="I77" s="436" t="str">
        <f>_xlfn.XLOOKUP(Tb_Entregas[[#This Row],[SEI]],Tb_Mapa[SEI],Tb_Mapa[CONSULTOR RESPONSÁVEL],"",0)</f>
        <v>Tony</v>
      </c>
    </row>
    <row r="78" spans="1:10" hidden="1">
      <c r="A78" s="436" t="s">
        <v>384</v>
      </c>
      <c r="B78" s="436" t="str">
        <f>_xlfn.XLOOKUP(Tb_Entregas[[#This Row],[SEI]],Tb_Portfólio[SEI],Tb_Portfólio[PROJETO],"",0)</f>
        <v>Integra - Serviço de Monitoramento de Atos do CNJ</v>
      </c>
      <c r="C78" s="438" t="s">
        <v>1833</v>
      </c>
      <c r="D78" s="437">
        <v>45461</v>
      </c>
      <c r="E78" s="437">
        <v>45537</v>
      </c>
      <c r="F78" s="441">
        <v>1</v>
      </c>
      <c r="G78" s="444">
        <v>0</v>
      </c>
      <c r="H78" s="444">
        <v>0</v>
      </c>
      <c r="I78" s="436" t="str">
        <f>_xlfn.XLOOKUP(Tb_Entregas[[#This Row],[SEI]],Tb_Mapa[SEI],Tb_Mapa[CONSULTOR RESPONSÁVEL],"",0)</f>
        <v>Tony</v>
      </c>
    </row>
    <row r="79" spans="1:10" hidden="1">
      <c r="A79" s="436" t="s">
        <v>384</v>
      </c>
      <c r="B79" s="436" t="str">
        <f>_xlfn.XLOOKUP(Tb_Entregas[[#This Row],[SEI]],Tb_Portfólio[SEI],Tb_Portfólio[PROJETO],"",0)</f>
        <v>Integra - Serviço de Monitoramento de Atos do CNJ</v>
      </c>
      <c r="C79" s="438" t="s">
        <v>1834</v>
      </c>
      <c r="D79" s="437">
        <v>45433</v>
      </c>
      <c r="E79" s="437">
        <v>45456</v>
      </c>
      <c r="F79" s="441">
        <v>1</v>
      </c>
      <c r="G79" s="444">
        <v>0</v>
      </c>
      <c r="H79" s="444">
        <v>0</v>
      </c>
      <c r="I79" s="436" t="str">
        <f>_xlfn.XLOOKUP(Tb_Entregas[[#This Row],[SEI]],Tb_Mapa[SEI],Tb_Mapa[CONSULTOR RESPONSÁVEL],"",0)</f>
        <v>Tony</v>
      </c>
    </row>
    <row r="80" spans="1:10" hidden="1">
      <c r="A80" s="436" t="s">
        <v>384</v>
      </c>
      <c r="B80" s="436" t="str">
        <f>_xlfn.XLOOKUP(Tb_Entregas[[#This Row],[SEI]],Tb_Portfólio[SEI],Tb_Portfólio[PROJETO],"",0)</f>
        <v>Integra - Serviço de Monitoramento de Atos do CNJ</v>
      </c>
      <c r="C80" s="438" t="s">
        <v>1835</v>
      </c>
      <c r="D80" s="437">
        <v>45463</v>
      </c>
      <c r="E80" s="437">
        <v>45630</v>
      </c>
      <c r="F80" s="441">
        <v>1</v>
      </c>
      <c r="G80" s="444">
        <v>0</v>
      </c>
      <c r="H80" s="444">
        <v>0</v>
      </c>
      <c r="I80" s="436" t="str">
        <f>_xlfn.XLOOKUP(Tb_Entregas[[#This Row],[SEI]],Tb_Mapa[SEI],Tb_Mapa[CONSULTOR RESPONSÁVEL],"",0)</f>
        <v>Tony</v>
      </c>
    </row>
    <row r="81" spans="1:9" hidden="1">
      <c r="A81" s="436" t="s">
        <v>384</v>
      </c>
      <c r="B81" s="436" t="str">
        <f>_xlfn.XLOOKUP(Tb_Entregas[[#This Row],[SEI]],Tb_Portfólio[SEI],Tb_Portfólio[PROJETO],"",0)</f>
        <v>Integra - Serviço de Monitoramento de Atos do CNJ</v>
      </c>
      <c r="C81" s="438" t="s">
        <v>1836</v>
      </c>
      <c r="D81" s="437">
        <v>45992</v>
      </c>
      <c r="E81" s="438"/>
      <c r="F81" s="441">
        <v>0.9</v>
      </c>
      <c r="G81" s="444">
        <v>0</v>
      </c>
      <c r="H81" s="444">
        <v>0</v>
      </c>
      <c r="I81" s="436" t="str">
        <f>_xlfn.XLOOKUP(Tb_Entregas[[#This Row],[SEI]],Tb_Mapa[SEI],Tb_Mapa[CONSULTOR RESPONSÁVEL],"",0)</f>
        <v>Tony</v>
      </c>
    </row>
    <row r="82" spans="1:9" hidden="1">
      <c r="A82" s="436" t="s">
        <v>384</v>
      </c>
      <c r="B82" s="436" t="str">
        <f>_xlfn.XLOOKUP(Tb_Entregas[[#This Row],[SEI]],Tb_Portfólio[SEI],Tb_Portfólio[PROJETO],"",0)</f>
        <v>Integra - Serviço de Monitoramento de Atos do CNJ</v>
      </c>
      <c r="C82" s="438" t="s">
        <v>1837</v>
      </c>
      <c r="D82" s="437">
        <v>45629</v>
      </c>
      <c r="E82" s="437">
        <v>45629</v>
      </c>
      <c r="F82" s="441">
        <v>1</v>
      </c>
      <c r="G82" s="444">
        <v>0</v>
      </c>
      <c r="H82" s="444">
        <v>0</v>
      </c>
      <c r="I82" s="436" t="str">
        <f>_xlfn.XLOOKUP(Tb_Entregas[[#This Row],[SEI]],Tb_Mapa[SEI],Tb_Mapa[CONSULTOR RESPONSÁVEL],"",0)</f>
        <v>Tony</v>
      </c>
    </row>
    <row r="83" spans="1:9" hidden="1">
      <c r="A83" s="436" t="s">
        <v>384</v>
      </c>
      <c r="B83" s="436" t="str">
        <f>_xlfn.XLOOKUP(Tb_Entregas[[#This Row],[SEI]],Tb_Portfólio[SEI],Tb_Portfólio[PROJETO],"",0)</f>
        <v>Integra - Serviço de Monitoramento de Atos do CNJ</v>
      </c>
      <c r="C83" s="438" t="s">
        <v>1838</v>
      </c>
      <c r="D83" s="437">
        <v>46011</v>
      </c>
      <c r="E83" s="438"/>
      <c r="F83" s="441">
        <v>0.46</v>
      </c>
      <c r="G83" s="444">
        <v>0</v>
      </c>
      <c r="H83" s="444">
        <v>0</v>
      </c>
      <c r="I83" s="436" t="str">
        <f>_xlfn.XLOOKUP(Tb_Entregas[[#This Row],[SEI]],Tb_Mapa[SEI],Tb_Mapa[CONSULTOR RESPONSÁVEL],"",0)</f>
        <v>Tony</v>
      </c>
    </row>
    <row r="84" spans="1:9" hidden="1">
      <c r="A84" s="436" t="s">
        <v>384</v>
      </c>
      <c r="B84" s="436" t="str">
        <f>_xlfn.XLOOKUP(Tb_Entregas[[#This Row],[SEI]],Tb_Portfólio[SEI],Tb_Portfólio[PROJETO],"",0)</f>
        <v>Integra - Serviço de Monitoramento de Atos do CNJ</v>
      </c>
      <c r="C84" s="438" t="s">
        <v>1839</v>
      </c>
      <c r="D84" s="437">
        <v>45793</v>
      </c>
      <c r="E84" s="443">
        <v>45714</v>
      </c>
      <c r="F84" s="441">
        <v>1</v>
      </c>
      <c r="G84" s="444">
        <v>0</v>
      </c>
      <c r="H84" s="444">
        <v>0</v>
      </c>
      <c r="I84" s="436" t="str">
        <f>_xlfn.XLOOKUP(Tb_Entregas[[#This Row],[SEI]],Tb_Mapa[SEI],Tb_Mapa[CONSULTOR RESPONSÁVEL],"",0)</f>
        <v>Tony</v>
      </c>
    </row>
    <row r="85" spans="1:9" hidden="1">
      <c r="A85" s="436" t="s">
        <v>384</v>
      </c>
      <c r="B85" s="436" t="str">
        <f>_xlfn.XLOOKUP(Tb_Entregas[[#This Row],[SEI]],Tb_Portfólio[SEI],Tb_Portfólio[PROJETO],"",0)</f>
        <v>Integra - Serviço de Monitoramento de Atos do CNJ</v>
      </c>
      <c r="C85" s="438" t="s">
        <v>1840</v>
      </c>
      <c r="D85" s="437">
        <v>45629</v>
      </c>
      <c r="E85" s="437">
        <v>45629</v>
      </c>
      <c r="F85" s="441">
        <v>1</v>
      </c>
      <c r="G85" s="444">
        <v>0</v>
      </c>
      <c r="H85" s="444">
        <v>0</v>
      </c>
      <c r="I85" s="436" t="str">
        <f>_xlfn.XLOOKUP(Tb_Entregas[[#This Row],[SEI]],Tb_Mapa[SEI],Tb_Mapa[CONSULTOR RESPONSÁVEL],"",0)</f>
        <v>Tony</v>
      </c>
    </row>
    <row r="86" spans="1:9" ht="30" hidden="1">
      <c r="A86" s="436" t="s">
        <v>384</v>
      </c>
      <c r="B86" s="436" t="str">
        <f>_xlfn.XLOOKUP(Tb_Entregas[[#This Row],[SEI]],Tb_Portfólio[SEI],Tb_Portfólio[PROJETO],"",0)</f>
        <v>Integra - Serviço de Monitoramento de Atos do CNJ</v>
      </c>
      <c r="C86" s="438" t="s">
        <v>1841</v>
      </c>
      <c r="D86" s="443">
        <v>46011</v>
      </c>
      <c r="E86" s="443">
        <v>46011</v>
      </c>
      <c r="F86" s="441">
        <v>0</v>
      </c>
      <c r="G86" s="444">
        <v>0</v>
      </c>
      <c r="H86" s="444">
        <v>0</v>
      </c>
      <c r="I86" s="436" t="str">
        <f>_xlfn.XLOOKUP(Tb_Entregas[[#This Row],[SEI]],Tb_Mapa[SEI],Tb_Mapa[CONSULTOR RESPONSÁVEL],"",0)</f>
        <v>Tony</v>
      </c>
    </row>
    <row r="87" spans="1:9" hidden="1">
      <c r="A87" s="436" t="s">
        <v>257</v>
      </c>
      <c r="B87" s="436" t="str">
        <f>_xlfn.XLOOKUP(Tb_Entregas[[#This Row],[SEI]],Tb_Portfólio[SEI],Tb_Portfólio[PROJETO],"",0)</f>
        <v>SisPreq – Sistema de Precatórios e Requisições de Pequeno Valor</v>
      </c>
      <c r="C87" s="438" t="s">
        <v>1842</v>
      </c>
      <c r="D87" s="437">
        <v>45506</v>
      </c>
      <c r="E87" s="437">
        <v>45495</v>
      </c>
      <c r="F87" s="441">
        <v>1</v>
      </c>
      <c r="G87" s="444">
        <v>0</v>
      </c>
      <c r="H87" s="444">
        <v>0</v>
      </c>
      <c r="I87" s="436" t="str">
        <f>_xlfn.XLOOKUP(Tb_Entregas[[#This Row],[SEI]],Tb_Mapa[SEI],Tb_Mapa[CONSULTOR RESPONSÁVEL],"",0)</f>
        <v>Raphael</v>
      </c>
    </row>
    <row r="88" spans="1:9" ht="30" hidden="1">
      <c r="A88" s="436" t="s">
        <v>257</v>
      </c>
      <c r="B88" s="436" t="str">
        <f>_xlfn.XLOOKUP(Tb_Entregas[[#This Row],[SEI]],Tb_Portfólio[SEI],Tb_Portfólio[PROJETO],"",0)</f>
        <v>SisPreq – Sistema de Precatórios e Requisições de Pequeno Valor</v>
      </c>
      <c r="C88" s="438" t="s">
        <v>1843</v>
      </c>
      <c r="D88" s="437">
        <v>45590</v>
      </c>
      <c r="E88" s="437">
        <v>45593</v>
      </c>
      <c r="F88" s="441">
        <v>1</v>
      </c>
      <c r="G88" s="444">
        <v>0</v>
      </c>
      <c r="H88" s="444">
        <v>0</v>
      </c>
      <c r="I88" s="436" t="str">
        <f>_xlfn.XLOOKUP(Tb_Entregas[[#This Row],[SEI]],Tb_Mapa[SEI],Tb_Mapa[CONSULTOR RESPONSÁVEL],"",0)</f>
        <v>Raphael</v>
      </c>
    </row>
    <row r="89" spans="1:9" ht="30" hidden="1">
      <c r="A89" s="436" t="s">
        <v>257</v>
      </c>
      <c r="B89" s="436" t="str">
        <f>_xlfn.XLOOKUP(Tb_Entregas[[#This Row],[SEI]],Tb_Portfólio[SEI],Tb_Portfólio[PROJETO],"",0)</f>
        <v>SisPreq – Sistema de Precatórios e Requisições de Pequeno Valor</v>
      </c>
      <c r="C89" s="438" t="s">
        <v>1844</v>
      </c>
      <c r="D89" s="437">
        <v>45590</v>
      </c>
      <c r="E89" s="437">
        <v>45607</v>
      </c>
      <c r="F89" s="441">
        <v>1</v>
      </c>
      <c r="G89" s="444">
        <v>0</v>
      </c>
      <c r="H89" s="444">
        <v>0</v>
      </c>
      <c r="I89" s="436" t="str">
        <f>_xlfn.XLOOKUP(Tb_Entregas[[#This Row],[SEI]],Tb_Mapa[SEI],Tb_Mapa[CONSULTOR RESPONSÁVEL],"",0)</f>
        <v>Raphael</v>
      </c>
    </row>
    <row r="90" spans="1:9" ht="30" hidden="1">
      <c r="A90" s="436" t="s">
        <v>257</v>
      </c>
      <c r="B90" s="436" t="str">
        <f>_xlfn.XLOOKUP(Tb_Entregas[[#This Row],[SEI]],Tb_Portfólio[SEI],Tb_Portfólio[PROJETO],"",0)</f>
        <v>SisPreq – Sistema de Precatórios e Requisições de Pequeno Valor</v>
      </c>
      <c r="C90" s="438" t="s">
        <v>1845</v>
      </c>
      <c r="D90" s="437">
        <v>45646</v>
      </c>
      <c r="E90" s="437">
        <v>45646</v>
      </c>
      <c r="F90" s="441">
        <v>1</v>
      </c>
      <c r="G90" s="444">
        <v>0</v>
      </c>
      <c r="H90" s="444">
        <v>0</v>
      </c>
      <c r="I90" s="436" t="str">
        <f>_xlfn.XLOOKUP(Tb_Entregas[[#This Row],[SEI]],Tb_Mapa[SEI],Tb_Mapa[CONSULTOR RESPONSÁVEL],"",0)</f>
        <v>Raphael</v>
      </c>
    </row>
    <row r="91" spans="1:9" ht="30" hidden="1">
      <c r="A91" s="436" t="s">
        <v>257</v>
      </c>
      <c r="B91" s="436" t="str">
        <f>_xlfn.XLOOKUP(Tb_Entregas[[#This Row],[SEI]],Tb_Portfólio[SEI],Tb_Portfólio[PROJETO],"",0)</f>
        <v>SisPreq – Sistema de Precatórios e Requisições de Pequeno Valor</v>
      </c>
      <c r="C91" s="438" t="s">
        <v>1846</v>
      </c>
      <c r="D91" s="437">
        <v>45646</v>
      </c>
      <c r="E91" s="437">
        <v>45646</v>
      </c>
      <c r="F91" s="441">
        <v>1</v>
      </c>
      <c r="G91" s="444">
        <v>0</v>
      </c>
      <c r="H91" s="444">
        <v>0</v>
      </c>
      <c r="I91" s="436" t="str">
        <f>_xlfn.XLOOKUP(Tb_Entregas[[#This Row],[SEI]],Tb_Mapa[SEI],Tb_Mapa[CONSULTOR RESPONSÁVEL],"",0)</f>
        <v>Raphael</v>
      </c>
    </row>
    <row r="92" spans="1:9" ht="45" hidden="1">
      <c r="A92" s="436" t="s">
        <v>257</v>
      </c>
      <c r="B92" s="436" t="str">
        <f>_xlfn.XLOOKUP(Tb_Entregas[[#This Row],[SEI]],Tb_Portfólio[SEI],Tb_Portfólio[PROJETO],"",0)</f>
        <v>SisPreq – Sistema de Precatórios e Requisições de Pequeno Valor</v>
      </c>
      <c r="C92" s="438" t="s">
        <v>1847</v>
      </c>
      <c r="D92" s="437">
        <v>45646</v>
      </c>
      <c r="E92" s="437">
        <v>45646</v>
      </c>
      <c r="F92" s="441">
        <v>1</v>
      </c>
      <c r="G92" s="444">
        <v>0</v>
      </c>
      <c r="H92" s="444">
        <v>0</v>
      </c>
      <c r="I92" s="436" t="str">
        <f>_xlfn.XLOOKUP(Tb_Entregas[[#This Row],[SEI]],Tb_Mapa[SEI],Tb_Mapa[CONSULTOR RESPONSÁVEL],"",0)</f>
        <v>Raphael</v>
      </c>
    </row>
    <row r="93" spans="1:9" ht="30" hidden="1">
      <c r="A93" s="436" t="s">
        <v>257</v>
      </c>
      <c r="B93" s="436" t="str">
        <f>_xlfn.XLOOKUP(Tb_Entregas[[#This Row],[SEI]],Tb_Portfólio[SEI],Tb_Portfólio[PROJETO],"",0)</f>
        <v>SisPreq – Sistema de Precatórios e Requisições de Pequeno Valor</v>
      </c>
      <c r="C93" s="438" t="s">
        <v>1848</v>
      </c>
      <c r="D93" s="437">
        <v>45674</v>
      </c>
      <c r="E93" s="438"/>
      <c r="F93" s="441">
        <v>0.17</v>
      </c>
      <c r="G93" s="444">
        <v>0</v>
      </c>
      <c r="H93" s="444">
        <v>0</v>
      </c>
      <c r="I93" s="436" t="str">
        <f>_xlfn.XLOOKUP(Tb_Entregas[[#This Row],[SEI]],Tb_Mapa[SEI],Tb_Mapa[CONSULTOR RESPONSÁVEL],"",0)</f>
        <v>Raphael</v>
      </c>
    </row>
    <row r="94" spans="1:9" ht="30" hidden="1">
      <c r="A94" s="436" t="s">
        <v>257</v>
      </c>
      <c r="B94" s="436" t="str">
        <f>_xlfn.XLOOKUP(Tb_Entregas[[#This Row],[SEI]],Tb_Portfólio[SEI],Tb_Portfólio[PROJETO],"",0)</f>
        <v>SisPreq – Sistema de Precatórios e Requisições de Pequeno Valor</v>
      </c>
      <c r="C94" s="438" t="s">
        <v>1849</v>
      </c>
      <c r="D94" s="437">
        <v>45928</v>
      </c>
      <c r="E94" s="443">
        <v>45749</v>
      </c>
      <c r="F94" s="441">
        <v>1</v>
      </c>
      <c r="G94" s="444">
        <v>0</v>
      </c>
      <c r="H94" s="444">
        <v>0</v>
      </c>
      <c r="I94" s="436" t="str">
        <f>_xlfn.XLOOKUP(Tb_Entregas[[#This Row],[SEI]],Tb_Mapa[SEI],Tb_Mapa[CONSULTOR RESPONSÁVEL],"",0)</f>
        <v>Raphael</v>
      </c>
    </row>
    <row r="95" spans="1:9" ht="30" hidden="1">
      <c r="A95" s="436" t="s">
        <v>257</v>
      </c>
      <c r="B95" s="436" t="str">
        <f>_xlfn.XLOOKUP(Tb_Entregas[[#This Row],[SEI]],Tb_Portfólio[SEI],Tb_Portfólio[PROJETO],"",0)</f>
        <v>SisPreq – Sistema de Precatórios e Requisições de Pequeno Valor</v>
      </c>
      <c r="C95" s="438" t="s">
        <v>1850</v>
      </c>
      <c r="D95" s="437">
        <v>45928</v>
      </c>
      <c r="E95" s="443">
        <v>45749</v>
      </c>
      <c r="F95" s="441">
        <v>1</v>
      </c>
      <c r="G95" s="444">
        <v>0</v>
      </c>
      <c r="H95" s="444">
        <v>0</v>
      </c>
      <c r="I95" s="436" t="str">
        <f>_xlfn.XLOOKUP(Tb_Entregas[[#This Row],[SEI]],Tb_Mapa[SEI],Tb_Mapa[CONSULTOR RESPONSÁVEL],"",0)</f>
        <v>Raphael</v>
      </c>
    </row>
    <row r="96" spans="1:9" ht="45" hidden="1">
      <c r="A96" s="436" t="s">
        <v>257</v>
      </c>
      <c r="B96" s="436" t="str">
        <f>_xlfn.XLOOKUP(Tb_Entregas[[#This Row],[SEI]],Tb_Portfólio[SEI],Tb_Portfólio[PROJETO],"",0)</f>
        <v>SisPreq – Sistema de Precatórios e Requisições de Pequeno Valor</v>
      </c>
      <c r="C96" s="438" t="s">
        <v>1851</v>
      </c>
      <c r="D96" s="437">
        <v>45928</v>
      </c>
      <c r="E96" s="438"/>
      <c r="F96" s="441">
        <v>0.2</v>
      </c>
      <c r="G96" s="444">
        <v>0</v>
      </c>
      <c r="H96" s="444">
        <v>0</v>
      </c>
      <c r="I96" s="436" t="str">
        <f>_xlfn.XLOOKUP(Tb_Entregas[[#This Row],[SEI]],Tb_Mapa[SEI],Tb_Mapa[CONSULTOR RESPONSÁVEL],"",0)</f>
        <v>Raphael</v>
      </c>
    </row>
    <row r="97" spans="1:9" hidden="1">
      <c r="A97" s="436" t="s">
        <v>257</v>
      </c>
      <c r="B97" s="436" t="str">
        <f>_xlfn.XLOOKUP(Tb_Entregas[[#This Row],[SEI]],Tb_Portfólio[SEI],Tb_Portfólio[PROJETO],"",0)</f>
        <v>SisPreq – Sistema de Precatórios e Requisições de Pequeno Valor</v>
      </c>
      <c r="C97" s="438" t="s">
        <v>1852</v>
      </c>
      <c r="D97" s="437">
        <v>45928</v>
      </c>
      <c r="E97" s="438"/>
      <c r="F97" s="441">
        <v>0</v>
      </c>
      <c r="G97" s="444">
        <v>0</v>
      </c>
      <c r="H97" s="444">
        <v>0</v>
      </c>
      <c r="I97" s="436" t="str">
        <f>_xlfn.XLOOKUP(Tb_Entregas[[#This Row],[SEI]],Tb_Mapa[SEI],Tb_Mapa[CONSULTOR RESPONSÁVEL],"",0)</f>
        <v>Raphael</v>
      </c>
    </row>
    <row r="98" spans="1:9" hidden="1">
      <c r="A98" s="436" t="s">
        <v>257</v>
      </c>
      <c r="B98" s="436" t="str">
        <f>_xlfn.XLOOKUP(Tb_Entregas[[#This Row],[SEI]],Tb_Portfólio[SEI],Tb_Portfólio[PROJETO],"",0)</f>
        <v>SisPreq – Sistema de Precatórios e Requisições de Pequeno Valor</v>
      </c>
      <c r="C98" s="438" t="s">
        <v>1853</v>
      </c>
      <c r="D98" s="437">
        <v>45928</v>
      </c>
      <c r="E98" s="438"/>
      <c r="F98" s="441">
        <v>0</v>
      </c>
      <c r="G98" s="444">
        <v>0</v>
      </c>
      <c r="H98" s="444">
        <v>0</v>
      </c>
      <c r="I98" s="436" t="str">
        <f>_xlfn.XLOOKUP(Tb_Entregas[[#This Row],[SEI]],Tb_Mapa[SEI],Tb_Mapa[CONSULTOR RESPONSÁVEL],"",0)</f>
        <v>Raphael</v>
      </c>
    </row>
    <row r="99" spans="1:9" hidden="1">
      <c r="A99" s="436" t="s">
        <v>257</v>
      </c>
      <c r="B99" s="436" t="str">
        <f>_xlfn.XLOOKUP(Tb_Entregas[[#This Row],[SEI]],Tb_Portfólio[SEI],Tb_Portfólio[PROJETO],"",0)</f>
        <v>SisPreq – Sistema de Precatórios e Requisições de Pequeno Valor</v>
      </c>
      <c r="C99" s="438" t="s">
        <v>1854</v>
      </c>
      <c r="D99" s="437">
        <v>45928</v>
      </c>
      <c r="E99" s="438"/>
      <c r="F99" s="441">
        <v>0.17</v>
      </c>
      <c r="G99" s="444">
        <v>0</v>
      </c>
      <c r="H99" s="444">
        <v>0</v>
      </c>
      <c r="I99" s="436" t="str">
        <f>_xlfn.XLOOKUP(Tb_Entregas[[#This Row],[SEI]],Tb_Mapa[SEI],Tb_Mapa[CONSULTOR RESPONSÁVEL],"",0)</f>
        <v>Raphael</v>
      </c>
    </row>
    <row r="100" spans="1:9" hidden="1">
      <c r="A100" s="436" t="s">
        <v>559</v>
      </c>
      <c r="B100" s="440" t="str">
        <f>_xlfn.XLOOKUP(Tb_Entregas[[#This Row],[SEI]],Tb_Portfólio[SEI],Tb_Portfólio[PROJETO],"",0)</f>
        <v>Fonajus itinerante</v>
      </c>
      <c r="C100" s="438" t="s">
        <v>1855</v>
      </c>
      <c r="D100" s="437">
        <v>45541</v>
      </c>
      <c r="E100" s="437">
        <v>45541</v>
      </c>
      <c r="F100" s="441">
        <v>1</v>
      </c>
      <c r="G100" s="444">
        <v>0</v>
      </c>
      <c r="H100" s="444">
        <v>0</v>
      </c>
      <c r="I100" s="436" t="str">
        <f>_xlfn.XLOOKUP(Tb_Entregas[[#This Row],[SEI]],Tb_Mapa[SEI],Tb_Mapa[CONSULTOR RESPONSÁVEL],"",0)</f>
        <v>Juliana</v>
      </c>
    </row>
    <row r="101" spans="1:9" hidden="1">
      <c r="A101" s="436" t="s">
        <v>559</v>
      </c>
      <c r="B101" s="440" t="str">
        <f>_xlfn.XLOOKUP(Tb_Entregas[[#This Row],[SEI]],Tb_Portfólio[SEI],Tb_Portfólio[PROJETO],"",0)</f>
        <v>Fonajus itinerante</v>
      </c>
      <c r="C101" s="438" t="s">
        <v>1856</v>
      </c>
      <c r="D101" s="443">
        <v>46011</v>
      </c>
      <c r="E101" s="443">
        <v>45814</v>
      </c>
      <c r="F101" s="441">
        <v>1</v>
      </c>
      <c r="G101" s="444">
        <v>0</v>
      </c>
      <c r="H101" s="444">
        <v>0</v>
      </c>
      <c r="I101" s="436" t="str">
        <f>_xlfn.XLOOKUP(Tb_Entregas[[#This Row],[SEI]],Tb_Mapa[SEI],Tb_Mapa[CONSULTOR RESPONSÁVEL],"",0)</f>
        <v>Juliana</v>
      </c>
    </row>
    <row r="102" spans="1:9" hidden="1">
      <c r="A102" s="436" t="s">
        <v>559</v>
      </c>
      <c r="B102" s="440" t="str">
        <f>_xlfn.XLOOKUP(Tb_Entregas[[#This Row],[SEI]],Tb_Portfólio[SEI],Tb_Portfólio[PROJETO],"",0)</f>
        <v>Fonajus itinerante</v>
      </c>
      <c r="C102" s="438" t="s">
        <v>1857</v>
      </c>
      <c r="D102" s="437">
        <v>45575</v>
      </c>
      <c r="E102" s="437">
        <v>45575</v>
      </c>
      <c r="F102" s="441">
        <v>1</v>
      </c>
      <c r="G102" s="444">
        <v>0</v>
      </c>
      <c r="H102" s="444">
        <v>0</v>
      </c>
      <c r="I102" s="436" t="str">
        <f>_xlfn.XLOOKUP(Tb_Entregas[[#This Row],[SEI]],Tb_Mapa[SEI],Tb_Mapa[CONSULTOR RESPONSÁVEL],"",0)</f>
        <v>Juliana</v>
      </c>
    </row>
    <row r="103" spans="1:9" hidden="1">
      <c r="A103" s="436" t="s">
        <v>559</v>
      </c>
      <c r="B103" s="440" t="str">
        <f>_xlfn.XLOOKUP(Tb_Entregas[[#This Row],[SEI]],Tb_Portfólio[SEI],Tb_Portfólio[PROJETO],"",0)</f>
        <v>Fonajus itinerante</v>
      </c>
      <c r="C103" s="438" t="s">
        <v>1858</v>
      </c>
      <c r="D103" s="437">
        <v>45639</v>
      </c>
      <c r="E103" s="437">
        <v>45639</v>
      </c>
      <c r="F103" s="441">
        <v>1</v>
      </c>
      <c r="G103" s="444">
        <v>0</v>
      </c>
      <c r="H103" s="444">
        <v>0</v>
      </c>
      <c r="I103" s="436" t="str">
        <f>_xlfn.XLOOKUP(Tb_Entregas[[#This Row],[SEI]],Tb_Mapa[SEI],Tb_Mapa[CONSULTOR RESPONSÁVEL],"",0)</f>
        <v>Juliana</v>
      </c>
    </row>
    <row r="104" spans="1:9" hidden="1">
      <c r="A104" s="436" t="s">
        <v>559</v>
      </c>
      <c r="B104" s="440" t="str">
        <f>_xlfn.XLOOKUP(Tb_Entregas[[#This Row],[SEI]],Tb_Portfólio[SEI],Tb_Portfólio[PROJETO],"",0)</f>
        <v>Fonajus itinerante</v>
      </c>
      <c r="C104" s="438" t="s">
        <v>1859</v>
      </c>
      <c r="D104" s="443">
        <v>45737</v>
      </c>
      <c r="E104" s="443">
        <v>45737</v>
      </c>
      <c r="F104" s="441">
        <v>1</v>
      </c>
      <c r="G104" s="444">
        <v>0</v>
      </c>
      <c r="H104" s="444">
        <v>0</v>
      </c>
      <c r="I104" s="436" t="str">
        <f>_xlfn.XLOOKUP(Tb_Entregas[[#This Row],[SEI]],Tb_Mapa[SEI],Tb_Mapa[CONSULTOR RESPONSÁVEL],"",0)</f>
        <v>Juliana</v>
      </c>
    </row>
    <row r="105" spans="1:9" hidden="1">
      <c r="A105" s="436" t="s">
        <v>559</v>
      </c>
      <c r="B105" s="440" t="str">
        <f>_xlfn.XLOOKUP(Tb_Entregas[[#This Row],[SEI]],Tb_Portfólio[SEI],Tb_Portfólio[PROJETO],"",0)</f>
        <v>Fonajus itinerante</v>
      </c>
      <c r="C105" s="438" t="s">
        <v>1860</v>
      </c>
      <c r="D105" s="437">
        <v>45639</v>
      </c>
      <c r="E105" s="437">
        <v>45590</v>
      </c>
      <c r="F105" s="441">
        <v>1</v>
      </c>
      <c r="G105" s="444">
        <v>0</v>
      </c>
      <c r="H105" s="444">
        <v>0</v>
      </c>
      <c r="I105" s="436" t="str">
        <f>_xlfn.XLOOKUP(Tb_Entregas[[#This Row],[SEI]],Tb_Mapa[SEI],Tb_Mapa[CONSULTOR RESPONSÁVEL],"",0)</f>
        <v>Juliana</v>
      </c>
    </row>
    <row r="106" spans="1:9" ht="30" hidden="1">
      <c r="A106" s="436" t="s">
        <v>589</v>
      </c>
      <c r="B106" s="436" t="str">
        <f>_xlfn.XLOOKUP(Tb_Entregas[[#This Row],[SEI]],Tb_Portfólio[SEI],Tb_Portfólio[PROJETO],"",0)</f>
        <v>Pacto Nacional do Judiciário pelos Direitos Humanos - 2ª Fase</v>
      </c>
      <c r="C106" s="438" t="s">
        <v>1861</v>
      </c>
      <c r="D106" s="443">
        <v>45838</v>
      </c>
      <c r="E106" s="438"/>
      <c r="F106" s="441">
        <v>0.75</v>
      </c>
      <c r="G106" s="444">
        <v>0</v>
      </c>
      <c r="H106" s="444">
        <v>0</v>
      </c>
      <c r="I106" s="436" t="str">
        <f>_xlfn.XLOOKUP(Tb_Entregas[[#This Row],[SEI]],Tb_Mapa[SEI],Tb_Mapa[CONSULTOR RESPONSÁVEL],"",0)</f>
        <v>Tony</v>
      </c>
    </row>
    <row r="107" spans="1:9" ht="30" hidden="1">
      <c r="A107" s="436" t="s">
        <v>589</v>
      </c>
      <c r="B107" s="436" t="str">
        <f>_xlfn.XLOOKUP(Tb_Entregas[[#This Row],[SEI]],Tb_Portfólio[SEI],Tb_Portfólio[PROJETO],"",0)</f>
        <v>Pacto Nacional do Judiciário pelos Direitos Humanos - 2ª Fase</v>
      </c>
      <c r="C107" s="438" t="s">
        <v>1862</v>
      </c>
      <c r="D107" s="443">
        <v>46234</v>
      </c>
      <c r="E107" s="438"/>
      <c r="F107" s="441">
        <v>0.92</v>
      </c>
      <c r="G107" s="444">
        <v>0</v>
      </c>
      <c r="H107" s="444">
        <v>0</v>
      </c>
      <c r="I107" s="436" t="str">
        <f>_xlfn.XLOOKUP(Tb_Entregas[[#This Row],[SEI]],Tb_Mapa[SEI],Tb_Mapa[CONSULTOR RESPONSÁVEL],"",0)</f>
        <v>Tony</v>
      </c>
    </row>
    <row r="108" spans="1:9" ht="45" hidden="1">
      <c r="A108" s="436" t="s">
        <v>589</v>
      </c>
      <c r="B108" s="436" t="str">
        <f>_xlfn.XLOOKUP(Tb_Entregas[[#This Row],[SEI]],Tb_Portfólio[SEI],Tb_Portfólio[PROJETO],"",0)</f>
        <v>Pacto Nacional do Judiciário pelos Direitos Humanos - 2ª Fase</v>
      </c>
      <c r="C108" s="438" t="s">
        <v>1863</v>
      </c>
      <c r="D108" s="443">
        <v>46234</v>
      </c>
      <c r="E108" s="438"/>
      <c r="F108" s="441">
        <v>0.88</v>
      </c>
      <c r="G108" s="444">
        <v>0</v>
      </c>
      <c r="H108" s="444">
        <v>0</v>
      </c>
      <c r="I108" s="436" t="str">
        <f>_xlfn.XLOOKUP(Tb_Entregas[[#This Row],[SEI]],Tb_Mapa[SEI],Tb_Mapa[CONSULTOR RESPONSÁVEL],"",0)</f>
        <v>Tony</v>
      </c>
    </row>
    <row r="109" spans="1:9" ht="30" hidden="1">
      <c r="A109" s="436" t="s">
        <v>589</v>
      </c>
      <c r="B109" s="436" t="str">
        <f>_xlfn.XLOOKUP(Tb_Entregas[[#This Row],[SEI]],Tb_Portfólio[SEI],Tb_Portfólio[PROJETO],"",0)</f>
        <v>Pacto Nacional do Judiciário pelos Direitos Humanos - 2ª Fase</v>
      </c>
      <c r="C109" s="438" t="s">
        <v>1864</v>
      </c>
      <c r="D109" s="443">
        <v>45884</v>
      </c>
      <c r="E109" s="438"/>
      <c r="F109" s="441">
        <v>0.47</v>
      </c>
      <c r="G109" s="444">
        <v>0</v>
      </c>
      <c r="H109" s="444">
        <v>0</v>
      </c>
      <c r="I109" s="436" t="str">
        <f>_xlfn.XLOOKUP(Tb_Entregas[[#This Row],[SEI]],Tb_Mapa[SEI],Tb_Mapa[CONSULTOR RESPONSÁVEL],"",0)</f>
        <v>Tony</v>
      </c>
    </row>
    <row r="110" spans="1:9" ht="30" hidden="1">
      <c r="A110" s="436" t="s">
        <v>589</v>
      </c>
      <c r="B110" s="436" t="str">
        <f>_xlfn.XLOOKUP(Tb_Entregas[[#This Row],[SEI]],Tb_Portfólio[SEI],Tb_Portfólio[PROJETO],"",0)</f>
        <v>Pacto Nacional do Judiciário pelos Direitos Humanos - 2ª Fase</v>
      </c>
      <c r="C110" s="438" t="s">
        <v>1865</v>
      </c>
      <c r="D110" s="443">
        <v>45888</v>
      </c>
      <c r="E110" s="438"/>
      <c r="F110" s="441">
        <v>1</v>
      </c>
      <c r="G110" s="444">
        <v>0</v>
      </c>
      <c r="H110" s="444">
        <v>0</v>
      </c>
      <c r="I110" s="436" t="str">
        <f>_xlfn.XLOOKUP(Tb_Entregas[[#This Row],[SEI]],Tb_Mapa[SEI],Tb_Mapa[CONSULTOR RESPONSÁVEL],"",0)</f>
        <v>Tony</v>
      </c>
    </row>
    <row r="111" spans="1:9" ht="45" hidden="1">
      <c r="A111" s="436" t="s">
        <v>589</v>
      </c>
      <c r="B111" s="436" t="str">
        <f>_xlfn.XLOOKUP(Tb_Entregas[[#This Row],[SEI]],Tb_Portfólio[SEI],Tb_Portfólio[PROJETO],"",0)</f>
        <v>Pacto Nacional do Judiciário pelos Direitos Humanos - 2ª Fase</v>
      </c>
      <c r="C111" s="438" t="s">
        <v>1866</v>
      </c>
      <c r="D111" s="443">
        <v>46376</v>
      </c>
      <c r="E111" s="438"/>
      <c r="F111" s="441">
        <v>0.57999999999999996</v>
      </c>
      <c r="G111" s="444">
        <v>0</v>
      </c>
      <c r="H111" s="444">
        <v>0</v>
      </c>
      <c r="I111" s="436" t="str">
        <f>_xlfn.XLOOKUP(Tb_Entregas[[#This Row],[SEI]],Tb_Mapa[SEI],Tb_Mapa[CONSULTOR RESPONSÁVEL],"",0)</f>
        <v>Tony</v>
      </c>
    </row>
    <row r="112" spans="1:9" ht="30" hidden="1">
      <c r="A112" s="436" t="s">
        <v>589</v>
      </c>
      <c r="B112" s="436" t="str">
        <f>_xlfn.XLOOKUP(Tb_Entregas[[#This Row],[SEI]],Tb_Portfólio[SEI],Tb_Portfólio[PROJETO],"",0)</f>
        <v>Pacto Nacional do Judiciário pelos Direitos Humanos - 2ª Fase</v>
      </c>
      <c r="C112" s="438" t="s">
        <v>1867</v>
      </c>
      <c r="D112" s="443">
        <v>46234</v>
      </c>
      <c r="E112" s="438"/>
      <c r="F112" s="441">
        <v>0.6</v>
      </c>
      <c r="G112" s="444">
        <v>0</v>
      </c>
      <c r="H112" s="444">
        <v>0</v>
      </c>
      <c r="I112" s="436" t="str">
        <f>_xlfn.XLOOKUP(Tb_Entregas[[#This Row],[SEI]],Tb_Mapa[SEI],Tb_Mapa[CONSULTOR RESPONSÁVEL],"",0)</f>
        <v>Tony</v>
      </c>
    </row>
    <row r="113" spans="1:9" ht="30" hidden="1">
      <c r="A113" s="436" t="s">
        <v>589</v>
      </c>
      <c r="B113" s="436" t="str">
        <f>_xlfn.XLOOKUP(Tb_Entregas[[#This Row],[SEI]],Tb_Portfólio[SEI],Tb_Portfólio[PROJETO],"",0)</f>
        <v>Pacto Nacional do Judiciário pelos Direitos Humanos - 2ª Fase</v>
      </c>
      <c r="C113" s="438" t="s">
        <v>1868</v>
      </c>
      <c r="D113" s="443">
        <v>46234</v>
      </c>
      <c r="E113" s="438"/>
      <c r="F113" s="441">
        <v>0.92</v>
      </c>
      <c r="G113" s="444">
        <v>0</v>
      </c>
      <c r="H113" s="444">
        <v>0</v>
      </c>
      <c r="I113" s="436" t="str">
        <f>_xlfn.XLOOKUP(Tb_Entregas[[#This Row],[SEI]],Tb_Mapa[SEI],Tb_Mapa[CONSULTOR RESPONSÁVEL],"",0)</f>
        <v>Tony</v>
      </c>
    </row>
    <row r="114" spans="1:9" hidden="1">
      <c r="A114" s="436" t="s">
        <v>549</v>
      </c>
      <c r="B114" s="436" t="str">
        <f>_xlfn.XLOOKUP(Tb_Entregas[[#This Row],[SEI]],Tb_Portfólio[SEI],Tb_Portfólio[PROJETO],"",0)</f>
        <v>Fluxo Nacional Automatizado das Execuções Fiscais (EFIN)</v>
      </c>
      <c r="C114" s="438" t="s">
        <v>1869</v>
      </c>
      <c r="D114" s="437">
        <v>45576</v>
      </c>
      <c r="E114" s="437">
        <v>45576</v>
      </c>
      <c r="F114" s="441">
        <v>1</v>
      </c>
      <c r="G114" s="444">
        <v>0</v>
      </c>
      <c r="H114" s="444">
        <v>0</v>
      </c>
      <c r="I114" s="436" t="str">
        <f>_xlfn.XLOOKUP(Tb_Entregas[[#This Row],[SEI]],Tb_Mapa[SEI],Tb_Mapa[CONSULTOR RESPONSÁVEL],"",0)</f>
        <v>Tony</v>
      </c>
    </row>
    <row r="115" spans="1:9" hidden="1">
      <c r="A115" s="436" t="s">
        <v>549</v>
      </c>
      <c r="B115" s="436" t="str">
        <f>_xlfn.XLOOKUP(Tb_Entregas[[#This Row],[SEI]],Tb_Portfólio[SEI],Tb_Portfólio[PROJETO],"",0)</f>
        <v>Fluxo Nacional Automatizado das Execuções Fiscais (EFIN)</v>
      </c>
      <c r="C115" s="438" t="s">
        <v>1870</v>
      </c>
      <c r="D115" s="437">
        <v>45600</v>
      </c>
      <c r="E115" s="438"/>
      <c r="F115" s="441">
        <v>0.41</v>
      </c>
      <c r="G115" s="444">
        <v>0</v>
      </c>
      <c r="H115" s="444">
        <v>0</v>
      </c>
      <c r="I115" s="436" t="str">
        <f>_xlfn.XLOOKUP(Tb_Entregas[[#This Row],[SEI]],Tb_Mapa[SEI],Tb_Mapa[CONSULTOR RESPONSÁVEL],"",0)</f>
        <v>Tony</v>
      </c>
    </row>
    <row r="116" spans="1:9" ht="30" hidden="1">
      <c r="A116" s="436" t="s">
        <v>549</v>
      </c>
      <c r="B116" s="436" t="str">
        <f>_xlfn.XLOOKUP(Tb_Entregas[[#This Row],[SEI]],Tb_Portfólio[SEI],Tb_Portfólio[PROJETO],"",0)</f>
        <v>Fluxo Nacional Automatizado das Execuções Fiscais (EFIN)</v>
      </c>
      <c r="C116" s="438" t="s">
        <v>1871</v>
      </c>
      <c r="D116" s="437">
        <v>45687</v>
      </c>
      <c r="E116" s="443">
        <v>45748</v>
      </c>
      <c r="F116" s="441">
        <v>1</v>
      </c>
      <c r="G116" s="444">
        <v>0</v>
      </c>
      <c r="H116" s="444">
        <v>0</v>
      </c>
      <c r="I116" s="436" t="str">
        <f>_xlfn.XLOOKUP(Tb_Entregas[[#This Row],[SEI]],Tb_Mapa[SEI],Tb_Mapa[CONSULTOR RESPONSÁVEL],"",0)</f>
        <v>Tony</v>
      </c>
    </row>
    <row r="117" spans="1:9" ht="30" hidden="1">
      <c r="A117" s="436" t="s">
        <v>549</v>
      </c>
      <c r="B117" s="436" t="str">
        <f>_xlfn.XLOOKUP(Tb_Entregas[[#This Row],[SEI]],Tb_Portfólio[SEI],Tb_Portfólio[PROJETO],"",0)</f>
        <v>Fluxo Nacional Automatizado das Execuções Fiscais (EFIN)</v>
      </c>
      <c r="C117" s="438" t="s">
        <v>1872</v>
      </c>
      <c r="D117" s="437">
        <v>45807</v>
      </c>
      <c r="E117" s="438"/>
      <c r="F117" s="441">
        <v>0.18</v>
      </c>
      <c r="G117" s="444">
        <v>0</v>
      </c>
      <c r="H117" s="444">
        <v>0</v>
      </c>
      <c r="I117" s="436" t="str">
        <f>_xlfn.XLOOKUP(Tb_Entregas[[#This Row],[SEI]],Tb_Mapa[SEI],Tb_Mapa[CONSULTOR RESPONSÁVEL],"",0)</f>
        <v>Tony</v>
      </c>
    </row>
    <row r="118" spans="1:9" hidden="1">
      <c r="A118" s="436" t="s">
        <v>549</v>
      </c>
      <c r="B118" s="436" t="str">
        <f>_xlfn.XLOOKUP(Tb_Entregas[[#This Row],[SEI]],Tb_Portfólio[SEI],Tb_Portfólio[PROJETO],"",0)</f>
        <v>Fluxo Nacional Automatizado das Execuções Fiscais (EFIN)</v>
      </c>
      <c r="C118" s="438" t="s">
        <v>1873</v>
      </c>
      <c r="D118" s="437">
        <v>45807</v>
      </c>
      <c r="E118" s="438"/>
      <c r="F118" s="441">
        <v>0.54</v>
      </c>
      <c r="G118" s="444">
        <v>0</v>
      </c>
      <c r="H118" s="444">
        <v>0</v>
      </c>
      <c r="I118" s="436" t="str">
        <f>_xlfn.XLOOKUP(Tb_Entregas[[#This Row],[SEI]],Tb_Mapa[SEI],Tb_Mapa[CONSULTOR RESPONSÁVEL],"",0)</f>
        <v>Tony</v>
      </c>
    </row>
    <row r="119" spans="1:9" hidden="1">
      <c r="A119" s="436" t="s">
        <v>549</v>
      </c>
      <c r="B119" s="436" t="str">
        <f>_xlfn.XLOOKUP(Tb_Entregas[[#This Row],[SEI]],Tb_Portfólio[SEI],Tb_Portfólio[PROJETO],"",0)</f>
        <v>Fluxo Nacional Automatizado das Execuções Fiscais (EFIN)</v>
      </c>
      <c r="C119" s="438" t="s">
        <v>1874</v>
      </c>
      <c r="D119" s="443">
        <v>46003</v>
      </c>
      <c r="E119" s="438"/>
      <c r="F119" s="441">
        <v>0</v>
      </c>
      <c r="G119" s="444">
        <v>0</v>
      </c>
      <c r="H119" s="444">
        <v>0</v>
      </c>
      <c r="I119" s="436" t="str">
        <f>_xlfn.XLOOKUP(Tb_Entregas[[#This Row],[SEI]],Tb_Mapa[SEI],Tb_Mapa[CONSULTOR RESPONSÁVEL],"",0)</f>
        <v>Tony</v>
      </c>
    </row>
    <row r="120" spans="1:9" ht="31.5" hidden="1">
      <c r="A120" s="436" t="s">
        <v>539</v>
      </c>
      <c r="B120" s="436" t="str">
        <f>_xlfn.XLOOKUP(Tb_Entregas[[#This Row],[SEI]],Tb_Portfólio[SEI],Tb_Portfólio[PROJETO],"",0)</f>
        <v>Desenvolvimento do módulo de Sessão de Julgamento (PDPJ-Br)</v>
      </c>
      <c r="C120" s="451" t="s">
        <v>1875</v>
      </c>
      <c r="D120" s="437">
        <v>45758</v>
      </c>
      <c r="E120" s="437">
        <v>45758</v>
      </c>
      <c r="F120" s="441">
        <v>1</v>
      </c>
      <c r="G120" s="444">
        <v>0</v>
      </c>
      <c r="H120" s="444">
        <v>0</v>
      </c>
      <c r="I120" s="436" t="str">
        <f>_xlfn.XLOOKUP(Tb_Entregas[[#This Row],[SEI]],Tb_Mapa[SEI],Tb_Mapa[CONSULTOR RESPONSÁVEL],"",0)</f>
        <v>Tony</v>
      </c>
    </row>
    <row r="121" spans="1:9" ht="31.5" hidden="1">
      <c r="A121" s="436" t="s">
        <v>539</v>
      </c>
      <c r="B121" s="436" t="str">
        <f>_xlfn.XLOOKUP(Tb_Entregas[[#This Row],[SEI]],Tb_Portfólio[SEI],Tb_Portfólio[PROJETO],"",0)</f>
        <v>Desenvolvimento do módulo de Sessão de Julgamento (PDPJ-Br)</v>
      </c>
      <c r="C121" s="451" t="s">
        <v>1876</v>
      </c>
      <c r="D121" s="437">
        <v>45758</v>
      </c>
      <c r="E121" s="437">
        <v>45758</v>
      </c>
      <c r="F121" s="441">
        <v>1</v>
      </c>
      <c r="G121" s="444">
        <v>0</v>
      </c>
      <c r="H121" s="444">
        <v>0</v>
      </c>
      <c r="I121" s="436" t="str">
        <f>_xlfn.XLOOKUP(Tb_Entregas[[#This Row],[SEI]],Tb_Mapa[SEI],Tb_Mapa[CONSULTOR RESPONSÁVEL],"",0)</f>
        <v>Tony</v>
      </c>
    </row>
    <row r="122" spans="1:9" ht="15.75" hidden="1">
      <c r="A122" s="436" t="s">
        <v>539</v>
      </c>
      <c r="B122" s="436" t="str">
        <f>_xlfn.XLOOKUP(Tb_Entregas[[#This Row],[SEI]],Tb_Portfólio[SEI],Tb_Portfólio[PROJETO],"",0)</f>
        <v>Desenvolvimento do módulo de Sessão de Julgamento (PDPJ-Br)</v>
      </c>
      <c r="C122" s="451" t="s">
        <v>1877</v>
      </c>
      <c r="D122" s="437">
        <v>45758</v>
      </c>
      <c r="E122" s="437">
        <v>45758</v>
      </c>
      <c r="F122" s="441">
        <v>1</v>
      </c>
      <c r="G122" s="444">
        <v>0</v>
      </c>
      <c r="H122" s="444">
        <v>0</v>
      </c>
      <c r="I122" s="436" t="str">
        <f>_xlfn.XLOOKUP(Tb_Entregas[[#This Row],[SEI]],Tb_Mapa[SEI],Tb_Mapa[CONSULTOR RESPONSÁVEL],"",0)</f>
        <v>Tony</v>
      </c>
    </row>
    <row r="123" spans="1:9" ht="31.5" hidden="1">
      <c r="A123" s="436" t="s">
        <v>539</v>
      </c>
      <c r="B123" s="436" t="str">
        <f>_xlfn.XLOOKUP(Tb_Entregas[[#This Row],[SEI]],Tb_Portfólio[SEI],Tb_Portfólio[PROJETO],"",0)</f>
        <v>Desenvolvimento do módulo de Sessão de Julgamento (PDPJ-Br)</v>
      </c>
      <c r="C123" s="451" t="s">
        <v>1878</v>
      </c>
      <c r="D123" s="437">
        <v>45758</v>
      </c>
      <c r="E123" s="437">
        <v>45758</v>
      </c>
      <c r="F123" s="441">
        <v>1</v>
      </c>
      <c r="G123" s="444">
        <v>0</v>
      </c>
      <c r="H123" s="444">
        <v>0</v>
      </c>
      <c r="I123" s="436" t="str">
        <f>_xlfn.XLOOKUP(Tb_Entregas[[#This Row],[SEI]],Tb_Mapa[SEI],Tb_Mapa[CONSULTOR RESPONSÁVEL],"",0)</f>
        <v>Tony</v>
      </c>
    </row>
    <row r="124" spans="1:9" ht="78.75" hidden="1">
      <c r="A124" s="436" t="s">
        <v>539</v>
      </c>
      <c r="B124" s="436" t="str">
        <f>_xlfn.XLOOKUP(Tb_Entregas[[#This Row],[SEI]],Tb_Portfólio[SEI],Tb_Portfólio[PROJETO],"",0)</f>
        <v>Desenvolvimento do módulo de Sessão de Julgamento (PDPJ-Br)</v>
      </c>
      <c r="C124" s="452" t="s">
        <v>1879</v>
      </c>
      <c r="D124" s="443">
        <v>45811</v>
      </c>
      <c r="E124" s="443">
        <v>45811</v>
      </c>
      <c r="F124" s="441">
        <v>1</v>
      </c>
      <c r="G124" s="444">
        <v>0</v>
      </c>
      <c r="H124" s="444">
        <v>0</v>
      </c>
      <c r="I124" s="436" t="str">
        <f>_xlfn.XLOOKUP(Tb_Entregas[[#This Row],[SEI]],Tb_Mapa[SEI],Tb_Mapa[CONSULTOR RESPONSÁVEL],"",0)</f>
        <v>Tony</v>
      </c>
    </row>
    <row r="125" spans="1:9" ht="94.5" hidden="1">
      <c r="A125" s="436" t="s">
        <v>539</v>
      </c>
      <c r="B125" s="436" t="str">
        <f>_xlfn.XLOOKUP(Tb_Entregas[[#This Row],[SEI]],Tb_Portfólio[SEI],Tb_Portfólio[PROJETO],"",0)</f>
        <v>Desenvolvimento do módulo de Sessão de Julgamento (PDPJ-Br)</v>
      </c>
      <c r="C125" s="451" t="s">
        <v>1880</v>
      </c>
      <c r="D125" s="443">
        <v>45811</v>
      </c>
      <c r="E125" s="443">
        <v>45811</v>
      </c>
      <c r="F125" s="441">
        <v>1</v>
      </c>
      <c r="G125" s="444">
        <v>0</v>
      </c>
      <c r="H125" s="444">
        <v>0</v>
      </c>
      <c r="I125" s="436" t="str">
        <f>_xlfn.XLOOKUP(Tb_Entregas[[#This Row],[SEI]],Tb_Mapa[SEI],Tb_Mapa[CONSULTOR RESPONSÁVEL],"",0)</f>
        <v>Tony</v>
      </c>
    </row>
    <row r="126" spans="1:9" ht="94.5" hidden="1">
      <c r="A126" s="436" t="s">
        <v>539</v>
      </c>
      <c r="B126" s="436" t="str">
        <f>_xlfn.XLOOKUP(Tb_Entregas[[#This Row],[SEI]],Tb_Portfólio[SEI],Tb_Portfólio[PROJETO],"",0)</f>
        <v>Desenvolvimento do módulo de Sessão de Julgamento (PDPJ-Br)</v>
      </c>
      <c r="C126" s="451" t="s">
        <v>1881</v>
      </c>
      <c r="D126" s="443">
        <v>45811</v>
      </c>
      <c r="E126" s="443">
        <v>45811</v>
      </c>
      <c r="F126" s="441">
        <v>1</v>
      </c>
      <c r="G126" s="444">
        <v>0</v>
      </c>
      <c r="H126" s="444">
        <v>0</v>
      </c>
      <c r="I126" s="436" t="str">
        <f>_xlfn.XLOOKUP(Tb_Entregas[[#This Row],[SEI]],Tb_Mapa[SEI],Tb_Mapa[CONSULTOR RESPONSÁVEL],"",0)</f>
        <v>Tony</v>
      </c>
    </row>
    <row r="127" spans="1:9" ht="94.5" hidden="1">
      <c r="A127" s="436" t="s">
        <v>539</v>
      </c>
      <c r="B127" s="436" t="str">
        <f>_xlfn.XLOOKUP(Tb_Entregas[[#This Row],[SEI]],Tb_Portfólio[SEI],Tb_Portfólio[PROJETO],"",0)</f>
        <v>Desenvolvimento do módulo de Sessão de Julgamento (PDPJ-Br)</v>
      </c>
      <c r="C127" s="451" t="s">
        <v>1882</v>
      </c>
      <c r="D127" s="443">
        <v>45811</v>
      </c>
      <c r="E127" s="443">
        <v>45811</v>
      </c>
      <c r="F127" s="441">
        <v>1</v>
      </c>
      <c r="G127" s="444">
        <v>0</v>
      </c>
      <c r="H127" s="444">
        <v>0</v>
      </c>
      <c r="I127" s="436" t="str">
        <f>_xlfn.XLOOKUP(Tb_Entregas[[#This Row],[SEI]],Tb_Mapa[SEI],Tb_Mapa[CONSULTOR RESPONSÁVEL],"",0)</f>
        <v>Tony</v>
      </c>
    </row>
    <row r="128" spans="1:9" ht="94.5" hidden="1">
      <c r="A128" s="436" t="s">
        <v>539</v>
      </c>
      <c r="B128" s="436" t="str">
        <f>_xlfn.XLOOKUP(Tb_Entregas[[#This Row],[SEI]],Tb_Portfólio[SEI],Tb_Portfólio[PROJETO],"",0)</f>
        <v>Desenvolvimento do módulo de Sessão de Julgamento (PDPJ-Br)</v>
      </c>
      <c r="C128" s="451" t="s">
        <v>1883</v>
      </c>
      <c r="D128" s="443">
        <v>45811</v>
      </c>
      <c r="E128" s="443">
        <v>45811</v>
      </c>
      <c r="F128" s="441">
        <v>1</v>
      </c>
      <c r="G128" s="444">
        <v>0</v>
      </c>
      <c r="H128" s="444">
        <v>0</v>
      </c>
      <c r="I128" s="436" t="str">
        <f>_xlfn.XLOOKUP(Tb_Entregas[[#This Row],[SEI]],Tb_Mapa[SEI],Tb_Mapa[CONSULTOR RESPONSÁVEL],"",0)</f>
        <v>Tony</v>
      </c>
    </row>
    <row r="129" spans="1:9" ht="135" hidden="1">
      <c r="A129" s="436" t="s">
        <v>539</v>
      </c>
      <c r="B129" s="436" t="str">
        <f>_xlfn.XLOOKUP(Tb_Entregas[[#This Row],[SEI]],Tb_Portfólio[SEI],Tb_Portfólio[PROJETO],"",0)</f>
        <v>Desenvolvimento do módulo de Sessão de Julgamento (PDPJ-Br)</v>
      </c>
      <c r="C129" s="453" t="s">
        <v>1884</v>
      </c>
      <c r="D129" s="443">
        <v>45916</v>
      </c>
      <c r="E129" s="443">
        <v>45916</v>
      </c>
      <c r="F129" s="441">
        <v>1</v>
      </c>
      <c r="G129" s="444">
        <v>0</v>
      </c>
      <c r="H129" s="444">
        <v>0</v>
      </c>
      <c r="I129" s="436" t="str">
        <f>_xlfn.XLOOKUP(Tb_Entregas[[#This Row],[SEI]],Tb_Mapa[SEI],Tb_Mapa[CONSULTOR RESPONSÁVEL],"",0)</f>
        <v>Tony</v>
      </c>
    </row>
    <row r="130" spans="1:9" ht="105" hidden="1">
      <c r="A130" s="436" t="s">
        <v>539</v>
      </c>
      <c r="B130" s="436" t="str">
        <f>_xlfn.XLOOKUP(Tb_Entregas[[#This Row],[SEI]],Tb_Portfólio[SEI],Tb_Portfólio[PROJETO],"",0)</f>
        <v>Desenvolvimento do módulo de Sessão de Julgamento (PDPJ-Br)</v>
      </c>
      <c r="C130" s="453" t="s">
        <v>1885</v>
      </c>
      <c r="D130" s="443">
        <v>45916</v>
      </c>
      <c r="E130" s="443">
        <v>45916</v>
      </c>
      <c r="F130" s="441">
        <v>1</v>
      </c>
      <c r="G130" s="444">
        <v>0</v>
      </c>
      <c r="H130" s="444">
        <v>0</v>
      </c>
      <c r="I130" s="436" t="str">
        <f>_xlfn.XLOOKUP(Tb_Entregas[[#This Row],[SEI]],Tb_Mapa[SEI],Tb_Mapa[CONSULTOR RESPONSÁVEL],"",0)</f>
        <v>Tony</v>
      </c>
    </row>
    <row r="131" spans="1:9" ht="105" hidden="1">
      <c r="A131" s="436" t="s">
        <v>539</v>
      </c>
      <c r="B131" s="436" t="str">
        <f>_xlfn.XLOOKUP(Tb_Entregas[[#This Row],[SEI]],Tb_Portfólio[SEI],Tb_Portfólio[PROJETO],"",0)</f>
        <v>Desenvolvimento do módulo de Sessão de Julgamento (PDPJ-Br)</v>
      </c>
      <c r="C131" s="453" t="s">
        <v>1886</v>
      </c>
      <c r="D131" s="443">
        <v>45916</v>
      </c>
      <c r="E131" s="443">
        <v>45916</v>
      </c>
      <c r="F131" s="441">
        <v>1</v>
      </c>
      <c r="G131" s="444">
        <v>0</v>
      </c>
      <c r="H131" s="444">
        <v>0</v>
      </c>
      <c r="I131" s="436" t="str">
        <f>_xlfn.XLOOKUP(Tb_Entregas[[#This Row],[SEI]],Tb_Mapa[SEI],Tb_Mapa[CONSULTOR RESPONSÁVEL],"",0)</f>
        <v>Tony</v>
      </c>
    </row>
    <row r="132" spans="1:9" ht="120" hidden="1">
      <c r="A132" s="436" t="s">
        <v>539</v>
      </c>
      <c r="B132" s="436" t="str">
        <f>_xlfn.XLOOKUP(Tb_Entregas[[#This Row],[SEI]],Tb_Portfólio[SEI],Tb_Portfólio[PROJETO],"",0)</f>
        <v>Desenvolvimento do módulo de Sessão de Julgamento (PDPJ-Br)</v>
      </c>
      <c r="C132" s="453" t="s">
        <v>1887</v>
      </c>
      <c r="D132" s="443">
        <v>45916</v>
      </c>
      <c r="E132" s="443">
        <v>45916</v>
      </c>
      <c r="F132" s="441">
        <v>1</v>
      </c>
      <c r="G132" s="444">
        <v>0</v>
      </c>
      <c r="H132" s="444">
        <v>0</v>
      </c>
      <c r="I132" s="436" t="str">
        <f>_xlfn.XLOOKUP(Tb_Entregas[[#This Row],[SEI]],Tb_Mapa[SEI],Tb_Mapa[CONSULTOR RESPONSÁVEL],"",0)</f>
        <v>Tony</v>
      </c>
    </row>
    <row r="133" spans="1:9" ht="105" hidden="1">
      <c r="A133" s="436" t="s">
        <v>539</v>
      </c>
      <c r="B133" s="436" t="str">
        <f>_xlfn.XLOOKUP(Tb_Entregas[[#This Row],[SEI]],Tb_Portfólio[SEI],Tb_Portfólio[PROJETO],"",0)</f>
        <v>Desenvolvimento do módulo de Sessão de Julgamento (PDPJ-Br)</v>
      </c>
      <c r="C133" s="453" t="s">
        <v>1888</v>
      </c>
      <c r="D133" s="443">
        <v>45916</v>
      </c>
      <c r="E133" s="443">
        <v>45916</v>
      </c>
      <c r="F133" s="441">
        <v>1</v>
      </c>
      <c r="G133" s="444">
        <v>0</v>
      </c>
      <c r="H133" s="444">
        <v>0</v>
      </c>
      <c r="I133" s="436" t="str">
        <f>_xlfn.XLOOKUP(Tb_Entregas[[#This Row],[SEI]],Tb_Mapa[SEI],Tb_Mapa[CONSULTOR RESPONSÁVEL],"",0)</f>
        <v>Tony</v>
      </c>
    </row>
    <row r="134" spans="1:9" ht="120" hidden="1">
      <c r="A134" s="436" t="s">
        <v>539</v>
      </c>
      <c r="B134" s="436" t="str">
        <f>_xlfn.XLOOKUP(Tb_Entregas[[#This Row],[SEI]],Tb_Portfólio[SEI],Tb_Portfólio[PROJETO],"",0)</f>
        <v>Desenvolvimento do módulo de Sessão de Julgamento (PDPJ-Br)</v>
      </c>
      <c r="C134" s="453" t="s">
        <v>1889</v>
      </c>
      <c r="D134" s="443">
        <v>45916</v>
      </c>
      <c r="E134" s="443">
        <v>45916</v>
      </c>
      <c r="F134" s="441">
        <v>1</v>
      </c>
      <c r="G134" s="444">
        <v>0</v>
      </c>
      <c r="H134" s="444">
        <v>0</v>
      </c>
      <c r="I134" s="436" t="str">
        <f>_xlfn.XLOOKUP(Tb_Entregas[[#This Row],[SEI]],Tb_Mapa[SEI],Tb_Mapa[CONSULTOR RESPONSÁVEL],"",0)</f>
        <v>Tony</v>
      </c>
    </row>
    <row r="135" spans="1:9" ht="94.5" hidden="1">
      <c r="A135" s="436" t="s">
        <v>539</v>
      </c>
      <c r="B135" s="436" t="str">
        <f>_xlfn.XLOOKUP(Tb_Entregas[[#This Row],[SEI]],Tb_Portfólio[SEI],Tb_Portfólio[PROJETO],"",0)</f>
        <v>Desenvolvimento do módulo de Sessão de Julgamento (PDPJ-Br)</v>
      </c>
      <c r="C135" s="451" t="s">
        <v>1890</v>
      </c>
      <c r="D135" s="443">
        <v>45930</v>
      </c>
      <c r="E135" s="443">
        <v>45930</v>
      </c>
      <c r="F135" s="441">
        <v>1</v>
      </c>
      <c r="G135" s="444">
        <v>0</v>
      </c>
      <c r="H135" s="444">
        <v>0</v>
      </c>
      <c r="I135" s="436" t="str">
        <f>_xlfn.XLOOKUP(Tb_Entregas[[#This Row],[SEI]],Tb_Mapa[SEI],Tb_Mapa[CONSULTOR RESPONSÁVEL],"",0)</f>
        <v>Tony</v>
      </c>
    </row>
    <row r="136" spans="1:9" ht="78.75" hidden="1">
      <c r="A136" s="436" t="s">
        <v>539</v>
      </c>
      <c r="B136" s="436" t="str">
        <f>_xlfn.XLOOKUP(Tb_Entregas[[#This Row],[SEI]],Tb_Portfólio[SEI],Tb_Portfólio[PROJETO],"",0)</f>
        <v>Desenvolvimento do módulo de Sessão de Julgamento (PDPJ-Br)</v>
      </c>
      <c r="C136" s="451" t="s">
        <v>1891</v>
      </c>
      <c r="D136" s="443">
        <v>45930</v>
      </c>
      <c r="E136" s="443">
        <v>45930</v>
      </c>
      <c r="F136" s="441">
        <v>1</v>
      </c>
      <c r="G136" s="444">
        <v>0</v>
      </c>
      <c r="H136" s="444">
        <v>0</v>
      </c>
      <c r="I136" s="436" t="str">
        <f>_xlfn.XLOOKUP(Tb_Entregas[[#This Row],[SEI]],Tb_Mapa[SEI],Tb_Mapa[CONSULTOR RESPONSÁVEL],"",0)</f>
        <v>Tony</v>
      </c>
    </row>
    <row r="137" spans="1:9" ht="94.5" hidden="1">
      <c r="A137" s="436" t="s">
        <v>539</v>
      </c>
      <c r="B137" s="436" t="str">
        <f>_xlfn.XLOOKUP(Tb_Entregas[[#This Row],[SEI]],Tb_Portfólio[SEI],Tb_Portfólio[PROJETO],"",0)</f>
        <v>Desenvolvimento do módulo de Sessão de Julgamento (PDPJ-Br)</v>
      </c>
      <c r="C137" s="451" t="s">
        <v>1892</v>
      </c>
      <c r="D137" s="443">
        <v>45930</v>
      </c>
      <c r="E137" s="443">
        <v>45930</v>
      </c>
      <c r="F137" s="441">
        <v>1</v>
      </c>
      <c r="G137" s="444">
        <v>0</v>
      </c>
      <c r="H137" s="444">
        <v>0</v>
      </c>
      <c r="I137" s="436" t="str">
        <f>_xlfn.XLOOKUP(Tb_Entregas[[#This Row],[SEI]],Tb_Mapa[SEI],Tb_Mapa[CONSULTOR RESPONSÁVEL],"",0)</f>
        <v>Tony</v>
      </c>
    </row>
    <row r="138" spans="1:9" ht="78.75" hidden="1">
      <c r="A138" s="436" t="s">
        <v>539</v>
      </c>
      <c r="B138" s="436" t="str">
        <f>_xlfn.XLOOKUP(Tb_Entregas[[#This Row],[SEI]],Tb_Portfólio[SEI],Tb_Portfólio[PROJETO],"",0)</f>
        <v>Desenvolvimento do módulo de Sessão de Julgamento (PDPJ-Br)</v>
      </c>
      <c r="C138" s="451" t="s">
        <v>1893</v>
      </c>
      <c r="D138" s="443">
        <v>45930</v>
      </c>
      <c r="E138" s="443">
        <v>45930</v>
      </c>
      <c r="F138" s="441">
        <v>1</v>
      </c>
      <c r="G138" s="444">
        <v>0</v>
      </c>
      <c r="H138" s="444">
        <v>0</v>
      </c>
      <c r="I138" s="436" t="str">
        <f>_xlfn.XLOOKUP(Tb_Entregas[[#This Row],[SEI]],Tb_Mapa[SEI],Tb_Mapa[CONSULTOR RESPONSÁVEL],"",0)</f>
        <v>Tony</v>
      </c>
    </row>
    <row r="139" spans="1:9" ht="78.75" hidden="1">
      <c r="A139" s="436" t="s">
        <v>539</v>
      </c>
      <c r="B139" s="436" t="str">
        <f>_xlfn.XLOOKUP(Tb_Entregas[[#This Row],[SEI]],Tb_Portfólio[SEI],Tb_Portfólio[PROJETO],"",0)</f>
        <v>Desenvolvimento do módulo de Sessão de Julgamento (PDPJ-Br)</v>
      </c>
      <c r="C139" s="451" t="s">
        <v>1894</v>
      </c>
      <c r="D139" s="443">
        <v>45930</v>
      </c>
      <c r="E139" s="443">
        <v>45930</v>
      </c>
      <c r="F139" s="441">
        <v>1</v>
      </c>
      <c r="G139" s="444">
        <v>0</v>
      </c>
      <c r="H139" s="444">
        <v>0</v>
      </c>
      <c r="I139" s="436" t="str">
        <f>_xlfn.XLOOKUP(Tb_Entregas[[#This Row],[SEI]],Tb_Mapa[SEI],Tb_Mapa[CONSULTOR RESPONSÁVEL],"",0)</f>
        <v>Tony</v>
      </c>
    </row>
    <row r="140" spans="1:9" ht="78.75" hidden="1">
      <c r="A140" s="436" t="s">
        <v>539</v>
      </c>
      <c r="B140" s="436" t="str">
        <f>_xlfn.XLOOKUP(Tb_Entregas[[#This Row],[SEI]],Tb_Portfólio[SEI],Tb_Portfólio[PROJETO],"",0)</f>
        <v>Desenvolvimento do módulo de Sessão de Julgamento (PDPJ-Br)</v>
      </c>
      <c r="C140" s="451" t="s">
        <v>1895</v>
      </c>
      <c r="D140" s="443">
        <v>45930</v>
      </c>
      <c r="E140" s="443">
        <v>45930</v>
      </c>
      <c r="F140" s="441">
        <v>1</v>
      </c>
      <c r="G140" s="444">
        <v>0</v>
      </c>
      <c r="H140" s="444">
        <v>0</v>
      </c>
      <c r="I140" s="436" t="str">
        <f>_xlfn.XLOOKUP(Tb_Entregas[[#This Row],[SEI]],Tb_Mapa[SEI],Tb_Mapa[CONSULTOR RESPONSÁVEL],"",0)</f>
        <v>Tony</v>
      </c>
    </row>
    <row r="141" spans="1:9" ht="45" hidden="1">
      <c r="A141" s="436" t="s">
        <v>539</v>
      </c>
      <c r="B141" s="436" t="str">
        <f>_xlfn.XLOOKUP(Tb_Entregas[[#This Row],[SEI]],Tb_Portfólio[SEI],Tb_Portfólio[PROJETO],"",0)</f>
        <v>Desenvolvimento do módulo de Sessão de Julgamento (PDPJ-Br)</v>
      </c>
      <c r="C141" s="438" t="s">
        <v>1896</v>
      </c>
      <c r="D141" s="443">
        <v>45930</v>
      </c>
      <c r="E141" s="443">
        <v>45930</v>
      </c>
      <c r="F141" s="441">
        <v>1</v>
      </c>
      <c r="G141" s="444">
        <v>0</v>
      </c>
      <c r="H141" s="444">
        <v>0</v>
      </c>
      <c r="I141" s="436" t="str">
        <f>_xlfn.XLOOKUP(Tb_Entregas[[#This Row],[SEI]],Tb_Mapa[SEI],Tb_Mapa[CONSULTOR RESPONSÁVEL],"",0)</f>
        <v>Tony</v>
      </c>
    </row>
    <row r="142" spans="1:9" ht="30" hidden="1">
      <c r="A142" s="436" t="s">
        <v>58</v>
      </c>
      <c r="B142" s="436" t="str">
        <f>_xlfn.XLOOKUP(Tb_Entregas[[#This Row],[SEI]],Tb_Portfólio[SEI],Tb_Portfólio[PROJETO],"",0)</f>
        <v>Phase-out: Transição Projetos X Operação</v>
      </c>
      <c r="C142" s="438" t="s">
        <v>1897</v>
      </c>
      <c r="D142" s="443">
        <v>45737</v>
      </c>
      <c r="E142" s="443">
        <v>45685</v>
      </c>
      <c r="F142" s="441">
        <v>1</v>
      </c>
      <c r="G142" s="444">
        <v>0</v>
      </c>
      <c r="H142" s="444">
        <v>0</v>
      </c>
      <c r="I142" s="436" t="str">
        <f>_xlfn.XLOOKUP(Tb_Entregas[[#This Row],[SEI]],Tb_Mapa[SEI],Tb_Mapa[CONSULTOR RESPONSÁVEL],"",0)</f>
        <v>Tony</v>
      </c>
    </row>
    <row r="143" spans="1:9" hidden="1">
      <c r="A143" s="436" t="s">
        <v>58</v>
      </c>
      <c r="B143" s="436" t="str">
        <f>_xlfn.XLOOKUP(Tb_Entregas[[#This Row],[SEI]],Tb_Portfólio[SEI],Tb_Portfólio[PROJETO],"",0)</f>
        <v>Phase-out: Transição Projetos X Operação</v>
      </c>
      <c r="C143" s="438" t="s">
        <v>1898</v>
      </c>
      <c r="D143" s="443">
        <v>45801</v>
      </c>
      <c r="E143" s="443">
        <v>45801</v>
      </c>
      <c r="F143" s="441">
        <v>1</v>
      </c>
      <c r="G143" s="444">
        <v>0</v>
      </c>
      <c r="H143" s="444">
        <v>0</v>
      </c>
      <c r="I143" s="436" t="str">
        <f>_xlfn.XLOOKUP(Tb_Entregas[[#This Row],[SEI]],Tb_Mapa[SEI],Tb_Mapa[CONSULTOR RESPONSÁVEL],"",0)</f>
        <v>Tony</v>
      </c>
    </row>
    <row r="144" spans="1:9" hidden="1">
      <c r="A144" s="436" t="s">
        <v>58</v>
      </c>
      <c r="B144" s="436" t="str">
        <f>_xlfn.XLOOKUP(Tb_Entregas[[#This Row],[SEI]],Tb_Portfólio[SEI],Tb_Portfólio[PROJETO],"",0)</f>
        <v>Phase-out: Transição Projetos X Operação</v>
      </c>
      <c r="C144" s="438" t="s">
        <v>1899</v>
      </c>
      <c r="D144" s="443">
        <v>45849</v>
      </c>
      <c r="E144" s="443">
        <v>45849</v>
      </c>
      <c r="F144" s="441">
        <v>1</v>
      </c>
      <c r="G144" s="444">
        <v>0</v>
      </c>
      <c r="H144" s="444">
        <v>0</v>
      </c>
      <c r="I144" s="436" t="str">
        <f>_xlfn.XLOOKUP(Tb_Entregas[[#This Row],[SEI]],Tb_Mapa[SEI],Tb_Mapa[CONSULTOR RESPONSÁVEL],"",0)</f>
        <v>Tony</v>
      </c>
    </row>
    <row r="145" spans="1:10" hidden="1">
      <c r="A145" s="436" t="s">
        <v>58</v>
      </c>
      <c r="B145" s="436" t="str">
        <f>_xlfn.XLOOKUP(Tb_Entregas[[#This Row],[SEI]],Tb_Portfólio[SEI],Tb_Portfólio[PROJETO],"",0)</f>
        <v>Phase-out: Transição Projetos X Operação</v>
      </c>
      <c r="C145" s="438" t="s">
        <v>1900</v>
      </c>
      <c r="D145" s="443">
        <v>46379</v>
      </c>
      <c r="E145" s="443"/>
      <c r="F145" s="441">
        <v>0.18</v>
      </c>
      <c r="G145" s="444"/>
      <c r="H145" s="444"/>
      <c r="I145" s="436" t="s">
        <v>1710</v>
      </c>
    </row>
    <row r="146" spans="1:10" hidden="1">
      <c r="A146" s="436" t="s">
        <v>58</v>
      </c>
      <c r="B146" s="436" t="str">
        <f>_xlfn.XLOOKUP(Tb_Entregas[[#This Row],[SEI]],Tb_Portfólio[SEI],Tb_Portfólio[PROJETO],"",0)</f>
        <v>Phase-out: Transição Projetos X Operação</v>
      </c>
      <c r="C146" s="438" t="s">
        <v>1901</v>
      </c>
      <c r="D146" s="443">
        <v>46295</v>
      </c>
      <c r="E146" s="443"/>
      <c r="F146" s="441">
        <v>0.25</v>
      </c>
      <c r="G146" s="444"/>
      <c r="H146" s="444"/>
      <c r="I146" s="436" t="s">
        <v>1710</v>
      </c>
    </row>
    <row r="147" spans="1:10" hidden="1">
      <c r="A147" s="436" t="s">
        <v>58</v>
      </c>
      <c r="B147" s="436" t="str">
        <f>_xlfn.XLOOKUP(Tb_Entregas[[#This Row],[SEI]],Tb_Portfólio[SEI],Tb_Portfólio[PROJETO],"",0)</f>
        <v>Phase-out: Transição Projetos X Operação</v>
      </c>
      <c r="C147" s="438" t="s">
        <v>1902</v>
      </c>
      <c r="D147" s="443">
        <v>46356</v>
      </c>
      <c r="E147" s="443"/>
      <c r="F147" s="441">
        <v>0.1</v>
      </c>
      <c r="G147" s="444"/>
      <c r="H147" s="444"/>
      <c r="I147" s="436" t="s">
        <v>1710</v>
      </c>
    </row>
    <row r="148" spans="1:10" hidden="1">
      <c r="A148" s="436" t="s">
        <v>58</v>
      </c>
      <c r="B148" s="436" t="str">
        <f>_xlfn.XLOOKUP(Tb_Entregas[[#This Row],[SEI]],Tb_Portfólio[SEI],Tb_Portfólio[PROJETO],"",0)</f>
        <v>Phase-out: Transição Projetos X Operação</v>
      </c>
      <c r="C148" s="438" t="s">
        <v>1903</v>
      </c>
      <c r="D148" s="443">
        <v>46356</v>
      </c>
      <c r="E148" s="443"/>
      <c r="F148" s="441">
        <v>0.1</v>
      </c>
      <c r="G148" s="444"/>
      <c r="H148" s="444"/>
      <c r="I148" s="436" t="s">
        <v>1710</v>
      </c>
    </row>
    <row r="149" spans="1:10" hidden="1">
      <c r="A149" s="436" t="s">
        <v>58</v>
      </c>
      <c r="B149" s="436" t="str">
        <f>_xlfn.XLOOKUP(Tb_Entregas[[#This Row],[SEI]],Tb_Portfólio[SEI],Tb_Portfólio[PROJETO],"",0)</f>
        <v>Phase-out: Transição Projetos X Operação</v>
      </c>
      <c r="C149" s="438" t="s">
        <v>1904</v>
      </c>
      <c r="D149" s="443">
        <v>46371</v>
      </c>
      <c r="E149" s="443"/>
      <c r="F149" s="441">
        <v>0</v>
      </c>
      <c r="G149" s="444"/>
      <c r="H149" s="444"/>
      <c r="I149" s="436" t="s">
        <v>1710</v>
      </c>
    </row>
    <row r="150" spans="1:10" ht="45" hidden="1">
      <c r="A150" s="436" t="s">
        <v>83</v>
      </c>
      <c r="B150" s="436" t="str">
        <f>_xlfn.XLOOKUP(Tb_Entregas[[#This Row],[SEI]],Tb_Portfólio[SEI],Tb_Portfólio[PROJETO],"",0)</f>
        <v>Painel do Programa Desjudicializa</v>
      </c>
      <c r="C150" s="438" t="s">
        <v>1905</v>
      </c>
      <c r="D150" s="443">
        <v>45381</v>
      </c>
      <c r="E150" s="443">
        <v>45381</v>
      </c>
      <c r="F150" s="441">
        <v>1</v>
      </c>
      <c r="G150" s="444">
        <v>0</v>
      </c>
      <c r="H150" s="444">
        <v>0</v>
      </c>
      <c r="I150" s="436" t="str">
        <f>_xlfn.XLOOKUP(Tb_Entregas[[#This Row],[SEI]],Tb_Mapa[SEI],Tb_Mapa[CONSULTOR RESPONSÁVEL],"",0)</f>
        <v>Tony</v>
      </c>
    </row>
    <row r="151" spans="1:10" hidden="1">
      <c r="A151" s="436" t="s">
        <v>83</v>
      </c>
      <c r="B151" s="436" t="str">
        <f>_xlfn.XLOOKUP(Tb_Entregas[[#This Row],[SEI]],Tb_Portfólio[SEI],Tb_Portfólio[PROJETO],"",0)</f>
        <v>Painel do Programa Desjudicializa</v>
      </c>
      <c r="C151" s="438" t="s">
        <v>1906</v>
      </c>
      <c r="D151" s="443">
        <v>45442</v>
      </c>
      <c r="E151" s="443">
        <v>45442</v>
      </c>
      <c r="F151" s="441">
        <v>1</v>
      </c>
      <c r="G151" s="444">
        <v>0</v>
      </c>
      <c r="H151" s="444">
        <v>0</v>
      </c>
      <c r="I151" s="436" t="str">
        <f>_xlfn.XLOOKUP(Tb_Entregas[[#This Row],[SEI]],Tb_Mapa[SEI],Tb_Mapa[CONSULTOR RESPONSÁVEL],"",0)</f>
        <v>Tony</v>
      </c>
    </row>
    <row r="152" spans="1:10" ht="30" hidden="1">
      <c r="A152" s="436" t="s">
        <v>83</v>
      </c>
      <c r="B152" s="436" t="str">
        <f>_xlfn.XLOOKUP(Tb_Entregas[[#This Row],[SEI]],Tb_Portfólio[SEI],Tb_Portfólio[PROJETO],"",0)</f>
        <v>Painel do Programa Desjudicializa</v>
      </c>
      <c r="C152" s="438" t="s">
        <v>1907</v>
      </c>
      <c r="D152" s="443">
        <v>45453</v>
      </c>
      <c r="E152" s="443">
        <v>45453</v>
      </c>
      <c r="F152" s="441">
        <v>1</v>
      </c>
      <c r="G152" s="444">
        <v>0</v>
      </c>
      <c r="H152" s="444">
        <v>0</v>
      </c>
      <c r="I152" s="436" t="str">
        <f>_xlfn.XLOOKUP(Tb_Entregas[[#This Row],[SEI]],Tb_Mapa[SEI],Tb_Mapa[CONSULTOR RESPONSÁVEL],"",0)</f>
        <v>Tony</v>
      </c>
    </row>
    <row r="153" spans="1:10" hidden="1">
      <c r="A153" s="436" t="s">
        <v>83</v>
      </c>
      <c r="B153" s="436" t="str">
        <f>_xlfn.XLOOKUP(Tb_Entregas[[#This Row],[SEI]],Tb_Portfólio[SEI],Tb_Portfólio[PROJETO],"",0)</f>
        <v>Painel do Programa Desjudicializa</v>
      </c>
      <c r="C153" s="438" t="s">
        <v>1908</v>
      </c>
      <c r="D153" s="443">
        <v>45646</v>
      </c>
      <c r="E153" s="438"/>
      <c r="F153" s="441">
        <v>0.75</v>
      </c>
      <c r="G153" s="444">
        <v>0</v>
      </c>
      <c r="H153" s="444">
        <v>0</v>
      </c>
      <c r="I153" s="436" t="str">
        <f>_xlfn.XLOOKUP(Tb_Entregas[[#This Row],[SEI]],Tb_Mapa[SEI],Tb_Mapa[CONSULTOR RESPONSÁVEL],"",0)</f>
        <v>Tony</v>
      </c>
    </row>
    <row r="154" spans="1:10" hidden="1">
      <c r="A154" s="436" t="s">
        <v>83</v>
      </c>
      <c r="B154" s="436" t="str">
        <f>_xlfn.XLOOKUP(Tb_Entregas[[#This Row],[SEI]],Tb_Portfólio[SEI],Tb_Portfólio[PROJETO],"",0)</f>
        <v>Painel do Programa Desjudicializa</v>
      </c>
      <c r="C154" s="438" t="s">
        <v>1909</v>
      </c>
      <c r="D154" s="443">
        <v>45562</v>
      </c>
      <c r="E154" s="443">
        <v>45562</v>
      </c>
      <c r="F154" s="441">
        <v>1</v>
      </c>
      <c r="G154" s="444">
        <v>0</v>
      </c>
      <c r="H154" s="444">
        <v>0</v>
      </c>
      <c r="I154" s="436" t="str">
        <f>_xlfn.XLOOKUP(Tb_Entregas[[#This Row],[SEI]],Tb_Mapa[SEI],Tb_Mapa[CONSULTOR RESPONSÁVEL],"",0)</f>
        <v>Tony</v>
      </c>
    </row>
    <row r="155" spans="1:10" ht="30" hidden="1">
      <c r="A155" s="436" t="s">
        <v>83</v>
      </c>
      <c r="B155" s="436" t="str">
        <f>_xlfn.XLOOKUP(Tb_Entregas[[#This Row],[SEI]],Tb_Portfólio[SEI],Tb_Portfólio[PROJETO],"",0)</f>
        <v>Painel do Programa Desjudicializa</v>
      </c>
      <c r="C155" s="438" t="s">
        <v>1910</v>
      </c>
      <c r="D155" s="443">
        <v>45628</v>
      </c>
      <c r="E155" s="443">
        <v>45628</v>
      </c>
      <c r="F155" s="441">
        <v>1</v>
      </c>
      <c r="G155" s="444">
        <v>0</v>
      </c>
      <c r="H155" s="444">
        <v>0</v>
      </c>
      <c r="I155" s="436" t="str">
        <f>_xlfn.XLOOKUP(Tb_Entregas[[#This Row],[SEI]],Tb_Mapa[SEI],Tb_Mapa[CONSULTOR RESPONSÁVEL],"",0)</f>
        <v>Tony</v>
      </c>
    </row>
    <row r="156" spans="1:10" hidden="1">
      <c r="A156" s="436" t="s">
        <v>83</v>
      </c>
      <c r="B156" s="436" t="str">
        <f>_xlfn.XLOOKUP(Tb_Entregas[[#This Row],[SEI]],Tb_Portfólio[SEI],Tb_Portfólio[PROJETO],"",0)</f>
        <v>Painel do Programa Desjudicializa</v>
      </c>
      <c r="C156" s="438" t="s">
        <v>1911</v>
      </c>
      <c r="D156" s="443">
        <v>45800</v>
      </c>
      <c r="E156" s="438"/>
      <c r="F156" s="441">
        <v>0</v>
      </c>
      <c r="G156" s="444">
        <v>0</v>
      </c>
      <c r="H156" s="444">
        <v>0</v>
      </c>
      <c r="I156" s="436" t="str">
        <f>_xlfn.XLOOKUP(Tb_Entregas[[#This Row],[SEI]],Tb_Mapa[SEI],Tb_Mapa[CONSULTOR RESPONSÁVEL],"",0)</f>
        <v>Tony</v>
      </c>
    </row>
    <row r="157" spans="1:10" hidden="1">
      <c r="A157" s="436" t="s">
        <v>83</v>
      </c>
      <c r="B157" s="436" t="str">
        <f>_xlfn.XLOOKUP(Tb_Entregas[[#This Row],[SEI]],Tb_Portfólio[SEI],Tb_Portfólio[PROJETO],"",0)</f>
        <v>Painel do Programa Desjudicializa</v>
      </c>
      <c r="C157" s="438" t="s">
        <v>1912</v>
      </c>
      <c r="D157" s="443">
        <v>45828</v>
      </c>
      <c r="E157" s="438"/>
      <c r="F157" s="441">
        <v>0</v>
      </c>
      <c r="G157" s="444">
        <v>0</v>
      </c>
      <c r="H157" s="444">
        <v>0</v>
      </c>
      <c r="I157" s="436" t="str">
        <f>_xlfn.XLOOKUP(Tb_Entregas[[#This Row],[SEI]],Tb_Mapa[SEI],Tb_Mapa[CONSULTOR RESPONSÁVEL],"",0)</f>
        <v>Tony</v>
      </c>
    </row>
    <row r="158" spans="1:10" hidden="1">
      <c r="A158" s="436" t="s">
        <v>112</v>
      </c>
      <c r="B158" s="440" t="str">
        <f>_xlfn.XLOOKUP(Tb_Entregas[[#This Row],[SEI]],Tb_Portfólio[SEI],Tb_Portfólio[PROJETO],"",0)</f>
        <v>Programa Nacional de Promoção da Equidade Racial no Poder Judiciário - 2024</v>
      </c>
      <c r="C158" s="438" t="s">
        <v>1836</v>
      </c>
      <c r="D158" s="443">
        <v>46011</v>
      </c>
      <c r="E158" s="438"/>
      <c r="F158" s="441">
        <v>0</v>
      </c>
      <c r="G158" s="444">
        <v>0</v>
      </c>
      <c r="H158" s="444">
        <v>0</v>
      </c>
      <c r="I158" s="436" t="str">
        <f>_xlfn.XLOOKUP(Tb_Entregas[[#This Row],[SEI]],Tb_Mapa[SEI],Tb_Mapa[CONSULTOR RESPONSÁVEL],"",0)</f>
        <v>Tony / Cris</v>
      </c>
    </row>
    <row r="159" spans="1:10" ht="30" hidden="1">
      <c r="A159" s="436" t="s">
        <v>112</v>
      </c>
      <c r="B159" s="440" t="str">
        <f>_xlfn.XLOOKUP(Tb_Entregas[[#This Row],[SEI]],Tb_Portfólio[SEI],Tb_Portfólio[PROJETO],"",0)</f>
        <v>Programa Nacional de Promoção da Equidade Racial no Poder Judiciário - 2024</v>
      </c>
      <c r="C159" s="438" t="s">
        <v>1913</v>
      </c>
      <c r="D159" s="443">
        <v>46011</v>
      </c>
      <c r="E159" s="443">
        <v>45776</v>
      </c>
      <c r="F159" s="441">
        <v>1</v>
      </c>
      <c r="G159" s="444">
        <v>0</v>
      </c>
      <c r="H159" s="444">
        <v>0</v>
      </c>
      <c r="I159" s="436" t="str">
        <f>_xlfn.XLOOKUP(Tb_Entregas[[#This Row],[SEI]],Tb_Mapa[SEI],Tb_Mapa[CONSULTOR RESPONSÁVEL],"",0)</f>
        <v>Tony / Cris</v>
      </c>
    </row>
    <row r="160" spans="1:10" ht="135" hidden="1">
      <c r="A160" s="436" t="s">
        <v>112</v>
      </c>
      <c r="B160" s="440" t="str">
        <f>_xlfn.XLOOKUP(Tb_Entregas[[#This Row],[SEI]],Tb_Portfólio[SEI],Tb_Portfólio[PROJETO],"",0)</f>
        <v>Programa Nacional de Promoção da Equidade Racial no Poder Judiciário - 2024</v>
      </c>
      <c r="C160" s="438" t="s">
        <v>1914</v>
      </c>
      <c r="D160" s="443">
        <v>46011</v>
      </c>
      <c r="E160" s="443">
        <v>45776</v>
      </c>
      <c r="F160" s="441">
        <v>1</v>
      </c>
      <c r="G160" s="444">
        <v>0</v>
      </c>
      <c r="H160" s="444">
        <v>0</v>
      </c>
      <c r="I160" s="436" t="str">
        <f>_xlfn.XLOOKUP(Tb_Entregas[[#This Row],[SEI]],Tb_Mapa[SEI],Tb_Mapa[CONSULTOR RESPONSÁVEL],"",0)</f>
        <v>Tony / Cris</v>
      </c>
      <c r="J160" s="438" t="s">
        <v>1915</v>
      </c>
    </row>
    <row r="161" spans="1:10" ht="120" hidden="1">
      <c r="A161" s="436" t="s">
        <v>112</v>
      </c>
      <c r="B161" s="440" t="str">
        <f>_xlfn.XLOOKUP(Tb_Entregas[[#This Row],[SEI]],Tb_Portfólio[SEI],Tb_Portfólio[PROJETO],"",0)</f>
        <v>Programa Nacional de Promoção da Equidade Racial no Poder Judiciário - 2024</v>
      </c>
      <c r="C161" s="438" t="s">
        <v>1916</v>
      </c>
      <c r="D161" s="443">
        <v>45646</v>
      </c>
      <c r="E161" s="443">
        <v>45646</v>
      </c>
      <c r="F161" s="441">
        <v>1</v>
      </c>
      <c r="G161" s="444">
        <v>0</v>
      </c>
      <c r="H161" s="444">
        <v>0</v>
      </c>
      <c r="I161" s="436" t="str">
        <f>_xlfn.XLOOKUP(Tb_Entregas[[#This Row],[SEI]],Tb_Mapa[SEI],Tb_Mapa[CONSULTOR RESPONSÁVEL],"",0)</f>
        <v>Tony / Cris</v>
      </c>
    </row>
    <row r="162" spans="1:10" ht="135" hidden="1">
      <c r="A162" s="436" t="s">
        <v>112</v>
      </c>
      <c r="B162" s="440" t="str">
        <f>_xlfn.XLOOKUP(Tb_Entregas[[#This Row],[SEI]],Tb_Portfólio[SEI],Tb_Portfólio[PROJETO],"",0)</f>
        <v>Programa Nacional de Promoção da Equidade Racial no Poder Judiciário - 2024</v>
      </c>
      <c r="C162" s="438" t="s">
        <v>1917</v>
      </c>
      <c r="D162" s="443">
        <v>46011</v>
      </c>
      <c r="E162" s="443"/>
      <c r="F162" s="441">
        <v>0.33</v>
      </c>
      <c r="G162" s="444">
        <v>0</v>
      </c>
      <c r="H162" s="444">
        <v>0</v>
      </c>
      <c r="I162" s="436" t="str">
        <f>_xlfn.XLOOKUP(Tb_Entregas[[#This Row],[SEI]],Tb_Mapa[SEI],Tb_Mapa[CONSULTOR RESPONSÁVEL],"",0)</f>
        <v>Tony / Cris</v>
      </c>
      <c r="J162" s="438" t="s">
        <v>1918</v>
      </c>
    </row>
    <row r="163" spans="1:10" ht="60" hidden="1">
      <c r="A163" s="436" t="s">
        <v>112</v>
      </c>
      <c r="B163" s="440" t="str">
        <f>_xlfn.XLOOKUP(Tb_Entregas[[#This Row],[SEI]],Tb_Portfólio[SEI],Tb_Portfólio[PROJETO],"",0)</f>
        <v>Programa Nacional de Promoção da Equidade Racial no Poder Judiciário - 2024</v>
      </c>
      <c r="C163" s="438" t="s">
        <v>1919</v>
      </c>
      <c r="D163" s="443">
        <v>46011</v>
      </c>
      <c r="E163" s="438"/>
      <c r="F163" s="441">
        <v>1</v>
      </c>
      <c r="G163" s="444">
        <v>0</v>
      </c>
      <c r="H163" s="444">
        <v>0</v>
      </c>
      <c r="I163" s="436" t="str">
        <f>_xlfn.XLOOKUP(Tb_Entregas[[#This Row],[SEI]],Tb_Mapa[SEI],Tb_Mapa[CONSULTOR RESPONSÁVEL],"",0)</f>
        <v>Tony / Cris</v>
      </c>
      <c r="J163" s="438" t="s">
        <v>1920</v>
      </c>
    </row>
    <row r="164" spans="1:10" ht="75" hidden="1">
      <c r="A164" s="436" t="s">
        <v>112</v>
      </c>
      <c r="B164" s="440" t="str">
        <f>_xlfn.XLOOKUP(Tb_Entregas[[#This Row],[SEI]],Tb_Portfólio[SEI],Tb_Portfólio[PROJETO],"",0)</f>
        <v>Programa Nacional de Promoção da Equidade Racial no Poder Judiciário - 2024</v>
      </c>
      <c r="C164" s="438" t="s">
        <v>1921</v>
      </c>
      <c r="D164" s="443">
        <v>46011</v>
      </c>
      <c r="E164" s="438"/>
      <c r="F164" s="441">
        <v>0.75</v>
      </c>
      <c r="G164" s="444">
        <v>0</v>
      </c>
      <c r="H164" s="444">
        <v>0</v>
      </c>
      <c r="I164" s="436" t="str">
        <f>_xlfn.XLOOKUP(Tb_Entregas[[#This Row],[SEI]],Tb_Mapa[SEI],Tb_Mapa[CONSULTOR RESPONSÁVEL],"",0)</f>
        <v>Tony / Cris</v>
      </c>
    </row>
    <row r="165" spans="1:10" ht="45" hidden="1">
      <c r="A165" s="436" t="s">
        <v>112</v>
      </c>
      <c r="B165" s="440" t="str">
        <f>_xlfn.XLOOKUP(Tb_Entregas[[#This Row],[SEI]],Tb_Portfólio[SEI],Tb_Portfólio[PROJETO],"",0)</f>
        <v>Programa Nacional de Promoção da Equidade Racial no Poder Judiciário - 2024</v>
      </c>
      <c r="C165" s="438" t="s">
        <v>1922</v>
      </c>
      <c r="D165" s="443">
        <v>46011</v>
      </c>
      <c r="E165" s="443">
        <v>45646</v>
      </c>
      <c r="F165" s="441">
        <v>1</v>
      </c>
      <c r="G165" s="444">
        <v>0</v>
      </c>
      <c r="H165" s="444">
        <v>0</v>
      </c>
      <c r="I165" s="436" t="str">
        <f>_xlfn.XLOOKUP(Tb_Entregas[[#This Row],[SEI]],Tb_Mapa[SEI],Tb_Mapa[CONSULTOR RESPONSÁVEL],"",0)</f>
        <v>Tony / Cris</v>
      </c>
    </row>
    <row r="166" spans="1:10" ht="60" hidden="1">
      <c r="A166" s="436" t="s">
        <v>112</v>
      </c>
      <c r="B166" s="440" t="str">
        <f>_xlfn.XLOOKUP(Tb_Entregas[[#This Row],[SEI]],Tb_Portfólio[SEI],Tb_Portfólio[PROJETO],"",0)</f>
        <v>Programa Nacional de Promoção da Equidade Racial no Poder Judiciário - 2024</v>
      </c>
      <c r="C166" s="438" t="s">
        <v>1923</v>
      </c>
      <c r="D166" s="443">
        <v>46011</v>
      </c>
      <c r="E166" s="438"/>
      <c r="F166" s="441">
        <v>0</v>
      </c>
      <c r="G166" s="444">
        <v>0</v>
      </c>
      <c r="H166" s="444">
        <v>0</v>
      </c>
      <c r="I166" s="436" t="str">
        <f>_xlfn.XLOOKUP(Tb_Entregas[[#This Row],[SEI]],Tb_Mapa[SEI],Tb_Mapa[CONSULTOR RESPONSÁVEL],"",0)</f>
        <v>Tony / Cris</v>
      </c>
      <c r="J166" s="438" t="s">
        <v>1924</v>
      </c>
    </row>
    <row r="167" spans="1:10" ht="60" hidden="1">
      <c r="A167" s="436" t="s">
        <v>112</v>
      </c>
      <c r="B167" s="440" t="str">
        <f>_xlfn.XLOOKUP(Tb_Entregas[[#This Row],[SEI]],Tb_Portfólio[SEI],Tb_Portfólio[PROJETO],"",0)</f>
        <v>Programa Nacional de Promoção da Equidade Racial no Poder Judiciário - 2024</v>
      </c>
      <c r="C167" s="438" t="s">
        <v>1925</v>
      </c>
      <c r="D167" s="443">
        <v>46011</v>
      </c>
      <c r="E167" s="443">
        <v>45646</v>
      </c>
      <c r="F167" s="441">
        <v>1</v>
      </c>
      <c r="G167" s="444">
        <v>0</v>
      </c>
      <c r="H167" s="444">
        <v>0</v>
      </c>
      <c r="I167" s="436" t="str">
        <f>_xlfn.XLOOKUP(Tb_Entregas[[#This Row],[SEI]],Tb_Mapa[SEI],Tb_Mapa[CONSULTOR RESPONSÁVEL],"",0)</f>
        <v>Tony / Cris</v>
      </c>
    </row>
    <row r="168" spans="1:10" ht="60" hidden="1">
      <c r="A168" s="436" t="s">
        <v>112</v>
      </c>
      <c r="B168" s="440" t="str">
        <f>_xlfn.XLOOKUP(Tb_Entregas[[#This Row],[SEI]],Tb_Portfólio[SEI],Tb_Portfólio[PROJETO],"",0)</f>
        <v>Programa Nacional de Promoção da Equidade Racial no Poder Judiciário - 2024</v>
      </c>
      <c r="C168" s="438" t="s">
        <v>1926</v>
      </c>
      <c r="D168" s="443">
        <v>46011</v>
      </c>
      <c r="E168" s="443">
        <v>45646</v>
      </c>
      <c r="F168" s="441">
        <v>1</v>
      </c>
      <c r="G168" s="444">
        <v>0</v>
      </c>
      <c r="H168" s="444">
        <v>0</v>
      </c>
      <c r="I168" s="436" t="str">
        <f>_xlfn.XLOOKUP(Tb_Entregas[[#This Row],[SEI]],Tb_Mapa[SEI],Tb_Mapa[CONSULTOR RESPONSÁVEL],"",0)</f>
        <v>Tony / Cris</v>
      </c>
    </row>
    <row r="169" spans="1:10" ht="30" hidden="1">
      <c r="A169" s="436" t="s">
        <v>112</v>
      </c>
      <c r="B169" s="440" t="str">
        <f>_xlfn.XLOOKUP(Tb_Entregas[[#This Row],[SEI]],Tb_Portfólio[SEI],Tb_Portfólio[PROJETO],"",0)</f>
        <v>Programa Nacional de Promoção da Equidade Racial no Poder Judiciário - 2024</v>
      </c>
      <c r="C169" s="438" t="s">
        <v>1927</v>
      </c>
      <c r="D169" s="443">
        <v>46011</v>
      </c>
      <c r="E169" s="443">
        <v>45646</v>
      </c>
      <c r="F169" s="441">
        <v>1</v>
      </c>
      <c r="G169" s="444">
        <v>0</v>
      </c>
      <c r="H169" s="444">
        <v>0</v>
      </c>
      <c r="I169" s="436" t="str">
        <f>_xlfn.XLOOKUP(Tb_Entregas[[#This Row],[SEI]],Tb_Mapa[SEI],Tb_Mapa[CONSULTOR RESPONSÁVEL],"",0)</f>
        <v>Tony / Cris</v>
      </c>
    </row>
    <row r="170" spans="1:10" ht="30" hidden="1">
      <c r="A170" s="436" t="s">
        <v>112</v>
      </c>
      <c r="B170" s="440" t="str">
        <f>_xlfn.XLOOKUP(Tb_Entregas[[#This Row],[SEI]],Tb_Portfólio[SEI],Tb_Portfólio[PROJETO],"",0)</f>
        <v>Programa Nacional de Promoção da Equidade Racial no Poder Judiciário - 2024</v>
      </c>
      <c r="C170" s="438" t="s">
        <v>1928</v>
      </c>
      <c r="D170" s="443">
        <v>46011</v>
      </c>
      <c r="E170" s="443">
        <v>45799</v>
      </c>
      <c r="F170" s="441">
        <v>1</v>
      </c>
      <c r="G170" s="444">
        <v>0</v>
      </c>
      <c r="H170" s="444">
        <v>0</v>
      </c>
      <c r="I170" s="436" t="str">
        <f>_xlfn.XLOOKUP(Tb_Entregas[[#This Row],[SEI]],Tb_Mapa[SEI],Tb_Mapa[CONSULTOR RESPONSÁVEL],"",0)</f>
        <v>Tony / Cris</v>
      </c>
    </row>
    <row r="171" spans="1:10" ht="30" hidden="1">
      <c r="A171" s="436" t="s">
        <v>112</v>
      </c>
      <c r="B171" s="440" t="str">
        <f>_xlfn.XLOOKUP(Tb_Entregas[[#This Row],[SEI]],Tb_Portfólio[SEI],Tb_Portfólio[PROJETO],"",0)</f>
        <v>Programa Nacional de Promoção da Equidade Racial no Poder Judiciário - 2024</v>
      </c>
      <c r="C171" s="438" t="s">
        <v>1929</v>
      </c>
      <c r="D171" s="443">
        <v>46011</v>
      </c>
      <c r="E171" s="438"/>
      <c r="F171" s="441">
        <v>0.5</v>
      </c>
      <c r="G171" s="444">
        <v>0</v>
      </c>
      <c r="H171" s="444">
        <v>0</v>
      </c>
      <c r="I171" s="436" t="str">
        <f>_xlfn.XLOOKUP(Tb_Entregas[[#This Row],[SEI]],Tb_Mapa[SEI],Tb_Mapa[CONSULTOR RESPONSÁVEL],"",0)</f>
        <v>Tony / Cris</v>
      </c>
    </row>
    <row r="172" spans="1:10" ht="75" hidden="1">
      <c r="A172" s="436" t="s">
        <v>112</v>
      </c>
      <c r="B172" s="440" t="str">
        <f>_xlfn.XLOOKUP(Tb_Entregas[[#This Row],[SEI]],Tb_Portfólio[SEI],Tb_Portfólio[PROJETO],"",0)</f>
        <v>Programa Nacional de Promoção da Equidade Racial no Poder Judiciário - 2024</v>
      </c>
      <c r="C172" s="438" t="s">
        <v>1930</v>
      </c>
      <c r="D172" s="443">
        <v>46011</v>
      </c>
      <c r="E172" s="438"/>
      <c r="F172" s="441">
        <v>0.75</v>
      </c>
      <c r="G172" s="444">
        <v>0</v>
      </c>
      <c r="H172" s="444">
        <v>0</v>
      </c>
      <c r="I172" s="436" t="str">
        <f>_xlfn.XLOOKUP(Tb_Entregas[[#This Row],[SEI]],Tb_Mapa[SEI],Tb_Mapa[CONSULTOR RESPONSÁVEL],"",0)</f>
        <v>Tony / Cris</v>
      </c>
    </row>
    <row r="173" spans="1:10" ht="30" hidden="1">
      <c r="A173" s="436" t="s">
        <v>112</v>
      </c>
      <c r="B173" s="440" t="str">
        <f>_xlfn.XLOOKUP(Tb_Entregas[[#This Row],[SEI]],Tb_Portfólio[SEI],Tb_Portfólio[PROJETO],"",0)</f>
        <v>Programa Nacional de Promoção da Equidade Racial no Poder Judiciário - 2024</v>
      </c>
      <c r="C173" s="438" t="s">
        <v>1931</v>
      </c>
      <c r="D173" s="443">
        <v>46011</v>
      </c>
      <c r="E173" s="438"/>
      <c r="F173" s="441">
        <v>0.25</v>
      </c>
      <c r="G173" s="444">
        <v>0</v>
      </c>
      <c r="H173" s="444">
        <v>0</v>
      </c>
      <c r="I173" s="436" t="str">
        <f>_xlfn.XLOOKUP(Tb_Entregas[[#This Row],[SEI]],Tb_Mapa[SEI],Tb_Mapa[CONSULTOR RESPONSÁVEL],"",0)</f>
        <v>Tony / Cris</v>
      </c>
    </row>
    <row r="174" spans="1:10" ht="30" hidden="1">
      <c r="A174" s="436" t="s">
        <v>112</v>
      </c>
      <c r="B174" s="440" t="str">
        <f>_xlfn.XLOOKUP(Tb_Entregas[[#This Row],[SEI]],Tb_Portfólio[SEI],Tb_Portfólio[PROJETO],"",0)</f>
        <v>Programa Nacional de Promoção da Equidade Racial no Poder Judiciário - 2024</v>
      </c>
      <c r="C174" s="438" t="s">
        <v>1932</v>
      </c>
      <c r="D174" s="443">
        <v>46011</v>
      </c>
      <c r="E174" s="443">
        <v>45646</v>
      </c>
      <c r="F174" s="441">
        <v>1</v>
      </c>
      <c r="G174" s="444">
        <v>0</v>
      </c>
      <c r="H174" s="444">
        <v>0</v>
      </c>
      <c r="I174" s="436" t="str">
        <f>_xlfn.XLOOKUP(Tb_Entregas[[#This Row],[SEI]],Tb_Mapa[SEI],Tb_Mapa[CONSULTOR RESPONSÁVEL],"",0)</f>
        <v>Tony / Cris</v>
      </c>
    </row>
    <row r="175" spans="1:10" ht="30">
      <c r="A175" s="436" t="s">
        <v>141</v>
      </c>
      <c r="B175" s="436" t="str">
        <f>_xlfn.XLOOKUP(Tb_Entregas[[#This Row],[SEI]],Tb_Portfólio[SEI],Tb_Portfólio[PROJETO],"",0)</f>
        <v>6ª edição da Série Justiça e pesquisa</v>
      </c>
      <c r="C175" s="438" t="s">
        <v>1933</v>
      </c>
      <c r="D175" s="443">
        <v>45455</v>
      </c>
      <c r="E175" s="443">
        <v>45455</v>
      </c>
      <c r="F175" s="441">
        <v>1</v>
      </c>
      <c r="G175" s="442">
        <v>419669.28</v>
      </c>
      <c r="H175" s="442">
        <v>419669.28</v>
      </c>
      <c r="I175" s="436" t="str">
        <f>_xlfn.XLOOKUP(Tb_Entregas[[#This Row],[SEI]],Tb_Mapa[SEI],Tb_Mapa[CONSULTOR RESPONSÁVEL],"",0)</f>
        <v>Igor/Finalizado</v>
      </c>
    </row>
    <row r="176" spans="1:10" ht="45">
      <c r="A176" s="436" t="s">
        <v>141</v>
      </c>
      <c r="B176" s="436" t="str">
        <f>_xlfn.XLOOKUP(Tb_Entregas[[#This Row],[SEI]],Tb_Portfólio[SEI],Tb_Portfólio[PROJETO],"",0)</f>
        <v>6ª edição da Série Justiça e pesquisa</v>
      </c>
      <c r="C176" s="438" t="s">
        <v>1934</v>
      </c>
      <c r="D176" s="443">
        <v>45486</v>
      </c>
      <c r="E176" s="443">
        <v>45488</v>
      </c>
      <c r="F176" s="441">
        <v>1</v>
      </c>
      <c r="G176" s="442">
        <v>419669.28</v>
      </c>
      <c r="H176" s="442">
        <v>419669.28</v>
      </c>
      <c r="I176" s="436" t="str">
        <f>_xlfn.XLOOKUP(Tb_Entregas[[#This Row],[SEI]],Tb_Mapa[SEI],Tb_Mapa[CONSULTOR RESPONSÁVEL],"",0)</f>
        <v>Igor/Finalizado</v>
      </c>
    </row>
    <row r="177" spans="1:9" ht="30">
      <c r="A177" s="436" t="s">
        <v>141</v>
      </c>
      <c r="B177" s="436" t="str">
        <f>_xlfn.XLOOKUP(Tb_Entregas[[#This Row],[SEI]],Tb_Portfólio[SEI],Tb_Portfólio[PROJETO],"",0)</f>
        <v>6ª edição da Série Justiça e pesquisa</v>
      </c>
      <c r="C177" s="438" t="s">
        <v>1935</v>
      </c>
      <c r="D177" s="443">
        <v>45544</v>
      </c>
      <c r="E177" s="443">
        <v>45544</v>
      </c>
      <c r="F177" s="441">
        <v>1</v>
      </c>
      <c r="G177" s="442">
        <v>419669.28</v>
      </c>
      <c r="H177" s="442">
        <v>360711.96</v>
      </c>
      <c r="I177" s="436" t="str">
        <f>_xlfn.XLOOKUP(Tb_Entregas[[#This Row],[SEI]],Tb_Mapa[SEI],Tb_Mapa[CONSULTOR RESPONSÁVEL],"",0)</f>
        <v>Igor/Finalizado</v>
      </c>
    </row>
    <row r="178" spans="1:9" ht="45">
      <c r="A178" s="436" t="s">
        <v>141</v>
      </c>
      <c r="B178" s="436" t="str">
        <f>_xlfn.XLOOKUP(Tb_Entregas[[#This Row],[SEI]],Tb_Portfólio[SEI],Tb_Portfólio[PROJETO],"",0)</f>
        <v>6ª edição da Série Justiça e pesquisa</v>
      </c>
      <c r="C178" s="438" t="s">
        <v>1936</v>
      </c>
      <c r="D178" s="443">
        <v>45509</v>
      </c>
      <c r="E178" s="443">
        <v>45509</v>
      </c>
      <c r="F178" s="441">
        <v>1</v>
      </c>
      <c r="G178" s="442">
        <v>419669.28</v>
      </c>
      <c r="H178" s="442">
        <v>416850</v>
      </c>
      <c r="I178" s="436" t="str">
        <f>_xlfn.XLOOKUP(Tb_Entregas[[#This Row],[SEI]],Tb_Mapa[SEI],Tb_Mapa[CONSULTOR RESPONSÁVEL],"",0)</f>
        <v>Igor/Finalizado</v>
      </c>
    </row>
    <row r="179" spans="1:9" ht="45">
      <c r="A179" s="436" t="s">
        <v>141</v>
      </c>
      <c r="B179" s="436" t="str">
        <f>_xlfn.XLOOKUP(Tb_Entregas[[#This Row],[SEI]],Tb_Portfólio[SEI],Tb_Portfólio[PROJETO],"",0)</f>
        <v>6ª edição da Série Justiça e pesquisa</v>
      </c>
      <c r="C179" s="438" t="s">
        <v>1937</v>
      </c>
      <c r="D179" s="443">
        <v>45488</v>
      </c>
      <c r="E179" s="443">
        <v>45488</v>
      </c>
      <c r="F179" s="441">
        <v>1</v>
      </c>
      <c r="G179" s="442">
        <v>419669.28</v>
      </c>
      <c r="H179" s="442">
        <v>405000</v>
      </c>
      <c r="I179" s="436" t="str">
        <f>_xlfn.XLOOKUP(Tb_Entregas[[#This Row],[SEI]],Tb_Mapa[SEI],Tb_Mapa[CONSULTOR RESPONSÁVEL],"",0)</f>
        <v>Igor/Finalizado</v>
      </c>
    </row>
    <row r="180" spans="1:9" ht="45">
      <c r="A180" s="436" t="s">
        <v>141</v>
      </c>
      <c r="B180" s="436" t="str">
        <f>_xlfn.XLOOKUP(Tb_Entregas[[#This Row],[SEI]],Tb_Portfólio[SEI],Tb_Portfólio[PROJETO],"",0)</f>
        <v>6ª edição da Série Justiça e pesquisa</v>
      </c>
      <c r="C180" s="438" t="s">
        <v>1938</v>
      </c>
      <c r="D180" s="443">
        <v>45550</v>
      </c>
      <c r="E180" s="443">
        <v>45551</v>
      </c>
      <c r="F180" s="441">
        <v>1</v>
      </c>
      <c r="G180" s="442">
        <v>419669.28</v>
      </c>
      <c r="H180" s="442">
        <v>385000</v>
      </c>
      <c r="I180" s="436" t="str">
        <f>_xlfn.XLOOKUP(Tb_Entregas[[#This Row],[SEI]],Tb_Mapa[SEI],Tb_Mapa[CONSULTOR RESPONSÁVEL],"",0)</f>
        <v>Igor/Finalizado</v>
      </c>
    </row>
    <row r="181" spans="1:9">
      <c r="A181" s="436" t="s">
        <v>247</v>
      </c>
      <c r="B181" s="436" t="str">
        <f>_xlfn.XLOOKUP(Tb_Entregas[[#This Row],[SEI]],Tb_Portfólio[SEI],Tb_Portfólio[PROJETO],"",0)</f>
        <v>Portal de Serviços</v>
      </c>
      <c r="C181" s="438" t="s">
        <v>1939</v>
      </c>
      <c r="D181" s="443">
        <v>45352</v>
      </c>
      <c r="E181" s="443">
        <v>45454</v>
      </c>
      <c r="F181" s="441">
        <v>1</v>
      </c>
      <c r="G181" s="444">
        <v>0</v>
      </c>
      <c r="H181" s="444">
        <v>0</v>
      </c>
      <c r="I181" s="436" t="s">
        <v>1715</v>
      </c>
    </row>
    <row r="182" spans="1:9" ht="30">
      <c r="A182" s="436" t="s">
        <v>247</v>
      </c>
      <c r="B182" s="436" t="str">
        <f>_xlfn.XLOOKUP(Tb_Entregas[[#This Row],[SEI]],Tb_Portfólio[SEI],Tb_Portfólio[PROJETO],"",0)</f>
        <v>Portal de Serviços</v>
      </c>
      <c r="C182" s="438" t="s">
        <v>1940</v>
      </c>
      <c r="D182" s="443">
        <v>45397</v>
      </c>
      <c r="E182" s="443">
        <v>45636</v>
      </c>
      <c r="F182" s="441">
        <v>1</v>
      </c>
      <c r="G182" s="444">
        <v>0</v>
      </c>
      <c r="H182" s="444">
        <v>0</v>
      </c>
      <c r="I182" s="436" t="s">
        <v>1715</v>
      </c>
    </row>
    <row r="183" spans="1:9" ht="30">
      <c r="A183" s="436" t="s">
        <v>247</v>
      </c>
      <c r="B183" s="436" t="str">
        <f>_xlfn.XLOOKUP(Tb_Entregas[[#This Row],[SEI]],Tb_Portfólio[SEI],Tb_Portfólio[PROJETO],"",0)</f>
        <v>Portal de Serviços</v>
      </c>
      <c r="C183" s="438" t="s">
        <v>1941</v>
      </c>
      <c r="D183" s="443">
        <v>45412</v>
      </c>
      <c r="E183" s="438"/>
      <c r="F183" s="441">
        <v>0.75</v>
      </c>
      <c r="G183" s="444">
        <v>0</v>
      </c>
      <c r="H183" s="444">
        <v>0</v>
      </c>
      <c r="I183" s="436" t="s">
        <v>1715</v>
      </c>
    </row>
    <row r="184" spans="1:9" ht="30">
      <c r="A184" s="436" t="s">
        <v>247</v>
      </c>
      <c r="B184" s="436" t="str">
        <f>_xlfn.XLOOKUP(Tb_Entregas[[#This Row],[SEI]],Tb_Portfólio[SEI],Tb_Portfólio[PROJETO],"",0)</f>
        <v>Portal de Serviços</v>
      </c>
      <c r="C184" s="438" t="s">
        <v>1942</v>
      </c>
      <c r="D184" s="443">
        <v>45427</v>
      </c>
      <c r="E184" s="438"/>
      <c r="F184" s="441">
        <v>0.75</v>
      </c>
      <c r="G184" s="444">
        <v>0</v>
      </c>
      <c r="H184" s="444">
        <v>0</v>
      </c>
      <c r="I184" s="436" t="s">
        <v>1715</v>
      </c>
    </row>
    <row r="185" spans="1:9" ht="30">
      <c r="A185" s="436" t="s">
        <v>247</v>
      </c>
      <c r="B185" s="436" t="str">
        <f>_xlfn.XLOOKUP(Tb_Entregas[[#This Row],[SEI]],Tb_Portfólio[SEI],Tb_Portfólio[PROJETO],"",0)</f>
        <v>Portal de Serviços</v>
      </c>
      <c r="C185" s="438" t="s">
        <v>1943</v>
      </c>
      <c r="D185" s="443">
        <v>45458</v>
      </c>
      <c r="E185" s="443">
        <v>45623</v>
      </c>
      <c r="F185" s="441">
        <v>1</v>
      </c>
      <c r="G185" s="444">
        <v>0</v>
      </c>
      <c r="H185" s="444">
        <v>0</v>
      </c>
      <c r="I185" s="436" t="s">
        <v>1715</v>
      </c>
    </row>
    <row r="186" spans="1:9" ht="30">
      <c r="A186" s="436" t="s">
        <v>247</v>
      </c>
      <c r="B186" s="436" t="str">
        <f>_xlfn.XLOOKUP(Tb_Entregas[[#This Row],[SEI]],Tb_Portfólio[SEI],Tb_Portfólio[PROJETO],"",0)</f>
        <v>Portal de Serviços</v>
      </c>
      <c r="C186" s="438" t="s">
        <v>1944</v>
      </c>
      <c r="D186" s="443">
        <v>45504</v>
      </c>
      <c r="E186" s="443">
        <v>45623</v>
      </c>
      <c r="F186" s="441">
        <v>1</v>
      </c>
      <c r="G186" s="444">
        <v>0</v>
      </c>
      <c r="H186" s="444">
        <v>0</v>
      </c>
      <c r="I186" s="436" t="s">
        <v>1715</v>
      </c>
    </row>
    <row r="187" spans="1:9" ht="30">
      <c r="A187" s="436" t="s">
        <v>247</v>
      </c>
      <c r="B187" s="436" t="str">
        <f>_xlfn.XLOOKUP(Tb_Entregas[[#This Row],[SEI]],Tb_Portfólio[SEI],Tb_Portfólio[PROJETO],"",0)</f>
        <v>Portal de Serviços</v>
      </c>
      <c r="C187" s="438" t="s">
        <v>1945</v>
      </c>
      <c r="D187" s="443">
        <v>45504</v>
      </c>
      <c r="E187" s="443">
        <v>45623</v>
      </c>
      <c r="F187" s="441">
        <v>1</v>
      </c>
      <c r="G187" s="444">
        <v>0</v>
      </c>
      <c r="H187" s="444">
        <v>0</v>
      </c>
      <c r="I187" s="436" t="s">
        <v>1715</v>
      </c>
    </row>
    <row r="188" spans="1:9" ht="30">
      <c r="A188" s="436" t="s">
        <v>247</v>
      </c>
      <c r="B188" s="436" t="str">
        <f>_xlfn.XLOOKUP(Tb_Entregas[[#This Row],[SEI]],Tb_Portfólio[SEI],Tb_Portfólio[PROJETO],"",0)</f>
        <v>Portal de Serviços</v>
      </c>
      <c r="C188" s="438" t="s">
        <v>1946</v>
      </c>
      <c r="D188" s="443">
        <v>45550</v>
      </c>
      <c r="E188" s="443">
        <v>45623</v>
      </c>
      <c r="F188" s="441">
        <v>1</v>
      </c>
      <c r="G188" s="444">
        <v>0</v>
      </c>
      <c r="H188" s="444">
        <v>0</v>
      </c>
      <c r="I188" s="436" t="s">
        <v>1715</v>
      </c>
    </row>
    <row r="189" spans="1:9" ht="30">
      <c r="A189" s="436" t="s">
        <v>247</v>
      </c>
      <c r="B189" s="436" t="str">
        <f>_xlfn.XLOOKUP(Tb_Entregas[[#This Row],[SEI]],Tb_Portfólio[SEI],Tb_Portfólio[PROJETO],"",0)</f>
        <v>Portal de Serviços</v>
      </c>
      <c r="C189" s="438" t="s">
        <v>1947</v>
      </c>
      <c r="D189" s="443">
        <v>45565</v>
      </c>
      <c r="E189" s="443">
        <v>45626</v>
      </c>
      <c r="F189" s="441">
        <v>1</v>
      </c>
      <c r="G189" s="444">
        <v>0</v>
      </c>
      <c r="H189" s="444">
        <v>0</v>
      </c>
      <c r="I189" s="436" t="s">
        <v>1715</v>
      </c>
    </row>
    <row r="190" spans="1:9" ht="30">
      <c r="A190" s="436" t="s">
        <v>247</v>
      </c>
      <c r="B190" s="436" t="str">
        <f>_xlfn.XLOOKUP(Tb_Entregas[[#This Row],[SEI]],Tb_Portfólio[SEI],Tb_Portfólio[PROJETO],"",0)</f>
        <v>Portal de Serviços</v>
      </c>
      <c r="C190" s="438" t="s">
        <v>1948</v>
      </c>
      <c r="D190" s="443">
        <v>45580</v>
      </c>
      <c r="E190" s="443">
        <v>45623</v>
      </c>
      <c r="F190" s="441">
        <v>1</v>
      </c>
      <c r="G190" s="444">
        <v>0</v>
      </c>
      <c r="H190" s="444">
        <v>0</v>
      </c>
      <c r="I190" s="436" t="s">
        <v>1715</v>
      </c>
    </row>
    <row r="191" spans="1:9" ht="30">
      <c r="A191" s="436" t="s">
        <v>247</v>
      </c>
      <c r="B191" s="436" t="str">
        <f>_xlfn.XLOOKUP(Tb_Entregas[[#This Row],[SEI]],Tb_Portfólio[SEI],Tb_Portfólio[PROJETO],"",0)</f>
        <v>Portal de Serviços</v>
      </c>
      <c r="C191" s="438" t="s">
        <v>1949</v>
      </c>
      <c r="D191" s="443">
        <v>45611</v>
      </c>
      <c r="E191" s="443">
        <v>45626</v>
      </c>
      <c r="F191" s="441">
        <v>1</v>
      </c>
      <c r="G191" s="444">
        <v>0</v>
      </c>
      <c r="H191" s="444">
        <v>0</v>
      </c>
      <c r="I191" s="436" t="s">
        <v>1715</v>
      </c>
    </row>
    <row r="192" spans="1:9" ht="30">
      <c r="A192" s="436" t="s">
        <v>247</v>
      </c>
      <c r="B192" s="436" t="str">
        <f>_xlfn.XLOOKUP(Tb_Entregas[[#This Row],[SEI]],Tb_Portfólio[SEI],Tb_Portfólio[PROJETO],"",0)</f>
        <v>Portal de Serviços</v>
      </c>
      <c r="C192" s="438" t="s">
        <v>1950</v>
      </c>
      <c r="D192" s="443">
        <v>45702</v>
      </c>
      <c r="E192" s="438"/>
      <c r="F192" s="441">
        <v>0.75</v>
      </c>
      <c r="G192" s="444">
        <v>0</v>
      </c>
      <c r="H192" s="444">
        <v>0</v>
      </c>
      <c r="I192" s="436" t="s">
        <v>1715</v>
      </c>
    </row>
    <row r="193" spans="1:9" ht="30">
      <c r="A193" s="436" t="s">
        <v>247</v>
      </c>
      <c r="B193" s="436" t="str">
        <f>_xlfn.XLOOKUP(Tb_Entregas[[#This Row],[SEI]],Tb_Portfólio[SEI],Tb_Portfólio[PROJETO],"",0)</f>
        <v>Portal de Serviços</v>
      </c>
      <c r="C193" s="438" t="s">
        <v>1951</v>
      </c>
      <c r="D193" s="443">
        <v>45716</v>
      </c>
      <c r="E193" s="438"/>
      <c r="F193" s="441">
        <v>0.25</v>
      </c>
      <c r="G193" s="444">
        <v>0</v>
      </c>
      <c r="H193" s="444">
        <v>0</v>
      </c>
      <c r="I193" s="436" t="s">
        <v>1715</v>
      </c>
    </row>
    <row r="194" spans="1:9" ht="45">
      <c r="A194" s="436" t="s">
        <v>247</v>
      </c>
      <c r="B194" s="436" t="str">
        <f>_xlfn.XLOOKUP(Tb_Entregas[[#This Row],[SEI]],Tb_Portfólio[SEI],Tb_Portfólio[PROJETO],"",0)</f>
        <v>Portal de Serviços</v>
      </c>
      <c r="C194" s="438" t="s">
        <v>1952</v>
      </c>
      <c r="D194" s="443">
        <v>45748</v>
      </c>
      <c r="E194" s="438"/>
      <c r="F194" s="441">
        <v>0</v>
      </c>
      <c r="G194" s="444">
        <v>0</v>
      </c>
      <c r="H194" s="444">
        <v>0</v>
      </c>
      <c r="I194" s="436" t="s">
        <v>1715</v>
      </c>
    </row>
    <row r="195" spans="1:9" ht="30">
      <c r="A195" s="436" t="s">
        <v>247</v>
      </c>
      <c r="B195" s="436" t="str">
        <f>_xlfn.XLOOKUP(Tb_Entregas[[#This Row],[SEI]],Tb_Portfólio[SEI],Tb_Portfólio[PROJETO],"",0)</f>
        <v>Portal de Serviços</v>
      </c>
      <c r="C195" s="438" t="s">
        <v>1953</v>
      </c>
      <c r="D195" s="443">
        <v>45823</v>
      </c>
      <c r="E195" s="438"/>
      <c r="F195" s="441">
        <v>0</v>
      </c>
      <c r="G195" s="444">
        <v>0</v>
      </c>
      <c r="H195" s="444">
        <v>0</v>
      </c>
      <c r="I195" s="436" t="s">
        <v>1715</v>
      </c>
    </row>
    <row r="196" spans="1:9" ht="30">
      <c r="A196" s="436" t="s">
        <v>247</v>
      </c>
      <c r="B196" s="436" t="str">
        <f>_xlfn.XLOOKUP(Tb_Entregas[[#This Row],[SEI]],Tb_Portfólio[SEI],Tb_Portfólio[PROJETO],"",0)</f>
        <v>Portal de Serviços</v>
      </c>
      <c r="C196" s="438" t="s">
        <v>1954</v>
      </c>
      <c r="D196" s="443">
        <v>45838</v>
      </c>
      <c r="E196" s="438"/>
      <c r="F196" s="441">
        <v>0.25</v>
      </c>
      <c r="G196" s="444">
        <v>0</v>
      </c>
      <c r="H196" s="444">
        <v>0</v>
      </c>
      <c r="I196" s="436" t="s">
        <v>1715</v>
      </c>
    </row>
    <row r="197" spans="1:9" ht="60">
      <c r="A197" s="436" t="s">
        <v>266</v>
      </c>
      <c r="B197" s="436" t="str">
        <f>_xlfn.XLOOKUP(Tb_Entregas[[#This Row],[SEI]],Tb_Portfólio[SEI],Tb_Portfólio[PROJETO],"",0)</f>
        <v>Itinerância Cooperativa na Amazônia Legal – 1ª Edição de 2024 – Humaitá e Lábrea/AM</v>
      </c>
      <c r="C197" s="438" t="s">
        <v>1955</v>
      </c>
      <c r="D197" s="443">
        <v>45714</v>
      </c>
      <c r="E197" s="443">
        <v>45714</v>
      </c>
      <c r="F197" s="441">
        <v>1</v>
      </c>
      <c r="G197" s="444">
        <v>0</v>
      </c>
      <c r="H197" s="444">
        <v>0</v>
      </c>
      <c r="I197" s="436" t="str">
        <f>_xlfn.XLOOKUP(Tb_Entregas[[#This Row],[SEI]],Tb_Mapa[SEI],Tb_Mapa[CONSULTOR RESPONSÁVEL],"",0)</f>
        <v>Igor/Finalizado</v>
      </c>
    </row>
    <row r="198" spans="1:9" ht="30">
      <c r="A198" s="436" t="s">
        <v>266</v>
      </c>
      <c r="B198" s="436" t="str">
        <f>_xlfn.XLOOKUP(Tb_Entregas[[#This Row],[SEI]],Tb_Portfólio[SEI],Tb_Portfólio[PROJETO],"",0)</f>
        <v>Itinerância Cooperativa na Amazônia Legal – 1ª Edição de 2024 – Humaitá e Lábrea/AM</v>
      </c>
      <c r="C198" s="438" t="s">
        <v>1956</v>
      </c>
      <c r="D198" s="443">
        <v>45714</v>
      </c>
      <c r="E198" s="443">
        <v>45714</v>
      </c>
      <c r="F198" s="441">
        <v>1</v>
      </c>
      <c r="G198" s="444">
        <v>0</v>
      </c>
      <c r="H198" s="444">
        <v>0</v>
      </c>
      <c r="I198" s="436" t="str">
        <f>_xlfn.XLOOKUP(Tb_Entregas[[#This Row],[SEI]],Tb_Mapa[SEI],Tb_Mapa[CONSULTOR RESPONSÁVEL],"",0)</f>
        <v>Igor/Finalizado</v>
      </c>
    </row>
    <row r="199" spans="1:9">
      <c r="A199" s="436" t="s">
        <v>273</v>
      </c>
      <c r="B199" s="436" t="str">
        <f>_xlfn.XLOOKUP(Tb_Entregas[[#This Row],[SEI]],Tb_Portfólio[SEI],Tb_Portfólio[PROJETO],"",0)</f>
        <v>SNA – Novo Sistema Nacional de Adoção e Acolhimento</v>
      </c>
      <c r="C199" s="438" t="s">
        <v>1957</v>
      </c>
      <c r="D199" s="443">
        <v>45569</v>
      </c>
      <c r="E199" s="443">
        <v>45594</v>
      </c>
      <c r="F199" s="441">
        <v>1</v>
      </c>
      <c r="G199" s="444">
        <v>0</v>
      </c>
      <c r="H199" s="444">
        <v>0</v>
      </c>
      <c r="I199" s="436" t="str">
        <f>_xlfn.XLOOKUP(Tb_Entregas[[#This Row],[SEI]],Tb_Mapa[SEI],Tb_Mapa[CONSULTOR RESPONSÁVEL],"",0)</f>
        <v>Igor</v>
      </c>
    </row>
    <row r="200" spans="1:9">
      <c r="A200" s="436" t="s">
        <v>273</v>
      </c>
      <c r="B200" s="436" t="str">
        <f>_xlfn.XLOOKUP(Tb_Entregas[[#This Row],[SEI]],Tb_Portfólio[SEI],Tb_Portfólio[PROJETO],"",0)</f>
        <v>SNA – Novo Sistema Nacional de Adoção e Acolhimento</v>
      </c>
      <c r="C200" s="438" t="s">
        <v>1958</v>
      </c>
      <c r="D200" s="443">
        <v>45551</v>
      </c>
      <c r="E200" s="438"/>
      <c r="F200" s="441">
        <v>0.57999999999999996</v>
      </c>
      <c r="G200" s="444">
        <v>0</v>
      </c>
      <c r="H200" s="444">
        <v>0</v>
      </c>
      <c r="I200" s="436" t="str">
        <f>_xlfn.XLOOKUP(Tb_Entregas[[#This Row],[SEI]],Tb_Mapa[SEI],Tb_Mapa[CONSULTOR RESPONSÁVEL],"",0)</f>
        <v>Igor</v>
      </c>
    </row>
    <row r="201" spans="1:9">
      <c r="A201" s="436" t="s">
        <v>273</v>
      </c>
      <c r="B201" s="436" t="str">
        <f>_xlfn.XLOOKUP(Tb_Entregas[[#This Row],[SEI]],Tb_Portfólio[SEI],Tb_Portfólio[PROJETO],"",0)</f>
        <v>SNA – Novo Sistema Nacional de Adoção e Acolhimento</v>
      </c>
      <c r="C201" s="438" t="s">
        <v>1959</v>
      </c>
      <c r="D201" s="443">
        <v>45639</v>
      </c>
      <c r="E201" s="438"/>
      <c r="F201" s="441">
        <v>0</v>
      </c>
      <c r="G201" s="444">
        <v>0</v>
      </c>
      <c r="H201" s="444">
        <v>0</v>
      </c>
      <c r="I201" s="436" t="str">
        <f>_xlfn.XLOOKUP(Tb_Entregas[[#This Row],[SEI]],Tb_Mapa[SEI],Tb_Mapa[CONSULTOR RESPONSÁVEL],"",0)</f>
        <v>Igor</v>
      </c>
    </row>
    <row r="202" spans="1:9">
      <c r="A202" s="436" t="s">
        <v>273</v>
      </c>
      <c r="B202" s="436" t="str">
        <f>_xlfn.XLOOKUP(Tb_Entregas[[#This Row],[SEI]],Tb_Portfólio[SEI],Tb_Portfólio[PROJETO],"",0)</f>
        <v>SNA – Novo Sistema Nacional de Adoção e Acolhimento</v>
      </c>
      <c r="C202" s="438" t="s">
        <v>1960</v>
      </c>
      <c r="D202" s="443">
        <v>45639</v>
      </c>
      <c r="E202" s="438"/>
      <c r="F202" s="441">
        <v>0</v>
      </c>
      <c r="G202" s="444">
        <v>0</v>
      </c>
      <c r="H202" s="444">
        <v>0</v>
      </c>
      <c r="I202" s="436" t="str">
        <f>_xlfn.XLOOKUP(Tb_Entregas[[#This Row],[SEI]],Tb_Mapa[SEI],Tb_Mapa[CONSULTOR RESPONSÁVEL],"",0)</f>
        <v>Igor</v>
      </c>
    </row>
    <row r="203" spans="1:9">
      <c r="A203" s="436" t="s">
        <v>273</v>
      </c>
      <c r="B203" s="436" t="str">
        <f>_xlfn.XLOOKUP(Tb_Entregas[[#This Row],[SEI]],Tb_Portfólio[SEI],Tb_Portfólio[PROJETO],"",0)</f>
        <v>SNA – Novo Sistema Nacional de Adoção e Acolhimento</v>
      </c>
      <c r="C203" s="438" t="s">
        <v>1961</v>
      </c>
      <c r="D203" s="443">
        <v>45747</v>
      </c>
      <c r="E203" s="438"/>
      <c r="F203" s="441">
        <v>0</v>
      </c>
      <c r="G203" s="444">
        <v>0</v>
      </c>
      <c r="H203" s="444">
        <v>0</v>
      </c>
      <c r="I203" s="436" t="str">
        <f>_xlfn.XLOOKUP(Tb_Entregas[[#This Row],[SEI]],Tb_Mapa[SEI],Tb_Mapa[CONSULTOR RESPONSÁVEL],"",0)</f>
        <v>Igor</v>
      </c>
    </row>
    <row r="204" spans="1:9" ht="30">
      <c r="A204" s="436" t="s">
        <v>273</v>
      </c>
      <c r="B204" s="436" t="str">
        <f>_xlfn.XLOOKUP(Tb_Entregas[[#This Row],[SEI]],Tb_Portfólio[SEI],Tb_Portfólio[PROJETO],"",0)</f>
        <v>SNA – Novo Sistema Nacional de Adoção e Acolhimento</v>
      </c>
      <c r="C204" s="438" t="s">
        <v>1962</v>
      </c>
      <c r="D204" s="443">
        <v>45786</v>
      </c>
      <c r="E204" s="438"/>
      <c r="F204" s="441">
        <v>0</v>
      </c>
      <c r="G204" s="444">
        <v>0</v>
      </c>
      <c r="H204" s="444">
        <v>0</v>
      </c>
      <c r="I204" s="436" t="str">
        <f>_xlfn.XLOOKUP(Tb_Entregas[[#This Row],[SEI]],Tb_Mapa[SEI],Tb_Mapa[CONSULTOR RESPONSÁVEL],"",0)</f>
        <v>Igor</v>
      </c>
    </row>
    <row r="205" spans="1:9">
      <c r="A205" s="436" t="s">
        <v>273</v>
      </c>
      <c r="B205" s="436" t="str">
        <f>_xlfn.XLOOKUP(Tb_Entregas[[#This Row],[SEI]],Tb_Portfólio[SEI],Tb_Portfólio[PROJETO],"",0)</f>
        <v>SNA – Novo Sistema Nacional de Adoção e Acolhimento</v>
      </c>
      <c r="C205" s="438" t="s">
        <v>1963</v>
      </c>
      <c r="D205" s="443">
        <v>45884</v>
      </c>
      <c r="E205" s="438"/>
      <c r="F205" s="441">
        <v>0</v>
      </c>
      <c r="G205" s="444">
        <v>0</v>
      </c>
      <c r="H205" s="444">
        <v>0</v>
      </c>
      <c r="I205" s="436" t="str">
        <f>_xlfn.XLOOKUP(Tb_Entregas[[#This Row],[SEI]],Tb_Mapa[SEI],Tb_Mapa[CONSULTOR RESPONSÁVEL],"",0)</f>
        <v>Igor</v>
      </c>
    </row>
    <row r="206" spans="1:9">
      <c r="A206" s="436" t="s">
        <v>273</v>
      </c>
      <c r="B206" s="436" t="str">
        <f>_xlfn.XLOOKUP(Tb_Entregas[[#This Row],[SEI]],Tb_Portfólio[SEI],Tb_Portfólio[PROJETO],"",0)</f>
        <v>SNA – Novo Sistema Nacional de Adoção e Acolhimento</v>
      </c>
      <c r="C206" s="438" t="s">
        <v>1964</v>
      </c>
      <c r="D206" s="443">
        <v>46003</v>
      </c>
      <c r="E206" s="438"/>
      <c r="F206" s="441">
        <v>0</v>
      </c>
      <c r="G206" s="444">
        <v>0</v>
      </c>
      <c r="H206" s="444">
        <v>0</v>
      </c>
      <c r="I206" s="436" t="str">
        <f>_xlfn.XLOOKUP(Tb_Entregas[[#This Row],[SEI]],Tb_Mapa[SEI],Tb_Mapa[CONSULTOR RESPONSÁVEL],"",0)</f>
        <v>Igor</v>
      </c>
    </row>
    <row r="207" spans="1:9" ht="45" hidden="1">
      <c r="A207" s="436" t="s">
        <v>310</v>
      </c>
      <c r="B207" s="436" t="str">
        <f>_xlfn.XLOOKUP(Tb_Entregas[[#This Row],[SEI]],Tb_Portfólio[SEI],Tb_Portfólio[PROJETO],"",0)</f>
        <v>Apoio a implantação de soluções da PDPJ-Br</v>
      </c>
      <c r="C207" s="438" t="s">
        <v>1965</v>
      </c>
      <c r="D207" s="443">
        <v>45869</v>
      </c>
      <c r="E207" s="438"/>
      <c r="F207" s="441">
        <v>0.65</v>
      </c>
      <c r="G207" s="444">
        <v>0</v>
      </c>
      <c r="H207" s="444">
        <v>0</v>
      </c>
      <c r="I207" s="436" t="str">
        <f>_xlfn.XLOOKUP(Tb_Entregas[[#This Row],[SEI]],Tb_Mapa[SEI],Tb_Mapa[CONSULTOR RESPONSÁVEL],"",0)</f>
        <v>juloi</v>
      </c>
    </row>
    <row r="208" spans="1:9" ht="45" hidden="1">
      <c r="A208" s="436" t="s">
        <v>310</v>
      </c>
      <c r="B208" s="436" t="str">
        <f>_xlfn.XLOOKUP(Tb_Entregas[[#This Row],[SEI]],Tb_Portfólio[SEI],Tb_Portfólio[PROJETO],"",0)</f>
        <v>Apoio a implantação de soluções da PDPJ-Br</v>
      </c>
      <c r="C208" s="438" t="s">
        <v>1966</v>
      </c>
      <c r="D208" s="443">
        <v>45839</v>
      </c>
      <c r="E208" s="438"/>
      <c r="F208" s="441">
        <v>0.62</v>
      </c>
      <c r="G208" s="444">
        <v>0</v>
      </c>
      <c r="H208" s="444">
        <v>0</v>
      </c>
      <c r="I208" s="436" t="str">
        <f>_xlfn.XLOOKUP(Tb_Entregas[[#This Row],[SEI]],Tb_Mapa[SEI],Tb_Mapa[CONSULTOR RESPONSÁVEL],"",0)</f>
        <v>juloi</v>
      </c>
    </row>
    <row r="209" spans="1:9" ht="30" hidden="1">
      <c r="A209" s="436" t="s">
        <v>350</v>
      </c>
      <c r="B209" s="436" t="str">
        <f>_xlfn.XLOOKUP(Tb_Entregas[[#This Row],[SEI]],Tb_Portfólio[SEI],Tb_Portfólio[PROJETO],"",0)</f>
        <v>Painel de Estatística   - Justiça 4.0</v>
      </c>
      <c r="C209" s="438" t="s">
        <v>1967</v>
      </c>
      <c r="D209" s="443">
        <v>44377</v>
      </c>
      <c r="E209" s="443">
        <v>44407</v>
      </c>
      <c r="F209" s="441">
        <v>1</v>
      </c>
      <c r="G209" s="444">
        <v>0</v>
      </c>
      <c r="H209" s="444">
        <v>0</v>
      </c>
      <c r="I209" s="436" t="str">
        <f>_xlfn.XLOOKUP(Tb_Entregas[[#This Row],[SEI]],Tb_Mapa[SEI],Tb_Mapa[CONSULTOR RESPONSÁVEL],"",0)</f>
        <v>Tony</v>
      </c>
    </row>
    <row r="210" spans="1:9" hidden="1">
      <c r="A210" s="436" t="s">
        <v>350</v>
      </c>
      <c r="B210" s="436" t="str">
        <f>_xlfn.XLOOKUP(Tb_Entregas[[#This Row],[SEI]],Tb_Portfólio[SEI],Tb_Portfólio[PROJETO],"",0)</f>
        <v>Painel de Estatística   - Justiça 4.0</v>
      </c>
      <c r="C210" s="438" t="s">
        <v>1968</v>
      </c>
      <c r="D210" s="443">
        <v>44530</v>
      </c>
      <c r="E210" s="443">
        <v>44317</v>
      </c>
      <c r="F210" s="441">
        <v>1</v>
      </c>
      <c r="G210" s="444">
        <v>0</v>
      </c>
      <c r="H210" s="444">
        <v>0</v>
      </c>
      <c r="I210" s="436" t="str">
        <f>_xlfn.XLOOKUP(Tb_Entregas[[#This Row],[SEI]],Tb_Mapa[SEI],Tb_Mapa[CONSULTOR RESPONSÁVEL],"",0)</f>
        <v>Tony</v>
      </c>
    </row>
    <row r="211" spans="1:9" ht="30" hidden="1">
      <c r="A211" s="436" t="s">
        <v>350</v>
      </c>
      <c r="B211" s="436" t="str">
        <f>_xlfn.XLOOKUP(Tb_Entregas[[#This Row],[SEI]],Tb_Portfólio[SEI],Tb_Portfólio[PROJETO],"",0)</f>
        <v>Painel de Estatística   - Justiça 4.0</v>
      </c>
      <c r="C211" s="438" t="s">
        <v>1969</v>
      </c>
      <c r="D211" s="443">
        <v>44530</v>
      </c>
      <c r="E211" s="443">
        <v>44365</v>
      </c>
      <c r="F211" s="441">
        <v>1</v>
      </c>
      <c r="G211" s="444">
        <v>0</v>
      </c>
      <c r="H211" s="444">
        <v>0</v>
      </c>
      <c r="I211" s="436" t="str">
        <f>_xlfn.XLOOKUP(Tb_Entregas[[#This Row],[SEI]],Tb_Mapa[SEI],Tb_Mapa[CONSULTOR RESPONSÁVEL],"",0)</f>
        <v>Tony</v>
      </c>
    </row>
    <row r="212" spans="1:9" ht="30" hidden="1">
      <c r="A212" s="436" t="s">
        <v>350</v>
      </c>
      <c r="B212" s="436" t="str">
        <f>_xlfn.XLOOKUP(Tb_Entregas[[#This Row],[SEI]],Tb_Portfólio[SEI],Tb_Portfólio[PROJETO],"",0)</f>
        <v>Painel de Estatística   - Justiça 4.0</v>
      </c>
      <c r="C212" s="438" t="s">
        <v>1970</v>
      </c>
      <c r="D212" s="443">
        <v>44530</v>
      </c>
      <c r="E212" s="443">
        <v>44376</v>
      </c>
      <c r="F212" s="441">
        <v>1</v>
      </c>
      <c r="G212" s="444">
        <v>0</v>
      </c>
      <c r="H212" s="444">
        <v>0</v>
      </c>
      <c r="I212" s="436" t="str">
        <f>_xlfn.XLOOKUP(Tb_Entregas[[#This Row],[SEI]],Tb_Mapa[SEI],Tb_Mapa[CONSULTOR RESPONSÁVEL],"",0)</f>
        <v>Tony</v>
      </c>
    </row>
    <row r="213" spans="1:9" ht="30" hidden="1">
      <c r="A213" s="436" t="s">
        <v>350</v>
      </c>
      <c r="B213" s="436" t="str">
        <f>_xlfn.XLOOKUP(Tb_Entregas[[#This Row],[SEI]],Tb_Portfólio[SEI],Tb_Portfólio[PROJETO],"",0)</f>
        <v>Painel de Estatística   - Justiça 4.0</v>
      </c>
      <c r="C213" s="438" t="s">
        <v>1971</v>
      </c>
      <c r="D213" s="443">
        <v>44530</v>
      </c>
      <c r="E213" s="443">
        <v>44438</v>
      </c>
      <c r="F213" s="441">
        <v>0.93</v>
      </c>
      <c r="G213" s="444">
        <v>0</v>
      </c>
      <c r="H213" s="444">
        <v>0</v>
      </c>
      <c r="I213" s="436" t="str">
        <f>_xlfn.XLOOKUP(Tb_Entregas[[#This Row],[SEI]],Tb_Mapa[SEI],Tb_Mapa[CONSULTOR RESPONSÁVEL],"",0)</f>
        <v>Tony</v>
      </c>
    </row>
    <row r="214" spans="1:9" hidden="1">
      <c r="A214" s="436" t="s">
        <v>350</v>
      </c>
      <c r="B214" s="436" t="str">
        <f>_xlfn.XLOOKUP(Tb_Entregas[[#This Row],[SEI]],Tb_Portfólio[SEI],Tb_Portfólio[PROJETO],"",0)</f>
        <v>Painel de Estatística   - Justiça 4.0</v>
      </c>
      <c r="C214" s="438" t="s">
        <v>1972</v>
      </c>
      <c r="D214" s="443">
        <v>45265</v>
      </c>
      <c r="E214" s="438"/>
      <c r="F214" s="441">
        <v>0.75</v>
      </c>
      <c r="G214" s="444">
        <v>0</v>
      </c>
      <c r="H214" s="444">
        <v>0</v>
      </c>
      <c r="I214" s="436" t="str">
        <f>_xlfn.XLOOKUP(Tb_Entregas[[#This Row],[SEI]],Tb_Mapa[SEI],Tb_Mapa[CONSULTOR RESPONSÁVEL],"",0)</f>
        <v>Tony</v>
      </c>
    </row>
    <row r="215" spans="1:9" hidden="1">
      <c r="A215" s="436" t="s">
        <v>350</v>
      </c>
      <c r="B215" s="436" t="str">
        <f>_xlfn.XLOOKUP(Tb_Entregas[[#This Row],[SEI]],Tb_Portfólio[SEI],Tb_Portfólio[PROJETO],"",0)</f>
        <v>Painel de Estatística   - Justiça 4.0</v>
      </c>
      <c r="C215" s="438" t="s">
        <v>1973</v>
      </c>
      <c r="D215" s="443">
        <v>45261</v>
      </c>
      <c r="E215" s="438" t="s">
        <v>1974</v>
      </c>
      <c r="F215" s="441">
        <v>1</v>
      </c>
      <c r="G215" s="444">
        <v>0</v>
      </c>
      <c r="H215" s="444">
        <v>0</v>
      </c>
      <c r="I215" s="436" t="str">
        <f>_xlfn.XLOOKUP(Tb_Entregas[[#This Row],[SEI]],Tb_Mapa[SEI],Tb_Mapa[CONSULTOR RESPONSÁVEL],"",0)</f>
        <v>Tony</v>
      </c>
    </row>
    <row r="216" spans="1:9" hidden="1">
      <c r="A216" s="436" t="s">
        <v>350</v>
      </c>
      <c r="B216" s="436" t="str">
        <f>_xlfn.XLOOKUP(Tb_Entregas[[#This Row],[SEI]],Tb_Portfólio[SEI],Tb_Portfólio[PROJETO],"",0)</f>
        <v>Painel de Estatística   - Justiça 4.0</v>
      </c>
      <c r="C216" s="438" t="s">
        <v>1975</v>
      </c>
      <c r="D216" s="443">
        <v>45261</v>
      </c>
      <c r="E216" s="438" t="s">
        <v>1974</v>
      </c>
      <c r="F216" s="441">
        <v>1</v>
      </c>
      <c r="G216" s="444">
        <v>0</v>
      </c>
      <c r="H216" s="444">
        <v>0</v>
      </c>
      <c r="I216" s="436" t="str">
        <f>_xlfn.XLOOKUP(Tb_Entregas[[#This Row],[SEI]],Tb_Mapa[SEI],Tb_Mapa[CONSULTOR RESPONSÁVEL],"",0)</f>
        <v>Tony</v>
      </c>
    </row>
    <row r="217" spans="1:9" hidden="1">
      <c r="A217" s="436" t="s">
        <v>350</v>
      </c>
      <c r="B217" s="436" t="str">
        <f>_xlfn.XLOOKUP(Tb_Entregas[[#This Row],[SEI]],Tb_Portfólio[SEI],Tb_Portfólio[PROJETO],"",0)</f>
        <v>Painel de Estatística   - Justiça 4.0</v>
      </c>
      <c r="C217" s="438" t="s">
        <v>1976</v>
      </c>
      <c r="D217" s="443">
        <v>45261</v>
      </c>
      <c r="E217" s="443">
        <v>45324</v>
      </c>
      <c r="F217" s="441">
        <v>1</v>
      </c>
      <c r="G217" s="444">
        <v>0</v>
      </c>
      <c r="H217" s="444">
        <v>0</v>
      </c>
      <c r="I217" s="436" t="str">
        <f>_xlfn.XLOOKUP(Tb_Entregas[[#This Row],[SEI]],Tb_Mapa[SEI],Tb_Mapa[CONSULTOR RESPONSÁVEL],"",0)</f>
        <v>Tony</v>
      </c>
    </row>
    <row r="218" spans="1:9" hidden="1">
      <c r="A218" s="436" t="s">
        <v>350</v>
      </c>
      <c r="B218" s="436" t="str">
        <f>_xlfn.XLOOKUP(Tb_Entregas[[#This Row],[SEI]],Tb_Portfólio[SEI],Tb_Portfólio[PROJETO],"",0)</f>
        <v>Painel de Estatística   - Justiça 4.0</v>
      </c>
      <c r="C218" s="438" t="s">
        <v>1977</v>
      </c>
      <c r="D218" s="443">
        <v>45563</v>
      </c>
      <c r="E218" s="443">
        <v>45532</v>
      </c>
      <c r="F218" s="441">
        <v>1</v>
      </c>
      <c r="G218" s="444">
        <v>0</v>
      </c>
      <c r="H218" s="444">
        <v>0</v>
      </c>
      <c r="I218" s="436" t="str">
        <f>_xlfn.XLOOKUP(Tb_Entregas[[#This Row],[SEI]],Tb_Mapa[SEI],Tb_Mapa[CONSULTOR RESPONSÁVEL],"",0)</f>
        <v>Tony</v>
      </c>
    </row>
    <row r="219" spans="1:9">
      <c r="A219" s="436" t="s">
        <v>376</v>
      </c>
      <c r="B219" s="436" t="str">
        <f>_xlfn.XLOOKUP(Tb_Entregas[[#This Row],[SEI]],Tb_Portfólio[SEI],Tb_Portfólio[PROJETO],"",0)</f>
        <v>Nacionalização SAREF - Sistema de Apresentação Remota por Reconhecimento Facial</v>
      </c>
      <c r="C219" s="438" t="s">
        <v>1978</v>
      </c>
      <c r="D219" s="443">
        <v>45290</v>
      </c>
      <c r="E219" s="443">
        <v>45291</v>
      </c>
      <c r="F219" s="441">
        <v>1</v>
      </c>
      <c r="G219" s="444">
        <v>0</v>
      </c>
      <c r="H219" s="444">
        <v>0</v>
      </c>
      <c r="I219" s="436" t="str">
        <f>_xlfn.XLOOKUP(Tb_Entregas[[#This Row],[SEI]],Tb_Mapa[SEI],Tb_Mapa[CONSULTOR RESPONSÁVEL],"",0)</f>
        <v>Igor/Finalizado</v>
      </c>
    </row>
    <row r="220" spans="1:9">
      <c r="A220" s="436" t="s">
        <v>376</v>
      </c>
      <c r="B220" s="436" t="str">
        <f>_xlfn.XLOOKUP(Tb_Entregas[[#This Row],[SEI]],Tb_Portfólio[SEI],Tb_Portfólio[PROJETO],"",0)</f>
        <v>Nacionalização SAREF - Sistema de Apresentação Remota por Reconhecimento Facial</v>
      </c>
      <c r="C220" s="438" t="s">
        <v>1979</v>
      </c>
      <c r="D220" s="443">
        <v>45357</v>
      </c>
      <c r="E220" s="443">
        <v>45327</v>
      </c>
      <c r="F220" s="441">
        <v>1</v>
      </c>
      <c r="G220" s="444">
        <v>0</v>
      </c>
      <c r="H220" s="444">
        <v>0</v>
      </c>
      <c r="I220" s="436" t="str">
        <f>_xlfn.XLOOKUP(Tb_Entregas[[#This Row],[SEI]],Tb_Mapa[SEI],Tb_Mapa[CONSULTOR RESPONSÁVEL],"",0)</f>
        <v>Igor/Finalizado</v>
      </c>
    </row>
    <row r="221" spans="1:9">
      <c r="A221" s="436" t="s">
        <v>376</v>
      </c>
      <c r="B221" s="436" t="str">
        <f>_xlfn.XLOOKUP(Tb_Entregas[[#This Row],[SEI]],Tb_Portfólio[SEI],Tb_Portfólio[PROJETO],"",0)</f>
        <v>Nacionalização SAREF - Sistema de Apresentação Remota por Reconhecimento Facial</v>
      </c>
      <c r="C221" s="438" t="s">
        <v>1980</v>
      </c>
      <c r="D221" s="443">
        <v>45366</v>
      </c>
      <c r="E221" s="443">
        <v>45755</v>
      </c>
      <c r="F221" s="441">
        <v>1</v>
      </c>
      <c r="G221" s="444">
        <v>0</v>
      </c>
      <c r="H221" s="444">
        <v>0</v>
      </c>
      <c r="I221" s="436" t="str">
        <f>_xlfn.XLOOKUP(Tb_Entregas[[#This Row],[SEI]],Tb_Mapa[SEI],Tb_Mapa[CONSULTOR RESPONSÁVEL],"",0)</f>
        <v>Igor/Finalizado</v>
      </c>
    </row>
    <row r="222" spans="1:9" hidden="1">
      <c r="A222" s="436" t="s">
        <v>396</v>
      </c>
      <c r="B222" s="436" t="str">
        <f>_xlfn.XLOOKUP(Tb_Entregas[[#This Row],[SEI]],Tb_Portfólio[SEI],Tb_Portfólio[PROJETO],"",0)</f>
        <v>CODEX - Melhorias Evolutivas e Corretivas</v>
      </c>
      <c r="C222" s="438" t="s">
        <v>1981</v>
      </c>
      <c r="D222" s="443">
        <v>45657</v>
      </c>
      <c r="E222" s="438"/>
      <c r="F222" s="441">
        <v>0.9</v>
      </c>
      <c r="G222" s="444">
        <v>0</v>
      </c>
      <c r="H222" s="444">
        <v>0</v>
      </c>
      <c r="I222" s="436" t="str">
        <f>_xlfn.XLOOKUP(Tb_Entregas[[#This Row],[SEI]],Tb_Mapa[SEI],Tb_Mapa[CONSULTOR RESPONSÁVEL],"",0)</f>
        <v>Raphael</v>
      </c>
    </row>
    <row r="223" spans="1:9" hidden="1">
      <c r="A223" s="436" t="s">
        <v>396</v>
      </c>
      <c r="B223" s="436" t="str">
        <f>_xlfn.XLOOKUP(Tb_Entregas[[#This Row],[SEI]],Tb_Portfólio[SEI],Tb_Portfólio[PROJETO],"",0)</f>
        <v>CODEX - Melhorias Evolutivas e Corretivas</v>
      </c>
      <c r="C223" s="438" t="s">
        <v>1982</v>
      </c>
      <c r="D223" s="443">
        <v>45657</v>
      </c>
      <c r="E223" s="438"/>
      <c r="F223" s="441">
        <v>0.94</v>
      </c>
      <c r="G223" s="444">
        <v>0</v>
      </c>
      <c r="H223" s="444">
        <v>0</v>
      </c>
      <c r="I223" s="436" t="str">
        <f>_xlfn.XLOOKUP(Tb_Entregas[[#This Row],[SEI]],Tb_Mapa[SEI],Tb_Mapa[CONSULTOR RESPONSÁVEL],"",0)</f>
        <v>Raphael</v>
      </c>
    </row>
    <row r="224" spans="1:9" hidden="1">
      <c r="A224" s="436" t="s">
        <v>396</v>
      </c>
      <c r="B224" s="436" t="str">
        <f>_xlfn.XLOOKUP(Tb_Entregas[[#This Row],[SEI]],Tb_Portfólio[SEI],Tb_Portfólio[PROJETO],"",0)</f>
        <v>CODEX - Melhorias Evolutivas e Corretivas</v>
      </c>
      <c r="C224" s="438" t="s">
        <v>1983</v>
      </c>
      <c r="D224" s="443">
        <v>45657</v>
      </c>
      <c r="E224" s="438"/>
      <c r="F224" s="441">
        <v>0.99</v>
      </c>
      <c r="G224" s="444">
        <v>0</v>
      </c>
      <c r="H224" s="444">
        <v>0</v>
      </c>
      <c r="I224" s="436" t="str">
        <f>_xlfn.XLOOKUP(Tb_Entregas[[#This Row],[SEI]],Tb_Mapa[SEI],Tb_Mapa[CONSULTOR RESPONSÁVEL],"",0)</f>
        <v>Raphael</v>
      </c>
    </row>
    <row r="225" spans="1:9" ht="30" hidden="1">
      <c r="A225" s="436" t="s">
        <v>396</v>
      </c>
      <c r="B225" s="436" t="str">
        <f>_xlfn.XLOOKUP(Tb_Entregas[[#This Row],[SEI]],Tb_Portfólio[SEI],Tb_Portfólio[PROJETO],"",0)</f>
        <v>CODEX - Melhorias Evolutivas e Corretivas</v>
      </c>
      <c r="C225" s="438" t="s">
        <v>1984</v>
      </c>
      <c r="D225" s="443">
        <v>44838</v>
      </c>
      <c r="E225" s="443">
        <v>44823</v>
      </c>
      <c r="F225" s="441">
        <v>1</v>
      </c>
      <c r="G225" s="444">
        <v>0</v>
      </c>
      <c r="H225" s="444">
        <v>0</v>
      </c>
      <c r="I225" s="436" t="str">
        <f>_xlfn.XLOOKUP(Tb_Entregas[[#This Row],[SEI]],Tb_Mapa[SEI],Tb_Mapa[CONSULTOR RESPONSÁVEL],"",0)</f>
        <v>Raphael</v>
      </c>
    </row>
    <row r="226" spans="1:9" ht="30" hidden="1">
      <c r="A226" s="436" t="s">
        <v>396</v>
      </c>
      <c r="B226" s="436" t="str">
        <f>_xlfn.XLOOKUP(Tb_Entregas[[#This Row],[SEI]],Tb_Portfólio[SEI],Tb_Portfólio[PROJETO],"",0)</f>
        <v>CODEX - Melhorias Evolutivas e Corretivas</v>
      </c>
      <c r="C226" s="438" t="s">
        <v>1985</v>
      </c>
      <c r="D226" s="443">
        <v>44726</v>
      </c>
      <c r="E226" s="438"/>
      <c r="F226" s="441">
        <v>0.8</v>
      </c>
      <c r="G226" s="444">
        <v>0</v>
      </c>
      <c r="H226" s="444">
        <v>0</v>
      </c>
      <c r="I226" s="436" t="str">
        <f>_xlfn.XLOOKUP(Tb_Entregas[[#This Row],[SEI]],Tb_Mapa[SEI],Tb_Mapa[CONSULTOR RESPONSÁVEL],"",0)</f>
        <v>Raphael</v>
      </c>
    </row>
    <row r="227" spans="1:9" ht="30" hidden="1">
      <c r="A227" s="436" t="s">
        <v>396</v>
      </c>
      <c r="B227" s="436" t="str">
        <f>_xlfn.XLOOKUP(Tb_Entregas[[#This Row],[SEI]],Tb_Portfólio[SEI],Tb_Portfólio[PROJETO],"",0)</f>
        <v>CODEX - Melhorias Evolutivas e Corretivas</v>
      </c>
      <c r="C227" s="438" t="s">
        <v>1986</v>
      </c>
      <c r="D227" s="443">
        <v>44940</v>
      </c>
      <c r="E227" s="438"/>
      <c r="F227" s="441">
        <v>0.93</v>
      </c>
      <c r="G227" s="444">
        <v>0</v>
      </c>
      <c r="H227" s="444">
        <v>0</v>
      </c>
      <c r="I227" s="436" t="str">
        <f>_xlfn.XLOOKUP(Tb_Entregas[[#This Row],[SEI]],Tb_Mapa[SEI],Tb_Mapa[CONSULTOR RESPONSÁVEL],"",0)</f>
        <v>Raphael</v>
      </c>
    </row>
    <row r="228" spans="1:9" ht="30" hidden="1">
      <c r="A228" s="436" t="s">
        <v>396</v>
      </c>
      <c r="B228" s="436" t="str">
        <f>_xlfn.XLOOKUP(Tb_Entregas[[#This Row],[SEI]],Tb_Portfólio[SEI],Tb_Portfólio[PROJETO],"",0)</f>
        <v>CODEX - Melhorias Evolutivas e Corretivas</v>
      </c>
      <c r="C228" s="438" t="s">
        <v>1987</v>
      </c>
      <c r="D228" s="443">
        <v>45656</v>
      </c>
      <c r="E228" s="443">
        <v>45554</v>
      </c>
      <c r="F228" s="441">
        <v>1</v>
      </c>
      <c r="G228" s="444">
        <v>0</v>
      </c>
      <c r="H228" s="444">
        <v>0</v>
      </c>
      <c r="I228" s="436" t="str">
        <f>_xlfn.XLOOKUP(Tb_Entregas[[#This Row],[SEI]],Tb_Mapa[SEI],Tb_Mapa[CONSULTOR RESPONSÁVEL],"",0)</f>
        <v>Raphael</v>
      </c>
    </row>
    <row r="229" spans="1:9" hidden="1">
      <c r="A229" s="436" t="s">
        <v>396</v>
      </c>
      <c r="B229" s="436" t="str">
        <f>_xlfn.XLOOKUP(Tb_Entregas[[#This Row],[SEI]],Tb_Portfólio[SEI],Tb_Portfólio[PROJETO],"",0)</f>
        <v>CODEX - Melhorias Evolutivas e Corretivas</v>
      </c>
      <c r="C229" s="438" t="s">
        <v>1988</v>
      </c>
      <c r="D229" s="443">
        <v>45656</v>
      </c>
      <c r="E229" s="443">
        <v>45554</v>
      </c>
      <c r="F229" s="441">
        <v>1</v>
      </c>
      <c r="G229" s="444">
        <v>0</v>
      </c>
      <c r="H229" s="444">
        <v>0</v>
      </c>
      <c r="I229" s="436" t="str">
        <f>_xlfn.XLOOKUP(Tb_Entregas[[#This Row],[SEI]],Tb_Mapa[SEI],Tb_Mapa[CONSULTOR RESPONSÁVEL],"",0)</f>
        <v>Raphael</v>
      </c>
    </row>
    <row r="230" spans="1:9" ht="30" hidden="1">
      <c r="A230" s="436" t="s">
        <v>396</v>
      </c>
      <c r="B230" s="436" t="str">
        <f>_xlfn.XLOOKUP(Tb_Entregas[[#This Row],[SEI]],Tb_Portfólio[SEI],Tb_Portfólio[PROJETO],"",0)</f>
        <v>CODEX - Melhorias Evolutivas e Corretivas</v>
      </c>
      <c r="C230" s="438" t="s">
        <v>1989</v>
      </c>
      <c r="D230" s="443">
        <v>45656</v>
      </c>
      <c r="E230" s="443">
        <v>45656</v>
      </c>
      <c r="F230" s="441">
        <v>1</v>
      </c>
      <c r="G230" s="444">
        <v>0</v>
      </c>
      <c r="H230" s="444">
        <v>0</v>
      </c>
      <c r="I230" s="436" t="str">
        <f>_xlfn.XLOOKUP(Tb_Entregas[[#This Row],[SEI]],Tb_Mapa[SEI],Tb_Mapa[CONSULTOR RESPONSÁVEL],"",0)</f>
        <v>Raphael</v>
      </c>
    </row>
    <row r="231" spans="1:9" ht="30" hidden="1">
      <c r="A231" s="436" t="s">
        <v>396</v>
      </c>
      <c r="B231" s="436" t="str">
        <f>_xlfn.XLOOKUP(Tb_Entregas[[#This Row],[SEI]],Tb_Portfólio[SEI],Tb_Portfólio[PROJETO],"",0)</f>
        <v>CODEX - Melhorias Evolutivas e Corretivas</v>
      </c>
      <c r="C231" s="438" t="s">
        <v>1990</v>
      </c>
      <c r="D231" s="443">
        <v>45656</v>
      </c>
      <c r="E231" s="443">
        <v>45327</v>
      </c>
      <c r="F231" s="441">
        <v>1</v>
      </c>
      <c r="G231" s="444">
        <v>0</v>
      </c>
      <c r="H231" s="444">
        <v>0</v>
      </c>
      <c r="I231" s="436" t="str">
        <f>_xlfn.XLOOKUP(Tb_Entregas[[#This Row],[SEI]],Tb_Mapa[SEI],Tb_Mapa[CONSULTOR RESPONSÁVEL],"",0)</f>
        <v>Raphael</v>
      </c>
    </row>
    <row r="232" spans="1:9" hidden="1">
      <c r="A232" s="436" t="s">
        <v>396</v>
      </c>
      <c r="B232" s="436" t="str">
        <f>_xlfn.XLOOKUP(Tb_Entregas[[#This Row],[SEI]],Tb_Portfólio[SEI],Tb_Portfólio[PROJETO],"",0)</f>
        <v>CODEX - Melhorias Evolutivas e Corretivas</v>
      </c>
      <c r="C232" s="438" t="s">
        <v>1991</v>
      </c>
      <c r="D232" s="443">
        <v>45656</v>
      </c>
      <c r="E232" s="443">
        <v>45237</v>
      </c>
      <c r="F232" s="441">
        <v>1</v>
      </c>
      <c r="G232" s="444">
        <v>0</v>
      </c>
      <c r="H232" s="444">
        <v>0</v>
      </c>
      <c r="I232" s="436" t="str">
        <f>_xlfn.XLOOKUP(Tb_Entregas[[#This Row],[SEI]],Tb_Mapa[SEI],Tb_Mapa[CONSULTOR RESPONSÁVEL],"",0)</f>
        <v>Raphael</v>
      </c>
    </row>
    <row r="233" spans="1:9" hidden="1">
      <c r="A233" s="436" t="s">
        <v>396</v>
      </c>
      <c r="B233" s="436" t="str">
        <f>_xlfn.XLOOKUP(Tb_Entregas[[#This Row],[SEI]],Tb_Portfólio[SEI],Tb_Portfólio[PROJETO],"",0)</f>
        <v>CODEX - Melhorias Evolutivas e Corretivas</v>
      </c>
      <c r="C233" s="438" t="s">
        <v>1992</v>
      </c>
      <c r="D233" s="443">
        <v>45656</v>
      </c>
      <c r="E233" s="443">
        <v>45309</v>
      </c>
      <c r="F233" s="441">
        <v>1</v>
      </c>
      <c r="G233" s="444">
        <v>0</v>
      </c>
      <c r="H233" s="444">
        <v>0</v>
      </c>
      <c r="I233" s="436" t="str">
        <f>_xlfn.XLOOKUP(Tb_Entregas[[#This Row],[SEI]],Tb_Mapa[SEI],Tb_Mapa[CONSULTOR RESPONSÁVEL],"",0)</f>
        <v>Raphael</v>
      </c>
    </row>
    <row r="234" spans="1:9" hidden="1">
      <c r="A234" s="436" t="s">
        <v>396</v>
      </c>
      <c r="B234" s="436" t="str">
        <f>_xlfn.XLOOKUP(Tb_Entregas[[#This Row],[SEI]],Tb_Portfólio[SEI],Tb_Portfólio[PROJETO],"",0)</f>
        <v>CODEX - Melhorias Evolutivas e Corretivas</v>
      </c>
      <c r="C234" s="438" t="s">
        <v>1993</v>
      </c>
      <c r="D234" s="443">
        <v>45131</v>
      </c>
      <c r="E234" s="443">
        <v>45153</v>
      </c>
      <c r="F234" s="441">
        <v>1</v>
      </c>
      <c r="G234" s="444">
        <v>0</v>
      </c>
      <c r="H234" s="444">
        <v>0</v>
      </c>
      <c r="I234" s="436" t="str">
        <f>_xlfn.XLOOKUP(Tb_Entregas[[#This Row],[SEI]],Tb_Mapa[SEI],Tb_Mapa[CONSULTOR RESPONSÁVEL],"",0)</f>
        <v>Raphael</v>
      </c>
    </row>
    <row r="235" spans="1:9" ht="30" hidden="1">
      <c r="A235" s="436" t="s">
        <v>396</v>
      </c>
      <c r="B235" s="436" t="str">
        <f>_xlfn.XLOOKUP(Tb_Entregas[[#This Row],[SEI]],Tb_Portfólio[SEI],Tb_Portfólio[PROJETO],"",0)</f>
        <v>CODEX - Melhorias Evolutivas e Corretivas</v>
      </c>
      <c r="C235" s="438" t="s">
        <v>1994</v>
      </c>
      <c r="D235" s="443">
        <v>45260</v>
      </c>
      <c r="E235" s="443">
        <v>45260</v>
      </c>
      <c r="F235" s="441">
        <v>1</v>
      </c>
      <c r="G235" s="444">
        <v>0</v>
      </c>
      <c r="H235" s="444">
        <v>0</v>
      </c>
      <c r="I235" s="436" t="str">
        <f>_xlfn.XLOOKUP(Tb_Entregas[[#This Row],[SEI]],Tb_Mapa[SEI],Tb_Mapa[CONSULTOR RESPONSÁVEL],"",0)</f>
        <v>Raphael</v>
      </c>
    </row>
    <row r="236" spans="1:9" ht="30" hidden="1">
      <c r="A236" s="436" t="s">
        <v>396</v>
      </c>
      <c r="B236" s="436" t="str">
        <f>_xlfn.XLOOKUP(Tb_Entregas[[#This Row],[SEI]],Tb_Portfólio[SEI],Tb_Portfólio[PROJETO],"",0)</f>
        <v>CODEX - Melhorias Evolutivas e Corretivas</v>
      </c>
      <c r="C236" s="438" t="s">
        <v>1995</v>
      </c>
      <c r="D236" s="443">
        <v>45656</v>
      </c>
      <c r="E236" s="443">
        <v>45500</v>
      </c>
      <c r="F236" s="441">
        <v>0.5</v>
      </c>
      <c r="G236" s="444">
        <v>0</v>
      </c>
      <c r="H236" s="444">
        <v>0</v>
      </c>
      <c r="I236" s="436" t="str">
        <f>_xlfn.XLOOKUP(Tb_Entregas[[#This Row],[SEI]],Tb_Mapa[SEI],Tb_Mapa[CONSULTOR RESPONSÁVEL],"",0)</f>
        <v>Raphael</v>
      </c>
    </row>
    <row r="237" spans="1:9" ht="30" hidden="1">
      <c r="A237" s="436" t="s">
        <v>396</v>
      </c>
      <c r="B237" s="436" t="str">
        <f>_xlfn.XLOOKUP(Tb_Entregas[[#This Row],[SEI]],Tb_Portfólio[SEI],Tb_Portfólio[PROJETO],"",0)</f>
        <v>CODEX - Melhorias Evolutivas e Corretivas</v>
      </c>
      <c r="C237" s="438" t="s">
        <v>1996</v>
      </c>
      <c r="D237" s="443">
        <v>45656</v>
      </c>
      <c r="E237" s="438"/>
      <c r="F237" s="441">
        <v>0.68</v>
      </c>
      <c r="G237" s="444">
        <v>0</v>
      </c>
      <c r="H237" s="444">
        <v>0</v>
      </c>
      <c r="I237" s="436" t="str">
        <f>_xlfn.XLOOKUP(Tb_Entregas[[#This Row],[SEI]],Tb_Mapa[SEI],Tb_Mapa[CONSULTOR RESPONSÁVEL],"",0)</f>
        <v>Raphael</v>
      </c>
    </row>
    <row r="238" spans="1:9" hidden="1">
      <c r="A238" s="436" t="s">
        <v>396</v>
      </c>
      <c r="B238" s="436" t="str">
        <f>_xlfn.XLOOKUP(Tb_Entregas[[#This Row],[SEI]],Tb_Portfólio[SEI],Tb_Portfólio[PROJETO],"",0)</f>
        <v>CODEX - Melhorias Evolutivas e Corretivas</v>
      </c>
      <c r="C238" s="438" t="s">
        <v>1997</v>
      </c>
      <c r="D238" s="443">
        <v>45243</v>
      </c>
      <c r="E238" s="443">
        <v>45523</v>
      </c>
      <c r="F238" s="441">
        <v>1</v>
      </c>
      <c r="G238" s="444">
        <v>0</v>
      </c>
      <c r="H238" s="444">
        <v>0</v>
      </c>
      <c r="I238" s="436" t="str">
        <f>_xlfn.XLOOKUP(Tb_Entregas[[#This Row],[SEI]],Tb_Mapa[SEI],Tb_Mapa[CONSULTOR RESPONSÁVEL],"",0)</f>
        <v>Raphael</v>
      </c>
    </row>
    <row r="239" spans="1:9" hidden="1">
      <c r="A239" s="436" t="s">
        <v>396</v>
      </c>
      <c r="B239" s="436" t="str">
        <f>_xlfn.XLOOKUP(Tb_Entregas[[#This Row],[SEI]],Tb_Portfólio[SEI],Tb_Portfólio[PROJETO],"",0)</f>
        <v>CODEX - Melhorias Evolutivas e Corretivas</v>
      </c>
      <c r="C239" s="438" t="s">
        <v>1998</v>
      </c>
      <c r="D239" s="443">
        <v>45243</v>
      </c>
      <c r="E239" s="443">
        <v>45243</v>
      </c>
      <c r="F239" s="441">
        <v>1</v>
      </c>
      <c r="G239" s="444">
        <v>0</v>
      </c>
      <c r="H239" s="444">
        <v>0</v>
      </c>
      <c r="I239" s="436" t="str">
        <f>_xlfn.XLOOKUP(Tb_Entregas[[#This Row],[SEI]],Tb_Mapa[SEI],Tb_Mapa[CONSULTOR RESPONSÁVEL],"",0)</f>
        <v>Raphael</v>
      </c>
    </row>
    <row r="240" spans="1:9" ht="30" hidden="1">
      <c r="A240" s="436" t="s">
        <v>396</v>
      </c>
      <c r="B240" s="436" t="str">
        <f>_xlfn.XLOOKUP(Tb_Entregas[[#This Row],[SEI]],Tb_Portfólio[SEI],Tb_Portfólio[PROJETO],"",0)</f>
        <v>CODEX - Melhorias Evolutivas e Corretivas</v>
      </c>
      <c r="C240" s="438" t="s">
        <v>1999</v>
      </c>
      <c r="D240" s="443">
        <v>45657</v>
      </c>
      <c r="E240" s="443">
        <v>45523</v>
      </c>
      <c r="F240" s="441">
        <v>1</v>
      </c>
      <c r="G240" s="444">
        <v>0</v>
      </c>
      <c r="H240" s="444">
        <v>0</v>
      </c>
      <c r="I240" s="436" t="str">
        <f>_xlfn.XLOOKUP(Tb_Entregas[[#This Row],[SEI]],Tb_Mapa[SEI],Tb_Mapa[CONSULTOR RESPONSÁVEL],"",0)</f>
        <v>Raphael</v>
      </c>
    </row>
    <row r="241" spans="1:9" hidden="1">
      <c r="A241" s="436" t="s">
        <v>396</v>
      </c>
      <c r="B241" s="436" t="str">
        <f>_xlfn.XLOOKUP(Tb_Entregas[[#This Row],[SEI]],Tb_Portfólio[SEI],Tb_Portfólio[PROJETO],"",0)</f>
        <v>CODEX - Melhorias Evolutivas e Corretivas</v>
      </c>
      <c r="C241" s="438" t="s">
        <v>2000</v>
      </c>
      <c r="D241" s="443">
        <v>45657</v>
      </c>
      <c r="E241" s="443">
        <v>45441</v>
      </c>
      <c r="F241" s="441">
        <v>0.44</v>
      </c>
      <c r="G241" s="444">
        <v>0</v>
      </c>
      <c r="H241" s="444">
        <v>0</v>
      </c>
      <c r="I241" s="436" t="str">
        <f>_xlfn.XLOOKUP(Tb_Entregas[[#This Row],[SEI]],Tb_Mapa[SEI],Tb_Mapa[CONSULTOR RESPONSÁVEL],"",0)</f>
        <v>Raphael</v>
      </c>
    </row>
    <row r="242" spans="1:9" ht="30" hidden="1">
      <c r="A242" s="436" t="s">
        <v>396</v>
      </c>
      <c r="B242" s="436" t="str">
        <f>_xlfn.XLOOKUP(Tb_Entregas[[#This Row],[SEI]],Tb_Portfólio[SEI],Tb_Portfólio[PROJETO],"",0)</f>
        <v>CODEX - Melhorias Evolutivas e Corretivas</v>
      </c>
      <c r="C242" s="438" t="s">
        <v>2001</v>
      </c>
      <c r="D242" s="443">
        <v>45657</v>
      </c>
      <c r="E242" s="438"/>
      <c r="F242" s="441">
        <v>0</v>
      </c>
      <c r="G242" s="444">
        <v>0</v>
      </c>
      <c r="H242" s="444">
        <v>0</v>
      </c>
      <c r="I242" s="436" t="str">
        <f>_xlfn.XLOOKUP(Tb_Entregas[[#This Row],[SEI]],Tb_Mapa[SEI],Tb_Mapa[CONSULTOR RESPONSÁVEL],"",0)</f>
        <v>Raphael</v>
      </c>
    </row>
    <row r="243" spans="1:9" hidden="1">
      <c r="A243" s="436" t="s">
        <v>396</v>
      </c>
      <c r="B243" s="436" t="str">
        <f>_xlfn.XLOOKUP(Tb_Entregas[[#This Row],[SEI]],Tb_Portfólio[SEI],Tb_Portfólio[PROJETO],"",0)</f>
        <v>CODEX - Melhorias Evolutivas e Corretivas</v>
      </c>
      <c r="C243" s="438" t="s">
        <v>2002</v>
      </c>
      <c r="D243" s="443">
        <v>45645</v>
      </c>
      <c r="E243" s="438"/>
      <c r="F243" s="441">
        <v>0</v>
      </c>
      <c r="G243" s="444">
        <v>0</v>
      </c>
      <c r="H243" s="444">
        <v>0</v>
      </c>
      <c r="I243" s="436" t="str">
        <f>_xlfn.XLOOKUP(Tb_Entregas[[#This Row],[SEI]],Tb_Mapa[SEI],Tb_Mapa[CONSULTOR RESPONSÁVEL],"",0)</f>
        <v>Raphael</v>
      </c>
    </row>
    <row r="244" spans="1:9" ht="30">
      <c r="A244" s="436" t="s">
        <v>410</v>
      </c>
      <c r="B244" s="436" t="str">
        <f>_xlfn.XLOOKUP(Tb_Entregas[[#This Row],[SEI]],Tb_Portfólio[SEI],Tb_Portfólio[PROJETO],"",0)</f>
        <v>7ª Edição da Série Justiça Pesquisa - Exercício 2024/2025</v>
      </c>
      <c r="C244" s="438" t="s">
        <v>415</v>
      </c>
      <c r="D244" s="443">
        <v>45898</v>
      </c>
      <c r="E244" s="438"/>
      <c r="F244" s="441">
        <v>0</v>
      </c>
      <c r="G244" s="444">
        <v>0</v>
      </c>
      <c r="H244" s="444">
        <v>0</v>
      </c>
      <c r="I244" s="436" t="str">
        <f>_xlfn.XLOOKUP(Tb_Entregas[[#This Row],[SEI]],Tb_Mapa[SEI],Tb_Mapa[CONSULTOR RESPONSÁVEL],"",0)</f>
        <v>Igor</v>
      </c>
    </row>
    <row r="245" spans="1:9">
      <c r="A245" s="436" t="s">
        <v>416</v>
      </c>
      <c r="B245" s="436" t="str">
        <f>_xlfn.XLOOKUP(Tb_Entregas[[#This Row],[SEI]],Tb_Portfólio[SEI],Tb_Portfólio[PROJETO],"",0)</f>
        <v>Conecta</v>
      </c>
      <c r="C245" s="438" t="s">
        <v>2003</v>
      </c>
      <c r="D245" s="443">
        <v>46021</v>
      </c>
      <c r="E245" s="438" t="s">
        <v>1715</v>
      </c>
      <c r="F245" s="441">
        <v>0.27</v>
      </c>
      <c r="G245" s="444">
        <v>0</v>
      </c>
      <c r="H245" s="444">
        <v>0</v>
      </c>
      <c r="I245" s="171" t="s">
        <v>1715</v>
      </c>
    </row>
    <row r="246" spans="1:9" ht="30">
      <c r="A246" s="436" t="s">
        <v>416</v>
      </c>
      <c r="B246" s="436" t="str">
        <f>_xlfn.XLOOKUP(Tb_Entregas[[#This Row],[SEI]],Tb_Portfólio[SEI],Tb_Portfólio[PROJETO],"",0)</f>
        <v>Conecta</v>
      </c>
      <c r="C246" s="438" t="s">
        <v>2004</v>
      </c>
      <c r="D246" s="443">
        <v>45791</v>
      </c>
      <c r="E246" s="438" t="s">
        <v>1715</v>
      </c>
      <c r="F246" s="441">
        <v>0.86</v>
      </c>
      <c r="G246" s="444">
        <v>0</v>
      </c>
      <c r="H246" s="444">
        <v>0</v>
      </c>
      <c r="I246" s="171" t="s">
        <v>1715</v>
      </c>
    </row>
    <row r="247" spans="1:9">
      <c r="A247" s="436" t="s">
        <v>416</v>
      </c>
      <c r="B247" s="436" t="str">
        <f>_xlfn.XLOOKUP(Tb_Entregas[[#This Row],[SEI]],Tb_Portfólio[SEI],Tb_Portfólio[PROJETO],"",0)</f>
        <v>Conecta</v>
      </c>
      <c r="C247" s="438" t="s">
        <v>2005</v>
      </c>
      <c r="D247" s="443">
        <v>46386</v>
      </c>
      <c r="E247" s="438" t="s">
        <v>1715</v>
      </c>
      <c r="F247" s="441">
        <v>0.33</v>
      </c>
      <c r="G247" s="444">
        <v>0</v>
      </c>
      <c r="H247" s="444">
        <v>0</v>
      </c>
      <c r="I247" s="171" t="s">
        <v>1715</v>
      </c>
    </row>
    <row r="248" spans="1:9">
      <c r="A248" s="436" t="s">
        <v>416</v>
      </c>
      <c r="B248" s="436" t="str">
        <f>_xlfn.XLOOKUP(Tb_Entregas[[#This Row],[SEI]],Tb_Portfólio[SEI],Tb_Portfólio[PROJETO],"",0)</f>
        <v>Conecta</v>
      </c>
      <c r="C248" s="438" t="s">
        <v>2006</v>
      </c>
      <c r="D248" s="443">
        <v>46386</v>
      </c>
      <c r="E248" s="438" t="s">
        <v>1715</v>
      </c>
      <c r="F248" s="441">
        <v>0.49</v>
      </c>
      <c r="G248" s="444">
        <v>0</v>
      </c>
      <c r="H248" s="444">
        <v>0</v>
      </c>
      <c r="I248" s="171" t="s">
        <v>1715</v>
      </c>
    </row>
    <row r="249" spans="1:9" hidden="1">
      <c r="A249" s="436" t="s">
        <v>431</v>
      </c>
      <c r="B249" s="436" t="str">
        <f>_xlfn.XLOOKUP(Tb_Entregas[[#This Row],[SEI]],Tb_Portfólio[SEI],Tb_Portfólio[PROJETO],"",0)</f>
        <v>Sniper BC</v>
      </c>
      <c r="C249" s="438" t="s">
        <v>2007</v>
      </c>
      <c r="D249" s="443">
        <v>45675</v>
      </c>
      <c r="E249" s="443">
        <v>45747</v>
      </c>
      <c r="F249" s="441">
        <v>1</v>
      </c>
      <c r="G249" s="442">
        <v>170120</v>
      </c>
      <c r="H249" s="442">
        <v>170120</v>
      </c>
      <c r="I249" s="436" t="str">
        <f>_xlfn.XLOOKUP(Tb_Entregas[[#This Row],[SEI]],Tb_Mapa[SEI],Tb_Mapa[CONSULTOR RESPONSÁVEL],"",0)</f>
        <v>Tony</v>
      </c>
    </row>
    <row r="250" spans="1:9" hidden="1">
      <c r="A250" s="436" t="s">
        <v>431</v>
      </c>
      <c r="B250" s="436" t="str">
        <f>_xlfn.XLOOKUP(Tb_Entregas[[#This Row],[SEI]],Tb_Portfólio[SEI],Tb_Portfólio[PROJETO],"",0)</f>
        <v>Sniper BC</v>
      </c>
      <c r="C250" s="438" t="s">
        <v>2008</v>
      </c>
      <c r="D250" s="443">
        <v>45705</v>
      </c>
      <c r="E250" s="443">
        <v>45772</v>
      </c>
      <c r="F250" s="441">
        <v>1</v>
      </c>
      <c r="G250" s="442">
        <v>340240</v>
      </c>
      <c r="H250" s="444">
        <v>0</v>
      </c>
      <c r="I250" s="436" t="str">
        <f>_xlfn.XLOOKUP(Tb_Entregas[[#This Row],[SEI]],Tb_Mapa[SEI],Tb_Mapa[CONSULTOR RESPONSÁVEL],"",0)</f>
        <v>Tony</v>
      </c>
    </row>
    <row r="251" spans="1:9" hidden="1">
      <c r="A251" s="436" t="s">
        <v>431</v>
      </c>
      <c r="B251" s="436" t="str">
        <f>_xlfn.XLOOKUP(Tb_Entregas[[#This Row],[SEI]],Tb_Portfólio[SEI],Tb_Portfólio[PROJETO],"",0)</f>
        <v>Sniper BC</v>
      </c>
      <c r="C251" s="438" t="s">
        <v>2009</v>
      </c>
      <c r="D251" s="443">
        <v>45725</v>
      </c>
      <c r="E251" s="443">
        <v>45793</v>
      </c>
      <c r="F251" s="441">
        <v>1</v>
      </c>
      <c r="G251" s="442">
        <v>170120</v>
      </c>
      <c r="H251" s="444">
        <v>0</v>
      </c>
      <c r="I251" s="436" t="str">
        <f>_xlfn.XLOOKUP(Tb_Entregas[[#This Row],[SEI]],Tb_Mapa[SEI],Tb_Mapa[CONSULTOR RESPONSÁVEL],"",0)</f>
        <v>Tony</v>
      </c>
    </row>
    <row r="252" spans="1:9" hidden="1">
      <c r="A252" s="436" t="s">
        <v>431</v>
      </c>
      <c r="B252" s="436" t="str">
        <f>_xlfn.XLOOKUP(Tb_Entregas[[#This Row],[SEI]],Tb_Portfólio[SEI],Tb_Portfólio[PROJETO],"",0)</f>
        <v>Sniper BC</v>
      </c>
      <c r="C252" s="438" t="s">
        <v>2010</v>
      </c>
      <c r="D252" s="443">
        <v>45765</v>
      </c>
      <c r="E252" s="443">
        <v>45866</v>
      </c>
      <c r="F252" s="441">
        <v>1</v>
      </c>
      <c r="G252" s="442">
        <v>320240</v>
      </c>
      <c r="H252" s="444">
        <v>0</v>
      </c>
      <c r="I252" s="436" t="str">
        <f>_xlfn.XLOOKUP(Tb_Entregas[[#This Row],[SEI]],Tb_Mapa[SEI],Tb_Mapa[CONSULTOR RESPONSÁVEL],"",0)</f>
        <v>Tony</v>
      </c>
    </row>
    <row r="253" spans="1:9" ht="30" hidden="1">
      <c r="A253" s="436" t="s">
        <v>431</v>
      </c>
      <c r="B253" s="436" t="str">
        <f>_xlfn.XLOOKUP(Tb_Entregas[[#This Row],[SEI]],Tb_Portfólio[SEI],Tb_Portfólio[PROJETO],"",0)</f>
        <v>Sniper BC</v>
      </c>
      <c r="C253" s="438" t="s">
        <v>2011</v>
      </c>
      <c r="D253" s="443">
        <v>45785</v>
      </c>
      <c r="E253" s="443">
        <v>45842</v>
      </c>
      <c r="F253" s="441">
        <v>1</v>
      </c>
      <c r="G253" s="442">
        <v>170120</v>
      </c>
      <c r="H253" s="444">
        <v>0</v>
      </c>
      <c r="I253" s="436" t="str">
        <f>_xlfn.XLOOKUP(Tb_Entregas[[#This Row],[SEI]],Tb_Mapa[SEI],Tb_Mapa[CONSULTOR RESPONSÁVEL],"",0)</f>
        <v>Tony</v>
      </c>
    </row>
    <row r="254" spans="1:9" ht="30" hidden="1">
      <c r="A254" s="436" t="s">
        <v>431</v>
      </c>
      <c r="B254" s="436" t="str">
        <f>_xlfn.XLOOKUP(Tb_Entregas[[#This Row],[SEI]],Tb_Portfólio[SEI],Tb_Portfólio[PROJETO],"",0)</f>
        <v>Sniper BC</v>
      </c>
      <c r="C254" s="438" t="s">
        <v>2012</v>
      </c>
      <c r="D254" s="443">
        <v>45815</v>
      </c>
      <c r="E254" s="438"/>
      <c r="F254" s="441">
        <v>0.88</v>
      </c>
      <c r="G254" s="442">
        <v>340240</v>
      </c>
      <c r="H254" s="444">
        <v>0</v>
      </c>
      <c r="I254" s="436" t="str">
        <f>_xlfn.XLOOKUP(Tb_Entregas[[#This Row],[SEI]],Tb_Mapa[SEI],Tb_Mapa[CONSULTOR RESPONSÁVEL],"",0)</f>
        <v>Tony</v>
      </c>
    </row>
    <row r="255" spans="1:9" hidden="1">
      <c r="A255" s="436" t="s">
        <v>431</v>
      </c>
      <c r="B255" s="436" t="str">
        <f>_xlfn.XLOOKUP(Tb_Entregas[[#This Row],[SEI]],Tb_Portfólio[SEI],Tb_Portfólio[PROJETO],"",0)</f>
        <v>Sniper BC</v>
      </c>
      <c r="C255" s="438" t="s">
        <v>2013</v>
      </c>
      <c r="D255" s="443">
        <v>45835</v>
      </c>
      <c r="E255" s="438"/>
      <c r="F255" s="441">
        <v>0.8</v>
      </c>
      <c r="G255" s="442">
        <v>170120</v>
      </c>
      <c r="H255" s="444">
        <v>0</v>
      </c>
      <c r="I255" s="436" t="str">
        <f>_xlfn.XLOOKUP(Tb_Entregas[[#This Row],[SEI]],Tb_Mapa[SEI],Tb_Mapa[CONSULTOR RESPONSÁVEL],"",0)</f>
        <v>Tony</v>
      </c>
    </row>
    <row r="256" spans="1:9" ht="30" hidden="1">
      <c r="A256" s="436" t="s">
        <v>431</v>
      </c>
      <c r="B256" s="436" t="str">
        <f>_xlfn.XLOOKUP(Tb_Entregas[[#This Row],[SEI]],Tb_Portfólio[SEI],Tb_Portfólio[PROJETO],"",0)</f>
        <v>Sniper BC</v>
      </c>
      <c r="C256" s="438" t="s">
        <v>2014</v>
      </c>
      <c r="D256" s="443">
        <v>45865</v>
      </c>
      <c r="E256" s="438"/>
      <c r="F256" s="441">
        <v>0.72</v>
      </c>
      <c r="G256" s="442">
        <v>340240</v>
      </c>
      <c r="H256" s="444">
        <v>0</v>
      </c>
      <c r="I256" s="436" t="str">
        <f>_xlfn.XLOOKUP(Tb_Entregas[[#This Row],[SEI]],Tb_Mapa[SEI],Tb_Mapa[CONSULTOR RESPONSÁVEL],"",0)</f>
        <v>Tony</v>
      </c>
    </row>
    <row r="257" spans="1:9" hidden="1">
      <c r="A257" s="436" t="s">
        <v>431</v>
      </c>
      <c r="B257" s="436" t="str">
        <f>_xlfn.XLOOKUP(Tb_Entregas[[#This Row],[SEI]],Tb_Portfólio[SEI],Tb_Portfólio[PROJETO],"",0)</f>
        <v>Sniper BC</v>
      </c>
      <c r="C257" s="438" t="s">
        <v>2015</v>
      </c>
      <c r="D257" s="443">
        <v>45895</v>
      </c>
      <c r="E257" s="438"/>
      <c r="F257" s="441">
        <v>0</v>
      </c>
      <c r="G257" s="442">
        <v>170120</v>
      </c>
      <c r="H257" s="444">
        <v>0</v>
      </c>
      <c r="I257" s="436" t="str">
        <f>_xlfn.XLOOKUP(Tb_Entregas[[#This Row],[SEI]],Tb_Mapa[SEI],Tb_Mapa[CONSULTOR RESPONSÁVEL],"",0)</f>
        <v>Tony</v>
      </c>
    </row>
    <row r="258" spans="1:9" hidden="1">
      <c r="A258" s="436" t="s">
        <v>431</v>
      </c>
      <c r="B258" s="436" t="str">
        <f>_xlfn.XLOOKUP(Tb_Entregas[[#This Row],[SEI]],Tb_Portfólio[SEI],Tb_Portfólio[PROJETO],"",0)</f>
        <v>Sniper BC</v>
      </c>
      <c r="C258" s="438" t="s">
        <v>2016</v>
      </c>
      <c r="D258" s="443">
        <v>45925</v>
      </c>
      <c r="E258" s="438"/>
      <c r="F258" s="441">
        <v>0</v>
      </c>
      <c r="G258" s="442">
        <v>340240</v>
      </c>
      <c r="H258" s="444">
        <v>0</v>
      </c>
      <c r="I258" s="436" t="str">
        <f>_xlfn.XLOOKUP(Tb_Entregas[[#This Row],[SEI]],Tb_Mapa[SEI],Tb_Mapa[CONSULTOR RESPONSÁVEL],"",0)</f>
        <v>Tony</v>
      </c>
    </row>
    <row r="259" spans="1:9" ht="30" hidden="1">
      <c r="A259" s="436" t="s">
        <v>431</v>
      </c>
      <c r="B259" s="436" t="str">
        <f>_xlfn.XLOOKUP(Tb_Entregas[[#This Row],[SEI]],Tb_Portfólio[SEI],Tb_Portfólio[PROJETO],"",0)</f>
        <v>Sniper BC</v>
      </c>
      <c r="C259" s="438" t="s">
        <v>2017</v>
      </c>
      <c r="D259" s="443">
        <v>45945</v>
      </c>
      <c r="E259" s="438"/>
      <c r="F259" s="441">
        <v>0</v>
      </c>
      <c r="G259" s="442">
        <v>170120</v>
      </c>
      <c r="H259" s="444">
        <v>0</v>
      </c>
      <c r="I259" s="436" t="str">
        <f>_xlfn.XLOOKUP(Tb_Entregas[[#This Row],[SEI]],Tb_Mapa[SEI],Tb_Mapa[CONSULTOR RESPONSÁVEL],"",0)</f>
        <v>Tony</v>
      </c>
    </row>
    <row r="260" spans="1:9" ht="30" hidden="1">
      <c r="A260" s="436" t="s">
        <v>431</v>
      </c>
      <c r="B260" s="436" t="str">
        <f>_xlfn.XLOOKUP(Tb_Entregas[[#This Row],[SEI]],Tb_Portfólio[SEI],Tb_Portfólio[PROJETO],"",0)</f>
        <v>Sniper BC</v>
      </c>
      <c r="C260" s="438" t="s">
        <v>2018</v>
      </c>
      <c r="D260" s="443">
        <v>45975</v>
      </c>
      <c r="E260" s="438"/>
      <c r="F260" s="441">
        <v>0</v>
      </c>
      <c r="G260" s="442">
        <v>340240</v>
      </c>
      <c r="H260" s="444">
        <v>0</v>
      </c>
      <c r="I260" s="436" t="str">
        <f>_xlfn.XLOOKUP(Tb_Entregas[[#This Row],[SEI]],Tb_Mapa[SEI],Tb_Mapa[CONSULTOR RESPONSÁVEL],"",0)</f>
        <v>Tony</v>
      </c>
    </row>
    <row r="261" spans="1:9" hidden="1">
      <c r="A261" s="436" t="s">
        <v>431</v>
      </c>
      <c r="B261" s="436" t="str">
        <f>_xlfn.XLOOKUP(Tb_Entregas[[#This Row],[SEI]],Tb_Portfólio[SEI],Tb_Portfólio[PROJETO],"",0)</f>
        <v>Sniper BC</v>
      </c>
      <c r="C261" s="438" t="s">
        <v>2019</v>
      </c>
      <c r="D261" s="443">
        <v>46005</v>
      </c>
      <c r="E261" s="438"/>
      <c r="F261" s="441">
        <v>0</v>
      </c>
      <c r="G261" s="442">
        <v>340240</v>
      </c>
      <c r="H261" s="444">
        <v>0</v>
      </c>
      <c r="I261" s="436" t="str">
        <f>_xlfn.XLOOKUP(Tb_Entregas[[#This Row],[SEI]],Tb_Mapa[SEI],Tb_Mapa[CONSULTOR RESPONSÁVEL],"",0)</f>
        <v>Tony</v>
      </c>
    </row>
    <row r="262" spans="1:9" hidden="1">
      <c r="A262" s="436" t="s">
        <v>431</v>
      </c>
      <c r="B262" s="436" t="str">
        <f>_xlfn.XLOOKUP(Tb_Entregas[[#This Row],[SEI]],Tb_Portfólio[SEI],Tb_Portfólio[PROJETO],"",0)</f>
        <v>Sniper BC</v>
      </c>
      <c r="C262" s="438" t="s">
        <v>2020</v>
      </c>
      <c r="D262" s="443">
        <v>46019</v>
      </c>
      <c r="E262" s="438"/>
      <c r="F262" s="441">
        <v>0</v>
      </c>
      <c r="G262" s="444">
        <v>0</v>
      </c>
      <c r="H262" s="444">
        <v>0</v>
      </c>
      <c r="I262" s="436" t="str">
        <f>_xlfn.XLOOKUP(Tb_Entregas[[#This Row],[SEI]],Tb_Mapa[SEI],Tb_Mapa[CONSULTOR RESPONSÁVEL],"",0)</f>
        <v>Tony</v>
      </c>
    </row>
    <row r="263" spans="1:9" hidden="1">
      <c r="A263" s="436" t="s">
        <v>431</v>
      </c>
      <c r="B263" s="436" t="str">
        <f>_xlfn.XLOOKUP(Tb_Entregas[[#This Row],[SEI]],Tb_Portfólio[SEI],Tb_Portfólio[PROJETO],"",0)</f>
        <v>Sniper BC</v>
      </c>
      <c r="C263" s="438" t="s">
        <v>2021</v>
      </c>
      <c r="D263" s="443">
        <v>46083</v>
      </c>
      <c r="E263" s="438"/>
      <c r="F263" s="441">
        <v>0</v>
      </c>
      <c r="G263" s="444">
        <v>0</v>
      </c>
      <c r="H263" s="444">
        <v>0</v>
      </c>
      <c r="I263" s="436" t="str">
        <f>_xlfn.XLOOKUP(Tb_Entregas[[#This Row],[SEI]],Tb_Mapa[SEI],Tb_Mapa[CONSULTOR RESPONSÁVEL],"",0)</f>
        <v>Tony</v>
      </c>
    </row>
    <row r="264" spans="1:9" ht="45">
      <c r="A264" s="436" t="s">
        <v>443</v>
      </c>
      <c r="B264" s="436" t="str">
        <f>_xlfn.XLOOKUP(Tb_Entregas[[#This Row],[SEI]],Tb_Portfólio[SEI],Tb_Portfólio[PROJETO],"",0)</f>
        <v>Implantação do SERP</v>
      </c>
      <c r="C264" s="438" t="s">
        <v>2022</v>
      </c>
      <c r="D264" s="443">
        <v>44987</v>
      </c>
      <c r="E264" s="443">
        <v>44987</v>
      </c>
      <c r="F264" s="441">
        <v>1</v>
      </c>
      <c r="G264" s="444">
        <v>0</v>
      </c>
      <c r="H264" s="444">
        <v>0</v>
      </c>
      <c r="I264" s="436" t="str">
        <f>_xlfn.XLOOKUP(Tb_Entregas[[#This Row],[SEI]],Tb_Mapa[SEI],Tb_Mapa[CONSULTOR RESPONSÁVEL],"",0)</f>
        <v>Igor</v>
      </c>
    </row>
    <row r="265" spans="1:9">
      <c r="A265" s="436" t="s">
        <v>443</v>
      </c>
      <c r="B265" s="436" t="str">
        <f>_xlfn.XLOOKUP(Tb_Entregas[[#This Row],[SEI]],Tb_Portfólio[SEI],Tb_Portfólio[PROJETO],"",0)</f>
        <v>Implantação do SERP</v>
      </c>
      <c r="C265" s="438" t="s">
        <v>2023</v>
      </c>
      <c r="D265" s="443">
        <v>45050</v>
      </c>
      <c r="E265" s="443">
        <v>45050</v>
      </c>
      <c r="F265" s="441">
        <v>1</v>
      </c>
      <c r="G265" s="444">
        <v>0</v>
      </c>
      <c r="H265" s="444">
        <v>0</v>
      </c>
      <c r="I265" s="436" t="str">
        <f>_xlfn.XLOOKUP(Tb_Entregas[[#This Row],[SEI]],Tb_Mapa[SEI],Tb_Mapa[CONSULTOR RESPONSÁVEL],"",0)</f>
        <v>Igor</v>
      </c>
    </row>
    <row r="266" spans="1:9">
      <c r="A266" s="436" t="s">
        <v>443</v>
      </c>
      <c r="B266" s="436" t="str">
        <f>_xlfn.XLOOKUP(Tb_Entregas[[#This Row],[SEI]],Tb_Portfólio[SEI],Tb_Portfólio[PROJETO],"",0)</f>
        <v>Implantação do SERP</v>
      </c>
      <c r="C266" s="438" t="s">
        <v>2024</v>
      </c>
      <c r="D266" s="443">
        <v>45050</v>
      </c>
      <c r="E266" s="443">
        <v>45050</v>
      </c>
      <c r="F266" s="441">
        <v>1</v>
      </c>
      <c r="G266" s="444">
        <v>0</v>
      </c>
      <c r="H266" s="444">
        <v>0</v>
      </c>
      <c r="I266" s="436" t="str">
        <f>_xlfn.XLOOKUP(Tb_Entregas[[#This Row],[SEI]],Tb_Mapa[SEI],Tb_Mapa[CONSULTOR RESPONSÁVEL],"",0)</f>
        <v>Igor</v>
      </c>
    </row>
    <row r="267" spans="1:9">
      <c r="A267" s="436" t="s">
        <v>443</v>
      </c>
      <c r="B267" s="436" t="str">
        <f>_xlfn.XLOOKUP(Tb_Entregas[[#This Row],[SEI]],Tb_Portfólio[SEI],Tb_Portfólio[PROJETO],"",0)</f>
        <v>Implantação do SERP</v>
      </c>
      <c r="C267" s="438" t="s">
        <v>2025</v>
      </c>
      <c r="D267" s="443">
        <v>45075</v>
      </c>
      <c r="E267" s="443">
        <v>45075</v>
      </c>
      <c r="F267" s="441">
        <v>1</v>
      </c>
      <c r="G267" s="444">
        <v>0</v>
      </c>
      <c r="H267" s="444">
        <v>0</v>
      </c>
      <c r="I267" s="436" t="str">
        <f>_xlfn.XLOOKUP(Tb_Entregas[[#This Row],[SEI]],Tb_Mapa[SEI],Tb_Mapa[CONSULTOR RESPONSÁVEL],"",0)</f>
        <v>Igor</v>
      </c>
    </row>
    <row r="268" spans="1:9" ht="30">
      <c r="A268" s="436" t="s">
        <v>443</v>
      </c>
      <c r="B268" s="436" t="str">
        <f>_xlfn.XLOOKUP(Tb_Entregas[[#This Row],[SEI]],Tb_Portfólio[SEI],Tb_Portfólio[PROJETO],"",0)</f>
        <v>Implantação do SERP</v>
      </c>
      <c r="C268" s="438" t="s">
        <v>2026</v>
      </c>
      <c r="D268" s="443">
        <v>45066</v>
      </c>
      <c r="E268" s="438"/>
      <c r="F268" s="441">
        <v>0.25</v>
      </c>
      <c r="G268" s="444">
        <v>0</v>
      </c>
      <c r="H268" s="444">
        <v>0</v>
      </c>
      <c r="I268" s="436" t="str">
        <f>_xlfn.XLOOKUP(Tb_Entregas[[#This Row],[SEI]],Tb_Mapa[SEI],Tb_Mapa[CONSULTOR RESPONSÁVEL],"",0)</f>
        <v>Igor</v>
      </c>
    </row>
    <row r="269" spans="1:9">
      <c r="A269" s="436" t="s">
        <v>443</v>
      </c>
      <c r="B269" s="436" t="str">
        <f>_xlfn.XLOOKUP(Tb_Entregas[[#This Row],[SEI]],Tb_Portfólio[SEI],Tb_Portfólio[PROJETO],"",0)</f>
        <v>Implantação do SERP</v>
      </c>
      <c r="C269" s="438" t="s">
        <v>2027</v>
      </c>
      <c r="D269" s="443">
        <v>45108</v>
      </c>
      <c r="E269" s="443">
        <v>45108</v>
      </c>
      <c r="F269" s="441">
        <v>1</v>
      </c>
      <c r="G269" s="444">
        <v>0</v>
      </c>
      <c r="H269" s="444">
        <v>0</v>
      </c>
      <c r="I269" s="436" t="str">
        <f>_xlfn.XLOOKUP(Tb_Entregas[[#This Row],[SEI]],Tb_Mapa[SEI],Tb_Mapa[CONSULTOR RESPONSÁVEL],"",0)</f>
        <v>Igor</v>
      </c>
    </row>
    <row r="270" spans="1:9">
      <c r="A270" s="436" t="s">
        <v>443</v>
      </c>
      <c r="B270" s="436" t="str">
        <f>_xlfn.XLOOKUP(Tb_Entregas[[#This Row],[SEI]],Tb_Portfólio[SEI],Tb_Portfólio[PROJETO],"",0)</f>
        <v>Implantação do SERP</v>
      </c>
      <c r="C270" s="438" t="s">
        <v>2028</v>
      </c>
      <c r="D270" s="443">
        <v>45688</v>
      </c>
      <c r="E270" s="443"/>
      <c r="F270" s="441">
        <v>0</v>
      </c>
      <c r="G270" s="444">
        <v>0</v>
      </c>
      <c r="H270" s="444">
        <v>0</v>
      </c>
      <c r="I270" s="436" t="str">
        <f>_xlfn.XLOOKUP(Tb_Entregas[[#This Row],[SEI]],Tb_Mapa[SEI],Tb_Mapa[CONSULTOR RESPONSÁVEL],"",0)</f>
        <v>Igor</v>
      </c>
    </row>
    <row r="271" spans="1:9" hidden="1">
      <c r="A271" s="436" t="s">
        <v>458</v>
      </c>
      <c r="B271" s="436" t="str">
        <f>_xlfn.XLOOKUP(Tb_Entregas[[#This Row],[SEI]],Tb_Portfólio[SEI],Tb_Portfólio[PROJETO],"",0)</f>
        <v>SNGB - Melhorias evolutivas</v>
      </c>
      <c r="C271" s="438" t="s">
        <v>2029</v>
      </c>
      <c r="D271" s="443">
        <v>45555</v>
      </c>
      <c r="E271" s="443">
        <v>45555</v>
      </c>
      <c r="F271" s="454">
        <v>1</v>
      </c>
      <c r="G271" s="444">
        <v>0</v>
      </c>
      <c r="H271" s="444">
        <v>0</v>
      </c>
      <c r="I271" s="436" t="str">
        <f>_xlfn.XLOOKUP(Tb_Entregas[[#This Row],[SEI]],Tb_Mapa[SEI],Tb_Mapa[CONSULTOR RESPONSÁVEL],"",0)</f>
        <v>Raphael</v>
      </c>
    </row>
    <row r="272" spans="1:9">
      <c r="A272" s="436" t="s">
        <v>509</v>
      </c>
      <c r="B272" s="436" t="str">
        <f>_xlfn.XLOOKUP(Tb_Entregas[[#This Row],[SEI]],Tb_Portfólio[SEI],Tb_Portfólio[PROJETO],"",0)</f>
        <v>IA para Gestão de Precedentes Qualificados</v>
      </c>
      <c r="C272" s="438" t="s">
        <v>2030</v>
      </c>
      <c r="D272" s="443">
        <v>45400</v>
      </c>
      <c r="E272" s="443">
        <v>45412</v>
      </c>
      <c r="F272" s="441">
        <v>1</v>
      </c>
      <c r="G272" s="444">
        <v>0</v>
      </c>
      <c r="H272" s="444">
        <v>0</v>
      </c>
      <c r="I272" s="436" t="str">
        <f>_xlfn.XLOOKUP(Tb_Entregas[[#This Row],[SEI]],Tb_Mapa[SEI],Tb_Mapa[CONSULTOR RESPONSÁVEL],"",0)</f>
        <v>Igor/finalizado</v>
      </c>
    </row>
    <row r="273" spans="1:9">
      <c r="A273" s="436" t="s">
        <v>509</v>
      </c>
      <c r="B273" s="436" t="str">
        <f>_xlfn.XLOOKUP(Tb_Entregas[[#This Row],[SEI]],Tb_Portfólio[SEI],Tb_Portfólio[PROJETO],"",0)</f>
        <v>IA para Gestão de Precedentes Qualificados</v>
      </c>
      <c r="C273" s="438" t="s">
        <v>2031</v>
      </c>
      <c r="D273" s="443">
        <v>45554</v>
      </c>
      <c r="E273" s="443">
        <v>45509</v>
      </c>
      <c r="F273" s="441">
        <v>1</v>
      </c>
      <c r="G273" s="444">
        <v>0</v>
      </c>
      <c r="H273" s="444">
        <v>0</v>
      </c>
      <c r="I273" s="436" t="str">
        <f>_xlfn.XLOOKUP(Tb_Entregas[[#This Row],[SEI]],Tb_Mapa[SEI],Tb_Mapa[CONSULTOR RESPONSÁVEL],"",0)</f>
        <v>Igor/finalizado</v>
      </c>
    </row>
    <row r="274" spans="1:9">
      <c r="A274" s="436" t="s">
        <v>509</v>
      </c>
      <c r="B274" s="436" t="str">
        <f>_xlfn.XLOOKUP(Tb_Entregas[[#This Row],[SEI]],Tb_Portfólio[SEI],Tb_Portfólio[PROJETO],"",0)</f>
        <v>IA para Gestão de Precedentes Qualificados</v>
      </c>
      <c r="C274" s="438" t="s">
        <v>2032</v>
      </c>
      <c r="D274" s="443">
        <v>45704</v>
      </c>
      <c r="E274" s="443">
        <v>45645</v>
      </c>
      <c r="F274" s="441">
        <v>1</v>
      </c>
      <c r="G274" s="444">
        <v>0</v>
      </c>
      <c r="H274" s="444">
        <v>0</v>
      </c>
      <c r="I274" s="436" t="str">
        <f>_xlfn.XLOOKUP(Tb_Entregas[[#This Row],[SEI]],Tb_Mapa[SEI],Tb_Mapa[CONSULTOR RESPONSÁVEL],"",0)</f>
        <v>Igor/finalizado</v>
      </c>
    </row>
    <row r="275" spans="1:9">
      <c r="A275" s="436" t="s">
        <v>509</v>
      </c>
      <c r="B275" s="436" t="str">
        <f>_xlfn.XLOOKUP(Tb_Entregas[[#This Row],[SEI]],Tb_Portfólio[SEI],Tb_Portfólio[PROJETO],"",0)</f>
        <v>IA para Gestão de Precedentes Qualificados</v>
      </c>
      <c r="C275" s="438" t="s">
        <v>2033</v>
      </c>
      <c r="D275" s="443">
        <v>45605</v>
      </c>
      <c r="E275" s="443">
        <v>45730</v>
      </c>
      <c r="F275" s="441">
        <v>1</v>
      </c>
      <c r="G275" s="444">
        <v>0</v>
      </c>
      <c r="H275" s="444">
        <v>0</v>
      </c>
      <c r="I275" s="436" t="str">
        <f>_xlfn.XLOOKUP(Tb_Entregas[[#This Row],[SEI]],Tb_Mapa[SEI],Tb_Mapa[CONSULTOR RESPONSÁVEL],"",0)</f>
        <v>Igor/finalizado</v>
      </c>
    </row>
    <row r="276" spans="1:9">
      <c r="A276" s="436" t="s">
        <v>509</v>
      </c>
      <c r="B276" s="436" t="str">
        <f>_xlfn.XLOOKUP(Tb_Entregas[[#This Row],[SEI]],Tb_Portfólio[SEI],Tb_Portfólio[PROJETO],"",0)</f>
        <v>IA para Gestão de Precedentes Qualificados</v>
      </c>
      <c r="C276" s="438" t="s">
        <v>2034</v>
      </c>
      <c r="D276" s="443">
        <v>45605</v>
      </c>
      <c r="E276" s="443">
        <v>45730</v>
      </c>
      <c r="F276" s="441">
        <v>1</v>
      </c>
      <c r="G276" s="444">
        <v>0</v>
      </c>
      <c r="H276" s="444">
        <v>0</v>
      </c>
      <c r="I276" s="436" t="str">
        <f>_xlfn.XLOOKUP(Tb_Entregas[[#This Row],[SEI]],Tb_Mapa[SEI],Tb_Mapa[CONSULTOR RESPONSÁVEL],"",0)</f>
        <v>Igor/finalizado</v>
      </c>
    </row>
    <row r="277" spans="1:9">
      <c r="A277" s="436" t="s">
        <v>517</v>
      </c>
      <c r="B277" s="436" t="str">
        <f>_xlfn.XLOOKUP(Tb_Entregas[[#This Row],[SEI]],Tb_Portfólio[SEI],Tb_Portfólio[PROJETO],"",0)</f>
        <v>Domicílio Judicial Eletrônico - Melhorias Evolutivas</v>
      </c>
      <c r="C277" s="438" t="s">
        <v>2035</v>
      </c>
      <c r="D277" s="443">
        <v>45657</v>
      </c>
      <c r="E277" s="443">
        <v>45611</v>
      </c>
      <c r="F277" s="441">
        <v>1</v>
      </c>
      <c r="G277" s="444">
        <v>0</v>
      </c>
      <c r="H277" s="444">
        <v>0</v>
      </c>
      <c r="I277" s="436" t="s">
        <v>1715</v>
      </c>
    </row>
    <row r="278" spans="1:9">
      <c r="A278" s="436" t="s">
        <v>517</v>
      </c>
      <c r="B278" s="436" t="str">
        <f>_xlfn.XLOOKUP(Tb_Entregas[[#This Row],[SEI]],Tb_Portfólio[SEI],Tb_Portfólio[PROJETO],"",0)</f>
        <v>Domicílio Judicial Eletrônico - Melhorias Evolutivas</v>
      </c>
      <c r="C278" s="438" t="s">
        <v>2036</v>
      </c>
      <c r="D278" s="443">
        <v>46021</v>
      </c>
      <c r="E278" s="438"/>
      <c r="F278" s="441">
        <v>0.9</v>
      </c>
      <c r="G278" s="444">
        <v>0</v>
      </c>
      <c r="H278" s="444">
        <v>0</v>
      </c>
      <c r="I278" s="436" t="s">
        <v>1715</v>
      </c>
    </row>
    <row r="279" spans="1:9">
      <c r="A279" s="436" t="s">
        <v>517</v>
      </c>
      <c r="B279" s="436" t="str">
        <f>_xlfn.XLOOKUP(Tb_Entregas[[#This Row],[SEI]],Tb_Portfólio[SEI],Tb_Portfólio[PROJETO],"",0)</f>
        <v>Domicílio Judicial Eletrônico - Melhorias Evolutivas</v>
      </c>
      <c r="C279" s="438" t="s">
        <v>2037</v>
      </c>
      <c r="D279" s="443">
        <v>45566</v>
      </c>
      <c r="E279" s="443">
        <v>45600</v>
      </c>
      <c r="F279" s="441">
        <v>1</v>
      </c>
      <c r="G279" s="444">
        <v>0</v>
      </c>
      <c r="H279" s="444">
        <v>0</v>
      </c>
      <c r="I279" s="436" t="s">
        <v>1715</v>
      </c>
    </row>
    <row r="280" spans="1:9">
      <c r="A280" s="436" t="s">
        <v>517</v>
      </c>
      <c r="B280" s="436" t="str">
        <f>_xlfn.XLOOKUP(Tb_Entregas[[#This Row],[SEI]],Tb_Portfólio[SEI],Tb_Portfólio[PROJETO],"",0)</f>
        <v>Domicílio Judicial Eletrônico - Melhorias Evolutivas</v>
      </c>
      <c r="C280" s="438" t="s">
        <v>2038</v>
      </c>
      <c r="D280" s="443">
        <v>45607</v>
      </c>
      <c r="E280" s="438"/>
      <c r="F280" s="441">
        <v>0.97</v>
      </c>
      <c r="G280" s="444">
        <v>0</v>
      </c>
      <c r="H280" s="444">
        <v>0</v>
      </c>
      <c r="I280" s="436" t="s">
        <v>1715</v>
      </c>
    </row>
    <row r="281" spans="1:9">
      <c r="A281" s="436" t="s">
        <v>517</v>
      </c>
      <c r="B281" s="436" t="str">
        <f>_xlfn.XLOOKUP(Tb_Entregas[[#This Row],[SEI]],Tb_Portfólio[SEI],Tb_Portfólio[PROJETO],"",0)</f>
        <v>Domicílio Judicial Eletrônico - Melhorias Evolutivas</v>
      </c>
      <c r="C281" s="438" t="s">
        <v>2039</v>
      </c>
      <c r="D281" s="443">
        <v>45628</v>
      </c>
      <c r="E281" s="443">
        <v>45627</v>
      </c>
      <c r="F281" s="441">
        <v>1</v>
      </c>
      <c r="G281" s="444">
        <v>0</v>
      </c>
      <c r="H281" s="444">
        <v>0</v>
      </c>
      <c r="I281" s="436" t="s">
        <v>1715</v>
      </c>
    </row>
    <row r="282" spans="1:9">
      <c r="A282" s="436" t="s">
        <v>517</v>
      </c>
      <c r="B282" s="436" t="str">
        <f>_xlfn.XLOOKUP(Tb_Entregas[[#This Row],[SEI]],Tb_Portfólio[SEI],Tb_Portfólio[PROJETO],"",0)</f>
        <v>Domicílio Judicial Eletrônico - Melhorias Evolutivas</v>
      </c>
      <c r="C282" s="438" t="s">
        <v>1839</v>
      </c>
      <c r="D282" s="443">
        <v>45657</v>
      </c>
      <c r="E282" s="438"/>
      <c r="F282" s="441">
        <v>0.94</v>
      </c>
      <c r="G282" s="444">
        <v>0</v>
      </c>
      <c r="H282" s="444">
        <v>0</v>
      </c>
      <c r="I282" s="436" t="s">
        <v>1715</v>
      </c>
    </row>
    <row r="283" spans="1:9">
      <c r="A283" s="436" t="s">
        <v>517</v>
      </c>
      <c r="B283" s="436" t="str">
        <f>_xlfn.XLOOKUP(Tb_Entregas[[#This Row],[SEI]],Tb_Portfólio[SEI],Tb_Portfólio[PROJETO],"",0)</f>
        <v>Domicílio Judicial Eletrônico - Melhorias Evolutivas</v>
      </c>
      <c r="C283" s="438" t="s">
        <v>2040</v>
      </c>
      <c r="D283" s="443">
        <v>45837</v>
      </c>
      <c r="E283" s="438"/>
      <c r="F283" s="441">
        <v>0.45</v>
      </c>
      <c r="G283" s="444">
        <v>0</v>
      </c>
      <c r="H283" s="444">
        <v>0</v>
      </c>
      <c r="I283" s="436" t="s">
        <v>1715</v>
      </c>
    </row>
    <row r="284" spans="1:9">
      <c r="A284" s="436" t="s">
        <v>523</v>
      </c>
      <c r="B284" s="436" t="str">
        <f>_xlfn.XLOOKUP(Tb_Entregas[[#This Row],[SEI]],Tb_Portfólio[SEI],Tb_Portfólio[PROJETO],"",0)</f>
        <v>Portal Jus BR</v>
      </c>
      <c r="C284" s="438" t="s">
        <v>2041</v>
      </c>
      <c r="D284" s="443">
        <v>45576</v>
      </c>
      <c r="E284" s="443">
        <v>45576</v>
      </c>
      <c r="F284" s="441">
        <v>1</v>
      </c>
      <c r="G284" s="444">
        <v>0</v>
      </c>
      <c r="H284" s="444">
        <v>0</v>
      </c>
      <c r="I284" s="308" t="s">
        <v>1715</v>
      </c>
    </row>
    <row r="285" spans="1:9" ht="30">
      <c r="A285" s="436" t="s">
        <v>523</v>
      </c>
      <c r="B285" s="436" t="str">
        <f>_xlfn.XLOOKUP(Tb_Entregas[[#This Row],[SEI]],Tb_Portfólio[SEI],Tb_Portfólio[PROJETO],"",0)</f>
        <v>Portal Jus BR</v>
      </c>
      <c r="C285" s="438" t="s">
        <v>2042</v>
      </c>
      <c r="D285" s="443">
        <v>45618</v>
      </c>
      <c r="E285" s="443">
        <v>45624</v>
      </c>
      <c r="F285" s="441">
        <v>1</v>
      </c>
      <c r="G285" s="444">
        <v>0</v>
      </c>
      <c r="H285" s="444">
        <v>0</v>
      </c>
      <c r="I285" s="308" t="s">
        <v>1715</v>
      </c>
    </row>
    <row r="286" spans="1:9">
      <c r="A286" s="436" t="s">
        <v>523</v>
      </c>
      <c r="B286" s="436" t="str">
        <f>_xlfn.XLOOKUP(Tb_Entregas[[#This Row],[SEI]],Tb_Portfólio[SEI],Tb_Portfólio[PROJETO],"",0)</f>
        <v>Portal Jus BR</v>
      </c>
      <c r="C286" s="438" t="s">
        <v>2043</v>
      </c>
      <c r="D286" s="443">
        <v>45618</v>
      </c>
      <c r="E286" s="443">
        <v>45624</v>
      </c>
      <c r="F286" s="441">
        <v>1</v>
      </c>
      <c r="G286" s="444">
        <v>0</v>
      </c>
      <c r="H286" s="444">
        <v>0</v>
      </c>
      <c r="I286" s="308" t="s">
        <v>1715</v>
      </c>
    </row>
    <row r="287" spans="1:9">
      <c r="A287" s="436" t="s">
        <v>523</v>
      </c>
      <c r="B287" s="436" t="str">
        <f>_xlfn.XLOOKUP(Tb_Entregas[[#This Row],[SEI]],Tb_Portfólio[SEI],Tb_Portfólio[PROJETO],"",0)</f>
        <v>Portal Jus BR</v>
      </c>
      <c r="C287" s="438" t="s">
        <v>2044</v>
      </c>
      <c r="D287" s="443">
        <v>45620</v>
      </c>
      <c r="E287" s="443">
        <v>45624</v>
      </c>
      <c r="F287" s="441">
        <v>1</v>
      </c>
      <c r="G287" s="444">
        <v>0</v>
      </c>
      <c r="H287" s="444">
        <v>0</v>
      </c>
      <c r="I287" s="308" t="s">
        <v>1715</v>
      </c>
    </row>
    <row r="288" spans="1:9">
      <c r="A288" s="436" t="s">
        <v>523</v>
      </c>
      <c r="B288" s="436" t="str">
        <f>_xlfn.XLOOKUP(Tb_Entregas[[#This Row],[SEI]],Tb_Portfólio[SEI],Tb_Portfólio[PROJETO],"",0)</f>
        <v>Portal Jus BR</v>
      </c>
      <c r="C288" s="438" t="s">
        <v>2045</v>
      </c>
      <c r="D288" s="443">
        <v>45620</v>
      </c>
      <c r="E288" s="443">
        <v>45624</v>
      </c>
      <c r="F288" s="441">
        <v>1</v>
      </c>
      <c r="G288" s="444">
        <v>0</v>
      </c>
      <c r="H288" s="444">
        <v>0</v>
      </c>
      <c r="I288" s="308" t="s">
        <v>1715</v>
      </c>
    </row>
    <row r="289" spans="1:9">
      <c r="A289" s="436" t="s">
        <v>523</v>
      </c>
      <c r="B289" s="436" t="str">
        <f>_xlfn.XLOOKUP(Tb_Entregas[[#This Row],[SEI]],Tb_Portfólio[SEI],Tb_Portfólio[PROJETO],"",0)</f>
        <v>Portal Jus BR</v>
      </c>
      <c r="C289" s="438" t="s">
        <v>2046</v>
      </c>
      <c r="D289" s="443">
        <v>45620</v>
      </c>
      <c r="E289" s="443">
        <v>45624</v>
      </c>
      <c r="F289" s="441">
        <v>1</v>
      </c>
      <c r="G289" s="444">
        <v>0</v>
      </c>
      <c r="H289" s="444">
        <v>0</v>
      </c>
      <c r="I289" s="308" t="s">
        <v>1715</v>
      </c>
    </row>
    <row r="290" spans="1:9">
      <c r="A290" s="436" t="s">
        <v>523</v>
      </c>
      <c r="B290" s="436" t="str">
        <f>_xlfn.XLOOKUP(Tb_Entregas[[#This Row],[SEI]],Tb_Portfólio[SEI],Tb_Portfólio[PROJETO],"",0)</f>
        <v>Portal Jus BR</v>
      </c>
      <c r="C290" s="438" t="s">
        <v>2047</v>
      </c>
      <c r="D290" s="443">
        <v>45940</v>
      </c>
      <c r="E290" s="443">
        <v>45625</v>
      </c>
      <c r="F290" s="441">
        <v>1</v>
      </c>
      <c r="G290" s="444">
        <v>0</v>
      </c>
      <c r="H290" s="444">
        <v>0</v>
      </c>
      <c r="I290" s="308" t="s">
        <v>1715</v>
      </c>
    </row>
    <row r="291" spans="1:9">
      <c r="A291" s="436" t="s">
        <v>523</v>
      </c>
      <c r="B291" s="436" t="str">
        <f>_xlfn.XLOOKUP(Tb_Entregas[[#This Row],[SEI]],Tb_Portfólio[SEI],Tb_Portfólio[PROJETO],"",0)</f>
        <v>Portal Jus BR</v>
      </c>
      <c r="C291" s="438" t="s">
        <v>2048</v>
      </c>
      <c r="D291" s="443">
        <v>45898</v>
      </c>
      <c r="E291" s="443">
        <v>45624</v>
      </c>
      <c r="F291" s="441">
        <v>1</v>
      </c>
      <c r="G291" s="444">
        <v>0</v>
      </c>
      <c r="H291" s="444">
        <v>0</v>
      </c>
      <c r="I291" s="308" t="s">
        <v>1715</v>
      </c>
    </row>
    <row r="292" spans="1:9">
      <c r="A292" s="436" t="s">
        <v>523</v>
      </c>
      <c r="B292" s="436" t="str">
        <f>_xlfn.XLOOKUP(Tb_Entregas[[#This Row],[SEI]],Tb_Portfólio[SEI],Tb_Portfólio[PROJETO],"",0)</f>
        <v>Portal Jus BR</v>
      </c>
      <c r="C292" s="438" t="s">
        <v>2049</v>
      </c>
      <c r="D292" s="443">
        <v>45870</v>
      </c>
      <c r="E292" s="443">
        <v>45624</v>
      </c>
      <c r="F292" s="441">
        <v>1</v>
      </c>
      <c r="G292" s="444">
        <v>0</v>
      </c>
      <c r="H292" s="444">
        <v>0</v>
      </c>
      <c r="I292" s="308" t="s">
        <v>1715</v>
      </c>
    </row>
    <row r="293" spans="1:9">
      <c r="A293" s="436" t="s">
        <v>523</v>
      </c>
      <c r="B293" s="436" t="str">
        <f>_xlfn.XLOOKUP(Tb_Entregas[[#This Row],[SEI]],Tb_Portfólio[SEI],Tb_Portfólio[PROJETO],"",0)</f>
        <v>Portal Jus BR</v>
      </c>
      <c r="C293" s="438" t="s">
        <v>2050</v>
      </c>
      <c r="D293" s="443">
        <v>45856</v>
      </c>
      <c r="E293" s="438"/>
      <c r="F293" s="441">
        <v>0.46</v>
      </c>
      <c r="G293" s="444">
        <v>0</v>
      </c>
      <c r="H293" s="444">
        <v>0</v>
      </c>
      <c r="I293" s="308" t="s">
        <v>1715</v>
      </c>
    </row>
    <row r="294" spans="1:9">
      <c r="A294" s="436" t="s">
        <v>523</v>
      </c>
      <c r="B294" s="436" t="str">
        <f>_xlfn.XLOOKUP(Tb_Entregas[[#This Row],[SEI]],Tb_Portfólio[SEI],Tb_Portfólio[PROJETO],"",0)</f>
        <v>Portal Jus BR</v>
      </c>
      <c r="C294" s="438" t="s">
        <v>2051</v>
      </c>
      <c r="D294" s="443">
        <v>45954</v>
      </c>
      <c r="E294" s="438"/>
      <c r="F294" s="441">
        <v>0.42</v>
      </c>
      <c r="G294" s="444">
        <v>0</v>
      </c>
      <c r="H294" s="444">
        <v>0</v>
      </c>
      <c r="I294" s="308" t="s">
        <v>1715</v>
      </c>
    </row>
    <row r="295" spans="1:9">
      <c r="A295" s="436" t="s">
        <v>523</v>
      </c>
      <c r="B295" s="436" t="str">
        <f>_xlfn.XLOOKUP(Tb_Entregas[[#This Row],[SEI]],Tb_Portfólio[SEI],Tb_Portfólio[PROJETO],"",0)</f>
        <v>Portal Jus BR</v>
      </c>
      <c r="C295" s="438" t="s">
        <v>2052</v>
      </c>
      <c r="D295" s="443">
        <v>45954</v>
      </c>
      <c r="E295" s="438"/>
      <c r="F295" s="441">
        <v>0.4</v>
      </c>
      <c r="G295" s="444">
        <v>0</v>
      </c>
      <c r="H295" s="444">
        <v>0</v>
      </c>
      <c r="I295" s="308" t="s">
        <v>1715</v>
      </c>
    </row>
    <row r="296" spans="1:9">
      <c r="A296" s="436" t="s">
        <v>523</v>
      </c>
      <c r="B296" s="436" t="str">
        <f>_xlfn.XLOOKUP(Tb_Entregas[[#This Row],[SEI]],Tb_Portfólio[SEI],Tb_Portfólio[PROJETO],"",0)</f>
        <v>Portal Jus BR</v>
      </c>
      <c r="C296" s="438" t="s">
        <v>2053</v>
      </c>
      <c r="D296" s="443">
        <v>45926</v>
      </c>
      <c r="E296" s="438"/>
      <c r="F296" s="441">
        <v>0</v>
      </c>
      <c r="G296" s="444">
        <v>0</v>
      </c>
      <c r="H296" s="444">
        <v>0</v>
      </c>
      <c r="I296" s="308" t="s">
        <v>1715</v>
      </c>
    </row>
    <row r="297" spans="1:9">
      <c r="A297" s="436" t="s">
        <v>523</v>
      </c>
      <c r="B297" s="436" t="str">
        <f>_xlfn.XLOOKUP(Tb_Entregas[[#This Row],[SEI]],Tb_Portfólio[SEI],Tb_Portfólio[PROJETO],"",0)</f>
        <v>Portal Jus BR</v>
      </c>
      <c r="C297" s="438" t="s">
        <v>2054</v>
      </c>
      <c r="D297" s="443">
        <v>45940</v>
      </c>
      <c r="E297" s="438"/>
      <c r="F297" s="441">
        <v>0</v>
      </c>
      <c r="G297" s="444">
        <v>0</v>
      </c>
      <c r="H297" s="444">
        <v>0</v>
      </c>
      <c r="I297" s="308" t="s">
        <v>1715</v>
      </c>
    </row>
    <row r="298" spans="1:9">
      <c r="A298" s="436" t="s">
        <v>523</v>
      </c>
      <c r="B298" s="436" t="str">
        <f>_xlfn.XLOOKUP(Tb_Entregas[[#This Row],[SEI]],Tb_Portfólio[SEI],Tb_Portfólio[PROJETO],"",0)</f>
        <v>Portal Jus BR</v>
      </c>
      <c r="C298" s="438" t="s">
        <v>2055</v>
      </c>
      <c r="D298" s="443">
        <v>45960</v>
      </c>
      <c r="E298" s="438"/>
      <c r="F298" s="441">
        <v>0</v>
      </c>
      <c r="G298" s="444">
        <v>0</v>
      </c>
      <c r="H298" s="444">
        <v>0</v>
      </c>
      <c r="I298" s="308" t="s">
        <v>1715</v>
      </c>
    </row>
    <row r="299" spans="1:9">
      <c r="A299" s="436" t="s">
        <v>533</v>
      </c>
      <c r="B299" s="436" t="str">
        <f>_xlfn.XLOOKUP(Tb_Entregas[[#This Row],[SEI]],Tb_Portfólio[SEI],Tb_Portfólio[PROJETO],"",0)</f>
        <v>Qualificação de Dados</v>
      </c>
      <c r="C299" s="438" t="s">
        <v>2056</v>
      </c>
      <c r="D299" s="443">
        <v>45644</v>
      </c>
      <c r="E299" s="443">
        <v>45636</v>
      </c>
      <c r="F299" s="441">
        <v>1</v>
      </c>
      <c r="G299" s="444">
        <v>0</v>
      </c>
      <c r="H299" s="444">
        <v>0</v>
      </c>
      <c r="I299" s="436" t="s">
        <v>1715</v>
      </c>
    </row>
    <row r="300" spans="1:9">
      <c r="A300" s="436" t="s">
        <v>533</v>
      </c>
      <c r="B300" s="436" t="str">
        <f>_xlfn.XLOOKUP(Tb_Entregas[[#This Row],[SEI]],Tb_Portfólio[SEI],Tb_Portfólio[PROJETO],"",0)</f>
        <v>Qualificação de Dados</v>
      </c>
      <c r="C300" s="438" t="s">
        <v>2057</v>
      </c>
      <c r="D300" s="443">
        <v>45679</v>
      </c>
      <c r="E300" s="438"/>
      <c r="F300" s="441">
        <v>0.97</v>
      </c>
      <c r="G300" s="444">
        <v>0</v>
      </c>
      <c r="H300" s="444">
        <v>0</v>
      </c>
      <c r="I300" s="436" t="s">
        <v>1715</v>
      </c>
    </row>
    <row r="301" spans="1:9">
      <c r="A301" s="436" t="s">
        <v>533</v>
      </c>
      <c r="B301" s="436" t="str">
        <f>_xlfn.XLOOKUP(Tb_Entregas[[#This Row],[SEI]],Tb_Portfólio[SEI],Tb_Portfólio[PROJETO],"",0)</f>
        <v>Qualificação de Dados</v>
      </c>
      <c r="C301" s="438" t="s">
        <v>2058</v>
      </c>
      <c r="D301" s="443">
        <v>45863</v>
      </c>
      <c r="E301" s="438"/>
      <c r="F301" s="441">
        <v>0.28000000000000003</v>
      </c>
      <c r="G301" s="444">
        <v>0</v>
      </c>
      <c r="H301" s="444">
        <v>0</v>
      </c>
      <c r="I301" s="436" t="s">
        <v>1715</v>
      </c>
    </row>
    <row r="302" spans="1:9" ht="45">
      <c r="A302" s="436" t="s">
        <v>533</v>
      </c>
      <c r="B302" s="436" t="str">
        <f>_xlfn.XLOOKUP(Tb_Entregas[[#This Row],[SEI]],Tb_Portfólio[SEI],Tb_Portfólio[PROJETO],"",0)</f>
        <v>Qualificação de Dados</v>
      </c>
      <c r="C302" s="438" t="s">
        <v>2059</v>
      </c>
      <c r="D302" s="443">
        <v>46049</v>
      </c>
      <c r="E302" s="438"/>
      <c r="F302" s="441">
        <v>0</v>
      </c>
      <c r="G302" s="444">
        <v>0</v>
      </c>
      <c r="H302" s="444">
        <v>0</v>
      </c>
      <c r="I302" s="436" t="s">
        <v>1715</v>
      </c>
    </row>
    <row r="303" spans="1:9" hidden="1">
      <c r="A303" s="436" t="s">
        <v>580</v>
      </c>
      <c r="B303" s="436" t="str">
        <f>_xlfn.XLOOKUP(Tb_Entregas[[#This Row],[SEI]],Tb_Portfólio[SEI],Tb_Portfólio[PROJETO],"",0)</f>
        <v>SireneJud 2.0 - Evoluções</v>
      </c>
      <c r="C303" s="438" t="s">
        <v>2060</v>
      </c>
      <c r="D303" s="443">
        <v>46387</v>
      </c>
      <c r="E303" s="438"/>
      <c r="F303" s="441">
        <v>0.7</v>
      </c>
      <c r="G303" s="444">
        <v>0</v>
      </c>
      <c r="H303" s="444">
        <v>0</v>
      </c>
      <c r="I303" s="436" t="str">
        <f>_xlfn.XLOOKUP(Tb_Entregas[[#This Row],[SEI]],Tb_Mapa[SEI],Tb_Mapa[CONSULTOR RESPONSÁVEL],"",0)</f>
        <v>Juliana</v>
      </c>
    </row>
    <row r="304" spans="1:9" ht="60" hidden="1">
      <c r="A304" s="436" t="s">
        <v>580</v>
      </c>
      <c r="B304" s="436" t="str">
        <f>_xlfn.XLOOKUP(Tb_Entregas[[#This Row],[SEI]],Tb_Portfólio[SEI],Tb_Portfólio[PROJETO],"",0)</f>
        <v>SireneJud 2.0 - Evoluções</v>
      </c>
      <c r="C304" s="438" t="s">
        <v>2061</v>
      </c>
      <c r="D304" s="443">
        <v>46387</v>
      </c>
      <c r="E304" s="438"/>
      <c r="F304" s="441">
        <v>0.5</v>
      </c>
      <c r="G304" s="444">
        <v>0</v>
      </c>
      <c r="H304" s="444">
        <v>0</v>
      </c>
      <c r="I304" s="436" t="str">
        <f>_xlfn.XLOOKUP(Tb_Entregas[[#This Row],[SEI]],Tb_Mapa[SEI],Tb_Mapa[CONSULTOR RESPONSÁVEL],"",0)</f>
        <v>Juliana</v>
      </c>
    </row>
    <row r="305" spans="1:9" hidden="1">
      <c r="A305" s="436" t="s">
        <v>609</v>
      </c>
      <c r="B305" s="436" t="str">
        <f>_xlfn.XLOOKUP(Tb_Entregas[[#This Row],[SEI]],Tb_Portfólio[SEI],Tb_Portfólio[PROJETO],"",0)</f>
        <v>SPVATJUD</v>
      </c>
      <c r="C305" s="438" t="s">
        <v>2062</v>
      </c>
      <c r="D305" s="443">
        <v>44893</v>
      </c>
      <c r="E305" s="443">
        <v>45169</v>
      </c>
      <c r="F305" s="441">
        <v>1</v>
      </c>
      <c r="G305" s="444">
        <v>0</v>
      </c>
      <c r="H305" s="444">
        <v>0</v>
      </c>
      <c r="I305" s="436" t="str">
        <f>_xlfn.XLOOKUP(Tb_Entregas[[#This Row],[SEI]],Tb_Mapa[SEI],Tb_Mapa[CONSULTOR RESPONSÁVEL],"",0)</f>
        <v>Finalizado</v>
      </c>
    </row>
    <row r="306" spans="1:9" hidden="1">
      <c r="A306" s="436" t="s">
        <v>609</v>
      </c>
      <c r="B306" s="436" t="str">
        <f>_xlfn.XLOOKUP(Tb_Entregas[[#This Row],[SEI]],Tb_Portfólio[SEI],Tb_Portfólio[PROJETO],"",0)</f>
        <v>SPVATJUD</v>
      </c>
      <c r="C306" s="438" t="s">
        <v>2063</v>
      </c>
      <c r="D306" s="443">
        <v>45231</v>
      </c>
      <c r="E306" s="443">
        <v>45404</v>
      </c>
      <c r="F306" s="441">
        <v>1</v>
      </c>
      <c r="G306" s="444">
        <v>0</v>
      </c>
      <c r="H306" s="444">
        <v>0</v>
      </c>
      <c r="I306" s="436" t="str">
        <f>_xlfn.XLOOKUP(Tb_Entregas[[#This Row],[SEI]],Tb_Mapa[SEI],Tb_Mapa[CONSULTOR RESPONSÁVEL],"",0)</f>
        <v>Finalizado</v>
      </c>
    </row>
    <row r="307" spans="1:9" hidden="1">
      <c r="A307" s="436" t="s">
        <v>609</v>
      </c>
      <c r="B307" s="436" t="str">
        <f>_xlfn.XLOOKUP(Tb_Entregas[[#This Row],[SEI]],Tb_Portfólio[SEI],Tb_Portfólio[PROJETO],"",0)</f>
        <v>SPVATJUD</v>
      </c>
      <c r="C307" s="438" t="s">
        <v>2064</v>
      </c>
      <c r="D307" s="443">
        <v>45321</v>
      </c>
      <c r="E307" s="443">
        <v>45427</v>
      </c>
      <c r="F307" s="441">
        <v>1</v>
      </c>
      <c r="G307" s="444">
        <v>0</v>
      </c>
      <c r="H307" s="444">
        <v>0</v>
      </c>
      <c r="I307" s="436" t="str">
        <f>_xlfn.XLOOKUP(Tb_Entregas[[#This Row],[SEI]],Tb_Mapa[SEI],Tb_Mapa[CONSULTOR RESPONSÁVEL],"",0)</f>
        <v>Finalizado</v>
      </c>
    </row>
    <row r="308" spans="1:9" hidden="1">
      <c r="A308" s="436" t="s">
        <v>609</v>
      </c>
      <c r="B308" s="436" t="str">
        <f>_xlfn.XLOOKUP(Tb_Entregas[[#This Row],[SEI]],Tb_Portfólio[SEI],Tb_Portfólio[PROJETO],"",0)</f>
        <v>SPVATJUD</v>
      </c>
      <c r="C308" s="438" t="s">
        <v>2065</v>
      </c>
      <c r="D308" s="443">
        <v>45690</v>
      </c>
      <c r="E308" s="443">
        <v>45690</v>
      </c>
      <c r="F308" s="441">
        <v>1</v>
      </c>
      <c r="G308" s="444">
        <v>0</v>
      </c>
      <c r="H308" s="444">
        <v>0</v>
      </c>
      <c r="I308" s="436" t="str">
        <f>_xlfn.XLOOKUP(Tb_Entregas[[#This Row],[SEI]],Tb_Mapa[SEI],Tb_Mapa[CONSULTOR RESPONSÁVEL],"",0)</f>
        <v>Finalizado</v>
      </c>
    </row>
    <row r="309" spans="1:9" hidden="1">
      <c r="A309" s="436" t="s">
        <v>609</v>
      </c>
      <c r="B309" s="436" t="str">
        <f>_xlfn.XLOOKUP(Tb_Entregas[[#This Row],[SEI]],Tb_Portfólio[SEI],Tb_Portfólio[PROJETO],"",0)</f>
        <v>SPVATJUD</v>
      </c>
      <c r="C309" s="438" t="s">
        <v>2066</v>
      </c>
      <c r="D309" s="443">
        <v>45558</v>
      </c>
      <c r="E309" s="443">
        <v>45532</v>
      </c>
      <c r="F309" s="441">
        <v>1</v>
      </c>
      <c r="G309" s="444">
        <v>0</v>
      </c>
      <c r="H309" s="444">
        <v>0</v>
      </c>
      <c r="I309" s="436" t="str">
        <f>_xlfn.XLOOKUP(Tb_Entregas[[#This Row],[SEI]],Tb_Mapa[SEI],Tb_Mapa[CONSULTOR RESPONSÁVEL],"",0)</f>
        <v>Finalizado</v>
      </c>
    </row>
    <row r="310" spans="1:9" ht="30" hidden="1">
      <c r="A310" s="436" t="s">
        <v>615</v>
      </c>
      <c r="B310" s="436" t="str">
        <f>_xlfn.XLOOKUP(Tb_Entregas[[#This Row],[SEI]],Tb_Portfólio[SEI],Tb_Portfólio[PROJETO],"",0)</f>
        <v>Polícia Judicial Amiga dos Autistas</v>
      </c>
      <c r="C310" s="438" t="s">
        <v>2067</v>
      </c>
      <c r="D310" s="443">
        <v>45382</v>
      </c>
      <c r="E310" s="443">
        <v>45363</v>
      </c>
      <c r="F310" s="441">
        <v>1</v>
      </c>
      <c r="G310" s="444">
        <v>0</v>
      </c>
      <c r="H310" s="444">
        <v>0</v>
      </c>
      <c r="I310" s="436" t="str">
        <f>_xlfn.XLOOKUP(Tb_Entregas[[#This Row],[SEI]],Tb_Mapa[SEI],Tb_Mapa[CONSULTOR RESPONSÁVEL],"",0)</f>
        <v>Finalizado</v>
      </c>
    </row>
    <row r="311" spans="1:9" ht="45" hidden="1">
      <c r="A311" s="436" t="s">
        <v>615</v>
      </c>
      <c r="B311" s="436" t="str">
        <f>_xlfn.XLOOKUP(Tb_Entregas[[#This Row],[SEI]],Tb_Portfólio[SEI],Tb_Portfólio[PROJETO],"",0)</f>
        <v>Polícia Judicial Amiga dos Autistas</v>
      </c>
      <c r="C311" s="438" t="s">
        <v>2068</v>
      </c>
      <c r="D311" s="443">
        <v>45621</v>
      </c>
      <c r="E311" s="443">
        <v>45688</v>
      </c>
      <c r="F311" s="441">
        <v>1</v>
      </c>
      <c r="G311" s="444">
        <v>0</v>
      </c>
      <c r="H311" s="444">
        <v>0</v>
      </c>
      <c r="I311" s="436" t="str">
        <f>_xlfn.XLOOKUP(Tb_Entregas[[#This Row],[SEI]],Tb_Mapa[SEI],Tb_Mapa[CONSULTOR RESPONSÁVEL],"",0)</f>
        <v>Finalizado</v>
      </c>
    </row>
    <row r="312" spans="1:9" ht="30" hidden="1">
      <c r="A312" s="436" t="s">
        <v>615</v>
      </c>
      <c r="B312" s="436" t="str">
        <f>_xlfn.XLOOKUP(Tb_Entregas[[#This Row],[SEI]],Tb_Portfólio[SEI],Tb_Portfólio[PROJETO],"",0)</f>
        <v>Polícia Judicial Amiga dos Autistas</v>
      </c>
      <c r="C312" s="438" t="s">
        <v>2069</v>
      </c>
      <c r="D312" s="443">
        <v>45512</v>
      </c>
      <c r="E312" s="443">
        <v>45593</v>
      </c>
      <c r="F312" s="441">
        <v>1</v>
      </c>
      <c r="G312" s="444">
        <v>0</v>
      </c>
      <c r="H312" s="444">
        <v>0</v>
      </c>
      <c r="I312" s="436" t="str">
        <f>_xlfn.XLOOKUP(Tb_Entregas[[#This Row],[SEI]],Tb_Mapa[SEI],Tb_Mapa[CONSULTOR RESPONSÁVEL],"",0)</f>
        <v>Finalizado</v>
      </c>
    </row>
    <row r="313" spans="1:9" ht="30">
      <c r="A313" s="436" t="s">
        <v>629</v>
      </c>
      <c r="B313" s="436" t="str">
        <f>_xlfn.XLOOKUP(Tb_Entregas[[#This Row],[SEI]],Tb_Portfólio[SEI],Tb_Portfólio[PROJETO],"",0)</f>
        <v>2º Edital da 7ª Edição da Série Justiça Pesquisa - Exercício 2024/2025</v>
      </c>
      <c r="C313" s="438" t="s">
        <v>2070</v>
      </c>
      <c r="D313" s="443">
        <v>46116</v>
      </c>
      <c r="E313" s="438"/>
      <c r="F313" s="441">
        <v>0</v>
      </c>
      <c r="G313" s="444">
        <v>0</v>
      </c>
      <c r="H313" s="444">
        <v>0</v>
      </c>
      <c r="I313" s="436" t="str">
        <f>_xlfn.XLOOKUP(Tb_Entregas[[#This Row],[SEI]],Tb_Mapa[SEI],Tb_Mapa[CONSULTOR RESPONSÁVEL],"",0)</f>
        <v>Juliana</v>
      </c>
    </row>
    <row r="314" spans="1:9" ht="30">
      <c r="A314" s="436" t="s">
        <v>629</v>
      </c>
      <c r="B314" s="436" t="str">
        <f>_xlfn.XLOOKUP(Tb_Entregas[[#This Row],[SEI]],Tb_Portfólio[SEI],Tb_Portfólio[PROJETO],"",0)</f>
        <v>2º Edital da 7ª Edição da Série Justiça Pesquisa - Exercício 2024/2025</v>
      </c>
      <c r="C314" s="438" t="s">
        <v>2071</v>
      </c>
      <c r="D314" s="443">
        <v>46116</v>
      </c>
      <c r="E314" s="438"/>
      <c r="F314" s="441">
        <v>0</v>
      </c>
      <c r="G314" s="444">
        <v>0</v>
      </c>
      <c r="H314" s="444">
        <v>0</v>
      </c>
      <c r="I314" s="436" t="str">
        <f>_xlfn.XLOOKUP(Tb_Entregas[[#This Row],[SEI]],Tb_Mapa[SEI],Tb_Mapa[CONSULTOR RESPONSÁVEL],"",0)</f>
        <v>Juliana</v>
      </c>
    </row>
    <row r="315" spans="1:9" ht="30">
      <c r="A315" s="436" t="s">
        <v>638</v>
      </c>
      <c r="B315" s="436" t="str">
        <f>_xlfn.XLOOKUP(Tb_Entregas[[#This Row],[SEI]],Tb_Portfólio[SEI],Tb_Portfólio[PROJETO],"",0)</f>
        <v>Sisperjud</v>
      </c>
      <c r="C315" s="438" t="s">
        <v>2072</v>
      </c>
      <c r="D315" s="443">
        <v>45395</v>
      </c>
      <c r="E315" s="443">
        <v>45404</v>
      </c>
      <c r="F315" s="441">
        <v>1</v>
      </c>
      <c r="G315" s="444">
        <v>0</v>
      </c>
      <c r="H315" s="444">
        <v>0</v>
      </c>
      <c r="I315" s="160" t="s">
        <v>1715</v>
      </c>
    </row>
    <row r="316" spans="1:9">
      <c r="A316" s="436" t="s">
        <v>638</v>
      </c>
      <c r="B316" s="436" t="str">
        <f>_xlfn.XLOOKUP(Tb_Entregas[[#This Row],[SEI]],Tb_Portfólio[SEI],Tb_Portfólio[PROJETO],"",0)</f>
        <v>Sisperjud</v>
      </c>
      <c r="C316" s="438" t="s">
        <v>2073</v>
      </c>
      <c r="D316" s="443">
        <v>45434</v>
      </c>
      <c r="E316" s="443">
        <v>45469</v>
      </c>
      <c r="F316" s="441">
        <v>1</v>
      </c>
      <c r="G316" s="444">
        <v>0</v>
      </c>
      <c r="H316" s="444">
        <v>0</v>
      </c>
      <c r="I316" s="160" t="s">
        <v>1715</v>
      </c>
    </row>
    <row r="317" spans="1:9">
      <c r="A317" s="436" t="s">
        <v>638</v>
      </c>
      <c r="B317" s="436" t="str">
        <f>_xlfn.XLOOKUP(Tb_Entregas[[#This Row],[SEI]],Tb_Portfólio[SEI],Tb_Portfólio[PROJETO],"",0)</f>
        <v>Sisperjud</v>
      </c>
      <c r="C317" s="438" t="s">
        <v>2074</v>
      </c>
      <c r="D317" s="443">
        <v>45476</v>
      </c>
      <c r="E317" s="443">
        <v>45469</v>
      </c>
      <c r="F317" s="441">
        <v>1</v>
      </c>
      <c r="G317" s="444">
        <v>0</v>
      </c>
      <c r="H317" s="444">
        <v>0</v>
      </c>
      <c r="I317" s="160" t="s">
        <v>1715</v>
      </c>
    </row>
    <row r="318" spans="1:9">
      <c r="A318" s="436" t="s">
        <v>638</v>
      </c>
      <c r="B318" s="436" t="str">
        <f>_xlfn.XLOOKUP(Tb_Entregas[[#This Row],[SEI]],Tb_Portfólio[SEI],Tb_Portfólio[PROJETO],"",0)</f>
        <v>Sisperjud</v>
      </c>
      <c r="C318" s="438" t="s">
        <v>2075</v>
      </c>
      <c r="D318" s="443">
        <v>45504</v>
      </c>
      <c r="E318" s="443">
        <v>45544</v>
      </c>
      <c r="F318" s="441">
        <v>1</v>
      </c>
      <c r="G318" s="444">
        <v>0</v>
      </c>
      <c r="H318" s="444">
        <v>0</v>
      </c>
      <c r="I318" s="160" t="s">
        <v>1715</v>
      </c>
    </row>
    <row r="319" spans="1:9">
      <c r="A319" s="436" t="s">
        <v>638</v>
      </c>
      <c r="B319" s="436" t="str">
        <f>_xlfn.XLOOKUP(Tb_Entregas[[#This Row],[SEI]],Tb_Portfólio[SEI],Tb_Portfólio[PROJETO],"",0)</f>
        <v>Sisperjud</v>
      </c>
      <c r="C319" s="438" t="s">
        <v>2076</v>
      </c>
      <c r="D319" s="443">
        <v>45565</v>
      </c>
      <c r="E319" s="443">
        <v>45565</v>
      </c>
      <c r="F319" s="441">
        <v>1</v>
      </c>
      <c r="G319" s="444">
        <v>0</v>
      </c>
      <c r="H319" s="444">
        <v>0</v>
      </c>
      <c r="I319" s="160" t="s">
        <v>1715</v>
      </c>
    </row>
    <row r="320" spans="1:9">
      <c r="A320" s="436" t="s">
        <v>638</v>
      </c>
      <c r="B320" s="436" t="str">
        <f>_xlfn.XLOOKUP(Tb_Entregas[[#This Row],[SEI]],Tb_Portfólio[SEI],Tb_Portfólio[PROJETO],"",0)</f>
        <v>Sisperjud</v>
      </c>
      <c r="C320" s="438" t="s">
        <v>2077</v>
      </c>
      <c r="D320" s="443">
        <v>45726</v>
      </c>
      <c r="E320" s="438"/>
      <c r="F320" s="441">
        <v>0.04</v>
      </c>
      <c r="G320" s="444">
        <v>0</v>
      </c>
      <c r="H320" s="444">
        <v>0</v>
      </c>
      <c r="I320" s="160" t="s">
        <v>1715</v>
      </c>
    </row>
    <row r="321" spans="1:9">
      <c r="A321" s="436" t="s">
        <v>638</v>
      </c>
      <c r="B321" s="436" t="str">
        <f>_xlfn.XLOOKUP(Tb_Entregas[[#This Row],[SEI]],Tb_Portfólio[SEI],Tb_Portfólio[PROJETO],"",0)</f>
        <v>Sisperjud</v>
      </c>
      <c r="C321" s="438" t="s">
        <v>2078</v>
      </c>
      <c r="D321" s="443">
        <v>45781</v>
      </c>
      <c r="E321" s="438"/>
      <c r="F321" s="441">
        <v>0</v>
      </c>
      <c r="G321" s="444">
        <v>0</v>
      </c>
      <c r="H321" s="444">
        <v>0</v>
      </c>
      <c r="I321" s="160" t="s">
        <v>1715</v>
      </c>
    </row>
    <row r="322" spans="1:9">
      <c r="A322" s="436" t="s">
        <v>638</v>
      </c>
      <c r="B322" s="436" t="str">
        <f>_xlfn.XLOOKUP(Tb_Entregas[[#This Row],[SEI]],Tb_Portfólio[SEI],Tb_Portfólio[PROJETO],"",0)</f>
        <v>Sisperjud</v>
      </c>
      <c r="C322" s="438" t="s">
        <v>2079</v>
      </c>
      <c r="D322" s="443">
        <v>45682</v>
      </c>
      <c r="E322" s="438"/>
      <c r="F322" s="441">
        <v>0.25</v>
      </c>
      <c r="G322" s="444">
        <v>0</v>
      </c>
      <c r="H322" s="444">
        <v>0</v>
      </c>
      <c r="I322" s="160" t="s">
        <v>1715</v>
      </c>
    </row>
    <row r="323" spans="1:9">
      <c r="A323" s="436" t="s">
        <v>638</v>
      </c>
      <c r="B323" s="436" t="str">
        <f>_xlfn.XLOOKUP(Tb_Entregas[[#This Row],[SEI]],Tb_Portfólio[SEI],Tb_Portfólio[PROJETO],"",0)</f>
        <v>Sisperjud</v>
      </c>
      <c r="C323" s="438" t="s">
        <v>2080</v>
      </c>
      <c r="D323" s="443">
        <v>45687</v>
      </c>
      <c r="E323" s="443">
        <v>45672</v>
      </c>
      <c r="F323" s="441">
        <v>1</v>
      </c>
      <c r="G323" s="444">
        <v>0</v>
      </c>
      <c r="H323" s="444">
        <v>0</v>
      </c>
      <c r="I323" s="160" t="s">
        <v>1715</v>
      </c>
    </row>
    <row r="324" spans="1:9" ht="30">
      <c r="A324" s="436" t="s">
        <v>638</v>
      </c>
      <c r="B324" s="436" t="str">
        <f>_xlfn.XLOOKUP(Tb_Entregas[[#This Row],[SEI]],Tb_Portfólio[SEI],Tb_Portfólio[PROJETO],"",0)</f>
        <v>Sisperjud</v>
      </c>
      <c r="C324" s="438" t="s">
        <v>2081</v>
      </c>
      <c r="D324" s="443">
        <v>45675</v>
      </c>
      <c r="E324" s="438"/>
      <c r="F324" s="441">
        <v>0.3</v>
      </c>
      <c r="G324" s="444">
        <v>0</v>
      </c>
      <c r="H324" s="444">
        <v>0</v>
      </c>
      <c r="I324" s="160" t="s">
        <v>1715</v>
      </c>
    </row>
    <row r="325" spans="1:9" ht="30">
      <c r="A325" s="436" t="s">
        <v>638</v>
      </c>
      <c r="B325" s="436" t="str">
        <f>_xlfn.XLOOKUP(Tb_Entregas[[#This Row],[SEI]],Tb_Portfólio[SEI],Tb_Portfólio[PROJETO],"",0)</f>
        <v>Sisperjud</v>
      </c>
      <c r="C325" s="438" t="s">
        <v>2082</v>
      </c>
      <c r="D325" s="443">
        <v>45707</v>
      </c>
      <c r="E325" s="443">
        <v>45721</v>
      </c>
      <c r="F325" s="441">
        <v>1</v>
      </c>
      <c r="G325" s="444">
        <v>0</v>
      </c>
      <c r="H325" s="444">
        <v>0</v>
      </c>
      <c r="I325" s="160" t="s">
        <v>1715</v>
      </c>
    </row>
    <row r="326" spans="1:9">
      <c r="A326" s="436" t="s">
        <v>638</v>
      </c>
      <c r="B326" s="436" t="str">
        <f>_xlfn.XLOOKUP(Tb_Entregas[[#This Row],[SEI]],Tb_Portfólio[SEI],Tb_Portfólio[PROJETO],"",0)</f>
        <v>Sisperjud</v>
      </c>
      <c r="C326" s="438" t="s">
        <v>2083</v>
      </c>
      <c r="D326" s="443">
        <v>45707</v>
      </c>
      <c r="E326" s="438"/>
      <c r="F326" s="441">
        <v>0.9</v>
      </c>
      <c r="G326" s="444">
        <v>0</v>
      </c>
      <c r="H326" s="444">
        <v>0</v>
      </c>
      <c r="I326" s="160" t="s">
        <v>1715</v>
      </c>
    </row>
    <row r="327" spans="1:9">
      <c r="A327" s="436" t="s">
        <v>638</v>
      </c>
      <c r="B327" s="436" t="str">
        <f>_xlfn.XLOOKUP(Tb_Entregas[[#This Row],[SEI]],Tb_Portfólio[SEI],Tb_Portfólio[PROJETO],"",0)</f>
        <v>Sisperjud</v>
      </c>
      <c r="C327" s="438" t="s">
        <v>2049</v>
      </c>
      <c r="D327" s="443">
        <v>45686</v>
      </c>
      <c r="E327" s="443">
        <v>45686</v>
      </c>
      <c r="F327" s="441">
        <v>1</v>
      </c>
      <c r="G327" s="444">
        <v>0</v>
      </c>
      <c r="H327" s="444">
        <v>0</v>
      </c>
      <c r="I327" s="160" t="s">
        <v>1715</v>
      </c>
    </row>
    <row r="328" spans="1:9" hidden="1">
      <c r="A328" s="436" t="s">
        <v>644</v>
      </c>
      <c r="B328" s="440" t="str">
        <f>_xlfn.XLOOKUP(Tb_Entregas[[#This Row],[SEI]],Tb_Portfólio[SEI],Tb_Portfólio[PROJETO],"",0)</f>
        <v>BNP/Pangea</v>
      </c>
      <c r="C328" s="438" t="s">
        <v>2084</v>
      </c>
      <c r="D328" s="443">
        <v>45803</v>
      </c>
      <c r="E328" s="438"/>
      <c r="F328" s="441">
        <v>0.99</v>
      </c>
      <c r="G328" s="444">
        <v>0</v>
      </c>
      <c r="H328" s="444">
        <v>0</v>
      </c>
      <c r="I328" s="436" t="str">
        <f>_xlfn.XLOOKUP(Tb_Entregas[[#This Row],[SEI]],Tb_Mapa[SEI],Tb_Mapa[CONSULTOR RESPONSÁVEL],"",0)</f>
        <v>Juliana</v>
      </c>
    </row>
    <row r="329" spans="1:9" hidden="1">
      <c r="A329" s="436" t="s">
        <v>644</v>
      </c>
      <c r="B329" s="440" t="str">
        <f>_xlfn.XLOOKUP(Tb_Entregas[[#This Row],[SEI]],Tb_Portfólio[SEI],Tb_Portfólio[PROJETO],"",0)</f>
        <v>BNP/Pangea</v>
      </c>
      <c r="C329" s="438" t="s">
        <v>2085</v>
      </c>
      <c r="D329" s="443">
        <v>46387</v>
      </c>
      <c r="E329" s="438"/>
      <c r="F329" s="441">
        <v>0.31</v>
      </c>
      <c r="G329" s="444">
        <v>0</v>
      </c>
      <c r="H329" s="444">
        <v>0</v>
      </c>
      <c r="I329" s="436" t="str">
        <f>_xlfn.XLOOKUP(Tb_Entregas[[#This Row],[SEI]],Tb_Mapa[SEI],Tb_Mapa[CONSULTOR RESPONSÁVEL],"",0)</f>
        <v>Juliana</v>
      </c>
    </row>
    <row r="330" spans="1:9" ht="45" hidden="1">
      <c r="A330" s="436" t="s">
        <v>644</v>
      </c>
      <c r="B330" s="440" t="str">
        <f>_xlfn.XLOOKUP(Tb_Entregas[[#This Row],[SEI]],Tb_Portfólio[SEI],Tb_Portfólio[PROJETO],"",0)</f>
        <v>BNP/Pangea</v>
      </c>
      <c r="C330" s="438" t="s">
        <v>2086</v>
      </c>
      <c r="D330" s="443">
        <v>45865</v>
      </c>
      <c r="E330" s="438"/>
      <c r="F330" s="441">
        <v>0.62</v>
      </c>
      <c r="G330" s="444">
        <v>0</v>
      </c>
      <c r="H330" s="444">
        <v>0</v>
      </c>
      <c r="I330" s="436" t="str">
        <f>_xlfn.XLOOKUP(Tb_Entregas[[#This Row],[SEI]],Tb_Mapa[SEI],Tb_Mapa[CONSULTOR RESPONSÁVEL],"",0)</f>
        <v>Juliana</v>
      </c>
    </row>
    <row r="331" spans="1:9" ht="30" hidden="1">
      <c r="A331" s="436" t="s">
        <v>644</v>
      </c>
      <c r="B331" s="440" t="str">
        <f>_xlfn.XLOOKUP(Tb_Entregas[[#This Row],[SEI]],Tb_Portfólio[SEI],Tb_Portfólio[PROJETO],"",0)</f>
        <v>BNP/Pangea</v>
      </c>
      <c r="C331" s="438" t="s">
        <v>2087</v>
      </c>
      <c r="D331" s="443">
        <v>45719</v>
      </c>
      <c r="E331" s="443">
        <v>45777</v>
      </c>
      <c r="F331" s="441">
        <v>1</v>
      </c>
      <c r="G331" s="444">
        <v>0</v>
      </c>
      <c r="H331" s="444">
        <v>0</v>
      </c>
      <c r="I331" s="436" t="str">
        <f>_xlfn.XLOOKUP(Tb_Entregas[[#This Row],[SEI]],Tb_Mapa[SEI],Tb_Mapa[CONSULTOR RESPONSÁVEL],"",0)</f>
        <v>Juliana</v>
      </c>
    </row>
    <row r="332" spans="1:9" hidden="1">
      <c r="A332" s="436" t="s">
        <v>644</v>
      </c>
      <c r="B332" s="440" t="str">
        <f>_xlfn.XLOOKUP(Tb_Entregas[[#This Row],[SEI]],Tb_Portfólio[SEI],Tb_Portfólio[PROJETO],"",0)</f>
        <v>BNP/Pangea</v>
      </c>
      <c r="C332" s="438" t="s">
        <v>2088</v>
      </c>
      <c r="D332" s="443">
        <v>45842</v>
      </c>
      <c r="E332" s="438"/>
      <c r="F332" s="441">
        <v>0.99</v>
      </c>
      <c r="G332" s="444"/>
      <c r="H332" s="444"/>
      <c r="I332" s="436" t="s">
        <v>1711</v>
      </c>
    </row>
    <row r="333" spans="1:9" ht="30" hidden="1">
      <c r="A333" s="436" t="s">
        <v>644</v>
      </c>
      <c r="B333" s="440" t="str">
        <f>_xlfn.XLOOKUP(Tb_Entregas[[#This Row],[SEI]],Tb_Portfólio[SEI],Tb_Portfólio[PROJETO],"",0)</f>
        <v>BNP/Pangea</v>
      </c>
      <c r="C333" s="438" t="s">
        <v>2089</v>
      </c>
      <c r="D333" s="443">
        <v>45919</v>
      </c>
      <c r="E333" s="438"/>
      <c r="F333" s="441">
        <v>0.32</v>
      </c>
      <c r="G333" s="444">
        <v>0</v>
      </c>
      <c r="H333" s="444">
        <v>0</v>
      </c>
      <c r="I333" s="436" t="str">
        <f>_xlfn.XLOOKUP(Tb_Entregas[[#This Row],[SEI]],Tb_Mapa[SEI],Tb_Mapa[CONSULTOR RESPONSÁVEL],"",0)</f>
        <v>Juliana</v>
      </c>
    </row>
    <row r="334" spans="1:9" hidden="1">
      <c r="A334" s="436" t="s">
        <v>644</v>
      </c>
      <c r="B334" s="440" t="str">
        <f>_xlfn.XLOOKUP(Tb_Entregas[[#This Row],[SEI]],Tb_Portfólio[SEI],Tb_Portfólio[PROJETO],"",0)</f>
        <v>BNP/Pangea</v>
      </c>
      <c r="C334" s="438" t="s">
        <v>2020</v>
      </c>
      <c r="D334" s="443">
        <v>45975</v>
      </c>
      <c r="E334" s="438"/>
      <c r="F334" s="441">
        <v>0</v>
      </c>
      <c r="G334" s="444">
        <v>0</v>
      </c>
      <c r="H334" s="444">
        <v>0</v>
      </c>
      <c r="I334" s="436" t="str">
        <f>_xlfn.XLOOKUP(Tb_Entregas[[#This Row],[SEI]],Tb_Mapa[SEI],Tb_Mapa[CONSULTOR RESPONSÁVEL],"",0)</f>
        <v>Juliana</v>
      </c>
    </row>
    <row r="335" spans="1:9">
      <c r="A335" s="436" t="s">
        <v>675</v>
      </c>
      <c r="B335" s="436" t="str">
        <f>_xlfn.XLOOKUP(Tb_Entregas[[#This Row],[SEI]],Tb_Portfólio[SEI],Tb_Portfólio[PROJETO],"",0)</f>
        <v>Pesquisa IA 2024 - Mapeamento dos projetos de Inteligência Artificial em desenvolvimento pelos tribunais brasileiros</v>
      </c>
      <c r="C335" s="438" t="s">
        <v>2090</v>
      </c>
      <c r="D335" s="443">
        <v>45559</v>
      </c>
      <c r="E335" s="443">
        <v>45525</v>
      </c>
      <c r="F335" s="441">
        <v>1</v>
      </c>
      <c r="G335" s="444">
        <v>0</v>
      </c>
      <c r="H335" s="444">
        <v>0</v>
      </c>
      <c r="I335" s="436" t="str">
        <f>_xlfn.XLOOKUP(Tb_Entregas[[#This Row],[SEI]],Tb_Mapa[SEI],Tb_Mapa[CONSULTOR RESPONSÁVEL],"",0)</f>
        <v>Igor</v>
      </c>
    </row>
    <row r="336" spans="1:9">
      <c r="A336" s="436" t="s">
        <v>675</v>
      </c>
      <c r="B336" s="436" t="str">
        <f>_xlfn.XLOOKUP(Tb_Entregas[[#This Row],[SEI]],Tb_Portfólio[SEI],Tb_Portfólio[PROJETO],"",0)</f>
        <v>Pesquisa IA 2024 - Mapeamento dos projetos de Inteligência Artificial em desenvolvimento pelos tribunais brasileiros</v>
      </c>
      <c r="C336" s="438" t="s">
        <v>2091</v>
      </c>
      <c r="D336" s="443">
        <v>45583</v>
      </c>
      <c r="E336" s="443">
        <v>45553</v>
      </c>
      <c r="F336" s="441">
        <v>1</v>
      </c>
      <c r="G336" s="444">
        <v>0</v>
      </c>
      <c r="H336" s="444">
        <v>0</v>
      </c>
      <c r="I336" s="436" t="str">
        <f>_xlfn.XLOOKUP(Tb_Entregas[[#This Row],[SEI]],Tb_Mapa[SEI],Tb_Mapa[CONSULTOR RESPONSÁVEL],"",0)</f>
        <v>Igor</v>
      </c>
    </row>
    <row r="337" spans="1:9">
      <c r="A337" s="436" t="s">
        <v>675</v>
      </c>
      <c r="B337" s="436" t="str">
        <f>_xlfn.XLOOKUP(Tb_Entregas[[#This Row],[SEI]],Tb_Portfólio[SEI],Tb_Portfólio[PROJETO],"",0)</f>
        <v>Pesquisa IA 2024 - Mapeamento dos projetos de Inteligência Artificial em desenvolvimento pelos tribunais brasileiros</v>
      </c>
      <c r="C337" s="438" t="s">
        <v>2092</v>
      </c>
      <c r="D337" s="443">
        <v>45672</v>
      </c>
      <c r="E337" s="443">
        <v>45672</v>
      </c>
      <c r="F337" s="441">
        <v>1</v>
      </c>
      <c r="G337" s="444">
        <v>0</v>
      </c>
      <c r="H337" s="444">
        <v>0</v>
      </c>
      <c r="I337" s="436" t="str">
        <f>_xlfn.XLOOKUP(Tb_Entregas[[#This Row],[SEI]],Tb_Mapa[SEI],Tb_Mapa[CONSULTOR RESPONSÁVEL],"",0)</f>
        <v>Igor</v>
      </c>
    </row>
    <row r="338" spans="1:9">
      <c r="A338" s="436" t="s">
        <v>675</v>
      </c>
      <c r="B338" s="436" t="str">
        <f>_xlfn.XLOOKUP(Tb_Entregas[[#This Row],[SEI]],Tb_Portfólio[SEI],Tb_Portfólio[PROJETO],"",0)</f>
        <v>Pesquisa IA 2024 - Mapeamento dos projetos de Inteligência Artificial em desenvolvimento pelos tribunais brasileiros</v>
      </c>
      <c r="C338" s="438" t="s">
        <v>2093</v>
      </c>
      <c r="D338" s="443">
        <v>45708</v>
      </c>
      <c r="E338" s="443">
        <v>45708</v>
      </c>
      <c r="F338" s="441">
        <v>1</v>
      </c>
      <c r="G338" s="444">
        <v>0</v>
      </c>
      <c r="H338" s="444">
        <v>0</v>
      </c>
      <c r="I338" s="436" t="str">
        <f>_xlfn.XLOOKUP(Tb_Entregas[[#This Row],[SEI]],Tb_Mapa[SEI],Tb_Mapa[CONSULTOR RESPONSÁVEL],"",0)</f>
        <v>Igor</v>
      </c>
    </row>
    <row r="339" spans="1:9">
      <c r="A339" s="436" t="s">
        <v>675</v>
      </c>
      <c r="B339" s="436" t="str">
        <f>_xlfn.XLOOKUP(Tb_Entregas[[#This Row],[SEI]],Tb_Portfólio[SEI],Tb_Portfólio[PROJETO],"",0)</f>
        <v>Pesquisa IA 2024 - Mapeamento dos projetos de Inteligência Artificial em desenvolvimento pelos tribunais brasileiros</v>
      </c>
      <c r="C339" s="438" t="s">
        <v>2094</v>
      </c>
      <c r="D339" s="443">
        <v>45756</v>
      </c>
      <c r="E339" s="443">
        <v>45931</v>
      </c>
      <c r="F339" s="441">
        <v>1</v>
      </c>
      <c r="G339" s="444">
        <v>0</v>
      </c>
      <c r="H339" s="444">
        <v>0</v>
      </c>
      <c r="I339" s="436" t="str">
        <f>_xlfn.XLOOKUP(Tb_Entregas[[#This Row],[SEI]],Tb_Mapa[SEI],Tb_Mapa[CONSULTOR RESPONSÁVEL],"",0)</f>
        <v>Igor</v>
      </c>
    </row>
    <row r="340" spans="1:9" hidden="1">
      <c r="A340" s="436" t="s">
        <v>684</v>
      </c>
      <c r="B340" s="436" t="str">
        <f>_xlfn.XLOOKUP(Tb_Entregas[[#This Row],[SEI]],Tb_Portfólio[SEI],Tb_Portfólio[PROJETO],"",0)</f>
        <v>Painel dos Grandes Litigantes</v>
      </c>
      <c r="C340" s="438" t="s">
        <v>2095</v>
      </c>
      <c r="D340" s="443">
        <v>44742</v>
      </c>
      <c r="E340" s="443">
        <v>44742</v>
      </c>
      <c r="F340" s="441">
        <v>1</v>
      </c>
      <c r="G340" s="444">
        <v>0</v>
      </c>
      <c r="H340" s="444">
        <v>0</v>
      </c>
      <c r="I340" s="436" t="str">
        <f>_xlfn.XLOOKUP(Tb_Entregas[[#This Row],[SEI]],Tb_Mapa[SEI],Tb_Mapa[CONSULTOR RESPONSÁVEL],"",0)</f>
        <v>Juliana</v>
      </c>
    </row>
    <row r="341" spans="1:9" ht="75" hidden="1">
      <c r="A341" s="436" t="s">
        <v>684</v>
      </c>
      <c r="B341" s="436" t="str">
        <f>_xlfn.XLOOKUP(Tb_Entregas[[#This Row],[SEI]],Tb_Portfólio[SEI],Tb_Portfólio[PROJETO],"",0)</f>
        <v>Painel dos Grandes Litigantes</v>
      </c>
      <c r="C341" s="438" t="s">
        <v>2096</v>
      </c>
      <c r="D341" s="443">
        <v>44742</v>
      </c>
      <c r="E341" s="443">
        <v>44742</v>
      </c>
      <c r="F341" s="441">
        <v>1</v>
      </c>
      <c r="G341" s="444">
        <v>0</v>
      </c>
      <c r="H341" s="444">
        <v>0</v>
      </c>
      <c r="I341" s="436" t="str">
        <f>_xlfn.XLOOKUP(Tb_Entregas[[#This Row],[SEI]],Tb_Mapa[SEI],Tb_Mapa[CONSULTOR RESPONSÁVEL],"",0)</f>
        <v>Juliana</v>
      </c>
    </row>
    <row r="342" spans="1:9" ht="30" hidden="1">
      <c r="A342" s="436" t="s">
        <v>684</v>
      </c>
      <c r="B342" s="436" t="str">
        <f>_xlfn.XLOOKUP(Tb_Entregas[[#This Row],[SEI]],Tb_Portfólio[SEI],Tb_Portfólio[PROJETO],"",0)</f>
        <v>Painel dos Grandes Litigantes</v>
      </c>
      <c r="C342" s="438" t="s">
        <v>2097</v>
      </c>
      <c r="D342" s="443">
        <v>44742</v>
      </c>
      <c r="E342" s="443">
        <v>44742</v>
      </c>
      <c r="F342" s="441">
        <v>1</v>
      </c>
      <c r="G342" s="444">
        <v>0</v>
      </c>
      <c r="H342" s="444">
        <v>0</v>
      </c>
      <c r="I342" s="436" t="str">
        <f>_xlfn.XLOOKUP(Tb_Entregas[[#This Row],[SEI]],Tb_Mapa[SEI],Tb_Mapa[CONSULTOR RESPONSÁVEL],"",0)</f>
        <v>Juliana</v>
      </c>
    </row>
    <row r="343" spans="1:9" ht="30" hidden="1">
      <c r="A343" s="436" t="s">
        <v>684</v>
      </c>
      <c r="B343" s="436" t="str">
        <f>_xlfn.XLOOKUP(Tb_Entregas[[#This Row],[SEI]],Tb_Portfólio[SEI],Tb_Portfólio[PROJETO],"",0)</f>
        <v>Painel dos Grandes Litigantes</v>
      </c>
      <c r="C343" s="438" t="s">
        <v>2098</v>
      </c>
      <c r="D343" s="443">
        <v>44742</v>
      </c>
      <c r="E343" s="443">
        <v>44742</v>
      </c>
      <c r="F343" s="441">
        <v>1</v>
      </c>
      <c r="G343" s="444">
        <v>0</v>
      </c>
      <c r="H343" s="444">
        <v>0</v>
      </c>
      <c r="I343" s="436" t="str">
        <f>_xlfn.XLOOKUP(Tb_Entregas[[#This Row],[SEI]],Tb_Mapa[SEI],Tb_Mapa[CONSULTOR RESPONSÁVEL],"",0)</f>
        <v>Juliana</v>
      </c>
    </row>
    <row r="344" spans="1:9" ht="45" hidden="1">
      <c r="A344" s="436" t="s">
        <v>684</v>
      </c>
      <c r="B344" s="436" t="str">
        <f>_xlfn.XLOOKUP(Tb_Entregas[[#This Row],[SEI]],Tb_Portfólio[SEI],Tb_Portfólio[PROJETO],"",0)</f>
        <v>Painel dos Grandes Litigantes</v>
      </c>
      <c r="C344" s="438" t="s">
        <v>2099</v>
      </c>
      <c r="D344" s="443">
        <v>44742</v>
      </c>
      <c r="E344" s="443">
        <v>44742</v>
      </c>
      <c r="F344" s="441">
        <v>1</v>
      </c>
      <c r="G344" s="444">
        <v>0</v>
      </c>
      <c r="H344" s="444">
        <v>0</v>
      </c>
      <c r="I344" s="436" t="str">
        <f>_xlfn.XLOOKUP(Tb_Entregas[[#This Row],[SEI]],Tb_Mapa[SEI],Tb_Mapa[CONSULTOR RESPONSÁVEL],"",0)</f>
        <v>Juliana</v>
      </c>
    </row>
    <row r="345" spans="1:9" ht="45" hidden="1">
      <c r="A345" s="436" t="s">
        <v>684</v>
      </c>
      <c r="B345" s="436" t="str">
        <f>_xlfn.XLOOKUP(Tb_Entregas[[#This Row],[SEI]],Tb_Portfólio[SEI],Tb_Portfólio[PROJETO],"",0)</f>
        <v>Painel dos Grandes Litigantes</v>
      </c>
      <c r="C345" s="438" t="s">
        <v>2100</v>
      </c>
      <c r="D345" s="443">
        <v>46022</v>
      </c>
      <c r="E345" s="438"/>
      <c r="F345" s="441">
        <v>0.85</v>
      </c>
      <c r="G345" s="444">
        <v>0</v>
      </c>
      <c r="H345" s="444">
        <v>0</v>
      </c>
      <c r="I345" s="436" t="str">
        <f>_xlfn.XLOOKUP(Tb_Entregas[[#This Row],[SEI]],Tb_Mapa[SEI],Tb_Mapa[CONSULTOR RESPONSÁVEL],"",0)</f>
        <v>Juliana</v>
      </c>
    </row>
    <row r="346" spans="1:9" ht="30" hidden="1">
      <c r="A346" s="436" t="s">
        <v>690</v>
      </c>
      <c r="B346" s="436" t="str">
        <f>_xlfn.XLOOKUP(Tb_Entregas[[#This Row],[SEI]],Tb_Portfólio[SEI],Tb_Portfólio[PROJETO],"",0)</f>
        <v>Painel “Justiça Criminal e Sistema Prisional”</v>
      </c>
      <c r="C346" s="438" t="s">
        <v>2101</v>
      </c>
      <c r="D346" s="443">
        <v>45474</v>
      </c>
      <c r="E346" s="443">
        <v>45474</v>
      </c>
      <c r="F346" s="441">
        <v>1</v>
      </c>
      <c r="G346" s="444">
        <v>0</v>
      </c>
      <c r="H346" s="444">
        <v>0</v>
      </c>
      <c r="I346" s="436" t="str">
        <f>_xlfn.XLOOKUP(Tb_Entregas[[#This Row],[SEI]],Tb_Mapa[SEI],Tb_Mapa[CONSULTOR RESPONSÁVEL],"",0)</f>
        <v>Juliana</v>
      </c>
    </row>
    <row r="347" spans="1:9" hidden="1">
      <c r="A347" s="436" t="s">
        <v>690</v>
      </c>
      <c r="B347" s="436" t="str">
        <f>_xlfn.XLOOKUP(Tb_Entregas[[#This Row],[SEI]],Tb_Portfólio[SEI],Tb_Portfólio[PROJETO],"",0)</f>
        <v>Painel “Justiça Criminal e Sistema Prisional”</v>
      </c>
      <c r="C347" s="438" t="s">
        <v>2102</v>
      </c>
      <c r="D347" s="443">
        <v>46357</v>
      </c>
      <c r="E347" s="438"/>
      <c r="F347" s="441">
        <v>0.5</v>
      </c>
      <c r="G347" s="444">
        <v>0</v>
      </c>
      <c r="H347" s="444">
        <v>0</v>
      </c>
      <c r="I347" s="436" t="str">
        <f>_xlfn.XLOOKUP(Tb_Entregas[[#This Row],[SEI]],Tb_Mapa[SEI],Tb_Mapa[CONSULTOR RESPONSÁVEL],"",0)</f>
        <v>Juliana</v>
      </c>
    </row>
    <row r="348" spans="1:9" hidden="1">
      <c r="A348" s="436" t="s">
        <v>690</v>
      </c>
      <c r="B348" s="436" t="str">
        <f>_xlfn.XLOOKUP(Tb_Entregas[[#This Row],[SEI]],Tb_Portfólio[SEI],Tb_Portfólio[PROJETO],"",0)</f>
        <v>Painel “Justiça Criminal e Sistema Prisional”</v>
      </c>
      <c r="C348" s="438" t="s">
        <v>2103</v>
      </c>
      <c r="D348" s="443">
        <v>46387</v>
      </c>
      <c r="E348" s="438"/>
      <c r="F348" s="441">
        <v>0</v>
      </c>
      <c r="G348" s="444">
        <v>0</v>
      </c>
      <c r="H348" s="444">
        <v>0</v>
      </c>
      <c r="I348" s="436" t="str">
        <f>_xlfn.XLOOKUP(Tb_Entregas[[#This Row],[SEI]],Tb_Mapa[SEI],Tb_Mapa[CONSULTOR RESPONSÁVEL],"",0)</f>
        <v>Juliana</v>
      </c>
    </row>
    <row r="349" spans="1:9">
      <c r="A349" s="436" t="s">
        <v>698</v>
      </c>
      <c r="B349" s="436" t="str">
        <f>_xlfn.XLOOKUP(Tb_Entregas[[#This Row],[SEI]],Tb_Portfólio[SEI],Tb_Portfólio[PROJETO],"",0)</f>
        <v>Escola Virtual do Poder Judiciário</v>
      </c>
      <c r="C349" s="438" t="s">
        <v>2104</v>
      </c>
      <c r="D349" s="443">
        <v>45717</v>
      </c>
      <c r="E349" s="438"/>
      <c r="F349" s="441">
        <v>0.82</v>
      </c>
      <c r="G349" s="444">
        <v>0</v>
      </c>
      <c r="H349" s="444">
        <v>0</v>
      </c>
      <c r="I349" s="436" t="s">
        <v>1715</v>
      </c>
    </row>
    <row r="350" spans="1:9" ht="30">
      <c r="A350" s="436" t="s">
        <v>698</v>
      </c>
      <c r="B350" s="436" t="str">
        <f>_xlfn.XLOOKUP(Tb_Entregas[[#This Row],[SEI]],Tb_Portfólio[SEI],Tb_Portfólio[PROJETO],"",0)</f>
        <v>Escola Virtual do Poder Judiciário</v>
      </c>
      <c r="C350" s="438" t="s">
        <v>2105</v>
      </c>
      <c r="D350" s="443">
        <v>45930</v>
      </c>
      <c r="E350" s="438"/>
      <c r="F350" s="441">
        <v>0.69</v>
      </c>
      <c r="G350" s="444">
        <v>0</v>
      </c>
      <c r="H350" s="444">
        <v>0</v>
      </c>
      <c r="I350" s="436" t="s">
        <v>1715</v>
      </c>
    </row>
    <row r="351" spans="1:9">
      <c r="A351" s="436" t="s">
        <v>698</v>
      </c>
      <c r="B351" s="436" t="str">
        <f>_xlfn.XLOOKUP(Tb_Entregas[[#This Row],[SEI]],Tb_Portfólio[SEI],Tb_Portfólio[PROJETO],"",0)</f>
        <v>Escola Virtual do Poder Judiciário</v>
      </c>
      <c r="C351" s="438" t="s">
        <v>2106</v>
      </c>
      <c r="D351" s="443">
        <v>45930</v>
      </c>
      <c r="E351" s="438"/>
      <c r="F351" s="441">
        <v>0.44</v>
      </c>
      <c r="G351" s="444">
        <v>0</v>
      </c>
      <c r="H351" s="444">
        <v>0</v>
      </c>
      <c r="I351" s="436" t="s">
        <v>1715</v>
      </c>
    </row>
    <row r="352" spans="1:9">
      <c r="A352" s="436" t="s">
        <v>698</v>
      </c>
      <c r="B352" s="436" t="str">
        <f>_xlfn.XLOOKUP(Tb_Entregas[[#This Row],[SEI]],Tb_Portfólio[SEI],Tb_Portfólio[PROJETO],"",0)</f>
        <v>Escola Virtual do Poder Judiciário</v>
      </c>
      <c r="C352" s="438" t="s">
        <v>2107</v>
      </c>
      <c r="D352" s="443">
        <v>45716</v>
      </c>
      <c r="E352" s="438"/>
      <c r="F352" s="441">
        <v>0</v>
      </c>
      <c r="G352" s="444">
        <v>0</v>
      </c>
      <c r="H352" s="444">
        <v>0</v>
      </c>
      <c r="I352" s="436" t="s">
        <v>1715</v>
      </c>
    </row>
    <row r="353" spans="1:9">
      <c r="A353" s="436" t="s">
        <v>698</v>
      </c>
      <c r="B353" s="436" t="str">
        <f>_xlfn.XLOOKUP(Tb_Entregas[[#This Row],[SEI]],Tb_Portfólio[SEI],Tb_Portfólio[PROJETO],"",0)</f>
        <v>Escola Virtual do Poder Judiciário</v>
      </c>
      <c r="C353" s="438" t="s">
        <v>2108</v>
      </c>
      <c r="D353" s="443">
        <v>45838</v>
      </c>
      <c r="E353" s="438"/>
      <c r="F353" s="441">
        <v>0</v>
      </c>
      <c r="G353" s="444">
        <v>0</v>
      </c>
      <c r="H353" s="444">
        <v>0</v>
      </c>
      <c r="I353" s="436" t="s">
        <v>1715</v>
      </c>
    </row>
    <row r="354" spans="1:9" ht="75" hidden="1">
      <c r="A354" s="436" t="s">
        <v>714</v>
      </c>
      <c r="B354" s="436" t="str">
        <f>_xlfn.XLOOKUP(Tb_Entregas[[#This Row],[SEI]],Tb_Portfólio[SEI],Tb_Portfólio[PROJETO],"",0)</f>
        <v>Programa Novos Caminhos</v>
      </c>
      <c r="C354" s="438" t="s">
        <v>2109</v>
      </c>
      <c r="D354" s="443">
        <v>45538</v>
      </c>
      <c r="E354" s="443">
        <v>45568</v>
      </c>
      <c r="F354" s="441">
        <v>1</v>
      </c>
      <c r="G354" s="444">
        <v>0</v>
      </c>
      <c r="H354" s="444">
        <v>0</v>
      </c>
      <c r="I354" s="436" t="str">
        <f>_xlfn.XLOOKUP(Tb_Entregas[[#This Row],[SEI]],Tb_Mapa[SEI],Tb_Mapa[CONSULTOR RESPONSÁVEL],"",0)</f>
        <v>Juliana</v>
      </c>
    </row>
    <row r="355" spans="1:9" ht="30" hidden="1">
      <c r="A355" s="436" t="s">
        <v>714</v>
      </c>
      <c r="B355" s="436" t="str">
        <f>_xlfn.XLOOKUP(Tb_Entregas[[#This Row],[SEI]],Tb_Portfólio[SEI],Tb_Portfólio[PROJETO],"",0)</f>
        <v>Programa Novos Caminhos</v>
      </c>
      <c r="C355" s="438" t="s">
        <v>2110</v>
      </c>
      <c r="D355" s="443">
        <v>45695</v>
      </c>
      <c r="E355" s="438"/>
      <c r="F355" s="441">
        <v>0.92</v>
      </c>
      <c r="G355" s="444">
        <v>0</v>
      </c>
      <c r="H355" s="444">
        <v>0</v>
      </c>
      <c r="I355" s="436" t="str">
        <f>_xlfn.XLOOKUP(Tb_Entregas[[#This Row],[SEI]],Tb_Mapa[SEI],Tb_Mapa[CONSULTOR RESPONSÁVEL],"",0)</f>
        <v>Juliana</v>
      </c>
    </row>
    <row r="356" spans="1:9" ht="60" hidden="1">
      <c r="A356" s="436" t="s">
        <v>714</v>
      </c>
      <c r="B356" s="436" t="str">
        <f>_xlfn.XLOOKUP(Tb_Entregas[[#This Row],[SEI]],Tb_Portfólio[SEI],Tb_Portfólio[PROJETO],"",0)</f>
        <v>Programa Novos Caminhos</v>
      </c>
      <c r="C356" s="438" t="s">
        <v>2111</v>
      </c>
      <c r="D356" s="443">
        <v>45657</v>
      </c>
      <c r="E356" s="438"/>
      <c r="F356" s="441">
        <v>0.83</v>
      </c>
      <c r="G356" s="444">
        <v>0</v>
      </c>
      <c r="H356" s="444">
        <v>0</v>
      </c>
      <c r="I356" s="436" t="str">
        <f>_xlfn.XLOOKUP(Tb_Entregas[[#This Row],[SEI]],Tb_Mapa[SEI],Tb_Mapa[CONSULTOR RESPONSÁVEL],"",0)</f>
        <v>Juliana</v>
      </c>
    </row>
    <row r="357" spans="1:9" hidden="1">
      <c r="A357" s="436" t="s">
        <v>714</v>
      </c>
      <c r="B357" s="436" t="str">
        <f>_xlfn.XLOOKUP(Tb_Entregas[[#This Row],[SEI]],Tb_Portfólio[SEI],Tb_Portfólio[PROJETO],"",0)</f>
        <v>Programa Novos Caminhos</v>
      </c>
      <c r="C357" s="438" t="s">
        <v>2112</v>
      </c>
      <c r="D357" s="443">
        <v>45744</v>
      </c>
      <c r="E357" s="438"/>
      <c r="F357" s="441">
        <v>0.43</v>
      </c>
      <c r="G357" s="444">
        <v>0</v>
      </c>
      <c r="H357" s="444">
        <v>0</v>
      </c>
      <c r="I357" s="436" t="str">
        <f>_xlfn.XLOOKUP(Tb_Entregas[[#This Row],[SEI]],Tb_Mapa[SEI],Tb_Mapa[CONSULTOR RESPONSÁVEL],"",0)</f>
        <v>Juliana</v>
      </c>
    </row>
    <row r="358" spans="1:9" hidden="1">
      <c r="A358" s="436" t="s">
        <v>722</v>
      </c>
      <c r="B358" s="436" t="str">
        <f>_xlfn.XLOOKUP(Tb_Entregas[[#This Row],[SEI]],Tb_Portfólio[SEI],Tb_Portfólio[PROJETO],"",0)</f>
        <v>Serviços Estruturantes - Melhorias Evolutivas e Corretivas</v>
      </c>
      <c r="C358" s="438" t="s">
        <v>2113</v>
      </c>
      <c r="D358" s="443">
        <v>45656</v>
      </c>
      <c r="E358" s="438"/>
      <c r="F358" s="441">
        <v>0.98</v>
      </c>
      <c r="G358" s="444">
        <v>0</v>
      </c>
      <c r="H358" s="444">
        <v>0</v>
      </c>
      <c r="I358" s="436" t="str">
        <f>_xlfn.XLOOKUP(Tb_Entregas[[#This Row],[SEI]],Tb_Mapa[SEI],Tb_Mapa[CONSULTOR RESPONSÁVEL],"",0)</f>
        <v>Raphael</v>
      </c>
    </row>
    <row r="359" spans="1:9" hidden="1">
      <c r="A359" s="436" t="s">
        <v>722</v>
      </c>
      <c r="B359" s="436" t="str">
        <f>_xlfn.XLOOKUP(Tb_Entregas[[#This Row],[SEI]],Tb_Portfólio[SEI],Tb_Portfólio[PROJETO],"",0)</f>
        <v>Serviços Estruturantes - Melhorias Evolutivas e Corretivas</v>
      </c>
      <c r="C359" s="438" t="s">
        <v>2114</v>
      </c>
      <c r="D359" s="443">
        <v>46021</v>
      </c>
      <c r="E359" s="443">
        <v>45641</v>
      </c>
      <c r="F359" s="441">
        <v>1</v>
      </c>
      <c r="G359" s="444">
        <v>0</v>
      </c>
      <c r="H359" s="444">
        <v>0</v>
      </c>
      <c r="I359" s="436" t="str">
        <f>_xlfn.XLOOKUP(Tb_Entregas[[#This Row],[SEI]],Tb_Mapa[SEI],Tb_Mapa[CONSULTOR RESPONSÁVEL],"",0)</f>
        <v>Raphael</v>
      </c>
    </row>
    <row r="360" spans="1:9" hidden="1">
      <c r="A360" s="436" t="s">
        <v>722</v>
      </c>
      <c r="B360" s="436" t="str">
        <f>_xlfn.XLOOKUP(Tb_Entregas[[#This Row],[SEI]],Tb_Portfólio[SEI],Tb_Portfólio[PROJETO],"",0)</f>
        <v>Serviços Estruturantes - Melhorias Evolutivas e Corretivas</v>
      </c>
      <c r="C360" s="438" t="s">
        <v>2115</v>
      </c>
      <c r="D360" s="443">
        <v>45656</v>
      </c>
      <c r="E360" s="443">
        <v>45642</v>
      </c>
      <c r="F360" s="441">
        <v>1</v>
      </c>
      <c r="G360" s="444">
        <v>0</v>
      </c>
      <c r="H360" s="444">
        <v>0</v>
      </c>
      <c r="I360" s="436" t="str">
        <f>_xlfn.XLOOKUP(Tb_Entregas[[#This Row],[SEI]],Tb_Mapa[SEI],Tb_Mapa[CONSULTOR RESPONSÁVEL],"",0)</f>
        <v>Raphael</v>
      </c>
    </row>
    <row r="361" spans="1:9" hidden="1">
      <c r="A361" s="436" t="s">
        <v>722</v>
      </c>
      <c r="B361" s="436" t="str">
        <f>_xlfn.XLOOKUP(Tb_Entregas[[#This Row],[SEI]],Tb_Portfólio[SEI],Tb_Portfólio[PROJETO],"",0)</f>
        <v>Serviços Estruturantes - Melhorias Evolutivas e Corretivas</v>
      </c>
      <c r="C361" s="438" t="s">
        <v>2116</v>
      </c>
      <c r="D361" s="443">
        <v>45580</v>
      </c>
      <c r="E361" s="443">
        <v>45626</v>
      </c>
      <c r="F361" s="441">
        <v>1</v>
      </c>
      <c r="G361" s="444">
        <v>0</v>
      </c>
      <c r="H361" s="444">
        <v>0</v>
      </c>
      <c r="I361" s="436" t="str">
        <f>_xlfn.XLOOKUP(Tb_Entregas[[#This Row],[SEI]],Tb_Mapa[SEI],Tb_Mapa[CONSULTOR RESPONSÁVEL],"",0)</f>
        <v>Raphael</v>
      </c>
    </row>
    <row r="362" spans="1:9" hidden="1">
      <c r="A362" s="436" t="s">
        <v>722</v>
      </c>
      <c r="B362" s="436" t="str">
        <f>_xlfn.XLOOKUP(Tb_Entregas[[#This Row],[SEI]],Tb_Portfólio[SEI],Tb_Portfólio[PROJETO],"",0)</f>
        <v>Serviços Estruturantes - Melhorias Evolutivas e Corretivas</v>
      </c>
      <c r="C362" s="438" t="s">
        <v>2117</v>
      </c>
      <c r="D362" s="443">
        <v>45458</v>
      </c>
      <c r="E362" s="443">
        <v>45435</v>
      </c>
      <c r="F362" s="441">
        <v>1</v>
      </c>
      <c r="G362" s="444">
        <v>0</v>
      </c>
      <c r="H362" s="444">
        <v>0</v>
      </c>
      <c r="I362" s="436" t="str">
        <f>_xlfn.XLOOKUP(Tb_Entregas[[#This Row],[SEI]],Tb_Mapa[SEI],Tb_Mapa[CONSULTOR RESPONSÁVEL],"",0)</f>
        <v>Raphael</v>
      </c>
    </row>
    <row r="363" spans="1:9" hidden="1">
      <c r="A363" s="436" t="s">
        <v>722</v>
      </c>
      <c r="B363" s="436" t="str">
        <f>_xlfn.XLOOKUP(Tb_Entregas[[#This Row],[SEI]],Tb_Portfólio[SEI],Tb_Portfólio[PROJETO],"",0)</f>
        <v>Serviços Estruturantes - Melhorias Evolutivas e Corretivas</v>
      </c>
      <c r="C363" s="438" t="s">
        <v>2118</v>
      </c>
      <c r="D363" s="443">
        <v>45488</v>
      </c>
      <c r="E363" s="443">
        <v>45485</v>
      </c>
      <c r="F363" s="441">
        <v>1</v>
      </c>
      <c r="G363" s="444">
        <v>0</v>
      </c>
      <c r="H363" s="444">
        <v>0</v>
      </c>
      <c r="I363" s="436" t="str">
        <f>_xlfn.XLOOKUP(Tb_Entregas[[#This Row],[SEI]],Tb_Mapa[SEI],Tb_Mapa[CONSULTOR RESPONSÁVEL],"",0)</f>
        <v>Raphael</v>
      </c>
    </row>
    <row r="364" spans="1:9" hidden="1">
      <c r="A364" s="436" t="s">
        <v>722</v>
      </c>
      <c r="B364" s="436" t="str">
        <f>_xlfn.XLOOKUP(Tb_Entregas[[#This Row],[SEI]],Tb_Portfólio[SEI],Tb_Portfólio[PROJETO],"",0)</f>
        <v>Serviços Estruturantes - Melhorias Evolutivas e Corretivas</v>
      </c>
      <c r="C364" s="438" t="s">
        <v>2119</v>
      </c>
      <c r="D364" s="443">
        <v>45366</v>
      </c>
      <c r="E364" s="443">
        <v>45457</v>
      </c>
      <c r="F364" s="441">
        <v>1</v>
      </c>
      <c r="G364" s="444">
        <v>0</v>
      </c>
      <c r="H364" s="444">
        <v>0</v>
      </c>
      <c r="I364" s="436" t="str">
        <f>_xlfn.XLOOKUP(Tb_Entregas[[#This Row],[SEI]],Tb_Mapa[SEI],Tb_Mapa[CONSULTOR RESPONSÁVEL],"",0)</f>
        <v>Raphael</v>
      </c>
    </row>
    <row r="365" spans="1:9" ht="30" hidden="1">
      <c r="A365" s="436" t="s">
        <v>722</v>
      </c>
      <c r="B365" s="436" t="str">
        <f>_xlfn.XLOOKUP(Tb_Entregas[[#This Row],[SEI]],Tb_Portfólio[SEI],Tb_Portfólio[PROJETO],"",0)</f>
        <v>Serviços Estruturantes - Melhorias Evolutivas e Corretivas</v>
      </c>
      <c r="C365" s="438" t="s">
        <v>2120</v>
      </c>
      <c r="D365" s="443">
        <v>45838</v>
      </c>
      <c r="E365" s="438"/>
      <c r="F365" s="441">
        <v>0.84</v>
      </c>
      <c r="G365" s="444">
        <v>0</v>
      </c>
      <c r="H365" s="444">
        <v>0</v>
      </c>
      <c r="I365" s="436" t="str">
        <f>_xlfn.XLOOKUP(Tb_Entregas[[#This Row],[SEI]],Tb_Mapa[SEI],Tb_Mapa[CONSULTOR RESPONSÁVEL],"",0)</f>
        <v>Raphael</v>
      </c>
    </row>
    <row r="366" spans="1:9" ht="45" hidden="1">
      <c r="A366" s="436" t="s">
        <v>728</v>
      </c>
      <c r="B366" s="436" t="str">
        <f>_xlfn.XLOOKUP(Tb_Entregas[[#This Row],[SEI]],Tb_Portfólio[SEI],Tb_Portfólio[PROJETO],"",0)</f>
        <v>Programa de Acessibilidade e Inclusão do Conselho Nacional de Justiça (CNJ)</v>
      </c>
      <c r="C366" s="438" t="s">
        <v>2121</v>
      </c>
      <c r="D366" s="443">
        <v>46011</v>
      </c>
      <c r="E366" s="443">
        <v>45920</v>
      </c>
      <c r="F366" s="441">
        <v>1</v>
      </c>
      <c r="G366" s="444">
        <v>0</v>
      </c>
      <c r="H366" s="444">
        <v>0</v>
      </c>
      <c r="I366" s="436" t="str">
        <f>_xlfn.XLOOKUP(Tb_Entregas[[#This Row],[SEI]],Tb_Mapa[SEI],Tb_Mapa[CONSULTOR RESPONSÁVEL],"",0)</f>
        <v>Juliana</v>
      </c>
    </row>
    <row r="367" spans="1:9" ht="30" hidden="1">
      <c r="A367" s="436" t="s">
        <v>728</v>
      </c>
      <c r="B367" s="436" t="str">
        <f>_xlfn.XLOOKUP(Tb_Entregas[[#This Row],[SEI]],Tb_Portfólio[SEI],Tb_Portfólio[PROJETO],"",0)</f>
        <v>Programa de Acessibilidade e Inclusão do Conselho Nacional de Justiça (CNJ)</v>
      </c>
      <c r="C367" s="438" t="s">
        <v>2122</v>
      </c>
      <c r="D367" s="443">
        <v>46011</v>
      </c>
      <c r="E367" s="438"/>
      <c r="F367" s="441">
        <v>0.25</v>
      </c>
      <c r="G367" s="444">
        <v>0</v>
      </c>
      <c r="H367" s="444">
        <v>0</v>
      </c>
      <c r="I367" s="436" t="str">
        <f>_xlfn.XLOOKUP(Tb_Entregas[[#This Row],[SEI]],Tb_Mapa[SEI],Tb_Mapa[CONSULTOR RESPONSÁVEL],"",0)</f>
        <v>Juliana</v>
      </c>
    </row>
    <row r="368" spans="1:9" ht="45" hidden="1">
      <c r="A368" s="436" t="s">
        <v>728</v>
      </c>
      <c r="B368" s="436" t="str">
        <f>_xlfn.XLOOKUP(Tb_Entregas[[#This Row],[SEI]],Tb_Portfólio[SEI],Tb_Portfólio[PROJETO],"",0)</f>
        <v>Programa de Acessibilidade e Inclusão do Conselho Nacional de Justiça (CNJ)</v>
      </c>
      <c r="C368" s="438" t="s">
        <v>2123</v>
      </c>
      <c r="D368" s="443">
        <v>46011</v>
      </c>
      <c r="E368" s="438"/>
      <c r="F368" s="441">
        <v>0.5</v>
      </c>
      <c r="G368" s="444">
        <v>0</v>
      </c>
      <c r="H368" s="444">
        <v>0</v>
      </c>
      <c r="I368" s="436" t="str">
        <f>_xlfn.XLOOKUP(Tb_Entregas[[#This Row],[SEI]],Tb_Mapa[SEI],Tb_Mapa[CONSULTOR RESPONSÁVEL],"",0)</f>
        <v>Juliana</v>
      </c>
    </row>
    <row r="369" spans="1:9" ht="75" hidden="1">
      <c r="A369" s="436" t="s">
        <v>728</v>
      </c>
      <c r="B369" s="436" t="str">
        <f>_xlfn.XLOOKUP(Tb_Entregas[[#This Row],[SEI]],Tb_Portfólio[SEI],Tb_Portfólio[PROJETO],"",0)</f>
        <v>Programa de Acessibilidade e Inclusão do Conselho Nacional de Justiça (CNJ)</v>
      </c>
      <c r="C369" s="438" t="s">
        <v>2124</v>
      </c>
      <c r="D369" s="443">
        <v>46011</v>
      </c>
      <c r="E369" s="438"/>
      <c r="F369" s="441">
        <v>0</v>
      </c>
      <c r="G369" s="444">
        <v>0</v>
      </c>
      <c r="H369" s="444">
        <v>0</v>
      </c>
      <c r="I369" s="436" t="str">
        <f>_xlfn.XLOOKUP(Tb_Entregas[[#This Row],[SEI]],Tb_Mapa[SEI],Tb_Mapa[CONSULTOR RESPONSÁVEL],"",0)</f>
        <v>Juliana</v>
      </c>
    </row>
    <row r="370" spans="1:9" ht="30" hidden="1">
      <c r="A370" s="436" t="s">
        <v>728</v>
      </c>
      <c r="B370" s="436" t="str">
        <f>_xlfn.XLOOKUP(Tb_Entregas[[#This Row],[SEI]],Tb_Portfólio[SEI],Tb_Portfólio[PROJETO],"",0)</f>
        <v>Programa de Acessibilidade e Inclusão do Conselho Nacional de Justiça (CNJ)</v>
      </c>
      <c r="C370" s="438" t="s">
        <v>2125</v>
      </c>
      <c r="D370" s="443">
        <v>46011</v>
      </c>
      <c r="E370" s="438"/>
      <c r="F370" s="441">
        <v>0</v>
      </c>
      <c r="G370" s="444">
        <v>0</v>
      </c>
      <c r="H370" s="444">
        <v>0</v>
      </c>
      <c r="I370" s="436" t="str">
        <f>_xlfn.XLOOKUP(Tb_Entregas[[#This Row],[SEI]],Tb_Mapa[SEI],Tb_Mapa[CONSULTOR RESPONSÁVEL],"",0)</f>
        <v>Juliana</v>
      </c>
    </row>
    <row r="371" spans="1:9" ht="75" hidden="1">
      <c r="A371" s="436" t="s">
        <v>728</v>
      </c>
      <c r="B371" s="436" t="str">
        <f>_xlfn.XLOOKUP(Tb_Entregas[[#This Row],[SEI]],Tb_Portfólio[SEI],Tb_Portfólio[PROJETO],"",0)</f>
        <v>Programa de Acessibilidade e Inclusão do Conselho Nacional de Justiça (CNJ)</v>
      </c>
      <c r="C371" s="438" t="s">
        <v>2126</v>
      </c>
      <c r="D371" s="443">
        <v>46011</v>
      </c>
      <c r="E371" s="438"/>
      <c r="F371" s="441">
        <v>0.1</v>
      </c>
      <c r="G371" s="444">
        <v>0</v>
      </c>
      <c r="H371" s="444">
        <v>0</v>
      </c>
      <c r="I371" s="436" t="str">
        <f>_xlfn.XLOOKUP(Tb_Entregas[[#This Row],[SEI]],Tb_Mapa[SEI],Tb_Mapa[CONSULTOR RESPONSÁVEL],"",0)</f>
        <v>Juliana</v>
      </c>
    </row>
    <row r="372" spans="1:9" ht="45" hidden="1">
      <c r="A372" s="436" t="s">
        <v>728</v>
      </c>
      <c r="B372" s="436" t="str">
        <f>_xlfn.XLOOKUP(Tb_Entregas[[#This Row],[SEI]],Tb_Portfólio[SEI],Tb_Portfólio[PROJETO],"",0)</f>
        <v>Programa de Acessibilidade e Inclusão do Conselho Nacional de Justiça (CNJ)</v>
      </c>
      <c r="C372" s="438" t="s">
        <v>2127</v>
      </c>
      <c r="D372" s="443">
        <v>46011</v>
      </c>
      <c r="E372" s="438"/>
      <c r="F372" s="441">
        <v>0</v>
      </c>
      <c r="G372" s="444">
        <v>0</v>
      </c>
      <c r="H372" s="444">
        <v>0</v>
      </c>
      <c r="I372" s="436" t="str">
        <f>_xlfn.XLOOKUP(Tb_Entregas[[#This Row],[SEI]],Tb_Mapa[SEI],Tb_Mapa[CONSULTOR RESPONSÁVEL],"",0)</f>
        <v>Juliana</v>
      </c>
    </row>
    <row r="373" spans="1:9" ht="30" hidden="1">
      <c r="A373" s="436" t="s">
        <v>728</v>
      </c>
      <c r="B373" s="436" t="str">
        <f>_xlfn.XLOOKUP(Tb_Entregas[[#This Row],[SEI]],Tb_Portfólio[SEI],Tb_Portfólio[PROJETO],"",0)</f>
        <v>Programa de Acessibilidade e Inclusão do Conselho Nacional de Justiça (CNJ)</v>
      </c>
      <c r="C373" s="438" t="s">
        <v>2128</v>
      </c>
      <c r="D373" s="443">
        <v>46011</v>
      </c>
      <c r="E373" s="438"/>
      <c r="F373" s="441">
        <v>0</v>
      </c>
      <c r="G373" s="444">
        <v>0</v>
      </c>
      <c r="H373" s="444">
        <v>0</v>
      </c>
      <c r="I373" s="436" t="str">
        <f>_xlfn.XLOOKUP(Tb_Entregas[[#This Row],[SEI]],Tb_Mapa[SEI],Tb_Mapa[CONSULTOR RESPONSÁVEL],"",0)</f>
        <v>Juliana</v>
      </c>
    </row>
    <row r="374" spans="1:9" ht="45" hidden="1">
      <c r="A374" s="436" t="s">
        <v>728</v>
      </c>
      <c r="B374" s="436" t="str">
        <f>_xlfn.XLOOKUP(Tb_Entregas[[#This Row],[SEI]],Tb_Portfólio[SEI],Tb_Portfólio[PROJETO],"",0)</f>
        <v>Programa de Acessibilidade e Inclusão do Conselho Nacional de Justiça (CNJ)</v>
      </c>
      <c r="C374" s="438" t="s">
        <v>2129</v>
      </c>
      <c r="D374" s="443">
        <v>46011</v>
      </c>
      <c r="E374" s="438"/>
      <c r="F374" s="441">
        <v>0.25</v>
      </c>
      <c r="G374" s="444">
        <v>0</v>
      </c>
      <c r="H374" s="444">
        <v>0</v>
      </c>
      <c r="I374" s="436" t="str">
        <f>_xlfn.XLOOKUP(Tb_Entregas[[#This Row],[SEI]],Tb_Mapa[SEI],Tb_Mapa[CONSULTOR RESPONSÁVEL],"",0)</f>
        <v>Juliana</v>
      </c>
    </row>
    <row r="375" spans="1:9" ht="30" hidden="1">
      <c r="A375" s="436" t="s">
        <v>728</v>
      </c>
      <c r="B375" s="436" t="str">
        <f>_xlfn.XLOOKUP(Tb_Entregas[[#This Row],[SEI]],Tb_Portfólio[SEI],Tb_Portfólio[PROJETO],"",0)</f>
        <v>Programa de Acessibilidade e Inclusão do Conselho Nacional de Justiça (CNJ)</v>
      </c>
      <c r="C375" s="438" t="s">
        <v>2130</v>
      </c>
      <c r="D375" s="443">
        <v>46011</v>
      </c>
      <c r="E375" s="438"/>
      <c r="F375" s="441">
        <v>0</v>
      </c>
      <c r="G375" s="444">
        <v>0</v>
      </c>
      <c r="H375" s="444">
        <v>0</v>
      </c>
      <c r="I375" s="436" t="str">
        <f>_xlfn.XLOOKUP(Tb_Entregas[[#This Row],[SEI]],Tb_Mapa[SEI],Tb_Mapa[CONSULTOR RESPONSÁVEL],"",0)</f>
        <v>Juliana</v>
      </c>
    </row>
    <row r="376" spans="1:9" ht="45" hidden="1">
      <c r="A376" s="436" t="s">
        <v>728</v>
      </c>
      <c r="B376" s="436" t="str">
        <f>_xlfn.XLOOKUP(Tb_Entregas[[#This Row],[SEI]],Tb_Portfólio[SEI],Tb_Portfólio[PROJETO],"",0)</f>
        <v>Programa de Acessibilidade e Inclusão do Conselho Nacional de Justiça (CNJ)</v>
      </c>
      <c r="C376" s="438" t="s">
        <v>2131</v>
      </c>
      <c r="D376" s="443">
        <v>46011</v>
      </c>
      <c r="E376" s="438"/>
      <c r="F376" s="441">
        <v>0</v>
      </c>
      <c r="G376" s="444">
        <v>0</v>
      </c>
      <c r="H376" s="444">
        <v>0</v>
      </c>
      <c r="I376" s="436" t="str">
        <f>_xlfn.XLOOKUP(Tb_Entregas[[#This Row],[SEI]],Tb_Mapa[SEI],Tb_Mapa[CONSULTOR RESPONSÁVEL],"",0)</f>
        <v>Juliana</v>
      </c>
    </row>
    <row r="377" spans="1:9" ht="45" hidden="1">
      <c r="A377" s="436" t="s">
        <v>728</v>
      </c>
      <c r="B377" s="436" t="str">
        <f>_xlfn.XLOOKUP(Tb_Entregas[[#This Row],[SEI]],Tb_Portfólio[SEI],Tb_Portfólio[PROJETO],"",0)</f>
        <v>Programa de Acessibilidade e Inclusão do Conselho Nacional de Justiça (CNJ)</v>
      </c>
      <c r="C377" s="438" t="s">
        <v>2132</v>
      </c>
      <c r="D377" s="443">
        <v>46011</v>
      </c>
      <c r="E377" s="438"/>
      <c r="F377" s="441">
        <v>0</v>
      </c>
      <c r="G377" s="444">
        <v>0</v>
      </c>
      <c r="H377" s="444">
        <v>0</v>
      </c>
      <c r="I377" s="436" t="str">
        <f>_xlfn.XLOOKUP(Tb_Entregas[[#This Row],[SEI]],Tb_Mapa[SEI],Tb_Mapa[CONSULTOR RESPONSÁVEL],"",0)</f>
        <v>Juliana</v>
      </c>
    </row>
    <row r="378" spans="1:9" ht="30" hidden="1">
      <c r="A378" s="436" t="s">
        <v>728</v>
      </c>
      <c r="B378" s="436" t="str">
        <f>_xlfn.XLOOKUP(Tb_Entregas[[#This Row],[SEI]],Tb_Portfólio[SEI],Tb_Portfólio[PROJETO],"",0)</f>
        <v>Programa de Acessibilidade e Inclusão do Conselho Nacional de Justiça (CNJ)</v>
      </c>
      <c r="C378" s="438" t="s">
        <v>2133</v>
      </c>
      <c r="D378" s="443">
        <v>46011</v>
      </c>
      <c r="E378" s="443">
        <v>45920</v>
      </c>
      <c r="F378" s="441">
        <v>1</v>
      </c>
      <c r="G378" s="444">
        <v>0</v>
      </c>
      <c r="H378" s="444">
        <v>0</v>
      </c>
      <c r="I378" s="436" t="str">
        <f>_xlfn.XLOOKUP(Tb_Entregas[[#This Row],[SEI]],Tb_Mapa[SEI],Tb_Mapa[CONSULTOR RESPONSÁVEL],"",0)</f>
        <v>Juliana</v>
      </c>
    </row>
    <row r="379" spans="1:9" ht="30" hidden="1">
      <c r="A379" s="436" t="s">
        <v>728</v>
      </c>
      <c r="B379" s="436" t="str">
        <f>_xlfn.XLOOKUP(Tb_Entregas[[#This Row],[SEI]],Tb_Portfólio[SEI],Tb_Portfólio[PROJETO],"",0)</f>
        <v>Programa de Acessibilidade e Inclusão do Conselho Nacional de Justiça (CNJ)</v>
      </c>
      <c r="C379" s="438" t="s">
        <v>2134</v>
      </c>
      <c r="D379" s="443">
        <v>46011</v>
      </c>
      <c r="E379" s="438"/>
      <c r="F379" s="441">
        <v>0.5</v>
      </c>
      <c r="G379" s="444">
        <v>0</v>
      </c>
      <c r="H379" s="444">
        <v>0</v>
      </c>
      <c r="I379" s="436" t="str">
        <f>_xlfn.XLOOKUP(Tb_Entregas[[#This Row],[SEI]],Tb_Mapa[SEI],Tb_Mapa[CONSULTOR RESPONSÁVEL],"",0)</f>
        <v>Juliana</v>
      </c>
    </row>
    <row r="380" spans="1:9" ht="45" hidden="1">
      <c r="A380" s="436" t="s">
        <v>728</v>
      </c>
      <c r="B380" s="436" t="str">
        <f>_xlfn.XLOOKUP(Tb_Entregas[[#This Row],[SEI]],Tb_Portfólio[SEI],Tb_Portfólio[PROJETO],"",0)</f>
        <v>Programa de Acessibilidade e Inclusão do Conselho Nacional de Justiça (CNJ)</v>
      </c>
      <c r="C380" s="438" t="s">
        <v>2135</v>
      </c>
      <c r="D380" s="443">
        <v>46376</v>
      </c>
      <c r="E380" s="438"/>
      <c r="F380" s="441">
        <v>0.5</v>
      </c>
      <c r="G380" s="444">
        <v>0</v>
      </c>
      <c r="H380" s="444">
        <v>0</v>
      </c>
      <c r="I380" s="436" t="str">
        <f>_xlfn.XLOOKUP(Tb_Entregas[[#This Row],[SEI]],Tb_Mapa[SEI],Tb_Mapa[CONSULTOR RESPONSÁVEL],"",0)</f>
        <v>Juliana</v>
      </c>
    </row>
    <row r="381" spans="1:9" hidden="1">
      <c r="A381" s="436" t="s">
        <v>728</v>
      </c>
      <c r="B381" s="436" t="str">
        <f>_xlfn.XLOOKUP(Tb_Entregas[[#This Row],[SEI]],Tb_Portfólio[SEI],Tb_Portfólio[PROJETO],"",0)</f>
        <v>Programa de Acessibilidade e Inclusão do Conselho Nacional de Justiça (CNJ)</v>
      </c>
      <c r="C381" s="438" t="s">
        <v>2136</v>
      </c>
      <c r="D381" s="443">
        <v>46376</v>
      </c>
      <c r="E381" s="438"/>
      <c r="F381" s="441">
        <v>0.25</v>
      </c>
      <c r="G381" s="444">
        <v>0</v>
      </c>
      <c r="H381" s="444">
        <v>0</v>
      </c>
      <c r="I381" s="436" t="str">
        <f>_xlfn.XLOOKUP(Tb_Entregas[[#This Row],[SEI]],Tb_Mapa[SEI],Tb_Mapa[CONSULTOR RESPONSÁVEL],"",0)</f>
        <v>Juliana</v>
      </c>
    </row>
    <row r="382" spans="1:9" ht="45" hidden="1">
      <c r="A382" s="436" t="s">
        <v>728</v>
      </c>
      <c r="B382" s="436" t="str">
        <f>_xlfn.XLOOKUP(Tb_Entregas[[#This Row],[SEI]],Tb_Portfólio[SEI],Tb_Portfólio[PROJETO],"",0)</f>
        <v>Programa de Acessibilidade e Inclusão do Conselho Nacional de Justiça (CNJ)</v>
      </c>
      <c r="C382" s="438" t="s">
        <v>2137</v>
      </c>
      <c r="D382" s="443">
        <v>46011</v>
      </c>
      <c r="E382" s="438"/>
      <c r="F382" s="441">
        <v>0</v>
      </c>
      <c r="G382" s="444">
        <v>0</v>
      </c>
      <c r="H382" s="444">
        <v>0</v>
      </c>
      <c r="I382" s="436" t="str">
        <f>_xlfn.XLOOKUP(Tb_Entregas[[#This Row],[SEI]],Tb_Mapa[SEI],Tb_Mapa[CONSULTOR RESPONSÁVEL],"",0)</f>
        <v>Juliana</v>
      </c>
    </row>
    <row r="383" spans="1:9" hidden="1">
      <c r="A383" s="436" t="s">
        <v>728</v>
      </c>
      <c r="B383" s="436" t="str">
        <f>_xlfn.XLOOKUP(Tb_Entregas[[#This Row],[SEI]],Tb_Portfólio[SEI],Tb_Portfólio[PROJETO],"",0)</f>
        <v>Programa de Acessibilidade e Inclusão do Conselho Nacional de Justiça (CNJ)</v>
      </c>
      <c r="C383" s="438" t="s">
        <v>2138</v>
      </c>
      <c r="D383" s="443">
        <v>46011</v>
      </c>
      <c r="E383" s="438"/>
      <c r="F383" s="441">
        <v>0</v>
      </c>
      <c r="G383" s="444">
        <v>0</v>
      </c>
      <c r="H383" s="444">
        <v>0</v>
      </c>
      <c r="I383" s="436" t="str">
        <f>_xlfn.XLOOKUP(Tb_Entregas[[#This Row],[SEI]],Tb_Mapa[SEI],Tb_Mapa[CONSULTOR RESPONSÁVEL],"",0)</f>
        <v>Juliana</v>
      </c>
    </row>
    <row r="384" spans="1:9" ht="45" hidden="1">
      <c r="A384" s="436" t="s">
        <v>728</v>
      </c>
      <c r="B384" s="436" t="str">
        <f>_xlfn.XLOOKUP(Tb_Entregas[[#This Row],[SEI]],Tb_Portfólio[SEI],Tb_Portfólio[PROJETO],"",0)</f>
        <v>Programa de Acessibilidade e Inclusão do Conselho Nacional de Justiça (CNJ)</v>
      </c>
      <c r="C384" s="438" t="s">
        <v>2139</v>
      </c>
      <c r="D384" s="443">
        <v>45646</v>
      </c>
      <c r="E384" s="438"/>
      <c r="F384" s="441">
        <v>0</v>
      </c>
      <c r="G384" s="444">
        <v>0</v>
      </c>
      <c r="H384" s="444">
        <v>0</v>
      </c>
      <c r="I384" s="436" t="str">
        <f>_xlfn.XLOOKUP(Tb_Entregas[[#This Row],[SEI]],Tb_Mapa[SEI],Tb_Mapa[CONSULTOR RESPONSÁVEL],"",0)</f>
        <v>Juliana</v>
      </c>
    </row>
    <row r="385" spans="1:9" ht="45" hidden="1">
      <c r="A385" s="436" t="s">
        <v>728</v>
      </c>
      <c r="B385" s="436" t="str">
        <f>_xlfn.XLOOKUP(Tb_Entregas[[#This Row],[SEI]],Tb_Portfólio[SEI],Tb_Portfólio[PROJETO],"",0)</f>
        <v>Programa de Acessibilidade e Inclusão do Conselho Nacional de Justiça (CNJ)</v>
      </c>
      <c r="C385" s="438" t="s">
        <v>2140</v>
      </c>
      <c r="D385" s="443">
        <v>46011</v>
      </c>
      <c r="E385" s="438"/>
      <c r="F385" s="441">
        <v>0</v>
      </c>
      <c r="G385" s="444">
        <v>0</v>
      </c>
      <c r="H385" s="444">
        <v>0</v>
      </c>
      <c r="I385" s="436" t="str">
        <f>_xlfn.XLOOKUP(Tb_Entregas[[#This Row],[SEI]],Tb_Mapa[SEI],Tb_Mapa[CONSULTOR RESPONSÁVEL],"",0)</f>
        <v>Juliana</v>
      </c>
    </row>
    <row r="386" spans="1:9" ht="45" hidden="1">
      <c r="A386" s="436" t="s">
        <v>728</v>
      </c>
      <c r="B386" s="436" t="str">
        <f>_xlfn.XLOOKUP(Tb_Entregas[[#This Row],[SEI]],Tb_Portfólio[SEI],Tb_Portfólio[PROJETO],"",0)</f>
        <v>Programa de Acessibilidade e Inclusão do Conselho Nacional de Justiça (CNJ)</v>
      </c>
      <c r="C386" s="438" t="s">
        <v>2141</v>
      </c>
      <c r="D386" s="443">
        <v>46011</v>
      </c>
      <c r="E386" s="438"/>
      <c r="F386" s="441">
        <v>0</v>
      </c>
      <c r="G386" s="444">
        <v>0</v>
      </c>
      <c r="H386" s="444">
        <v>0</v>
      </c>
      <c r="I386" s="436" t="str">
        <f>_xlfn.XLOOKUP(Tb_Entregas[[#This Row],[SEI]],Tb_Mapa[SEI],Tb_Mapa[CONSULTOR RESPONSÁVEL],"",0)</f>
        <v>Juliana</v>
      </c>
    </row>
    <row r="387" spans="1:9" ht="30" hidden="1">
      <c r="A387" s="436" t="s">
        <v>728</v>
      </c>
      <c r="B387" s="436" t="str">
        <f>_xlfn.XLOOKUP(Tb_Entregas[[#This Row],[SEI]],Tb_Portfólio[SEI],Tb_Portfólio[PROJETO],"",0)</f>
        <v>Programa de Acessibilidade e Inclusão do Conselho Nacional de Justiça (CNJ)</v>
      </c>
      <c r="C387" s="438" t="s">
        <v>2142</v>
      </c>
      <c r="D387" s="443">
        <v>46011</v>
      </c>
      <c r="E387" s="438"/>
      <c r="F387" s="441">
        <v>0</v>
      </c>
      <c r="G387" s="444">
        <v>0</v>
      </c>
      <c r="H387" s="444">
        <v>0</v>
      </c>
      <c r="I387" s="436" t="str">
        <f>_xlfn.XLOOKUP(Tb_Entregas[[#This Row],[SEI]],Tb_Mapa[SEI],Tb_Mapa[CONSULTOR RESPONSÁVEL],"",0)</f>
        <v>Juliana</v>
      </c>
    </row>
    <row r="388" spans="1:9" ht="30" hidden="1">
      <c r="A388" s="436" t="s">
        <v>728</v>
      </c>
      <c r="B388" s="436" t="str">
        <f>_xlfn.XLOOKUP(Tb_Entregas[[#This Row],[SEI]],Tb_Portfólio[SEI],Tb_Portfólio[PROJETO],"",0)</f>
        <v>Programa de Acessibilidade e Inclusão do Conselho Nacional de Justiça (CNJ)</v>
      </c>
      <c r="C388" s="438" t="s">
        <v>2143</v>
      </c>
      <c r="D388" s="443">
        <v>46011</v>
      </c>
      <c r="E388" s="438"/>
      <c r="F388" s="441">
        <v>0</v>
      </c>
      <c r="G388" s="444">
        <v>0</v>
      </c>
      <c r="H388" s="444">
        <v>0</v>
      </c>
      <c r="I388" s="436" t="str">
        <f>_xlfn.XLOOKUP(Tb_Entregas[[#This Row],[SEI]],Tb_Mapa[SEI],Tb_Mapa[CONSULTOR RESPONSÁVEL],"",0)</f>
        <v>Juliana</v>
      </c>
    </row>
    <row r="389" spans="1:9" ht="45" hidden="1">
      <c r="A389" s="436" t="s">
        <v>728</v>
      </c>
      <c r="B389" s="436" t="str">
        <f>_xlfn.XLOOKUP(Tb_Entregas[[#This Row],[SEI]],Tb_Portfólio[SEI],Tb_Portfólio[PROJETO],"",0)</f>
        <v>Programa de Acessibilidade e Inclusão do Conselho Nacional de Justiça (CNJ)</v>
      </c>
      <c r="C389" s="438" t="s">
        <v>2144</v>
      </c>
      <c r="D389" s="443">
        <v>46011</v>
      </c>
      <c r="E389" s="438"/>
      <c r="F389" s="441">
        <v>0</v>
      </c>
      <c r="G389" s="444">
        <v>0</v>
      </c>
      <c r="H389" s="444">
        <v>0</v>
      </c>
      <c r="I389" s="436" t="str">
        <f>_xlfn.XLOOKUP(Tb_Entregas[[#This Row],[SEI]],Tb_Mapa[SEI],Tb_Mapa[CONSULTOR RESPONSÁVEL],"",0)</f>
        <v>Juliana</v>
      </c>
    </row>
    <row r="390" spans="1:9" ht="30" hidden="1">
      <c r="A390" s="436" t="s">
        <v>728</v>
      </c>
      <c r="B390" s="436" t="str">
        <f>_xlfn.XLOOKUP(Tb_Entregas[[#This Row],[SEI]],Tb_Portfólio[SEI],Tb_Portfólio[PROJETO],"",0)</f>
        <v>Programa de Acessibilidade e Inclusão do Conselho Nacional de Justiça (CNJ)</v>
      </c>
      <c r="C390" s="438" t="s">
        <v>2145</v>
      </c>
      <c r="D390" s="443">
        <v>46011</v>
      </c>
      <c r="E390" s="438"/>
      <c r="F390" s="441">
        <v>0</v>
      </c>
      <c r="G390" s="444">
        <v>0</v>
      </c>
      <c r="H390" s="444">
        <v>0</v>
      </c>
      <c r="I390" s="436" t="str">
        <f>_xlfn.XLOOKUP(Tb_Entregas[[#This Row],[SEI]],Tb_Mapa[SEI],Tb_Mapa[CONSULTOR RESPONSÁVEL],"",0)</f>
        <v>Juliana</v>
      </c>
    </row>
    <row r="391" spans="1:9" ht="30" hidden="1">
      <c r="A391" s="436" t="s">
        <v>728</v>
      </c>
      <c r="B391" s="436" t="str">
        <f>_xlfn.XLOOKUP(Tb_Entregas[[#This Row],[SEI]],Tb_Portfólio[SEI],Tb_Portfólio[PROJETO],"",0)</f>
        <v>Programa de Acessibilidade e Inclusão do Conselho Nacional de Justiça (CNJ)</v>
      </c>
      <c r="C391" s="438" t="s">
        <v>2146</v>
      </c>
      <c r="D391" s="443">
        <v>46011</v>
      </c>
      <c r="E391" s="438"/>
      <c r="F391" s="441">
        <v>0</v>
      </c>
      <c r="G391" s="444">
        <v>0</v>
      </c>
      <c r="H391" s="444">
        <v>0</v>
      </c>
      <c r="I391" s="436" t="str">
        <f>_xlfn.XLOOKUP(Tb_Entregas[[#This Row],[SEI]],Tb_Mapa[SEI],Tb_Mapa[CONSULTOR RESPONSÁVEL],"",0)</f>
        <v>Juliana</v>
      </c>
    </row>
    <row r="392" spans="1:9" hidden="1">
      <c r="A392" s="436" t="s">
        <v>728</v>
      </c>
      <c r="B392" s="436" t="str">
        <f>_xlfn.XLOOKUP(Tb_Entregas[[#This Row],[SEI]],Tb_Portfólio[SEI],Tb_Portfólio[PROJETO],"",0)</f>
        <v>Programa de Acessibilidade e Inclusão do Conselho Nacional de Justiça (CNJ)</v>
      </c>
      <c r="C392" s="438" t="s">
        <v>2147</v>
      </c>
      <c r="D392" s="443">
        <v>46376</v>
      </c>
      <c r="E392" s="438"/>
      <c r="F392" s="441">
        <v>0</v>
      </c>
      <c r="G392" s="444">
        <v>0</v>
      </c>
      <c r="H392" s="444">
        <v>0</v>
      </c>
      <c r="I392" s="436" t="str">
        <f>_xlfn.XLOOKUP(Tb_Entregas[[#This Row],[SEI]],Tb_Mapa[SEI],Tb_Mapa[CONSULTOR RESPONSÁVEL],"",0)</f>
        <v>Juliana</v>
      </c>
    </row>
    <row r="393" spans="1:9" ht="30" hidden="1">
      <c r="A393" s="436" t="s">
        <v>834</v>
      </c>
      <c r="B393" s="436" t="str">
        <f>_xlfn.XLOOKUP(Tb_Entregas[[#This Row],[SEI]],Tb_Portfólio[SEI],Tb_Portfólio[PROJETO],"",0)</f>
        <v>Inspeção Judicial</v>
      </c>
      <c r="C393" s="438" t="s">
        <v>2148</v>
      </c>
      <c r="D393" s="443">
        <v>45716</v>
      </c>
      <c r="E393" s="438"/>
      <c r="F393" s="441">
        <v>1</v>
      </c>
      <c r="G393" s="444">
        <v>0</v>
      </c>
      <c r="H393" s="444">
        <v>0</v>
      </c>
      <c r="I393" s="436" t="str">
        <f>_xlfn.XLOOKUP(Tb_Entregas[[#This Row],[SEI]],Tb_Mapa[SEI],Tb_Mapa[CONSULTOR RESPONSÁVEL],"",0)</f>
        <v>Tony</v>
      </c>
    </row>
    <row r="394" spans="1:9" ht="30" hidden="1">
      <c r="A394" s="436" t="s">
        <v>834</v>
      </c>
      <c r="B394" s="436" t="str">
        <f>_xlfn.XLOOKUP(Tb_Entregas[[#This Row],[SEI]],Tb_Portfólio[SEI],Tb_Portfólio[PROJETO],"",0)</f>
        <v>Inspeção Judicial</v>
      </c>
      <c r="C394" s="438" t="s">
        <v>2149</v>
      </c>
      <c r="D394" s="443">
        <v>45716</v>
      </c>
      <c r="E394" s="438"/>
      <c r="F394" s="441">
        <v>0</v>
      </c>
      <c r="G394" s="444">
        <v>0</v>
      </c>
      <c r="H394" s="444">
        <v>0</v>
      </c>
      <c r="I394" s="436" t="str">
        <f>_xlfn.XLOOKUP(Tb_Entregas[[#This Row],[SEI]],Tb_Mapa[SEI],Tb_Mapa[CONSULTOR RESPONSÁVEL],"",0)</f>
        <v>Tony</v>
      </c>
    </row>
    <row r="395" spans="1:9" ht="30" hidden="1">
      <c r="A395" s="436" t="s">
        <v>844</v>
      </c>
      <c r="B395" s="436" t="str">
        <f>_xlfn.XLOOKUP(Tb_Entregas[[#This Row],[SEI]],Tb_Portfólio[SEI],Tb_Portfólio[PROJETO],"",0)</f>
        <v>Enfrentamento da Tortura</v>
      </c>
      <c r="C395" s="438" t="s">
        <v>2150</v>
      </c>
      <c r="D395" s="443">
        <v>46022</v>
      </c>
      <c r="E395" s="443">
        <v>45678</v>
      </c>
      <c r="F395" s="441">
        <v>1</v>
      </c>
      <c r="G395" s="444">
        <v>0</v>
      </c>
      <c r="H395" s="444">
        <v>0</v>
      </c>
      <c r="I395" s="436" t="str">
        <f>_xlfn.XLOOKUP(Tb_Entregas[[#This Row],[SEI]],Tb_Mapa[SEI],Tb_Mapa[CONSULTOR RESPONSÁVEL],"",0)</f>
        <v>Tony</v>
      </c>
    </row>
    <row r="396" spans="1:9" ht="30" hidden="1">
      <c r="A396" s="436" t="s">
        <v>844</v>
      </c>
      <c r="B396" s="436" t="str">
        <f>_xlfn.XLOOKUP(Tb_Entregas[[#This Row],[SEI]],Tb_Portfólio[SEI],Tb_Portfólio[PROJETO],"",0)</f>
        <v>Enfrentamento da Tortura</v>
      </c>
      <c r="C396" s="438" t="s">
        <v>2151</v>
      </c>
      <c r="D396" s="443">
        <v>46022</v>
      </c>
      <c r="E396" s="438"/>
      <c r="F396" s="441">
        <v>0</v>
      </c>
      <c r="G396" s="444">
        <v>0</v>
      </c>
      <c r="H396" s="444">
        <v>0</v>
      </c>
      <c r="I396" s="436" t="str">
        <f>_xlfn.XLOOKUP(Tb_Entregas[[#This Row],[SEI]],Tb_Mapa[SEI],Tb_Mapa[CONSULTOR RESPONSÁVEL],"",0)</f>
        <v>Tony</v>
      </c>
    </row>
    <row r="397" spans="1:9" ht="60" hidden="1">
      <c r="A397" s="436" t="s">
        <v>865</v>
      </c>
      <c r="B397" s="436" t="str">
        <f>_xlfn.XLOOKUP(Tb_Entregas[[#This Row],[SEI]],Tb_Portfólio[SEI],Tb_Portfólio[PROJETO],"",0)</f>
        <v>Articulação Internacional e Proteção dos Direitos Humanos</v>
      </c>
      <c r="C397" s="438" t="s">
        <v>2152</v>
      </c>
      <c r="D397" s="443">
        <v>45869</v>
      </c>
      <c r="E397" s="443">
        <v>45678</v>
      </c>
      <c r="F397" s="441">
        <v>1</v>
      </c>
      <c r="G397" s="444">
        <v>0</v>
      </c>
      <c r="H397" s="444">
        <v>0</v>
      </c>
      <c r="I397" s="436" t="str">
        <f>_xlfn.XLOOKUP(Tb_Entregas[[#This Row],[SEI]],Tb_Mapa[SEI],Tb_Mapa[CONSULTOR RESPONSÁVEL],"",0)</f>
        <v>Tony</v>
      </c>
    </row>
    <row r="398" spans="1:9" ht="90" hidden="1">
      <c r="A398" s="436" t="s">
        <v>865</v>
      </c>
      <c r="B398" s="436" t="str">
        <f>_xlfn.XLOOKUP(Tb_Entregas[[#This Row],[SEI]],Tb_Portfólio[SEI],Tb_Portfólio[PROJETO],"",0)</f>
        <v>Articulação Internacional e Proteção dos Direitos Humanos</v>
      </c>
      <c r="C398" s="438" t="s">
        <v>2153</v>
      </c>
      <c r="D398" s="443">
        <v>45869</v>
      </c>
      <c r="E398" s="438"/>
      <c r="F398" s="441">
        <v>0</v>
      </c>
      <c r="G398" s="444">
        <v>0</v>
      </c>
      <c r="H398" s="444">
        <v>0</v>
      </c>
      <c r="I398" s="436" t="str">
        <f>_xlfn.XLOOKUP(Tb_Entregas[[#This Row],[SEI]],Tb_Mapa[SEI],Tb_Mapa[CONSULTOR RESPONSÁVEL],"",0)</f>
        <v>Tony</v>
      </c>
    </row>
    <row r="399" spans="1:9" ht="60" hidden="1">
      <c r="A399" s="436" t="s">
        <v>878</v>
      </c>
      <c r="B399" s="436" t="str">
        <f>_xlfn.XLOOKUP(Tb_Entregas[[#This Row],[SEI]],Tb_Portfólio[SEI],Tb_Portfólio[PROJETO],"",0)</f>
        <v>Adequação à Lei Geral de Proteção de Dados Pessoais</v>
      </c>
      <c r="C399" s="438" t="s">
        <v>2154</v>
      </c>
      <c r="D399" s="443">
        <v>46022</v>
      </c>
      <c r="E399" s="438"/>
      <c r="F399" s="441">
        <v>0.5</v>
      </c>
      <c r="G399" s="444">
        <v>0</v>
      </c>
      <c r="H399" s="444">
        <v>0</v>
      </c>
      <c r="I399" s="436" t="str">
        <f>_xlfn.XLOOKUP(Tb_Entregas[[#This Row],[SEI]],Tb_Mapa[SEI],Tb_Mapa[CONSULTOR RESPONSÁVEL],"",0)</f>
        <v>Tony</v>
      </c>
    </row>
    <row r="400" spans="1:9" ht="30" hidden="1">
      <c r="A400" s="436" t="s">
        <v>888</v>
      </c>
      <c r="B400" s="436" t="str">
        <f>_xlfn.XLOOKUP(Tb_Entregas[[#This Row],[SEI]],Tb_Portfólio[SEI],Tb_Portfólio[PROJETO],"",0)</f>
        <v>Central de Regulação de Vagas (sistema penal)</v>
      </c>
      <c r="C400" s="438" t="s">
        <v>2155</v>
      </c>
      <c r="D400" s="443">
        <v>45869</v>
      </c>
      <c r="E400" s="438"/>
      <c r="F400" s="441">
        <v>0</v>
      </c>
      <c r="G400" s="444">
        <v>0</v>
      </c>
      <c r="H400" s="444">
        <v>0</v>
      </c>
      <c r="I400" s="436" t="str">
        <f>_xlfn.XLOOKUP(Tb_Entregas[[#This Row],[SEI]],Tb_Mapa[SEI],Tb_Mapa[CONSULTOR RESPONSÁVEL],"",0)</f>
        <v>Tony</v>
      </c>
    </row>
    <row r="401" spans="1:10" ht="45" hidden="1">
      <c r="A401" s="436" t="s">
        <v>888</v>
      </c>
      <c r="B401" s="436" t="str">
        <f>_xlfn.XLOOKUP(Tb_Entregas[[#This Row],[SEI]],Tb_Portfólio[SEI],Tb_Portfólio[PROJETO],"",0)</f>
        <v>Central de Regulação de Vagas (sistema penal)</v>
      </c>
      <c r="C401" s="438" t="s">
        <v>2156</v>
      </c>
      <c r="D401" s="443">
        <v>45869</v>
      </c>
      <c r="E401" s="443">
        <v>45678</v>
      </c>
      <c r="F401" s="441">
        <v>1</v>
      </c>
      <c r="G401" s="444">
        <v>0</v>
      </c>
      <c r="H401" s="444">
        <v>0</v>
      </c>
      <c r="I401" s="436" t="str">
        <f>_xlfn.XLOOKUP(Tb_Entregas[[#This Row],[SEI]],Tb_Mapa[SEI],Tb_Mapa[CONSULTOR RESPONSÁVEL],"",0)</f>
        <v>Tony</v>
      </c>
    </row>
    <row r="402" spans="1:10" hidden="1">
      <c r="A402" s="436" t="s">
        <v>893</v>
      </c>
      <c r="B402" s="436" t="str">
        <f>_xlfn.XLOOKUP(Tb_Entregas[[#This Row],[SEI]],Tb_Portfólio[SEI],Tb_Portfólio[PROJETO],"",0)</f>
        <v>Ação Nacional de Trabalho e Renda (sistema penal)</v>
      </c>
      <c r="C402" s="438" t="s">
        <v>2157</v>
      </c>
      <c r="D402" s="443">
        <v>45747</v>
      </c>
      <c r="E402" s="438"/>
      <c r="F402" s="441">
        <v>0.5</v>
      </c>
      <c r="G402" s="444">
        <v>0</v>
      </c>
      <c r="H402" s="444">
        <v>0</v>
      </c>
      <c r="I402" s="436" t="str">
        <f>_xlfn.XLOOKUP(Tb_Entregas[[#This Row],[SEI]],Tb_Mapa[SEI],Tb_Mapa[CONSULTOR RESPONSÁVEL],"",0)</f>
        <v>Tony</v>
      </c>
    </row>
    <row r="403" spans="1:10" hidden="1">
      <c r="A403" s="436" t="s">
        <v>901</v>
      </c>
      <c r="B403" s="436" t="str">
        <f>_xlfn.XLOOKUP(Tb_Entregas[[#This Row],[SEI]],Tb_Portfólio[SEI],Tb_Portfólio[PROJETO],"",0)</f>
        <v>Plano Nacional de Fomento ao Esporte e Lazer (sistema penal)</v>
      </c>
      <c r="C403" s="438" t="s">
        <v>2158</v>
      </c>
      <c r="D403" s="443">
        <v>45716</v>
      </c>
      <c r="E403" s="438"/>
      <c r="F403" s="441">
        <v>0.5</v>
      </c>
      <c r="G403" s="444">
        <v>0</v>
      </c>
      <c r="H403" s="444">
        <v>0</v>
      </c>
      <c r="I403" s="436" t="str">
        <f>_xlfn.XLOOKUP(Tb_Entregas[[#This Row],[SEI]],Tb_Mapa[SEI],Tb_Mapa[CONSULTOR RESPONSÁVEL],"",0)</f>
        <v>Tony</v>
      </c>
    </row>
    <row r="404" spans="1:10" ht="30" hidden="1">
      <c r="A404" s="436" t="s">
        <v>458</v>
      </c>
      <c r="B404" s="436" t="str">
        <f>_xlfn.XLOOKUP(Tb_Entregas[[#This Row],[SEI]],Tb_Portfólio[SEI],Tb_Portfólio[PROJETO],"",0)</f>
        <v>SNGB - Melhorias evolutivas</v>
      </c>
      <c r="C404" s="438" t="s">
        <v>2159</v>
      </c>
      <c r="D404" s="443">
        <v>45569</v>
      </c>
      <c r="E404" s="443">
        <v>45569</v>
      </c>
      <c r="F404" s="454">
        <v>1</v>
      </c>
      <c r="G404" s="444">
        <v>0</v>
      </c>
      <c r="H404" s="444">
        <v>0</v>
      </c>
      <c r="I404" s="436" t="str">
        <f>_xlfn.XLOOKUP(Tb_Entregas[[#This Row],[SEI]],Tb_Mapa[SEI],Tb_Mapa[CONSULTOR RESPONSÁVEL],"",0)</f>
        <v>Raphael</v>
      </c>
    </row>
    <row r="405" spans="1:10" hidden="1">
      <c r="A405" s="436" t="s">
        <v>458</v>
      </c>
      <c r="B405" s="436" t="str">
        <f>_xlfn.XLOOKUP(Tb_Entregas[[#This Row],[SEI]],Tb_Portfólio[SEI],Tb_Portfólio[PROJETO],"",0)</f>
        <v>SNGB - Melhorias evolutivas</v>
      </c>
      <c r="C405" s="438" t="s">
        <v>2160</v>
      </c>
      <c r="D405" s="443">
        <v>45863</v>
      </c>
      <c r="E405" s="438"/>
      <c r="F405" s="454">
        <f>11/21</f>
        <v>0.52380952380952384</v>
      </c>
      <c r="G405" s="444">
        <v>0</v>
      </c>
      <c r="H405" s="444">
        <v>0</v>
      </c>
      <c r="I405" s="436" t="str">
        <f>_xlfn.XLOOKUP(Tb_Entregas[[#This Row],[SEI]],Tb_Mapa[SEI],Tb_Mapa[CONSULTOR RESPONSÁVEL],"",0)</f>
        <v>Raphael</v>
      </c>
    </row>
    <row r="406" spans="1:10" hidden="1">
      <c r="A406" s="436" t="s">
        <v>559</v>
      </c>
      <c r="B406" s="440" t="str">
        <f>_xlfn.XLOOKUP(Tb_Entregas[[#This Row],[SEI]],Tb_Portfólio[SEI],Tb_Portfólio[PROJETO],"",0)</f>
        <v>Fonajus itinerante</v>
      </c>
      <c r="C406" s="438" t="s">
        <v>2161</v>
      </c>
      <c r="D406" s="443">
        <v>45786</v>
      </c>
      <c r="E406" s="443">
        <v>45786</v>
      </c>
      <c r="F406" s="454">
        <v>1</v>
      </c>
      <c r="G406" s="444">
        <v>0</v>
      </c>
      <c r="H406" s="444">
        <v>0</v>
      </c>
      <c r="I406" s="436" t="str">
        <f>_xlfn.XLOOKUP(Tb_Entregas[[#This Row],[SEI]],Tb_Mapa[SEI],Tb_Mapa[CONSULTOR RESPONSÁVEL],"",0)</f>
        <v>Juliana</v>
      </c>
    </row>
    <row r="407" spans="1:10" hidden="1">
      <c r="A407" s="436" t="s">
        <v>559</v>
      </c>
      <c r="B407" s="440" t="str">
        <f>_xlfn.XLOOKUP(Tb_Entregas[[#This Row],[SEI]],Tb_Portfólio[SEI],Tb_Portfólio[PROJETO],"",0)</f>
        <v>Fonajus itinerante</v>
      </c>
      <c r="C407" s="438" t="s">
        <v>2162</v>
      </c>
      <c r="D407" s="443">
        <v>45793</v>
      </c>
      <c r="E407" s="443">
        <v>45793</v>
      </c>
      <c r="F407" s="454">
        <v>1</v>
      </c>
      <c r="G407" s="444">
        <v>0</v>
      </c>
      <c r="H407" s="444">
        <v>0</v>
      </c>
      <c r="I407" s="436" t="str">
        <f>_xlfn.XLOOKUP(Tb_Entregas[[#This Row],[SEI]],Tb_Mapa[SEI],Tb_Mapa[CONSULTOR RESPONSÁVEL],"",0)</f>
        <v>Juliana</v>
      </c>
    </row>
    <row r="408" spans="1:10" hidden="1">
      <c r="A408" s="436" t="s">
        <v>559</v>
      </c>
      <c r="B408" s="440" t="str">
        <f>_xlfn.XLOOKUP(Tb_Entregas[[#This Row],[SEI]],Tb_Portfólio[SEI],Tb_Portfólio[PROJETO],"",0)</f>
        <v>Fonajus itinerante</v>
      </c>
      <c r="C408" s="438" t="s">
        <v>2163</v>
      </c>
      <c r="D408" s="443">
        <v>45898</v>
      </c>
      <c r="E408" s="443">
        <v>45898</v>
      </c>
      <c r="F408" s="454">
        <v>1</v>
      </c>
      <c r="G408" s="444">
        <v>0</v>
      </c>
      <c r="H408" s="444">
        <v>0</v>
      </c>
      <c r="I408" s="436" t="str">
        <f>_xlfn.XLOOKUP(Tb_Entregas[[#This Row],[SEI]],Tb_Mapa[SEI],Tb_Mapa[CONSULTOR RESPONSÁVEL],"",0)</f>
        <v>Juliana</v>
      </c>
    </row>
    <row r="409" spans="1:10" hidden="1">
      <c r="A409" s="436" t="s">
        <v>559</v>
      </c>
      <c r="B409" s="440" t="str">
        <f>_xlfn.XLOOKUP(Tb_Entregas[[#This Row],[SEI]],Tb_Portfólio[SEI],Tb_Portfólio[PROJETO],"",0)</f>
        <v>Fonajus itinerante</v>
      </c>
      <c r="C409" s="438" t="s">
        <v>2164</v>
      </c>
      <c r="D409" s="443">
        <v>45912</v>
      </c>
      <c r="E409" s="443">
        <v>45912</v>
      </c>
      <c r="F409" s="454">
        <v>1</v>
      </c>
      <c r="G409" s="444">
        <v>0</v>
      </c>
      <c r="H409" s="444">
        <v>0</v>
      </c>
      <c r="I409" s="436" t="str">
        <f>_xlfn.XLOOKUP(Tb_Entregas[[#This Row],[SEI]],Tb_Mapa[SEI],Tb_Mapa[CONSULTOR RESPONSÁVEL],"",0)</f>
        <v>Juliana</v>
      </c>
    </row>
    <row r="410" spans="1:10" hidden="1">
      <c r="A410" s="445" t="s">
        <v>559</v>
      </c>
      <c r="B410" s="446" t="str">
        <f>_xlfn.XLOOKUP(Tb_Entregas[[#This Row],[SEI]],Tb_Portfólio[SEI],Tb_Portfólio[PROJETO],"",0)</f>
        <v>Fonajus itinerante</v>
      </c>
      <c r="C410" s="447" t="s">
        <v>2165</v>
      </c>
      <c r="D410" s="455"/>
      <c r="E410" s="455"/>
      <c r="F410" s="456"/>
      <c r="G410" s="450"/>
      <c r="H410" s="450"/>
      <c r="I410" s="436" t="str">
        <f>_xlfn.XLOOKUP(Tb_Entregas[[#This Row],[SEI]],Tb_Mapa[SEI],Tb_Mapa[CONSULTOR RESPONSÁVEL],"",0)</f>
        <v>Juliana</v>
      </c>
      <c r="J410" s="445" t="s">
        <v>49</v>
      </c>
    </row>
    <row r="411" spans="1:10" hidden="1">
      <c r="A411" s="436" t="s">
        <v>559</v>
      </c>
      <c r="B411" s="440" t="str">
        <f>_xlfn.XLOOKUP(Tb_Entregas[[#This Row],[SEI]],Tb_Portfólio[SEI],Tb_Portfólio[PROJETO],"",0)</f>
        <v>Fonajus itinerante</v>
      </c>
      <c r="C411" s="438" t="s">
        <v>2166</v>
      </c>
      <c r="D411" s="443">
        <v>45821</v>
      </c>
      <c r="E411" s="443">
        <v>45821</v>
      </c>
      <c r="F411" s="454">
        <v>1</v>
      </c>
      <c r="G411" s="444"/>
      <c r="H411" s="444"/>
      <c r="I411" s="436" t="str">
        <f>_xlfn.XLOOKUP(Tb_Entregas[[#This Row],[SEI]],Tb_Mapa[SEI],Tb_Mapa[CONSULTOR RESPONSÁVEL],"",0)</f>
        <v>Juliana</v>
      </c>
    </row>
    <row r="412" spans="1:10" hidden="1">
      <c r="A412" s="436" t="s">
        <v>559</v>
      </c>
      <c r="B412" s="440" t="str">
        <f>_xlfn.XLOOKUP(Tb_Entregas[[#This Row],[SEI]],Tb_Portfólio[SEI],Tb_Portfólio[PROJETO],"",0)</f>
        <v>Fonajus itinerante</v>
      </c>
      <c r="C412" s="438" t="s">
        <v>2167</v>
      </c>
      <c r="D412" s="443">
        <v>45513</v>
      </c>
      <c r="E412" s="443">
        <v>45513</v>
      </c>
      <c r="F412" s="441">
        <v>1</v>
      </c>
      <c r="G412" s="444">
        <v>420423.25</v>
      </c>
      <c r="H412" s="444">
        <v>179885.36</v>
      </c>
      <c r="I412" s="436" t="str">
        <f>_xlfn.XLOOKUP(Tb_Entregas[[#This Row],[SEI]],Tb_Mapa[SEI],Tb_Mapa[CONSULTOR RESPONSÁVEL],"",0)</f>
        <v>Juliana</v>
      </c>
      <c r="J412" s="436" t="s">
        <v>2168</v>
      </c>
    </row>
    <row r="413" spans="1:10" ht="30">
      <c r="A413" s="436" t="s">
        <v>773</v>
      </c>
      <c r="B413" s="436" t="str">
        <f>_xlfn.XLOOKUP(Tb_Entregas[[#This Row],[SEI]],Tb_Portfólio[SEI],Tb_Portfólio[PROJETO],"",0)</f>
        <v>API de Pessoas</v>
      </c>
      <c r="C413" s="438" t="s">
        <v>2169</v>
      </c>
      <c r="D413" s="443">
        <v>45702</v>
      </c>
      <c r="E413" s="443">
        <v>45702</v>
      </c>
      <c r="F413" s="441">
        <v>1</v>
      </c>
      <c r="G413" s="444">
        <v>0</v>
      </c>
      <c r="H413" s="444">
        <v>0</v>
      </c>
      <c r="I413" s="436" t="str">
        <f>_xlfn.XLOOKUP(Tb_Entregas[[#This Row],[SEI]],Tb_Mapa[SEI],Tb_Mapa[CONSULTOR RESPONSÁVEL],"",0)</f>
        <v>Tony</v>
      </c>
    </row>
    <row r="414" spans="1:10">
      <c r="A414" s="436" t="s">
        <v>773</v>
      </c>
      <c r="B414" s="436" t="str">
        <f>_xlfn.XLOOKUP(Tb_Entregas[[#This Row],[SEI]],Tb_Portfólio[SEI],Tb_Portfólio[PROJETO],"",0)</f>
        <v>API de Pessoas</v>
      </c>
      <c r="C414" s="438" t="s">
        <v>2170</v>
      </c>
      <c r="D414" s="443">
        <v>45716</v>
      </c>
      <c r="E414" s="443">
        <v>45716</v>
      </c>
      <c r="F414" s="441">
        <v>1</v>
      </c>
      <c r="G414" s="444">
        <v>0</v>
      </c>
      <c r="H414" s="444">
        <v>0</v>
      </c>
      <c r="I414" s="436" t="str">
        <f>_xlfn.XLOOKUP(Tb_Entregas[[#This Row],[SEI]],Tb_Mapa[SEI],Tb_Mapa[CONSULTOR RESPONSÁVEL],"",0)</f>
        <v>Tony</v>
      </c>
    </row>
    <row r="415" spans="1:10">
      <c r="A415" s="436" t="s">
        <v>773</v>
      </c>
      <c r="B415" s="436" t="str">
        <f>_xlfn.XLOOKUP(Tb_Entregas[[#This Row],[SEI]],Tb_Portfólio[SEI],Tb_Portfólio[PROJETO],"",0)</f>
        <v>API de Pessoas</v>
      </c>
      <c r="C415" s="438" t="s">
        <v>2171</v>
      </c>
      <c r="D415" s="443">
        <v>45782</v>
      </c>
      <c r="E415" s="438"/>
      <c r="F415" s="441">
        <v>0.65</v>
      </c>
      <c r="G415" s="444">
        <v>0</v>
      </c>
      <c r="H415" s="444">
        <v>0</v>
      </c>
      <c r="I415" s="436" t="str">
        <f>_xlfn.XLOOKUP(Tb_Entregas[[#This Row],[SEI]],Tb_Mapa[SEI],Tb_Mapa[CONSULTOR RESPONSÁVEL],"",0)</f>
        <v>Tony</v>
      </c>
    </row>
    <row r="416" spans="1:10" ht="30">
      <c r="A416" s="436" t="s">
        <v>773</v>
      </c>
      <c r="B416" s="436" t="str">
        <f>_xlfn.XLOOKUP(Tb_Entregas[[#This Row],[SEI]],Tb_Portfólio[SEI],Tb_Portfólio[PROJETO],"",0)</f>
        <v>API de Pessoas</v>
      </c>
      <c r="C416" s="438" t="s">
        <v>2172</v>
      </c>
      <c r="D416" s="443">
        <v>45793</v>
      </c>
      <c r="E416" s="438"/>
      <c r="F416" s="441"/>
      <c r="G416" s="444">
        <v>0</v>
      </c>
      <c r="H416" s="444">
        <v>0</v>
      </c>
      <c r="I416" s="436" t="str">
        <f>_xlfn.XLOOKUP(Tb_Entregas[[#This Row],[SEI]],Tb_Mapa[SEI],Tb_Mapa[CONSULTOR RESPONSÁVEL],"",0)</f>
        <v>Tony</v>
      </c>
    </row>
    <row r="417" spans="1:9">
      <c r="A417" s="436" t="s">
        <v>773</v>
      </c>
      <c r="B417" s="436" t="str">
        <f>_xlfn.XLOOKUP(Tb_Entregas[[#This Row],[SEI]],Tb_Portfólio[SEI],Tb_Portfólio[PROJETO],"",0)</f>
        <v>API de Pessoas</v>
      </c>
      <c r="C417" s="438" t="s">
        <v>2173</v>
      </c>
      <c r="D417" s="443">
        <v>45814</v>
      </c>
      <c r="E417" s="438"/>
      <c r="F417" s="441"/>
      <c r="G417" s="444">
        <v>0</v>
      </c>
      <c r="H417" s="444">
        <v>0</v>
      </c>
      <c r="I417" s="436" t="str">
        <f>_xlfn.XLOOKUP(Tb_Entregas[[#This Row],[SEI]],Tb_Mapa[SEI],Tb_Mapa[CONSULTOR RESPONSÁVEL],"",0)</f>
        <v>Tony</v>
      </c>
    </row>
    <row r="418" spans="1:9" hidden="1">
      <c r="A418" s="436" t="s">
        <v>219</v>
      </c>
      <c r="B418" s="436" t="str">
        <f>_xlfn.XLOOKUP(Tb_Entregas[[#This Row],[SEI]],Tb_Portfólio[SEI],Tb_Portfólio[PROJETO],"",0)</f>
        <v xml:space="preserve">Aperfeiçoamento funcional em temáticas prioritárias para o CNJ e para Justiça Federal 
(cursos, capacitações, metodologias e ferramentas avançados) – Ciclo Avançado </v>
      </c>
      <c r="C418" s="438" t="s">
        <v>2174</v>
      </c>
      <c r="D418" s="443">
        <v>45835</v>
      </c>
      <c r="E418" s="438"/>
      <c r="F418" s="441"/>
      <c r="G418" s="444">
        <v>0</v>
      </c>
      <c r="H418" s="444">
        <v>0</v>
      </c>
      <c r="I418" s="436" t="str">
        <f>_xlfn.XLOOKUP(Tb_Entregas[[#This Row],[SEI]],Tb_Mapa[SEI],Tb_Mapa[CONSULTOR RESPONSÁVEL],"",0)</f>
        <v xml:space="preserve">Raphael </v>
      </c>
    </row>
    <row r="419" spans="1:9" hidden="1">
      <c r="A419" s="436" t="s">
        <v>219</v>
      </c>
      <c r="B419" s="436" t="str">
        <f>_xlfn.XLOOKUP(Tb_Entregas[[#This Row],[SEI]],Tb_Portfólio[SEI],Tb_Portfólio[PROJETO],"",0)</f>
        <v xml:space="preserve">Aperfeiçoamento funcional em temáticas prioritárias para o CNJ e para Justiça Federal 
(cursos, capacitações, metodologias e ferramentas avançados) – Ciclo Avançado </v>
      </c>
      <c r="C419" s="443" t="s">
        <v>2175</v>
      </c>
      <c r="D419" s="443">
        <v>45835</v>
      </c>
      <c r="E419" s="438"/>
      <c r="F419" s="441"/>
      <c r="G419" s="444">
        <v>0</v>
      </c>
      <c r="H419" s="444">
        <v>0</v>
      </c>
      <c r="I419" s="436" t="str">
        <f>_xlfn.XLOOKUP(Tb_Entregas[[#This Row],[SEI]],Tb_Mapa[SEI],Tb_Mapa[CONSULTOR RESPONSÁVEL],"",0)</f>
        <v xml:space="preserve">Raphael </v>
      </c>
    </row>
    <row r="420" spans="1:9" ht="30" hidden="1">
      <c r="A420" s="436" t="s">
        <v>219</v>
      </c>
      <c r="B420"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0" s="443" t="s">
        <v>2176</v>
      </c>
      <c r="D420" s="443">
        <v>45835</v>
      </c>
      <c r="E420" s="438"/>
      <c r="F420" s="441"/>
      <c r="G420" s="444">
        <v>0</v>
      </c>
      <c r="H420" s="444">
        <v>0</v>
      </c>
      <c r="I420" s="436" t="str">
        <f>_xlfn.XLOOKUP(Tb_Entregas[[#This Row],[SEI]],Tb_Mapa[SEI],Tb_Mapa[CONSULTOR RESPONSÁVEL],"",0)</f>
        <v xml:space="preserve">Raphael </v>
      </c>
    </row>
    <row r="421" spans="1:9" hidden="1">
      <c r="A421" s="436" t="s">
        <v>219</v>
      </c>
      <c r="B421"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1" s="438" t="s">
        <v>2174</v>
      </c>
      <c r="D421" s="443">
        <v>45835</v>
      </c>
      <c r="E421" s="438"/>
      <c r="F421" s="441"/>
      <c r="G421" s="444">
        <v>0</v>
      </c>
      <c r="H421" s="444">
        <v>0</v>
      </c>
      <c r="I421" s="436" t="str">
        <f>_xlfn.XLOOKUP(Tb_Entregas[[#This Row],[SEI]],Tb_Mapa[SEI],Tb_Mapa[CONSULTOR RESPONSÁVEL],"",0)</f>
        <v xml:space="preserve">Raphael </v>
      </c>
    </row>
    <row r="422" spans="1:9" ht="30" hidden="1">
      <c r="A422" s="436" t="s">
        <v>219</v>
      </c>
      <c r="B422"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2" s="438" t="s">
        <v>2177</v>
      </c>
      <c r="D422" s="443">
        <v>45835</v>
      </c>
      <c r="E422" s="438"/>
      <c r="F422" s="441"/>
      <c r="G422" s="444">
        <v>0</v>
      </c>
      <c r="H422" s="444">
        <v>0</v>
      </c>
      <c r="I422" s="436" t="str">
        <f>_xlfn.XLOOKUP(Tb_Entregas[[#This Row],[SEI]],Tb_Mapa[SEI],Tb_Mapa[CONSULTOR RESPONSÁVEL],"",0)</f>
        <v xml:space="preserve">Raphael </v>
      </c>
    </row>
    <row r="423" spans="1:9" ht="30" hidden="1">
      <c r="A423" s="436" t="s">
        <v>219</v>
      </c>
      <c r="B423"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3" s="438" t="s">
        <v>2178</v>
      </c>
      <c r="D423" s="443">
        <v>45835</v>
      </c>
      <c r="E423" s="438"/>
      <c r="F423" s="441"/>
      <c r="G423" s="444">
        <v>0</v>
      </c>
      <c r="H423" s="444">
        <v>0</v>
      </c>
      <c r="I423" s="436" t="str">
        <f>_xlfn.XLOOKUP(Tb_Entregas[[#This Row],[SEI]],Tb_Mapa[SEI],Tb_Mapa[CONSULTOR RESPONSÁVEL],"",0)</f>
        <v xml:space="preserve">Raphael </v>
      </c>
    </row>
    <row r="424" spans="1:9" ht="30" hidden="1">
      <c r="A424" s="436" t="s">
        <v>219</v>
      </c>
      <c r="B424"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4" s="438" t="s">
        <v>2179</v>
      </c>
      <c r="D424" s="443">
        <v>45961</v>
      </c>
      <c r="E424" s="438"/>
      <c r="F424" s="441"/>
      <c r="G424" s="444">
        <v>0</v>
      </c>
      <c r="H424" s="444">
        <v>0</v>
      </c>
      <c r="I424" s="436" t="str">
        <f>_xlfn.XLOOKUP(Tb_Entregas[[#This Row],[SEI]],Tb_Mapa[SEI],Tb_Mapa[CONSULTOR RESPONSÁVEL],"",0)</f>
        <v xml:space="preserve">Raphael </v>
      </c>
    </row>
    <row r="425" spans="1:9" ht="30" hidden="1">
      <c r="A425" s="436" t="s">
        <v>219</v>
      </c>
      <c r="B425"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5" s="438" t="s">
        <v>2180</v>
      </c>
      <c r="D425" s="443">
        <v>45961</v>
      </c>
      <c r="E425" s="438"/>
      <c r="F425" s="441"/>
      <c r="G425" s="444">
        <v>0</v>
      </c>
      <c r="H425" s="444">
        <v>0</v>
      </c>
      <c r="I425" s="436" t="str">
        <f>_xlfn.XLOOKUP(Tb_Entregas[[#This Row],[SEI]],Tb_Mapa[SEI],Tb_Mapa[CONSULTOR RESPONSÁVEL],"",0)</f>
        <v xml:space="preserve">Raphael </v>
      </c>
    </row>
    <row r="426" spans="1:9" hidden="1">
      <c r="A426" s="436" t="s">
        <v>219</v>
      </c>
      <c r="B426"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6" s="438" t="s">
        <v>2181</v>
      </c>
      <c r="D426" s="443">
        <v>45961</v>
      </c>
      <c r="E426" s="438"/>
      <c r="F426" s="441"/>
      <c r="G426" s="444">
        <v>0</v>
      </c>
      <c r="H426" s="444">
        <v>0</v>
      </c>
      <c r="I426" s="436" t="str">
        <f>_xlfn.XLOOKUP(Tb_Entregas[[#This Row],[SEI]],Tb_Mapa[SEI],Tb_Mapa[CONSULTOR RESPONSÁVEL],"",0)</f>
        <v xml:space="preserve">Raphael </v>
      </c>
    </row>
    <row r="427" spans="1:9" ht="30" hidden="1">
      <c r="A427" s="436" t="s">
        <v>219</v>
      </c>
      <c r="B427"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7" s="438" t="s">
        <v>2182</v>
      </c>
      <c r="D427" s="443">
        <v>45989</v>
      </c>
      <c r="E427" s="438"/>
      <c r="F427" s="441"/>
      <c r="G427" s="444">
        <v>0</v>
      </c>
      <c r="H427" s="444">
        <v>0</v>
      </c>
      <c r="I427" s="436" t="str">
        <f>_xlfn.XLOOKUP(Tb_Entregas[[#This Row],[SEI]],Tb_Mapa[SEI],Tb_Mapa[CONSULTOR RESPONSÁVEL],"",0)</f>
        <v xml:space="preserve">Raphael </v>
      </c>
    </row>
    <row r="428" spans="1:9" ht="30" hidden="1">
      <c r="A428" s="436" t="s">
        <v>219</v>
      </c>
      <c r="B428"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8" s="438" t="s">
        <v>2183</v>
      </c>
      <c r="D428" s="443">
        <v>45989</v>
      </c>
      <c r="E428" s="438"/>
      <c r="F428" s="441"/>
      <c r="G428" s="444">
        <v>0</v>
      </c>
      <c r="H428" s="444">
        <v>0</v>
      </c>
      <c r="I428" s="436" t="str">
        <f>_xlfn.XLOOKUP(Tb_Entregas[[#This Row],[SEI]],Tb_Mapa[SEI],Tb_Mapa[CONSULTOR RESPONSÁVEL],"",0)</f>
        <v xml:space="preserve">Raphael </v>
      </c>
    </row>
    <row r="429" spans="1:9" ht="30" hidden="1">
      <c r="A429" s="436" t="s">
        <v>219</v>
      </c>
      <c r="B429" s="436" t="str">
        <f>_xlfn.XLOOKUP(Tb_Entregas[[#This Row],[SEI]],Tb_Portfólio[SEI],Tb_Portfólio[PROJETO],"",0)</f>
        <v xml:space="preserve">Aperfeiçoamento funcional em temáticas prioritárias para o CNJ e para Justiça Federal 
(cursos, capacitações, metodologias e ferramentas avançados) – Ciclo Avançado </v>
      </c>
      <c r="C429" s="438" t="s">
        <v>2184</v>
      </c>
      <c r="D429" s="443">
        <v>45989</v>
      </c>
      <c r="E429" s="438"/>
      <c r="F429" s="441"/>
      <c r="G429" s="444">
        <v>0</v>
      </c>
      <c r="H429" s="444">
        <v>0</v>
      </c>
      <c r="I429" s="436" t="str">
        <f>_xlfn.XLOOKUP(Tb_Entregas[[#This Row],[SEI]],Tb_Mapa[SEI],Tb_Mapa[CONSULTOR RESPONSÁVEL],"",0)</f>
        <v xml:space="preserve">Raphael </v>
      </c>
    </row>
    <row r="430" spans="1:9" hidden="1">
      <c r="A430" s="436" t="s">
        <v>219</v>
      </c>
      <c r="B430" s="436" t="str">
        <f>_xlfn.XLOOKUP(Tb_Entregas[[#This Row],[SEI]],Tb_Portfólio[SEI],Tb_Portfólio[PROJETO],"",0)</f>
        <v xml:space="preserve">Aperfeiçoamento funcional em temáticas prioritárias para o CNJ e para Justiça Federal 
(cursos, capacitações, metodologias e ferramentas avançados) – Ciclo Avançado </v>
      </c>
      <c r="C430" s="438" t="s">
        <v>2185</v>
      </c>
      <c r="D430" s="443">
        <v>46171</v>
      </c>
      <c r="E430" s="438"/>
      <c r="F430" s="441"/>
      <c r="G430" s="444">
        <v>0</v>
      </c>
      <c r="H430" s="444">
        <v>0</v>
      </c>
      <c r="I430" s="436" t="str">
        <f>_xlfn.XLOOKUP(Tb_Entregas[[#This Row],[SEI]],Tb_Mapa[SEI],Tb_Mapa[CONSULTOR RESPONSÁVEL],"",0)</f>
        <v xml:space="preserve">Raphael </v>
      </c>
    </row>
    <row r="431" spans="1:9" ht="30" hidden="1">
      <c r="A431" s="436" t="s">
        <v>219</v>
      </c>
      <c r="B431" s="436" t="str">
        <f>_xlfn.XLOOKUP(Tb_Entregas[[#This Row],[SEI]],Tb_Portfólio[SEI],Tb_Portfólio[PROJETO],"",0)</f>
        <v xml:space="preserve">Aperfeiçoamento funcional em temáticas prioritárias para o CNJ e para Justiça Federal 
(cursos, capacitações, metodologias e ferramentas avançados) – Ciclo Avançado </v>
      </c>
      <c r="C431" s="438" t="s">
        <v>2186</v>
      </c>
      <c r="D431" s="443">
        <v>46171</v>
      </c>
      <c r="E431" s="438"/>
      <c r="F431" s="441"/>
      <c r="G431" s="444">
        <v>0</v>
      </c>
      <c r="H431" s="444">
        <v>0</v>
      </c>
      <c r="I431" s="436" t="str">
        <f>_xlfn.XLOOKUP(Tb_Entregas[[#This Row],[SEI]],Tb_Mapa[SEI],Tb_Mapa[CONSULTOR RESPONSÁVEL],"",0)</f>
        <v xml:space="preserve">Raphael </v>
      </c>
    </row>
    <row r="432" spans="1:9" ht="30" hidden="1">
      <c r="A432" s="436" t="s">
        <v>219</v>
      </c>
      <c r="B432" s="436" t="str">
        <f>_xlfn.XLOOKUP(Tb_Entregas[[#This Row],[SEI]],Tb_Portfólio[SEI],Tb_Portfólio[PROJETO],"",0)</f>
        <v xml:space="preserve">Aperfeiçoamento funcional em temáticas prioritárias para o CNJ e para Justiça Federal 
(cursos, capacitações, metodologias e ferramentas avançados) – Ciclo Avançado </v>
      </c>
      <c r="C432" s="438" t="s">
        <v>2187</v>
      </c>
      <c r="D432" s="443">
        <v>46171</v>
      </c>
      <c r="E432" s="438"/>
      <c r="F432" s="441"/>
      <c r="G432" s="444">
        <v>0</v>
      </c>
      <c r="H432" s="444">
        <v>0</v>
      </c>
      <c r="I432" s="436" t="str">
        <f>_xlfn.XLOOKUP(Tb_Entregas[[#This Row],[SEI]],Tb_Mapa[SEI],Tb_Mapa[CONSULTOR RESPONSÁVEL],"",0)</f>
        <v xml:space="preserve">Raphael </v>
      </c>
    </row>
    <row r="433" spans="1:9" ht="30" hidden="1">
      <c r="A433" s="436" t="s">
        <v>219</v>
      </c>
      <c r="B433" s="436" t="str">
        <f>_xlfn.XLOOKUP(Tb_Entregas[[#This Row],[SEI]],Tb_Portfólio[SEI],Tb_Portfólio[PROJETO],"",0)</f>
        <v xml:space="preserve">Aperfeiçoamento funcional em temáticas prioritárias para o CNJ e para Justiça Federal 
(cursos, capacitações, metodologias e ferramentas avançados) – Ciclo Avançado </v>
      </c>
      <c r="C433" s="438" t="s">
        <v>2188</v>
      </c>
      <c r="D433" s="443">
        <v>46171</v>
      </c>
      <c r="E433" s="438"/>
      <c r="F433" s="441"/>
      <c r="G433" s="444">
        <v>0</v>
      </c>
      <c r="H433" s="444">
        <v>0</v>
      </c>
      <c r="I433" s="436" t="str">
        <f>_xlfn.XLOOKUP(Tb_Entregas[[#This Row],[SEI]],Tb_Mapa[SEI],Tb_Mapa[CONSULTOR RESPONSÁVEL],"",0)</f>
        <v xml:space="preserve">Raphael </v>
      </c>
    </row>
    <row r="434" spans="1:9" hidden="1">
      <c r="A434" s="436" t="s">
        <v>152</v>
      </c>
      <c r="B434" s="436" t="str">
        <f>_xlfn.XLOOKUP(Tb_Entregas[[#This Row],[SEI]],Tb_Portfólio[SEI],Tb_Portfólio[PROJETO],"",0)</f>
        <v>Painel da Fazenda Nacional.</v>
      </c>
      <c r="C434" s="438" t="s">
        <v>2189</v>
      </c>
      <c r="D434" s="443">
        <v>45717</v>
      </c>
      <c r="E434" s="443" t="s">
        <v>2190</v>
      </c>
      <c r="F434" s="441">
        <v>1</v>
      </c>
      <c r="G434" s="444">
        <v>0</v>
      </c>
      <c r="H434" s="444">
        <v>0</v>
      </c>
      <c r="I434" s="436" t="str">
        <f>_xlfn.XLOOKUP(Tb_Entregas[[#This Row],[SEI]],Tb_Mapa[SEI],Tb_Mapa[CONSULTOR RESPONSÁVEL],"",0)</f>
        <v>Tony</v>
      </c>
    </row>
    <row r="435" spans="1:9" hidden="1">
      <c r="A435" s="436" t="s">
        <v>152</v>
      </c>
      <c r="B435" s="436" t="str">
        <f>_xlfn.XLOOKUP(Tb_Entregas[[#This Row],[SEI]],Tb_Portfólio[SEI],Tb_Portfólio[PROJETO],"",0)</f>
        <v>Painel da Fazenda Nacional.</v>
      </c>
      <c r="C435" s="438" t="s">
        <v>2191</v>
      </c>
      <c r="D435" s="443">
        <v>45747</v>
      </c>
      <c r="E435" s="443">
        <v>45751</v>
      </c>
      <c r="F435" s="441">
        <v>1</v>
      </c>
      <c r="G435" s="444">
        <v>0</v>
      </c>
      <c r="H435" s="444">
        <v>0</v>
      </c>
      <c r="I435" s="436" t="str">
        <f>_xlfn.XLOOKUP(Tb_Entregas[[#This Row],[SEI]],Tb_Mapa[SEI],Tb_Mapa[CONSULTOR RESPONSÁVEL],"",0)</f>
        <v>Tony</v>
      </c>
    </row>
    <row r="436" spans="1:9" hidden="1">
      <c r="A436" s="436" t="s">
        <v>152</v>
      </c>
      <c r="B436" s="436" t="str">
        <f>_xlfn.XLOOKUP(Tb_Entregas[[#This Row],[SEI]],Tb_Portfólio[SEI],Tb_Portfólio[PROJETO],"",0)</f>
        <v>Painel da Fazenda Nacional.</v>
      </c>
      <c r="C436" s="438" t="s">
        <v>2192</v>
      </c>
      <c r="D436" s="443">
        <v>45757</v>
      </c>
      <c r="E436" s="443">
        <v>45934</v>
      </c>
      <c r="F436" s="441">
        <v>1</v>
      </c>
      <c r="G436" s="444">
        <v>0</v>
      </c>
      <c r="H436" s="444">
        <v>0</v>
      </c>
      <c r="I436" s="436" t="str">
        <f>_xlfn.XLOOKUP(Tb_Entregas[[#This Row],[SEI]],Tb_Mapa[SEI],Tb_Mapa[CONSULTOR RESPONSÁVEL],"",0)</f>
        <v>Tony</v>
      </c>
    </row>
    <row r="437" spans="1:9" hidden="1">
      <c r="A437" s="436" t="s">
        <v>152</v>
      </c>
      <c r="B437" s="436" t="str">
        <f>_xlfn.XLOOKUP(Tb_Entregas[[#This Row],[SEI]],Tb_Portfólio[SEI],Tb_Portfólio[PROJETO],"",0)</f>
        <v>Painel da Fazenda Nacional.</v>
      </c>
      <c r="C437" s="438" t="s">
        <v>2193</v>
      </c>
      <c r="D437" s="443">
        <v>45777</v>
      </c>
      <c r="E437" s="438" t="s">
        <v>2194</v>
      </c>
      <c r="F437" s="441">
        <v>0.8</v>
      </c>
      <c r="G437" s="444">
        <v>0</v>
      </c>
      <c r="H437" s="444">
        <v>0</v>
      </c>
      <c r="I437" s="436" t="str">
        <f>_xlfn.XLOOKUP(Tb_Entregas[[#This Row],[SEI]],Tb_Mapa[SEI],Tb_Mapa[CONSULTOR RESPONSÁVEL],"",0)</f>
        <v>Tony</v>
      </c>
    </row>
    <row r="438" spans="1:9" ht="30" hidden="1">
      <c r="A438" s="436" t="s">
        <v>152</v>
      </c>
      <c r="B438" s="436" t="str">
        <f>_xlfn.XLOOKUP(Tb_Entregas[[#This Row],[SEI]],Tb_Portfólio[SEI],Tb_Portfólio[PROJETO],"",0)</f>
        <v>Painel da Fazenda Nacional.</v>
      </c>
      <c r="C438" s="438" t="s">
        <v>2195</v>
      </c>
      <c r="D438" s="437">
        <v>46387</v>
      </c>
      <c r="E438" s="438"/>
      <c r="F438" s="441">
        <v>0</v>
      </c>
      <c r="G438" s="444">
        <v>0</v>
      </c>
      <c r="H438" s="444">
        <v>0</v>
      </c>
      <c r="I438" s="436" t="str">
        <f>_xlfn.XLOOKUP(Tb_Entregas[[#This Row],[SEI]],Tb_Mapa[SEI],Tb_Mapa[CONSULTOR RESPONSÁVEL],"",0)</f>
        <v>Tony</v>
      </c>
    </row>
    <row r="439" spans="1:9" ht="30" hidden="1">
      <c r="A439" s="436" t="s">
        <v>738</v>
      </c>
      <c r="B439" s="436" t="str">
        <f>_xlfn.XLOOKUP(Tb_Entregas[[#This Row],[SEI]],Tb_Portfólio[SEI],Tb_Portfólio[PROJETO],"",0)</f>
        <v>FONAR - Formulário Nacional de Avaliação de Risco e Formulário Rogéria</v>
      </c>
      <c r="C439" s="438" t="s">
        <v>2196</v>
      </c>
      <c r="D439" s="438" t="s">
        <v>2197</v>
      </c>
      <c r="E439" s="443">
        <v>45697</v>
      </c>
      <c r="F439" s="441">
        <v>1</v>
      </c>
      <c r="G439" s="444"/>
      <c r="H439" s="444"/>
      <c r="I439" s="436" t="s">
        <v>1711</v>
      </c>
    </row>
    <row r="440" spans="1:9" ht="30" hidden="1">
      <c r="B440" s="436" t="str">
        <f>_xlfn.XLOOKUP(Tb_Entregas[[#This Row],[SEI]],Tb_Portfólio[SEI],Tb_Portfólio[PROJETO],"",0)</f>
        <v/>
      </c>
      <c r="C440" s="438" t="s">
        <v>2198</v>
      </c>
      <c r="D440" s="443">
        <v>45725</v>
      </c>
      <c r="E440" s="438" t="s">
        <v>2199</v>
      </c>
      <c r="F440" s="441">
        <v>0.5</v>
      </c>
      <c r="G440" s="444"/>
      <c r="H440" s="444"/>
      <c r="I440" s="436" t="s">
        <v>1711</v>
      </c>
    </row>
    <row r="441" spans="1:9" ht="30">
      <c r="A441" s="436" t="s">
        <v>129</v>
      </c>
      <c r="B441" s="436" t="str">
        <f>_xlfn.XLOOKUP(Tb_Entregas[[#This Row],[SEI]],Tb_Portfólio[SEI],Tb_Portfólio[PROJETO],"",0)</f>
        <v>Data Lake - Melhorias Evolutivas e Corretivas</v>
      </c>
      <c r="C441" s="438" t="s">
        <v>2200</v>
      </c>
      <c r="E441" s="437">
        <v>45945</v>
      </c>
      <c r="F441" s="439">
        <v>0.39</v>
      </c>
      <c r="G441" s="444"/>
      <c r="H441" s="444"/>
      <c r="I441" s="436" t="s">
        <v>1715</v>
      </c>
    </row>
    <row r="442" spans="1:9">
      <c r="A442" s="436" t="s">
        <v>129</v>
      </c>
      <c r="B442" s="436" t="str">
        <f>_xlfn.XLOOKUP(Tb_Entregas[[#This Row],[SEI]],Tb_Portfólio[SEI],Tb_Portfólio[PROJETO],"",0)</f>
        <v>Data Lake - Melhorias Evolutivas e Corretivas</v>
      </c>
      <c r="C442" s="438" t="s">
        <v>2201</v>
      </c>
      <c r="E442" s="437">
        <v>45945</v>
      </c>
      <c r="F442" s="441"/>
      <c r="G442" s="444"/>
      <c r="H442" s="444"/>
      <c r="I442" s="436" t="s">
        <v>1715</v>
      </c>
    </row>
    <row r="443" spans="1:9" ht="30">
      <c r="A443" s="436" t="s">
        <v>129</v>
      </c>
      <c r="B443" s="436" t="str">
        <f>_xlfn.XLOOKUP(Tb_Entregas[[#This Row],[SEI]],Tb_Portfólio[SEI],Tb_Portfólio[PROJETO],"",0)</f>
        <v>Data Lake - Melhorias Evolutivas e Corretivas</v>
      </c>
      <c r="C443" s="438" t="s">
        <v>2202</v>
      </c>
      <c r="E443" s="437">
        <v>45945</v>
      </c>
      <c r="F443" s="441"/>
      <c r="G443" s="444"/>
      <c r="H443" s="444"/>
      <c r="I443" s="436" t="s">
        <v>1715</v>
      </c>
    </row>
    <row r="444" spans="1:9" ht="30">
      <c r="A444" s="436" t="s">
        <v>129</v>
      </c>
      <c r="B444" s="436" t="str">
        <f>_xlfn.XLOOKUP(Tb_Entregas[[#This Row],[SEI]],Tb_Portfólio[SEI],Tb_Portfólio[PROJETO],"",0)</f>
        <v>Data Lake - Melhorias Evolutivas e Corretivas</v>
      </c>
      <c r="C444" s="438" t="s">
        <v>2203</v>
      </c>
      <c r="E444" s="437">
        <v>45945</v>
      </c>
      <c r="F444" s="441"/>
      <c r="G444" s="444"/>
      <c r="H444" s="444"/>
      <c r="I444" s="436" t="s">
        <v>1715</v>
      </c>
    </row>
    <row r="445" spans="1:9" ht="30">
      <c r="A445" s="436" t="s">
        <v>129</v>
      </c>
      <c r="B445" s="436" t="str">
        <f>_xlfn.XLOOKUP(Tb_Entregas[[#This Row],[SEI]],Tb_Portfólio[SEI],Tb_Portfólio[PROJETO],"",0)</f>
        <v>Data Lake - Melhorias Evolutivas e Corretivas</v>
      </c>
      <c r="C445" s="438" t="s">
        <v>2204</v>
      </c>
      <c r="E445" s="437">
        <v>45945</v>
      </c>
      <c r="F445" s="441"/>
      <c r="G445" s="444"/>
      <c r="H445" s="444"/>
      <c r="I445" s="436" t="s">
        <v>1715</v>
      </c>
    </row>
    <row r="446" spans="1:9" ht="30">
      <c r="A446" s="436" t="s">
        <v>129</v>
      </c>
      <c r="B446" s="436" t="str">
        <f>_xlfn.XLOOKUP(Tb_Entregas[[#This Row],[SEI]],Tb_Portfólio[SEI],Tb_Portfólio[PROJETO],"",0)</f>
        <v>Data Lake - Melhorias Evolutivas e Corretivas</v>
      </c>
      <c r="C446" s="438" t="s">
        <v>2205</v>
      </c>
      <c r="E446" s="437">
        <v>45945</v>
      </c>
      <c r="F446" s="441"/>
      <c r="G446" s="444"/>
      <c r="H446" s="444"/>
      <c r="I446" s="436" t="s">
        <v>1715</v>
      </c>
    </row>
    <row r="447" spans="1:9" ht="30">
      <c r="A447" s="436" t="s">
        <v>129</v>
      </c>
      <c r="B447" s="436" t="str">
        <f>_xlfn.XLOOKUP(Tb_Entregas[[#This Row],[SEI]],Tb_Portfólio[SEI],Tb_Portfólio[PROJETO],"",0)</f>
        <v>Data Lake - Melhorias Evolutivas e Corretivas</v>
      </c>
      <c r="C447" s="438" t="s">
        <v>2206</v>
      </c>
      <c r="E447" s="437">
        <v>45945</v>
      </c>
      <c r="F447" s="441"/>
      <c r="G447" s="444"/>
      <c r="H447" s="444"/>
      <c r="I447" s="436" t="s">
        <v>1715</v>
      </c>
    </row>
    <row r="448" spans="1:9" ht="30">
      <c r="A448" s="436" t="s">
        <v>129</v>
      </c>
      <c r="B448" s="436" t="str">
        <f>_xlfn.XLOOKUP(Tb_Entregas[[#This Row],[SEI]],Tb_Portfólio[SEI],Tb_Portfólio[PROJETO],"",0)</f>
        <v>Data Lake - Melhorias Evolutivas e Corretivas</v>
      </c>
      <c r="C448" s="438" t="s">
        <v>2207</v>
      </c>
      <c r="E448" s="437">
        <v>45945</v>
      </c>
      <c r="F448" s="441"/>
      <c r="G448" s="444"/>
      <c r="H448" s="444"/>
      <c r="I448" s="436" t="s">
        <v>1715</v>
      </c>
    </row>
    <row r="449" spans="1:9" ht="30">
      <c r="A449" s="436" t="s">
        <v>129</v>
      </c>
      <c r="B449" s="436" t="str">
        <f>_xlfn.XLOOKUP(Tb_Entregas[[#This Row],[SEI]],Tb_Portfólio[SEI],Tb_Portfólio[PROJETO],"",0)</f>
        <v>Data Lake - Melhorias Evolutivas e Corretivas</v>
      </c>
      <c r="C449" s="438" t="s">
        <v>2208</v>
      </c>
      <c r="E449" s="437">
        <v>45945</v>
      </c>
      <c r="F449" s="441"/>
      <c r="G449" s="444"/>
      <c r="H449" s="444"/>
      <c r="I449" s="436" t="s">
        <v>1715</v>
      </c>
    </row>
    <row r="450" spans="1:9" ht="30">
      <c r="A450" s="436" t="s">
        <v>129</v>
      </c>
      <c r="B450" s="436" t="str">
        <f>_xlfn.XLOOKUP(Tb_Entregas[[#This Row],[SEI]],Tb_Portfólio[SEI],Tb_Portfólio[PROJETO],"",0)</f>
        <v>Data Lake - Melhorias Evolutivas e Corretivas</v>
      </c>
      <c r="C450" s="438" t="s">
        <v>2209</v>
      </c>
      <c r="E450" s="437">
        <v>45945</v>
      </c>
      <c r="F450" s="441"/>
      <c r="G450" s="444"/>
      <c r="H450" s="444"/>
      <c r="I450" s="436" t="s">
        <v>1715</v>
      </c>
    </row>
    <row r="451" spans="1:9" ht="30">
      <c r="A451" s="436" t="s">
        <v>129</v>
      </c>
      <c r="B451" s="436" t="str">
        <f>_xlfn.XLOOKUP(Tb_Entregas[[#This Row],[SEI]],Tb_Portfólio[SEI],Tb_Portfólio[PROJETO],"",0)</f>
        <v>Data Lake - Melhorias Evolutivas e Corretivas</v>
      </c>
      <c r="C451" s="438" t="s">
        <v>2210</v>
      </c>
      <c r="E451" s="437">
        <v>45945</v>
      </c>
      <c r="F451" s="441"/>
      <c r="G451" s="444"/>
      <c r="H451" s="444"/>
      <c r="I451" s="436" t="s">
        <v>1715</v>
      </c>
    </row>
    <row r="452" spans="1:9" ht="30">
      <c r="A452" s="436" t="s">
        <v>129</v>
      </c>
      <c r="B452" s="436" t="str">
        <f>_xlfn.XLOOKUP(Tb_Entregas[[#This Row],[SEI]],Tb_Portfólio[SEI],Tb_Portfólio[PROJETO],"",0)</f>
        <v>Data Lake - Melhorias Evolutivas e Corretivas</v>
      </c>
      <c r="C452" s="438" t="s">
        <v>2211</v>
      </c>
      <c r="E452" s="437">
        <v>45945</v>
      </c>
      <c r="F452" s="441"/>
      <c r="G452" s="444"/>
      <c r="H452" s="444"/>
      <c r="I452" s="436" t="s">
        <v>1715</v>
      </c>
    </row>
    <row r="453" spans="1:9" ht="30">
      <c r="A453" s="436" t="s">
        <v>129</v>
      </c>
      <c r="B453" s="436" t="str">
        <f>_xlfn.XLOOKUP(Tb_Entregas[[#This Row],[SEI]],Tb_Portfólio[SEI],Tb_Portfólio[PROJETO],"",0)</f>
        <v>Data Lake - Melhorias Evolutivas e Corretivas</v>
      </c>
      <c r="C453" s="438" t="s">
        <v>2212</v>
      </c>
      <c r="E453" s="437">
        <v>45945</v>
      </c>
      <c r="F453" s="441"/>
      <c r="G453" s="444"/>
      <c r="H453" s="444"/>
      <c r="I453" s="436" t="s">
        <v>1715</v>
      </c>
    </row>
    <row r="454" spans="1:9" ht="30">
      <c r="A454" s="436" t="s">
        <v>129</v>
      </c>
      <c r="B454" s="436" t="str">
        <f>_xlfn.XLOOKUP(Tb_Entregas[[#This Row],[SEI]],Tb_Portfólio[SEI],Tb_Portfólio[PROJETO],"",0)</f>
        <v>Data Lake - Melhorias Evolutivas e Corretivas</v>
      </c>
      <c r="C454" s="438" t="s">
        <v>2213</v>
      </c>
      <c r="E454" s="437">
        <v>45945</v>
      </c>
      <c r="F454" s="441"/>
      <c r="G454" s="444"/>
      <c r="H454" s="444"/>
      <c r="I454" s="436" t="s">
        <v>1715</v>
      </c>
    </row>
    <row r="455" spans="1:9" ht="30">
      <c r="A455" s="436" t="s">
        <v>129</v>
      </c>
      <c r="B455" s="436" t="str">
        <f>_xlfn.XLOOKUP(Tb_Entregas[[#This Row],[SEI]],Tb_Portfólio[SEI],Tb_Portfólio[PROJETO],"",0)</f>
        <v>Data Lake - Melhorias Evolutivas e Corretivas</v>
      </c>
      <c r="C455" s="438" t="s">
        <v>2214</v>
      </c>
      <c r="E455" s="437">
        <v>45945</v>
      </c>
      <c r="F455" s="441"/>
      <c r="G455" s="444"/>
      <c r="H455" s="444"/>
      <c r="I455" s="436" t="s">
        <v>1715</v>
      </c>
    </row>
    <row r="456" spans="1:9">
      <c r="A456" s="436" t="s">
        <v>129</v>
      </c>
      <c r="B456" s="436" t="str">
        <f>_xlfn.XLOOKUP(Tb_Entregas[[#This Row],[SEI]],Tb_Portfólio[SEI],Tb_Portfólio[PROJETO],"",0)</f>
        <v>Data Lake - Melhorias Evolutivas e Corretivas</v>
      </c>
      <c r="C456" s="438" t="s">
        <v>2215</v>
      </c>
      <c r="E456" s="437">
        <v>45945</v>
      </c>
      <c r="F456" s="441"/>
      <c r="G456" s="444"/>
      <c r="H456" s="444"/>
      <c r="I456" s="436" t="s">
        <v>1715</v>
      </c>
    </row>
    <row r="457" spans="1:9" ht="30">
      <c r="A457" s="436" t="s">
        <v>129</v>
      </c>
      <c r="B457" s="436" t="str">
        <f>_xlfn.XLOOKUP(Tb_Entregas[[#This Row],[SEI]],Tb_Portfólio[SEI],Tb_Portfólio[PROJETO],"",0)</f>
        <v>Data Lake - Melhorias Evolutivas e Corretivas</v>
      </c>
      <c r="C457" s="438" t="s">
        <v>2216</v>
      </c>
      <c r="E457" s="437">
        <v>45945</v>
      </c>
      <c r="F457" s="441"/>
      <c r="G457" s="444"/>
      <c r="H457" s="444"/>
      <c r="I457" s="436" t="s">
        <v>1715</v>
      </c>
    </row>
    <row r="458" spans="1:9" ht="45">
      <c r="A458" s="436" t="s">
        <v>129</v>
      </c>
      <c r="B458" s="436" t="str">
        <f>_xlfn.XLOOKUP(Tb_Entregas[[#This Row],[SEI]],Tb_Portfólio[SEI],Tb_Portfólio[PROJETO],"",0)</f>
        <v>Data Lake - Melhorias Evolutivas e Corretivas</v>
      </c>
      <c r="C458" s="438" t="s">
        <v>2217</v>
      </c>
      <c r="E458" s="437">
        <v>45945</v>
      </c>
      <c r="F458" s="441"/>
      <c r="G458" s="444"/>
      <c r="H458" s="444"/>
      <c r="I458" s="436" t="s">
        <v>1715</v>
      </c>
    </row>
    <row r="459" spans="1:9" ht="30">
      <c r="A459" s="436" t="s">
        <v>129</v>
      </c>
      <c r="B459" s="436" t="str">
        <f>_xlfn.XLOOKUP(Tb_Entregas[[#This Row],[SEI]],Tb_Portfólio[SEI],Tb_Portfólio[PROJETO],"",0)</f>
        <v>Data Lake - Melhorias Evolutivas e Corretivas</v>
      </c>
      <c r="C459" s="438" t="s">
        <v>2218</v>
      </c>
      <c r="E459" s="437">
        <v>45945</v>
      </c>
      <c r="F459" s="441"/>
      <c r="G459" s="444"/>
      <c r="H459" s="444"/>
      <c r="I459" s="436" t="s">
        <v>1715</v>
      </c>
    </row>
    <row r="460" spans="1:9">
      <c r="A460" s="436" t="s">
        <v>129</v>
      </c>
      <c r="B460" s="436" t="str">
        <f>_xlfn.XLOOKUP(Tb_Entregas[[#This Row],[SEI]],Tb_Portfólio[SEI],Tb_Portfólio[PROJETO],"",0)</f>
        <v>Data Lake - Melhorias Evolutivas e Corretivas</v>
      </c>
      <c r="C460" s="438" t="s">
        <v>2219</v>
      </c>
      <c r="E460" s="437">
        <v>45945</v>
      </c>
      <c r="F460" s="441"/>
      <c r="G460" s="444"/>
      <c r="H460" s="444"/>
      <c r="I460" s="436" t="s">
        <v>1715</v>
      </c>
    </row>
    <row r="461" spans="1:9">
      <c r="A461" s="436" t="s">
        <v>129</v>
      </c>
      <c r="B461" s="436" t="str">
        <f>_xlfn.XLOOKUP(Tb_Entregas[[#This Row],[SEI]],Tb_Portfólio[SEI],Tb_Portfólio[PROJETO],"",0)</f>
        <v>Data Lake - Melhorias Evolutivas e Corretivas</v>
      </c>
      <c r="C461" s="438" t="s">
        <v>2220</v>
      </c>
      <c r="E461" s="437">
        <v>45945</v>
      </c>
      <c r="F461" s="441"/>
      <c r="G461" s="444"/>
      <c r="H461" s="444"/>
      <c r="I461" s="436" t="s">
        <v>1715</v>
      </c>
    </row>
    <row r="462" spans="1:9" ht="30">
      <c r="A462" s="436" t="s">
        <v>129</v>
      </c>
      <c r="B462" s="436" t="str">
        <f>_xlfn.XLOOKUP(Tb_Entregas[[#This Row],[SEI]],Tb_Portfólio[SEI],Tb_Portfólio[PROJETO],"",0)</f>
        <v>Data Lake - Melhorias Evolutivas e Corretivas</v>
      </c>
      <c r="C462" s="438" t="s">
        <v>2221</v>
      </c>
      <c r="E462" s="437">
        <v>45945</v>
      </c>
      <c r="F462" s="441"/>
      <c r="G462" s="444"/>
      <c r="H462" s="444"/>
      <c r="I462" s="436" t="s">
        <v>1715</v>
      </c>
    </row>
    <row r="463" spans="1:9" ht="45">
      <c r="A463" s="436" t="s">
        <v>129</v>
      </c>
      <c r="B463" s="436" t="str">
        <f>_xlfn.XLOOKUP(Tb_Entregas[[#This Row],[SEI]],Tb_Portfólio[SEI],Tb_Portfólio[PROJETO],"",0)</f>
        <v>Data Lake - Melhorias Evolutivas e Corretivas</v>
      </c>
      <c r="C463" s="438" t="s">
        <v>2222</v>
      </c>
      <c r="D463" s="437">
        <v>46022</v>
      </c>
      <c r="F463" s="441"/>
      <c r="G463" s="444"/>
      <c r="H463" s="444"/>
      <c r="I463" s="436" t="s">
        <v>1715</v>
      </c>
    </row>
    <row r="464" spans="1:9" ht="30">
      <c r="A464" s="436" t="s">
        <v>129</v>
      </c>
      <c r="B464" s="436" t="str">
        <f>_xlfn.XLOOKUP(Tb_Entregas[[#This Row],[SEI]],Tb_Portfólio[SEI],Tb_Portfólio[PROJETO],"",0)</f>
        <v>Data Lake - Melhorias Evolutivas e Corretivas</v>
      </c>
      <c r="C464" s="438" t="s">
        <v>2223</v>
      </c>
      <c r="D464" s="437">
        <v>46022</v>
      </c>
      <c r="F464" s="441"/>
      <c r="G464" s="444"/>
      <c r="H464" s="444"/>
      <c r="I464" s="436" t="s">
        <v>1715</v>
      </c>
    </row>
    <row r="465" spans="1:9">
      <c r="A465" s="436" t="s">
        <v>129</v>
      </c>
      <c r="B465" s="436" t="str">
        <f>_xlfn.XLOOKUP(Tb_Entregas[[#This Row],[SEI]],Tb_Portfólio[SEI],Tb_Portfólio[PROJETO],"",0)</f>
        <v>Data Lake - Melhorias Evolutivas e Corretivas</v>
      </c>
      <c r="C465" s="438" t="s">
        <v>2224</v>
      </c>
      <c r="D465" s="437">
        <v>46022</v>
      </c>
      <c r="F465" s="441"/>
      <c r="G465" s="444"/>
      <c r="H465" s="444"/>
      <c r="I465" s="436" t="s">
        <v>1715</v>
      </c>
    </row>
    <row r="466" spans="1:9" ht="30">
      <c r="A466" s="436" t="s">
        <v>129</v>
      </c>
      <c r="B466" s="436" t="str">
        <f>_xlfn.XLOOKUP(Tb_Entregas[[#This Row],[SEI]],Tb_Portfólio[SEI],Tb_Portfólio[PROJETO],"",0)</f>
        <v>Data Lake - Melhorias Evolutivas e Corretivas</v>
      </c>
      <c r="C466" s="438" t="s">
        <v>2225</v>
      </c>
      <c r="D466" s="437">
        <v>46022</v>
      </c>
      <c r="F466" s="441"/>
      <c r="G466" s="444"/>
      <c r="H466" s="444"/>
      <c r="I466" s="436" t="s">
        <v>1715</v>
      </c>
    </row>
    <row r="467" spans="1:9">
      <c r="A467" s="436" t="s">
        <v>129</v>
      </c>
      <c r="B467" s="436" t="str">
        <f>_xlfn.XLOOKUP(Tb_Entregas[[#This Row],[SEI]],Tb_Portfólio[SEI],Tb_Portfólio[PROJETO],"",0)</f>
        <v>Data Lake - Melhorias Evolutivas e Corretivas</v>
      </c>
      <c r="C467" s="438" t="s">
        <v>2226</v>
      </c>
      <c r="D467" s="437">
        <v>46022</v>
      </c>
      <c r="F467" s="441"/>
      <c r="G467" s="444"/>
      <c r="H467" s="444"/>
      <c r="I467" s="436" t="s">
        <v>1715</v>
      </c>
    </row>
    <row r="468" spans="1:9" ht="45">
      <c r="A468" s="436" t="s">
        <v>129</v>
      </c>
      <c r="B468" s="436" t="str">
        <f>_xlfn.XLOOKUP(Tb_Entregas[[#This Row],[SEI]],Tb_Portfólio[SEI],Tb_Portfólio[PROJETO],"",0)</f>
        <v>Data Lake - Melhorias Evolutivas e Corretivas</v>
      </c>
      <c r="C468" s="438" t="s">
        <v>2227</v>
      </c>
      <c r="D468" s="437">
        <v>46022</v>
      </c>
      <c r="F468" s="441"/>
      <c r="G468" s="444"/>
      <c r="H468" s="444"/>
      <c r="I468" s="436" t="s">
        <v>1715</v>
      </c>
    </row>
    <row r="469" spans="1:9">
      <c r="A469" s="436" t="s">
        <v>129</v>
      </c>
      <c r="B469" s="436" t="str">
        <f>_xlfn.XLOOKUP(Tb_Entregas[[#This Row],[SEI]],Tb_Portfólio[SEI],Tb_Portfólio[PROJETO],"",0)</f>
        <v>Data Lake - Melhorias Evolutivas e Corretivas</v>
      </c>
      <c r="C469" s="438" t="s">
        <v>2228</v>
      </c>
      <c r="D469" s="437">
        <v>46022</v>
      </c>
      <c r="F469" s="441"/>
      <c r="G469" s="444"/>
      <c r="H469" s="444"/>
      <c r="I469" s="436" t="s">
        <v>1715</v>
      </c>
    </row>
  </sheetData>
  <conditionalFormatting sqref="I245:I248">
    <cfRule type="cellIs" dxfId="72" priority="5" operator="equal">
      <formula>"Juliana"</formula>
    </cfRule>
    <cfRule type="cellIs" dxfId="71" priority="6" operator="equal">
      <formula>"Igor"</formula>
    </cfRule>
    <cfRule type="cellIs" dxfId="70" priority="7" operator="equal">
      <formula>"Tony"</formula>
    </cfRule>
    <cfRule type="containsText" dxfId="69" priority="8" operator="containsText" text="Raphael">
      <formula>NOT(ISERROR(SEARCH("Raphael",I245)))</formula>
    </cfRule>
  </conditionalFormatting>
  <conditionalFormatting sqref="I284:I298">
    <cfRule type="cellIs" dxfId="68" priority="9" operator="equal">
      <formula>"Juliana"</formula>
    </cfRule>
    <cfRule type="cellIs" dxfId="67" priority="10" operator="equal">
      <formula>"Igor"</formula>
    </cfRule>
    <cfRule type="cellIs" dxfId="66" priority="11" operator="equal">
      <formula>"Tony"</formula>
    </cfRule>
    <cfRule type="containsText" dxfId="65" priority="12" operator="containsText" text="Raphael">
      <formula>NOT(ISERROR(SEARCH("Raphael",I284)))</formula>
    </cfRule>
  </conditionalFormatting>
  <conditionalFormatting sqref="I315:I327">
    <cfRule type="cellIs" dxfId="64" priority="1" operator="equal">
      <formula>"Juliana"</formula>
    </cfRule>
    <cfRule type="cellIs" dxfId="63" priority="2" operator="equal">
      <formula>"Igor"</formula>
    </cfRule>
    <cfRule type="cellIs" dxfId="62" priority="3" operator="equal">
      <formula>"Tony"</formula>
    </cfRule>
    <cfRule type="containsText" dxfId="61" priority="4" operator="containsText" text="Raphael">
      <formula>NOT(ISERROR(SEARCH("Raphael",I315)))</formula>
    </cfRule>
  </conditionalFormatting>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68D7-CB19-42E9-883C-0EC41E87D1CF}">
  <dimension ref="B2:N10"/>
  <sheetViews>
    <sheetView workbookViewId="0"/>
  </sheetViews>
  <sheetFormatPr defaultRowHeight="15"/>
  <cols>
    <col min="2" max="2" width="13.5703125" customWidth="1"/>
    <col min="3" max="14" width="13.140625" customWidth="1"/>
  </cols>
  <sheetData>
    <row r="2" spans="2:14" ht="36.75" customHeight="1">
      <c r="B2" s="59" t="s">
        <v>2</v>
      </c>
      <c r="C2" s="729" t="s">
        <v>142</v>
      </c>
      <c r="D2" s="729"/>
      <c r="E2" s="729"/>
      <c r="F2" s="729"/>
      <c r="G2" s="729"/>
      <c r="H2" s="729"/>
      <c r="I2" s="729"/>
      <c r="J2" s="729"/>
      <c r="K2" s="729"/>
      <c r="L2" s="729"/>
      <c r="M2" s="729"/>
      <c r="N2" s="729"/>
    </row>
    <row r="3" spans="2:14" ht="19.5" customHeight="1">
      <c r="B3" s="59" t="s">
        <v>1628</v>
      </c>
      <c r="C3" s="730" t="str">
        <f>INDEX(Projetos!A2:A173,MATCH('Gráficos 2025'!C2,Projetos!B2:B173,0))</f>
        <v>01179/2023</v>
      </c>
      <c r="D3" s="730"/>
      <c r="E3" s="730"/>
      <c r="F3" s="730"/>
      <c r="G3" s="730"/>
      <c r="H3" s="730"/>
      <c r="I3" s="730"/>
      <c r="J3" s="730"/>
      <c r="K3" s="730"/>
      <c r="L3" s="730"/>
      <c r="M3" s="730"/>
      <c r="N3" s="730"/>
    </row>
    <row r="4" spans="2:14">
      <c r="C4" s="24"/>
      <c r="D4" s="24"/>
      <c r="E4" s="24"/>
      <c r="F4" s="24"/>
      <c r="G4" s="24"/>
      <c r="H4" s="24"/>
      <c r="I4" s="24"/>
      <c r="J4" s="24"/>
      <c r="K4" s="24"/>
      <c r="L4" s="24"/>
      <c r="M4" s="24"/>
      <c r="N4" s="24"/>
    </row>
    <row r="5" spans="2:14">
      <c r="C5" s="24"/>
      <c r="D5" s="24"/>
      <c r="E5" s="24"/>
      <c r="F5" s="24"/>
      <c r="G5" s="24"/>
      <c r="H5" s="24"/>
      <c r="I5" s="24"/>
      <c r="J5" s="24"/>
      <c r="K5" s="24"/>
      <c r="L5" s="24"/>
      <c r="M5" s="24"/>
      <c r="N5" s="24"/>
    </row>
    <row r="6" spans="2:14" ht="25.5">
      <c r="B6" s="57"/>
      <c r="C6" s="58" t="str">
        <f t="shared" ref="C6:N6" si="0">$C$3&amp;C8</f>
        <v>01179/202345658</v>
      </c>
      <c r="D6" s="58" t="str">
        <f t="shared" si="0"/>
        <v>01179/202345689</v>
      </c>
      <c r="E6" s="58" t="str">
        <f t="shared" si="0"/>
        <v>01179/202345717</v>
      </c>
      <c r="F6" s="58" t="str">
        <f t="shared" si="0"/>
        <v>01179/202345748</v>
      </c>
      <c r="G6" s="58" t="str">
        <f t="shared" si="0"/>
        <v>01179/202345778</v>
      </c>
      <c r="H6" s="58" t="str">
        <f t="shared" si="0"/>
        <v>01179/202345809</v>
      </c>
      <c r="I6" s="58" t="str">
        <f t="shared" si="0"/>
        <v>01179/202345839</v>
      </c>
      <c r="J6" s="58" t="str">
        <f t="shared" si="0"/>
        <v>01179/202345870</v>
      </c>
      <c r="K6" s="58" t="str">
        <f t="shared" si="0"/>
        <v>01179/202345901</v>
      </c>
      <c r="L6" s="58" t="str">
        <f t="shared" si="0"/>
        <v>01179/202345931</v>
      </c>
      <c r="M6" s="58" t="str">
        <f t="shared" si="0"/>
        <v>01179/202345962</v>
      </c>
      <c r="N6" s="58" t="str">
        <f t="shared" si="0"/>
        <v>01179/202345992</v>
      </c>
    </row>
    <row r="7" spans="2:14" ht="24.75" customHeight="1">
      <c r="B7" s="731" t="str">
        <f>C2</f>
        <v>6ª edição da Série Justiça e pesquisa</v>
      </c>
      <c r="C7" s="731"/>
      <c r="D7" s="731"/>
      <c r="E7" s="731"/>
      <c r="F7" s="731"/>
      <c r="G7" s="731"/>
      <c r="H7" s="731"/>
      <c r="I7" s="731"/>
      <c r="J7" s="731"/>
      <c r="K7" s="731"/>
      <c r="L7" s="731"/>
      <c r="M7" s="731"/>
      <c r="N7" s="731"/>
    </row>
    <row r="8" spans="2:14" ht="19.5" customHeight="1">
      <c r="B8" s="55" t="s">
        <v>2229</v>
      </c>
      <c r="C8" s="56">
        <v>45658</v>
      </c>
      <c r="D8" s="56">
        <v>45689</v>
      </c>
      <c r="E8" s="56">
        <v>45717</v>
      </c>
      <c r="F8" s="56">
        <v>45748</v>
      </c>
      <c r="G8" s="56">
        <v>45778</v>
      </c>
      <c r="H8" s="56">
        <v>45809</v>
      </c>
      <c r="I8" s="56">
        <v>45839</v>
      </c>
      <c r="J8" s="56">
        <v>45870</v>
      </c>
      <c r="K8" s="56">
        <v>45901</v>
      </c>
      <c r="L8" s="56">
        <v>45931</v>
      </c>
      <c r="M8" s="56">
        <v>45962</v>
      </c>
      <c r="N8" s="56">
        <v>45992</v>
      </c>
    </row>
    <row r="9" spans="2:14" ht="19.5" customHeight="1">
      <c r="B9" s="55" t="s">
        <v>2230</v>
      </c>
      <c r="C9" s="70" t="e">
        <f>INDEX(Atualizações!$D$1:$D$1265,MATCH('Gráficos 2025'!C$6,Atualizações!$H$1:$H$1265,0))</f>
        <v>#N/A</v>
      </c>
      <c r="D9" s="70">
        <f>INDEX(Atualizações!$D$1:$D$1265,MATCH('Gráficos 2025'!D$6,Atualizações!$H$1:$H$1265,0))</f>
        <v>1</v>
      </c>
      <c r="E9" s="70" t="e">
        <f>INDEX(Atualizações!$D$1:$D$1265,MATCH('Gráficos 2025'!E$6,Atualizações!$H$1:$H$1265,0))</f>
        <v>#N/A</v>
      </c>
      <c r="F9" s="70" t="e">
        <f>INDEX(Atualizações!$D$1:$D$1265,MATCH('Gráficos 2025'!F$6,Atualizações!$H$1:$H$1265,0))</f>
        <v>#N/A</v>
      </c>
      <c r="G9" s="70" t="e">
        <f>INDEX(Atualizações!$D$1:$D$1265,MATCH('Gráficos 2025'!G$6,Atualizações!$H$1:$H$1265,0))</f>
        <v>#N/A</v>
      </c>
      <c r="H9" s="70" t="e">
        <f>INDEX(Atualizações!$D$1:$D$1265,MATCH('Gráficos 2025'!H$6,Atualizações!$H$1:$H$1265,0))</f>
        <v>#N/A</v>
      </c>
      <c r="I9" s="70" t="e">
        <f>INDEX(Atualizações!$D$1:$D$1265,MATCH('Gráficos 2025'!I$6,Atualizações!$H$1:$H$1265,0))</f>
        <v>#N/A</v>
      </c>
      <c r="J9" s="70" t="e">
        <f>INDEX(Atualizações!$D$1:$D$1265,MATCH('Gráficos 2025'!J$6,Atualizações!$H$1:$H$1265,0))</f>
        <v>#N/A</v>
      </c>
      <c r="K9" s="70" t="e">
        <f>INDEX(Atualizações!$D$1:$D$1265,MATCH('Gráficos 2025'!K$6,Atualizações!$H$1:$H$1265,0))</f>
        <v>#N/A</v>
      </c>
      <c r="L9" s="70" t="e">
        <f>INDEX(Atualizações!$D$1:$D$1265,MATCH('Gráficos 2025'!L$6,Atualizações!$H$1:$H$1265,0))</f>
        <v>#N/A</v>
      </c>
      <c r="M9" s="70" t="e">
        <f>INDEX(Atualizações!$D$1:$D$1265,MATCH('Gráficos 2025'!M$6,Atualizações!$H$1:$H$1265,0))</f>
        <v>#N/A</v>
      </c>
      <c r="N9" s="70" t="e">
        <f>INDEX(Atualizações!$D$1:$D$1265,MATCH('Gráficos 2025'!N$6,Atualizações!$H$1:$H$1265,0))</f>
        <v>#N/A</v>
      </c>
    </row>
    <row r="10" spans="2:14" ht="19.5" customHeight="1">
      <c r="B10" s="55" t="s">
        <v>2231</v>
      </c>
      <c r="C10" s="70" t="e">
        <f>INDEX(Atualizações!$E$1:$E$1265,MATCH('Gráficos 2025'!C$6,Atualizações!$H$1:$H$1265,0))</f>
        <v>#N/A</v>
      </c>
      <c r="D10" s="70">
        <f>INDEX(Atualizações!$E$1:$E$1265,MATCH('Gráficos 2025'!D$6,Atualizações!$H$1:$H$1265,0))</f>
        <v>1</v>
      </c>
      <c r="E10" s="70" t="e">
        <f>INDEX(Atualizações!$E$1:$E$1265,MATCH('Gráficos 2025'!E$6,Atualizações!$H$1:$H$1265,0))</f>
        <v>#N/A</v>
      </c>
      <c r="F10" s="70" t="e">
        <f>INDEX(Atualizações!$E$1:$E$1265,MATCH('Gráficos 2025'!F$6,Atualizações!$H$1:$H$1265,0))</f>
        <v>#N/A</v>
      </c>
      <c r="G10" s="70" t="e">
        <f>INDEX(Atualizações!$E$1:$E$1265,MATCH('Gráficos 2025'!G$6,Atualizações!$H$1:$H$1265,0))</f>
        <v>#N/A</v>
      </c>
      <c r="H10" s="70" t="e">
        <f>INDEX(Atualizações!$E$1:$E$1265,MATCH('Gráficos 2025'!H$6,Atualizações!$H$1:$H$1265,0))</f>
        <v>#N/A</v>
      </c>
      <c r="I10" s="70" t="e">
        <f>INDEX(Atualizações!$E$1:$E$1265,MATCH('Gráficos 2025'!I$6,Atualizações!$H$1:$H$1265,0))</f>
        <v>#N/A</v>
      </c>
      <c r="J10" s="70" t="e">
        <f>INDEX(Atualizações!$E$1:$E$1265,MATCH('Gráficos 2025'!J$6,Atualizações!$H$1:$H$1265,0))</f>
        <v>#N/A</v>
      </c>
      <c r="K10" s="70" t="e">
        <f>INDEX(Atualizações!$E$1:$E$1265,MATCH('Gráficos 2025'!K$6,Atualizações!$H$1:$H$1265,0))</f>
        <v>#N/A</v>
      </c>
      <c r="L10" s="70" t="e">
        <f>INDEX(Atualizações!$E$1:$E$1265,MATCH('Gráficos 2025'!L$6,Atualizações!$H$1:$H$1265,0))</f>
        <v>#N/A</v>
      </c>
      <c r="M10" s="70" t="e">
        <f>INDEX(Atualizações!$E$1:$E$1265,MATCH('Gráficos 2025'!M$6,Atualizações!$H$1:$H$1265,0))</f>
        <v>#N/A</v>
      </c>
      <c r="N10" s="70" t="e">
        <f>INDEX(Atualizações!$E$1:$E$1265,MATCH('Gráficos 2025'!N$6,Atualizações!$H$1:$H$1265,0))</f>
        <v>#N/A</v>
      </c>
    </row>
  </sheetData>
  <mergeCells count="3">
    <mergeCell ref="C2:N2"/>
    <mergeCell ref="C3:N3"/>
    <mergeCell ref="B7:N7"/>
  </mergeCells>
  <pageMargins left="0.511811024" right="0.511811024" top="0.78740157499999996" bottom="0.78740157499999996" header="0.31496062000000002" footer="0.31496062000000002"/>
  <pageSetup paperSize="9" orientation="portrait" horizontalDpi="90" verticalDpi="9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F784B80-88D6-43F2-9EF1-C38031BBA292}">
          <x14:formula1>
            <xm:f>Projetos!$B$3:$B$98</xm:f>
          </x14:formula1>
          <xm:sqref>C2:N2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10"/>
  <sheetViews>
    <sheetView workbookViewId="0"/>
  </sheetViews>
  <sheetFormatPr defaultRowHeight="15"/>
  <cols>
    <col min="2" max="2" width="13.5703125" customWidth="1"/>
    <col min="3" max="14" width="13.140625" customWidth="1"/>
  </cols>
  <sheetData>
    <row r="2" spans="2:14" ht="36.75" customHeight="1">
      <c r="B2" s="59" t="s">
        <v>2</v>
      </c>
      <c r="C2" s="729" t="s">
        <v>84</v>
      </c>
      <c r="D2" s="729"/>
      <c r="E2" s="729"/>
      <c r="F2" s="729"/>
      <c r="G2" s="729"/>
      <c r="H2" s="729"/>
      <c r="I2" s="729"/>
      <c r="J2" s="729"/>
      <c r="K2" s="729"/>
      <c r="L2" s="729"/>
      <c r="M2" s="729"/>
      <c r="N2" s="729"/>
    </row>
    <row r="3" spans="2:14" ht="19.5" customHeight="1">
      <c r="B3" s="59" t="s">
        <v>1628</v>
      </c>
      <c r="C3" s="730" t="str">
        <f>INDEX(Projetos!A2:A173,MATCH('Gráficos 2024'!C2,Projetos!B2:B173,0))</f>
        <v>00484/2024</v>
      </c>
      <c r="D3" s="730"/>
      <c r="E3" s="730"/>
      <c r="F3" s="730"/>
      <c r="G3" s="730"/>
      <c r="H3" s="730"/>
      <c r="I3" s="730"/>
      <c r="J3" s="730"/>
      <c r="K3" s="730"/>
      <c r="L3" s="730"/>
      <c r="M3" s="730"/>
      <c r="N3" s="730"/>
    </row>
    <row r="4" spans="2:14">
      <c r="C4" s="24"/>
      <c r="D4" s="24"/>
      <c r="E4" s="24"/>
      <c r="F4" s="24"/>
      <c r="G4" s="24"/>
      <c r="H4" s="24"/>
      <c r="I4" s="24"/>
      <c r="J4" s="24"/>
      <c r="K4" s="24"/>
      <c r="L4" s="24"/>
      <c r="M4" s="24"/>
      <c r="N4" s="24"/>
    </row>
    <row r="5" spans="2:14">
      <c r="C5" s="24"/>
      <c r="D5" s="24"/>
      <c r="E5" s="24"/>
      <c r="F5" s="24"/>
      <c r="G5" s="24"/>
      <c r="H5" s="24"/>
      <c r="I5" s="24"/>
      <c r="J5" s="24"/>
      <c r="K5" s="24"/>
      <c r="L5" s="24"/>
      <c r="M5" s="24"/>
      <c r="N5" s="24"/>
    </row>
    <row r="6" spans="2:14" ht="25.5">
      <c r="B6" s="57"/>
      <c r="C6" s="58" t="str">
        <f>$C$3&amp;C8</f>
        <v>00484/202445292</v>
      </c>
      <c r="D6" s="58" t="str">
        <f t="shared" ref="D6:N6" si="0">$C$3&amp;D8</f>
        <v>00484/202445323</v>
      </c>
      <c r="E6" s="58" t="str">
        <f t="shared" si="0"/>
        <v>00484/202445352</v>
      </c>
      <c r="F6" s="58" t="str">
        <f t="shared" si="0"/>
        <v>00484/202445383</v>
      </c>
      <c r="G6" s="58" t="str">
        <f t="shared" si="0"/>
        <v>00484/202445413</v>
      </c>
      <c r="H6" s="58" t="str">
        <f t="shared" si="0"/>
        <v>00484/202445444</v>
      </c>
      <c r="I6" s="58" t="str">
        <f t="shared" si="0"/>
        <v>00484/202445474</v>
      </c>
      <c r="J6" s="58" t="str">
        <f t="shared" si="0"/>
        <v>00484/202445505</v>
      </c>
      <c r="K6" s="58" t="str">
        <f t="shared" si="0"/>
        <v>00484/202445536</v>
      </c>
      <c r="L6" s="58" t="str">
        <f t="shared" si="0"/>
        <v>00484/202445566</v>
      </c>
      <c r="M6" s="58" t="str">
        <f t="shared" si="0"/>
        <v>00484/202445597</v>
      </c>
      <c r="N6" s="58" t="str">
        <f t="shared" si="0"/>
        <v>00484/202445627</v>
      </c>
    </row>
    <row r="7" spans="2:14" ht="24.75" customHeight="1">
      <c r="B7" s="731" t="str">
        <f>C2</f>
        <v>Painel do Programa Desjudicializa</v>
      </c>
      <c r="C7" s="731"/>
      <c r="D7" s="731"/>
      <c r="E7" s="731"/>
      <c r="F7" s="731"/>
      <c r="G7" s="731"/>
      <c r="H7" s="731"/>
      <c r="I7" s="731"/>
      <c r="J7" s="731"/>
      <c r="K7" s="731"/>
      <c r="L7" s="731"/>
      <c r="M7" s="731"/>
      <c r="N7" s="731"/>
    </row>
    <row r="8" spans="2:14" ht="19.5" customHeight="1">
      <c r="B8" s="55" t="s">
        <v>2229</v>
      </c>
      <c r="C8" s="56">
        <v>45292</v>
      </c>
      <c r="D8" s="56">
        <v>45323</v>
      </c>
      <c r="E8" s="56">
        <v>45352</v>
      </c>
      <c r="F8" s="56">
        <v>45383</v>
      </c>
      <c r="G8" s="56">
        <v>45413</v>
      </c>
      <c r="H8" s="56">
        <v>45444</v>
      </c>
      <c r="I8" s="56">
        <v>45474</v>
      </c>
      <c r="J8" s="56">
        <v>45505</v>
      </c>
      <c r="K8" s="56">
        <v>45536</v>
      </c>
      <c r="L8" s="56">
        <v>45566</v>
      </c>
      <c r="M8" s="56">
        <v>45597</v>
      </c>
      <c r="N8" s="56">
        <v>45627</v>
      </c>
    </row>
    <row r="9" spans="2:14" ht="19.5" customHeight="1">
      <c r="B9" s="55" t="s">
        <v>2230</v>
      </c>
      <c r="C9" s="70" t="e">
        <f>INDEX(Atualizações!$D$1:$D$1265,MATCH('Gráficos 2024'!C$6,Atualizações!$H$1:$H$1265,0))</f>
        <v>#N/A</v>
      </c>
      <c r="D9" s="70" t="e">
        <f>INDEX(Atualizações!$D$1:$D$1265,MATCH('Gráficos 2024'!D$6,Atualizações!$H$1:$H$1265,0))</f>
        <v>#N/A</v>
      </c>
      <c r="E9" s="70" t="e">
        <f>INDEX(Atualizações!$D$1:$D$1265,MATCH('Gráficos 2024'!E$6,Atualizações!$H$1:$H$1265,0))</f>
        <v>#N/A</v>
      </c>
      <c r="F9" s="70" t="e">
        <f>INDEX(Atualizações!$D$1:$D$1265,MATCH('Gráficos 2024'!F$6,Atualizações!$H$1:$H$1265,0))</f>
        <v>#N/A</v>
      </c>
      <c r="G9" s="70" t="e">
        <f>INDEX(Atualizações!$D$1:$D$1265,MATCH('Gráficos 2024'!G$6,Atualizações!$H$1:$H$1265,0))</f>
        <v>#N/A</v>
      </c>
      <c r="H9" s="70" t="e">
        <f>INDEX(Atualizações!$D$1:$D$1265,MATCH('Gráficos 2024'!H$6,Atualizações!$H$1:$H$1265,0))</f>
        <v>#N/A</v>
      </c>
      <c r="I9" s="70" t="e">
        <f>INDEX(Atualizações!$D$1:$D$1265,MATCH('Gráficos 2024'!I$6,Atualizações!$H$1:$H$1265,0))</f>
        <v>#N/A</v>
      </c>
      <c r="J9" s="70" t="e">
        <f>INDEX(Atualizações!$D$1:$D$1265,MATCH('Gráficos 2024'!J$6,Atualizações!$H$1:$H$1265,0))</f>
        <v>#N/A</v>
      </c>
      <c r="K9" s="70" t="e">
        <f>INDEX(Atualizações!$D$1:$D$1265,MATCH('Gráficos 2024'!K$6,Atualizações!$H$1:$H$1265,0))</f>
        <v>#N/A</v>
      </c>
      <c r="L9" s="70" t="e">
        <f>INDEX(Atualizações!$D$1:$D$1265,MATCH('Gráficos 2024'!L$6,Atualizações!$H$1:$H$1265,0))</f>
        <v>#N/A</v>
      </c>
      <c r="M9" s="70" t="e">
        <f>INDEX(Atualizações!$D$1:$D$1265,MATCH('Gráficos 2024'!M$6,Atualizações!$H$1:$H$1265,0))</f>
        <v>#N/A</v>
      </c>
      <c r="N9" s="70">
        <f>INDEX(Atualizações!$D$1:$D$1265,MATCH('Gráficos 2024'!N$6,Atualizações!$H$1:$H$1265,0))</f>
        <v>0</v>
      </c>
    </row>
    <row r="10" spans="2:14" ht="19.5" customHeight="1">
      <c r="B10" s="55" t="s">
        <v>2231</v>
      </c>
      <c r="C10" s="70" t="e">
        <f>INDEX(Atualizações!$E$1:$E$1265,MATCH('Gráficos 2024'!C$6,Atualizações!$H$1:$H$1265,0))</f>
        <v>#N/A</v>
      </c>
      <c r="D10" s="70" t="e">
        <f>INDEX(Atualizações!$E$1:$E$1265,MATCH('Gráficos 2024'!D$6,Atualizações!$H$1:$H$1265,0))</f>
        <v>#N/A</v>
      </c>
      <c r="E10" s="70" t="e">
        <f>INDEX(Atualizações!$E$1:$E$1265,MATCH('Gráficos 2024'!E$6,Atualizações!$H$1:$H$1265,0))</f>
        <v>#N/A</v>
      </c>
      <c r="F10" s="70" t="e">
        <f>INDEX(Atualizações!$E$1:$E$1265,MATCH('Gráficos 2024'!F$6,Atualizações!$H$1:$H$1265,0))</f>
        <v>#N/A</v>
      </c>
      <c r="G10" s="70" t="e">
        <f>INDEX(Atualizações!$E$1:$E$1265,MATCH('Gráficos 2024'!G$6,Atualizações!$H$1:$H$1265,0))</f>
        <v>#N/A</v>
      </c>
      <c r="H10" s="70" t="e">
        <f>INDEX(Atualizações!$E$1:$E$1265,MATCH('Gráficos 2024'!H$6,Atualizações!$H$1:$H$1265,0))</f>
        <v>#N/A</v>
      </c>
      <c r="I10" s="70" t="e">
        <f>INDEX(Atualizações!$E$1:$E$1265,MATCH('Gráficos 2024'!I$6,Atualizações!$H$1:$H$1265,0))</f>
        <v>#N/A</v>
      </c>
      <c r="J10" s="70" t="e">
        <f>INDEX(Atualizações!$E$1:$E$1265,MATCH('Gráficos 2024'!J$6,Atualizações!$H$1:$H$1265,0))</f>
        <v>#N/A</v>
      </c>
      <c r="K10" s="70" t="e">
        <f>INDEX(Atualizações!$E$1:$E$1265,MATCH('Gráficos 2024'!K$6,Atualizações!$H$1:$H$1265,0))</f>
        <v>#N/A</v>
      </c>
      <c r="L10" s="70" t="e">
        <f>INDEX(Atualizações!$E$1:$E$1265,MATCH('Gráficos 2024'!L$6,Atualizações!$H$1:$H$1265,0))</f>
        <v>#N/A</v>
      </c>
      <c r="M10" s="70" t="e">
        <f>INDEX(Atualizações!$E$1:$E$1265,MATCH('Gráficos 2024'!M$6,Atualizações!$H$1:$H$1265,0))</f>
        <v>#N/A</v>
      </c>
      <c r="N10" s="70">
        <f>INDEX(Atualizações!$E$1:$E$1265,MATCH('Gráficos 2024'!N$6,Atualizações!$H$1:$H$1265,0))</f>
        <v>0</v>
      </c>
    </row>
  </sheetData>
  <mergeCells count="3">
    <mergeCell ref="C2:N2"/>
    <mergeCell ref="C3:N3"/>
    <mergeCell ref="B7:N7"/>
  </mergeCells>
  <pageMargins left="0.511811024" right="0.511811024" top="0.78740157499999996" bottom="0.78740157499999996" header="0.31496062000000002" footer="0.31496062000000002"/>
  <pageSetup paperSize="9" orientation="portrait" horizontalDpi="90" verticalDpi="9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Projetos!$B$3:$B$98</xm:f>
          </x14:formula1>
          <xm:sqref>C2:N2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10"/>
  <sheetViews>
    <sheetView workbookViewId="0"/>
  </sheetViews>
  <sheetFormatPr defaultRowHeight="15"/>
  <cols>
    <col min="2" max="2" width="13.5703125" customWidth="1"/>
    <col min="3" max="14" width="13.140625" customWidth="1"/>
  </cols>
  <sheetData>
    <row r="2" spans="2:14" ht="36.75" customHeight="1">
      <c r="B2" s="59" t="s">
        <v>2</v>
      </c>
      <c r="C2" s="729" t="s">
        <v>84</v>
      </c>
      <c r="D2" s="729"/>
      <c r="E2" s="729"/>
      <c r="F2" s="729"/>
      <c r="G2" s="729"/>
      <c r="H2" s="729"/>
      <c r="I2" s="729"/>
      <c r="J2" s="729"/>
      <c r="K2" s="729"/>
      <c r="L2" s="729"/>
      <c r="M2" s="729"/>
      <c r="N2" s="729"/>
    </row>
    <row r="3" spans="2:14" ht="19.5" customHeight="1">
      <c r="B3" s="59" t="s">
        <v>1628</v>
      </c>
      <c r="C3" s="730" t="str">
        <f>INDEX(Projetos!A2:A173,MATCH('Gráficos 2023'!C2,Projetos!B2:B173,0))</f>
        <v>00484/2024</v>
      </c>
      <c r="D3" s="730"/>
      <c r="E3" s="730"/>
      <c r="F3" s="730"/>
      <c r="G3" s="730"/>
      <c r="H3" s="730"/>
      <c r="I3" s="730"/>
      <c r="J3" s="730"/>
      <c r="K3" s="730"/>
      <c r="L3" s="730"/>
      <c r="M3" s="730"/>
      <c r="N3" s="730"/>
    </row>
    <row r="4" spans="2:14">
      <c r="C4" s="24"/>
      <c r="D4" s="24"/>
      <c r="E4" s="24"/>
      <c r="F4" s="24"/>
      <c r="G4" s="24"/>
      <c r="H4" s="24"/>
      <c r="I4" s="24"/>
      <c r="J4" s="24"/>
      <c r="K4" s="24"/>
      <c r="L4" s="24"/>
      <c r="M4" s="24"/>
      <c r="N4" s="24"/>
    </row>
    <row r="5" spans="2:14">
      <c r="C5" s="24"/>
      <c r="D5" s="24"/>
      <c r="E5" s="24"/>
      <c r="F5" s="24"/>
      <c r="G5" s="24"/>
      <c r="H5" s="24"/>
      <c r="I5" s="24"/>
      <c r="J5" s="24"/>
      <c r="K5" s="24"/>
      <c r="L5" s="24"/>
      <c r="M5" s="24"/>
      <c r="N5" s="24"/>
    </row>
    <row r="6" spans="2:14" ht="25.5">
      <c r="B6" s="57"/>
      <c r="C6" s="58" t="str">
        <f>$C$3&amp;C8</f>
        <v>00484/202444927</v>
      </c>
      <c r="D6" s="58" t="str">
        <f t="shared" ref="D6:M6" si="0">$C$3&amp;D8</f>
        <v>00484/202444958</v>
      </c>
      <c r="E6" s="58" t="str">
        <f t="shared" si="0"/>
        <v>00484/202444986</v>
      </c>
      <c r="F6" s="58" t="str">
        <f t="shared" si="0"/>
        <v>00484/202445017</v>
      </c>
      <c r="G6" s="58" t="str">
        <f t="shared" si="0"/>
        <v>00484/202445047</v>
      </c>
      <c r="H6" s="58" t="str">
        <f t="shared" si="0"/>
        <v>00484/202445078</v>
      </c>
      <c r="I6" s="58" t="str">
        <f t="shared" si="0"/>
        <v>00484/202445108</v>
      </c>
      <c r="J6" s="58" t="str">
        <f t="shared" si="0"/>
        <v>00484/202445139</v>
      </c>
      <c r="K6" s="58" t="str">
        <f t="shared" si="0"/>
        <v>00484/202445170</v>
      </c>
      <c r="L6" s="58" t="str">
        <f t="shared" si="0"/>
        <v>00484/202445200</v>
      </c>
      <c r="M6" s="58" t="str">
        <f t="shared" si="0"/>
        <v>00484/202445231</v>
      </c>
      <c r="N6" s="58" t="str">
        <f>$C$3&amp;N8</f>
        <v>00484/202445261</v>
      </c>
    </row>
    <row r="7" spans="2:14" ht="24.75" customHeight="1">
      <c r="B7" s="731" t="str">
        <f>C2</f>
        <v>Painel do Programa Desjudicializa</v>
      </c>
      <c r="C7" s="731"/>
      <c r="D7" s="731"/>
      <c r="E7" s="731"/>
      <c r="F7" s="731"/>
      <c r="G7" s="731"/>
      <c r="H7" s="731"/>
      <c r="I7" s="731"/>
      <c r="J7" s="731"/>
      <c r="K7" s="731"/>
      <c r="L7" s="731"/>
      <c r="M7" s="731"/>
      <c r="N7" s="731"/>
    </row>
    <row r="8" spans="2:14" ht="19.5" customHeight="1">
      <c r="B8" s="55" t="s">
        <v>2229</v>
      </c>
      <c r="C8" s="56">
        <v>44927</v>
      </c>
      <c r="D8" s="56">
        <v>44958</v>
      </c>
      <c r="E8" s="56">
        <v>44986</v>
      </c>
      <c r="F8" s="56">
        <v>45017</v>
      </c>
      <c r="G8" s="56">
        <v>45047</v>
      </c>
      <c r="H8" s="56">
        <v>45078</v>
      </c>
      <c r="I8" s="56">
        <v>45108</v>
      </c>
      <c r="J8" s="56">
        <v>45139</v>
      </c>
      <c r="K8" s="56">
        <v>45170</v>
      </c>
      <c r="L8" s="56">
        <v>45200</v>
      </c>
      <c r="M8" s="56">
        <v>45231</v>
      </c>
      <c r="N8" s="56">
        <v>45261</v>
      </c>
    </row>
    <row r="9" spans="2:14" ht="19.5" customHeight="1">
      <c r="B9" s="55" t="s">
        <v>2230</v>
      </c>
      <c r="C9" s="70" t="e">
        <f>INDEX(Atualizações!$D$1:$D$481,MATCH('Gráficos 2023'!C$6,Atualizações!$H$1:$H$481,0))</f>
        <v>#N/A</v>
      </c>
      <c r="D9" s="70" t="e">
        <f>INDEX(Atualizações!$D$1:$D$481,MATCH('Gráficos 2023'!D$6,Atualizações!$H$1:$H$481,0))</f>
        <v>#N/A</v>
      </c>
      <c r="E9" s="70" t="e">
        <f>INDEX(Atualizações!$D$1:$D$481,MATCH('Gráficos 2023'!E$6,Atualizações!$H$1:$H$481,0))</f>
        <v>#N/A</v>
      </c>
      <c r="F9" s="70" t="e">
        <f>INDEX(Atualizações!$D$1:$D$481,MATCH('Gráficos 2023'!F$6,Atualizações!$H$1:$H$481,0))</f>
        <v>#N/A</v>
      </c>
      <c r="G9" s="70" t="e">
        <f>INDEX(Atualizações!$D$1:$D$481,MATCH('Gráficos 2023'!G$6,Atualizações!$H$1:$H$481,0))</f>
        <v>#N/A</v>
      </c>
      <c r="H9" s="70" t="e">
        <f>INDEX(Atualizações!$D$1:$D$481,MATCH('Gráficos 2023'!H$6,Atualizações!$H$1:$H$481,0))</f>
        <v>#N/A</v>
      </c>
      <c r="I9" s="70" t="e">
        <f>INDEX(Atualizações!$D$1:$D$481,MATCH('Gráficos 2023'!I$6,Atualizações!$H$1:$H$481,0))</f>
        <v>#N/A</v>
      </c>
      <c r="J9" s="70" t="e">
        <f>INDEX(Atualizações!$D$1:$D$481,MATCH('Gráficos 2023'!J$6,Atualizações!$H$1:$H$481,0))</f>
        <v>#N/A</v>
      </c>
      <c r="K9" s="70" t="e">
        <f>INDEX(Atualizações!$D$1:$D$481,MATCH('Gráficos 2023'!K$6,Atualizações!$H$1:$H$481,0))</f>
        <v>#N/A</v>
      </c>
      <c r="L9" s="70" t="e">
        <f>INDEX(Atualizações!$D$1:$D$481,MATCH('Gráficos 2023'!L$6,Atualizações!$H$1:$H$481,0))</f>
        <v>#N/A</v>
      </c>
      <c r="M9" s="70" t="e">
        <f>INDEX(Atualizações!$D$1:$D$481,MATCH('Gráficos 2023'!M$6,Atualizações!$H$1:$H$481,0))</f>
        <v>#N/A</v>
      </c>
      <c r="N9" s="70" t="e">
        <f>INDEX(Atualizações!$D$1:$D$481,MATCH('Gráficos 2023'!N$6,Atualizações!$H$1:$H$481,0))</f>
        <v>#N/A</v>
      </c>
    </row>
    <row r="10" spans="2:14" ht="19.5" customHeight="1">
      <c r="B10" s="55" t="s">
        <v>2231</v>
      </c>
      <c r="C10" s="70" t="e">
        <f>INDEX(Atualizações!$E$1:$E$481,MATCH('Gráficos 2023'!C$6,Atualizações!$H$1:$H$481,0))</f>
        <v>#N/A</v>
      </c>
      <c r="D10" s="70" t="e">
        <f>INDEX(Atualizações!$E$1:$E$481,MATCH('Gráficos 2023'!D$6,Atualizações!$H$1:$H$481,0))</f>
        <v>#N/A</v>
      </c>
      <c r="E10" s="70" t="e">
        <f>INDEX(Atualizações!$E$1:$E$481,MATCH('Gráficos 2023'!E$6,Atualizações!$H$1:$H$481,0))</f>
        <v>#N/A</v>
      </c>
      <c r="F10" s="70" t="e">
        <f>INDEX(Atualizações!$E$1:$E$481,MATCH('Gráficos 2023'!F$6,Atualizações!$H$1:$H$481,0))</f>
        <v>#N/A</v>
      </c>
      <c r="G10" s="70" t="e">
        <f>INDEX(Atualizações!$E$1:$E$481,MATCH('Gráficos 2023'!G$6,Atualizações!$H$1:$H$481,0))</f>
        <v>#N/A</v>
      </c>
      <c r="H10" s="70" t="e">
        <f>INDEX(Atualizações!$E$1:$E$481,MATCH('Gráficos 2023'!H$6,Atualizações!$H$1:$H$481,0))</f>
        <v>#N/A</v>
      </c>
      <c r="I10" s="70" t="e">
        <f>INDEX(Atualizações!$E$1:$E$481,MATCH('Gráficos 2023'!I$6,Atualizações!$H$1:$H$481,0))</f>
        <v>#N/A</v>
      </c>
      <c r="J10" s="70" t="e">
        <f>INDEX(Atualizações!$E$1:$E$481,MATCH('Gráficos 2023'!J$6,Atualizações!$H$1:$H$481,0))</f>
        <v>#N/A</v>
      </c>
      <c r="K10" s="70" t="e">
        <f>INDEX(Atualizações!$E$1:$E$481,MATCH('Gráficos 2023'!K$6,Atualizações!$H$1:$H$481,0))</f>
        <v>#N/A</v>
      </c>
      <c r="L10" s="70" t="e">
        <f>INDEX(Atualizações!$E$1:$E$481,MATCH('Gráficos 2023'!L$6,Atualizações!$H$1:$H$481,0))</f>
        <v>#N/A</v>
      </c>
      <c r="M10" s="70" t="e">
        <f>INDEX(Atualizações!$E$1:$E$481,MATCH('Gráficos 2023'!M$6,Atualizações!$H$1:$H$481,0))</f>
        <v>#N/A</v>
      </c>
      <c r="N10" s="70" t="e">
        <f>INDEX(Atualizações!$E$1:$E$481,MATCH('Gráficos 2023'!N$6,Atualizações!$H$1:$H$481,0))</f>
        <v>#N/A</v>
      </c>
    </row>
  </sheetData>
  <mergeCells count="3">
    <mergeCell ref="B7:N7"/>
    <mergeCell ref="C2:N2"/>
    <mergeCell ref="C3:N3"/>
  </mergeCells>
  <pageMargins left="0.511811024" right="0.511811024" top="0.78740157499999996" bottom="0.78740157499999996" header="0.31496062000000002" footer="0.31496062000000002"/>
  <pageSetup paperSize="9" orientation="portrait" horizontalDpi="90" verticalDpi="9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Projetos!$B$3:$B$58</xm:f>
          </x14:formula1>
          <xm:sqref>C2:N2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7"/>
  <sheetViews>
    <sheetView workbookViewId="0"/>
  </sheetViews>
  <sheetFormatPr defaultRowHeight="15"/>
  <sheetData>
    <row r="1" spans="1:1">
      <c r="A1" t="s">
        <v>2232</v>
      </c>
    </row>
    <row r="2" spans="1:1">
      <c r="A2" t="s">
        <v>1731</v>
      </c>
    </row>
    <row r="3" spans="1:1">
      <c r="A3" t="s">
        <v>2233</v>
      </c>
    </row>
    <row r="4" spans="1:1">
      <c r="A4" t="s">
        <v>1733</v>
      </c>
    </row>
    <row r="5" spans="1:1">
      <c r="A5" t="s">
        <v>2234</v>
      </c>
    </row>
    <row r="6" spans="1:1">
      <c r="A6" t="s">
        <v>2235</v>
      </c>
    </row>
    <row r="7" spans="1:1">
      <c r="A7" t="s">
        <v>2236</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9"/>
  <sheetViews>
    <sheetView workbookViewId="0"/>
  </sheetViews>
  <sheetFormatPr defaultRowHeight="15"/>
  <cols>
    <col min="1" max="1" width="31.5703125" customWidth="1"/>
    <col min="2" max="2" width="21.5703125" customWidth="1"/>
    <col min="3" max="3" width="20.5703125" customWidth="1"/>
  </cols>
  <sheetData>
    <row r="1" spans="1:3" ht="16.5">
      <c r="A1" s="14" t="s">
        <v>2</v>
      </c>
      <c r="B1" s="15" t="s">
        <v>2237</v>
      </c>
      <c r="C1" s="15" t="s">
        <v>2238</v>
      </c>
    </row>
    <row r="2" spans="1:3" ht="30">
      <c r="A2" s="12" t="s">
        <v>1241</v>
      </c>
      <c r="B2" t="s">
        <v>2239</v>
      </c>
      <c r="C2" t="s">
        <v>2239</v>
      </c>
    </row>
    <row r="3" spans="1:3" ht="60">
      <c r="A3" s="9" t="s">
        <v>2240</v>
      </c>
      <c r="B3" t="s">
        <v>2239</v>
      </c>
      <c r="C3" t="s">
        <v>2239</v>
      </c>
    </row>
    <row r="4" spans="1:3">
      <c r="A4" s="9" t="s">
        <v>2241</v>
      </c>
      <c r="B4" t="s">
        <v>2239</v>
      </c>
      <c r="C4" t="s">
        <v>2239</v>
      </c>
    </row>
    <row r="5" spans="1:3" ht="30">
      <c r="A5" s="9" t="s">
        <v>1239</v>
      </c>
      <c r="B5" t="s">
        <v>2239</v>
      </c>
      <c r="C5" t="s">
        <v>2239</v>
      </c>
    </row>
    <row r="6" spans="1:3">
      <c r="A6" s="12" t="s">
        <v>2242</v>
      </c>
      <c r="B6" t="s">
        <v>2239</v>
      </c>
      <c r="C6" t="s">
        <v>2239</v>
      </c>
    </row>
    <row r="7" spans="1:3">
      <c r="A7" s="9" t="s">
        <v>2243</v>
      </c>
      <c r="B7" t="s">
        <v>2239</v>
      </c>
      <c r="C7" t="s">
        <v>2239</v>
      </c>
    </row>
    <row r="8" spans="1:3" ht="30">
      <c r="A8" s="9" t="s">
        <v>98</v>
      </c>
      <c r="B8" t="s">
        <v>2239</v>
      </c>
      <c r="C8" t="s">
        <v>2239</v>
      </c>
    </row>
    <row r="9" spans="1:3" ht="30">
      <c r="A9" s="9" t="s">
        <v>2244</v>
      </c>
      <c r="B9" t="s">
        <v>2239</v>
      </c>
      <c r="C9" t="s">
        <v>2239</v>
      </c>
    </row>
    <row r="10" spans="1:3">
      <c r="A10" s="9" t="s">
        <v>2245</v>
      </c>
      <c r="B10" t="s">
        <v>2239</v>
      </c>
      <c r="C10" t="s">
        <v>2239</v>
      </c>
    </row>
    <row r="11" spans="1:3" ht="30">
      <c r="A11" s="12" t="s">
        <v>2246</v>
      </c>
      <c r="B11" t="s">
        <v>2239</v>
      </c>
      <c r="C11" t="s">
        <v>2239</v>
      </c>
    </row>
    <row r="12" spans="1:3" ht="60">
      <c r="A12" s="12" t="s">
        <v>1257</v>
      </c>
      <c r="B12" t="s">
        <v>2239</v>
      </c>
      <c r="C12" t="s">
        <v>2239</v>
      </c>
    </row>
    <row r="13" spans="1:3" ht="15.75">
      <c r="A13" s="12" t="s">
        <v>1255</v>
      </c>
      <c r="B13" t="s">
        <v>2239</v>
      </c>
      <c r="C13" t="s">
        <v>2239</v>
      </c>
    </row>
    <row r="14" spans="1:3" ht="30">
      <c r="A14" s="12" t="s">
        <v>2247</v>
      </c>
      <c r="B14" t="s">
        <v>2239</v>
      </c>
      <c r="C14" t="s">
        <v>2239</v>
      </c>
    </row>
    <row r="15" spans="1:3">
      <c r="A15" s="9" t="s">
        <v>332</v>
      </c>
      <c r="B15" t="s">
        <v>2239</v>
      </c>
      <c r="C15" t="s">
        <v>2239</v>
      </c>
    </row>
    <row r="16" spans="1:3" ht="45">
      <c r="A16" s="10" t="s">
        <v>2248</v>
      </c>
      <c r="B16" t="s">
        <v>2239</v>
      </c>
      <c r="C16" t="s">
        <v>2239</v>
      </c>
    </row>
    <row r="17" spans="1:3">
      <c r="A17" s="10" t="s">
        <v>2249</v>
      </c>
      <c r="B17" t="s">
        <v>2239</v>
      </c>
      <c r="C17" t="s">
        <v>2239</v>
      </c>
    </row>
    <row r="18" spans="1:3">
      <c r="A18" s="10" t="s">
        <v>2250</v>
      </c>
      <c r="B18" t="s">
        <v>2239</v>
      </c>
      <c r="C18" t="s">
        <v>2239</v>
      </c>
    </row>
    <row r="19" spans="1:3">
      <c r="A19" s="10" t="s">
        <v>1260</v>
      </c>
      <c r="B19" t="s">
        <v>2239</v>
      </c>
      <c r="C19" t="s">
        <v>2239</v>
      </c>
    </row>
    <row r="20" spans="1:3">
      <c r="A20" s="10" t="s">
        <v>2251</v>
      </c>
      <c r="B20" t="s">
        <v>2239</v>
      </c>
      <c r="C20" t="s">
        <v>2239</v>
      </c>
    </row>
    <row r="21" spans="1:3" ht="30">
      <c r="A21" s="12" t="s">
        <v>1254</v>
      </c>
      <c r="B21" t="s">
        <v>2239</v>
      </c>
      <c r="C21" t="s">
        <v>2239</v>
      </c>
    </row>
    <row r="22" spans="1:3" ht="45">
      <c r="A22" s="12" t="s">
        <v>2252</v>
      </c>
      <c r="B22" t="s">
        <v>2239</v>
      </c>
      <c r="C22" t="s">
        <v>2239</v>
      </c>
    </row>
    <row r="23" spans="1:3" ht="30">
      <c r="A23" s="12" t="s">
        <v>2253</v>
      </c>
      <c r="B23" t="s">
        <v>2239</v>
      </c>
      <c r="C23" t="s">
        <v>2239</v>
      </c>
    </row>
    <row r="24" spans="1:3" ht="30">
      <c r="A24" s="13" t="s">
        <v>2254</v>
      </c>
      <c r="B24" t="s">
        <v>2239</v>
      </c>
      <c r="C24" t="s">
        <v>2239</v>
      </c>
    </row>
    <row r="25" spans="1:3" ht="90">
      <c r="A25" s="12" t="s">
        <v>1244</v>
      </c>
      <c r="B25" t="s">
        <v>2239</v>
      </c>
      <c r="C25" t="s">
        <v>2239</v>
      </c>
    </row>
    <row r="26" spans="1:3" ht="30">
      <c r="A26" s="12" t="s">
        <v>1241</v>
      </c>
      <c r="B26" t="s">
        <v>2239</v>
      </c>
      <c r="C26" t="s">
        <v>2239</v>
      </c>
    </row>
    <row r="27" spans="1:3" ht="60">
      <c r="A27" s="9" t="s">
        <v>2240</v>
      </c>
      <c r="B27" t="s">
        <v>2239</v>
      </c>
      <c r="C27" t="s">
        <v>2239</v>
      </c>
    </row>
    <row r="28" spans="1:3">
      <c r="A28" s="9" t="s">
        <v>2241</v>
      </c>
      <c r="B28" t="s">
        <v>2239</v>
      </c>
      <c r="C28" t="s">
        <v>2239</v>
      </c>
    </row>
    <row r="29" spans="1:3" ht="30">
      <c r="A29" s="9" t="s">
        <v>1239</v>
      </c>
      <c r="B29" t="s">
        <v>2239</v>
      </c>
      <c r="C29" t="s">
        <v>2239</v>
      </c>
    </row>
    <row r="30" spans="1:3">
      <c r="A30" s="12" t="s">
        <v>2242</v>
      </c>
      <c r="B30" t="s">
        <v>2239</v>
      </c>
      <c r="C30" t="s">
        <v>2239</v>
      </c>
    </row>
    <row r="31" spans="1:3">
      <c r="A31" s="9" t="s">
        <v>2243</v>
      </c>
      <c r="B31" t="s">
        <v>2239</v>
      </c>
      <c r="C31" t="s">
        <v>2239</v>
      </c>
    </row>
    <row r="32" spans="1:3" ht="30">
      <c r="A32" s="9" t="s">
        <v>98</v>
      </c>
      <c r="B32" t="s">
        <v>2239</v>
      </c>
      <c r="C32" t="s">
        <v>2239</v>
      </c>
    </row>
    <row r="33" spans="1:3" ht="30">
      <c r="A33" s="9" t="s">
        <v>2244</v>
      </c>
      <c r="B33" t="s">
        <v>2239</v>
      </c>
      <c r="C33" t="s">
        <v>2239</v>
      </c>
    </row>
    <row r="34" spans="1:3">
      <c r="A34" s="9" t="s">
        <v>2245</v>
      </c>
      <c r="B34" t="s">
        <v>2239</v>
      </c>
      <c r="C34" t="s">
        <v>2239</v>
      </c>
    </row>
    <row r="35" spans="1:3" ht="30">
      <c r="A35" s="12" t="s">
        <v>2246</v>
      </c>
      <c r="B35" t="s">
        <v>2239</v>
      </c>
      <c r="C35" t="s">
        <v>2239</v>
      </c>
    </row>
    <row r="36" spans="1:3" ht="60">
      <c r="A36" s="12" t="s">
        <v>1257</v>
      </c>
      <c r="B36" t="s">
        <v>2239</v>
      </c>
      <c r="C36" t="s">
        <v>2239</v>
      </c>
    </row>
    <row r="37" spans="1:3" ht="15.75">
      <c r="A37" s="12" t="s">
        <v>1255</v>
      </c>
      <c r="B37" t="s">
        <v>2239</v>
      </c>
      <c r="C37" t="s">
        <v>2239</v>
      </c>
    </row>
    <row r="38" spans="1:3" ht="30">
      <c r="A38" s="12" t="s">
        <v>2247</v>
      </c>
      <c r="B38" t="s">
        <v>2239</v>
      </c>
      <c r="C38" t="s">
        <v>2239</v>
      </c>
    </row>
    <row r="39" spans="1:3">
      <c r="A39" s="9" t="s">
        <v>332</v>
      </c>
      <c r="B39" t="s">
        <v>2239</v>
      </c>
      <c r="C39" t="s">
        <v>2239</v>
      </c>
    </row>
    <row r="40" spans="1:3" ht="45">
      <c r="A40" s="10" t="s">
        <v>2248</v>
      </c>
      <c r="B40" t="s">
        <v>2239</v>
      </c>
      <c r="C40" t="s">
        <v>2239</v>
      </c>
    </row>
    <row r="41" spans="1:3">
      <c r="A41" s="10" t="s">
        <v>2249</v>
      </c>
      <c r="B41" t="s">
        <v>2239</v>
      </c>
      <c r="C41" t="s">
        <v>2239</v>
      </c>
    </row>
    <row r="42" spans="1:3">
      <c r="A42" s="10" t="s">
        <v>2250</v>
      </c>
      <c r="B42" t="s">
        <v>2239</v>
      </c>
      <c r="C42" t="s">
        <v>2239</v>
      </c>
    </row>
    <row r="43" spans="1:3">
      <c r="A43" s="10" t="s">
        <v>1260</v>
      </c>
      <c r="B43" t="s">
        <v>2239</v>
      </c>
      <c r="C43" t="s">
        <v>2239</v>
      </c>
    </row>
    <row r="44" spans="1:3">
      <c r="A44" s="10" t="s">
        <v>2251</v>
      </c>
      <c r="B44" t="s">
        <v>2239</v>
      </c>
      <c r="C44" t="s">
        <v>2239</v>
      </c>
    </row>
    <row r="45" spans="1:3" ht="30">
      <c r="A45" s="12" t="s">
        <v>1254</v>
      </c>
      <c r="B45" t="s">
        <v>2239</v>
      </c>
      <c r="C45" t="s">
        <v>2239</v>
      </c>
    </row>
    <row r="46" spans="1:3" ht="45">
      <c r="A46" s="12" t="s">
        <v>2252</v>
      </c>
      <c r="B46" t="s">
        <v>2239</v>
      </c>
      <c r="C46" t="s">
        <v>2239</v>
      </c>
    </row>
    <row r="47" spans="1:3" ht="30">
      <c r="A47" s="12" t="s">
        <v>2253</v>
      </c>
      <c r="B47" t="s">
        <v>2239</v>
      </c>
      <c r="C47" t="s">
        <v>2239</v>
      </c>
    </row>
    <row r="48" spans="1:3" ht="30">
      <c r="A48" s="13" t="s">
        <v>2254</v>
      </c>
      <c r="B48" t="s">
        <v>2239</v>
      </c>
      <c r="C48" t="s">
        <v>2239</v>
      </c>
    </row>
    <row r="49" spans="1:3" ht="90">
      <c r="A49" s="12" t="s">
        <v>1244</v>
      </c>
      <c r="B49" t="s">
        <v>2239</v>
      </c>
      <c r="C49" t="s">
        <v>2239</v>
      </c>
    </row>
  </sheetData>
  <pageMargins left="0.511811024" right="0.511811024" top="0.78740157499999996" bottom="0.78740157499999996" header="0.31496062000000002" footer="0.31496062000000002"/>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L176"/>
  <sheetViews>
    <sheetView workbookViewId="0"/>
  </sheetViews>
  <sheetFormatPr defaultRowHeight="15"/>
  <cols>
    <col min="1" max="1" width="19.42578125" customWidth="1"/>
    <col min="2" max="2" width="62.5703125" style="5" customWidth="1"/>
    <col min="3" max="3" width="53.5703125" style="18" customWidth="1"/>
    <col min="4" max="4" width="40.85546875" customWidth="1"/>
    <col min="5" max="5" width="11.42578125" bestFit="1" customWidth="1"/>
    <col min="6" max="6" width="16.42578125" bestFit="1" customWidth="1"/>
    <col min="7" max="7" width="8.5703125" bestFit="1" customWidth="1"/>
    <col min="8" max="8" width="16.42578125" bestFit="1" customWidth="1"/>
    <col min="9" max="9" width="8.5703125" bestFit="1" customWidth="1"/>
  </cols>
  <sheetData>
    <row r="1" spans="1:9" ht="16.5">
      <c r="A1" s="68" t="s">
        <v>1</v>
      </c>
      <c r="B1" s="69" t="s">
        <v>2</v>
      </c>
      <c r="C1" s="69" t="s">
        <v>9</v>
      </c>
      <c r="D1" s="69" t="s">
        <v>23</v>
      </c>
      <c r="E1" s="69" t="s">
        <v>2255</v>
      </c>
      <c r="F1" s="69" t="s">
        <v>1633</v>
      </c>
      <c r="G1" s="69" t="s">
        <v>1615</v>
      </c>
      <c r="H1" s="69" t="s">
        <v>1634</v>
      </c>
      <c r="I1" s="69" t="s">
        <v>1616</v>
      </c>
    </row>
    <row r="2" spans="1:9" ht="75">
      <c r="A2" s="9" t="s">
        <v>141</v>
      </c>
      <c r="B2" s="73" t="s">
        <v>142</v>
      </c>
      <c r="C2" s="79" t="s">
        <v>75</v>
      </c>
      <c r="D2" s="193">
        <f>IFERROR(INDEX(Projetos!$Q$3:$Q$129,MATCH(Projeto_Objetivo[[#This Row],[SEI]],Projetos!$A$3:$A$129,0))," ")</f>
        <v>45726</v>
      </c>
      <c r="E2">
        <f>YEAR(Projeto_Objetivo[[#This Row],[Status]])</f>
        <v>2025</v>
      </c>
      <c r="F2" t="str">
        <f>$G$1&amp;Projeto_Objetivo[[#This Row],[SEI]]</f>
        <v>202401179/2023</v>
      </c>
      <c r="G2">
        <f>IFERROR(INDEX(Atualizações!$Q$1:$Q$1265,MATCH(F2,Atualizações!$P$1:$P$1265,0)),"0")</f>
        <v>1</v>
      </c>
      <c r="H2" t="str">
        <f>$I$1&amp;Projeto_Objetivo[[#This Row],[SEI]]</f>
        <v>202501179/2023</v>
      </c>
      <c r="I2">
        <f>IFERROR(INDEX(Atualizações!$Q$1:$Q$1265,MATCH(H2,Atualizações!$P$1:$P$1265,0)),"0")</f>
        <v>1</v>
      </c>
    </row>
    <row r="3" spans="1:9" ht="30">
      <c r="A3" s="9" t="s">
        <v>141</v>
      </c>
      <c r="B3" s="73" t="s">
        <v>142</v>
      </c>
      <c r="C3" s="79" t="s">
        <v>240</v>
      </c>
      <c r="D3" s="193">
        <f>IFERROR(INDEX(Projetos!$Q$3:$Q$129,MATCH(Projeto_Objetivo[[#This Row],[SEI]],Projetos!$A$3:$A$129,0))," ")</f>
        <v>45726</v>
      </c>
      <c r="E3">
        <f>YEAR(Projeto_Objetivo[[#This Row],[Status]])</f>
        <v>2025</v>
      </c>
      <c r="F3" t="str">
        <f>$G$1&amp;Projeto_Objetivo[[#This Row],[SEI]]</f>
        <v>202401179/2023</v>
      </c>
      <c r="G3">
        <f>IFERROR(INDEX(Atualizações!$Q$1:$Q$1265,MATCH(F3,Atualizações!$P$1:$P$1265,0)),"0")</f>
        <v>1</v>
      </c>
      <c r="H3" t="str">
        <f>$I$1&amp;Projeto_Objetivo[[#This Row],[SEI]]</f>
        <v>202501179/2023</v>
      </c>
      <c r="I3">
        <f>IFERROR(INDEX(Atualizações!$Q$1:$Q$1265,MATCH(H3,Atualizações!$P$1:$P$1265,0)),"0")</f>
        <v>1</v>
      </c>
    </row>
    <row r="4" spans="1:9" ht="45">
      <c r="A4" s="9" t="s">
        <v>369</v>
      </c>
      <c r="B4" s="73" t="s">
        <v>370</v>
      </c>
      <c r="C4" s="2" t="s">
        <v>213</v>
      </c>
      <c r="D4" s="193">
        <f>IFERROR(INDEX(Projetos!$Q$3:$Q$129,MATCH(Projeto_Objetivo[[#This Row],[SEI]],Projetos!$A$3:$A$129,0))," ")</f>
        <v>45358</v>
      </c>
      <c r="E4">
        <f>YEAR(Projeto_Objetivo[[#This Row],[Status]])</f>
        <v>2024</v>
      </c>
      <c r="F4" t="str">
        <f>$G$1&amp;Projeto_Objetivo[[#This Row],[SEI]]</f>
        <v>202403559/2021</v>
      </c>
      <c r="G4">
        <f>IFERROR(INDEX(Atualizações!$Q$1:$Q$1265,MATCH(F4,Atualizações!$P$1:$P$1265,0)),"0")</f>
        <v>1</v>
      </c>
      <c r="H4" t="str">
        <f>$I$1&amp;Projeto_Objetivo[[#This Row],[SEI]]</f>
        <v>202503559/2021</v>
      </c>
      <c r="I4" t="str">
        <f>IFERROR(INDEX(Atualizações!$Q$1:$Q$1265,MATCH(H4,Atualizações!$P$1:$P$1265,0)),"0")</f>
        <v>0</v>
      </c>
    </row>
    <row r="5" spans="1:9" ht="75">
      <c r="A5" s="9" t="s">
        <v>369</v>
      </c>
      <c r="B5" s="73" t="s">
        <v>370</v>
      </c>
      <c r="C5" s="79" t="s">
        <v>75</v>
      </c>
      <c r="D5" s="193">
        <f>IFERROR(INDEX(Projetos!$Q$3:$Q$129,MATCH(Projeto_Objetivo[[#This Row],[SEI]],Projetos!$A$3:$A$129,0))," ")</f>
        <v>45358</v>
      </c>
      <c r="E5">
        <f>YEAR(Projeto_Objetivo[[#This Row],[Status]])</f>
        <v>2024</v>
      </c>
      <c r="F5" t="str">
        <f>$G$1&amp;Projeto_Objetivo[[#This Row],[SEI]]</f>
        <v>202403559/2021</v>
      </c>
      <c r="G5">
        <f>IFERROR(INDEX(Atualizações!$Q$1:$Q$1265,MATCH(F5,Atualizações!$P$1:$P$1265,0)),"0")</f>
        <v>1</v>
      </c>
      <c r="H5" t="str">
        <f>$I$1&amp;Projeto_Objetivo[[#This Row],[SEI]]</f>
        <v>202503559/2021</v>
      </c>
      <c r="I5" t="str">
        <f>IFERROR(INDEX(Atualizações!$Q$1:$Q$1265,MATCH(H5,Atualizações!$P$1:$P$1265,0)),"0")</f>
        <v>0</v>
      </c>
    </row>
    <row r="6" spans="1:9" ht="45">
      <c r="A6" s="9" t="s">
        <v>369</v>
      </c>
      <c r="B6" s="73" t="s">
        <v>370</v>
      </c>
      <c r="C6" s="79" t="s">
        <v>88</v>
      </c>
      <c r="D6" s="193">
        <f>IFERROR(INDEX(Projetos!$Q$3:$Q$129,MATCH(Projeto_Objetivo[[#This Row],[SEI]],Projetos!$A$3:$A$129,0))," ")</f>
        <v>45358</v>
      </c>
      <c r="E6">
        <f>YEAR(Projeto_Objetivo[[#This Row],[Status]])</f>
        <v>2024</v>
      </c>
      <c r="F6" t="str">
        <f>$G$1&amp;Projeto_Objetivo[[#This Row],[SEI]]</f>
        <v>202403559/2021</v>
      </c>
      <c r="G6">
        <f>IFERROR(INDEX(Atualizações!$Q$1:$Q$1265,MATCH(F6,Atualizações!$P$1:$P$1265,0)),"0")</f>
        <v>1</v>
      </c>
      <c r="H6" t="str">
        <f>$I$1&amp;Projeto_Objetivo[[#This Row],[SEI]]</f>
        <v>202503559/2021</v>
      </c>
      <c r="I6" t="str">
        <f>IFERROR(INDEX(Atualizações!$Q$1:$Q$1265,MATCH(H6,Atualizações!$P$1:$P$1265,0)),"0")</f>
        <v>0</v>
      </c>
    </row>
    <row r="7" spans="1:9" ht="45">
      <c r="A7" s="9" t="s">
        <v>369</v>
      </c>
      <c r="B7" s="73" t="s">
        <v>370</v>
      </c>
      <c r="C7" s="79" t="s">
        <v>672</v>
      </c>
      <c r="D7" s="193">
        <f>IFERROR(INDEX(Projetos!$Q$3:$Q$129,MATCH(Projeto_Objetivo[[#This Row],[SEI]],Projetos!$A$3:$A$129,0))," ")</f>
        <v>45358</v>
      </c>
      <c r="E7">
        <f>YEAR(Projeto_Objetivo[[#This Row],[Status]])</f>
        <v>2024</v>
      </c>
      <c r="F7" t="str">
        <f>$G$1&amp;Projeto_Objetivo[[#This Row],[SEI]]</f>
        <v>202403559/2021</v>
      </c>
      <c r="G7">
        <f>IFERROR(INDEX(Atualizações!$Q$1:$Q$1265,MATCH(F7,Atualizações!$P$1:$P$1265,0)),"0")</f>
        <v>1</v>
      </c>
      <c r="H7" t="str">
        <f>$I$1&amp;Projeto_Objetivo[[#This Row],[SEI]]</f>
        <v>202503559/2021</v>
      </c>
      <c r="I7" t="str">
        <f>IFERROR(INDEX(Atualizações!$Q$1:$Q$1265,MATCH(H7,Atualizações!$P$1:$P$1265,0)),"0")</f>
        <v>0</v>
      </c>
    </row>
    <row r="8" spans="1:9" ht="30">
      <c r="A8" s="9" t="s">
        <v>209</v>
      </c>
      <c r="B8" s="73" t="s">
        <v>210</v>
      </c>
      <c r="C8" s="2" t="s">
        <v>213</v>
      </c>
      <c r="D8" s="193">
        <f>IFERROR(INDEX(Projetos!$Q$3:$Q$129,MATCH(Projeto_Objetivo[[#This Row],[SEI]],Projetos!$A$3:$A$129,0))," ")</f>
        <v>45895</v>
      </c>
      <c r="E8">
        <f>YEAR(Projeto_Objetivo[[#This Row],[Status]])</f>
        <v>2025</v>
      </c>
      <c r="F8" t="str">
        <f>$G$1&amp;Projeto_Objetivo[[#This Row],[SEI]]</f>
        <v>202401945/2022</v>
      </c>
      <c r="G8">
        <f>IFERROR(INDEX(Atualizações!$Q$1:$Q$1265,MATCH(F8,Atualizações!$P$1:$P$1265,0)),"0")</f>
        <v>1</v>
      </c>
      <c r="H8" t="str">
        <f>$I$1&amp;Projeto_Objetivo[[#This Row],[SEI]]</f>
        <v>202501945/2022</v>
      </c>
      <c r="I8">
        <f>IFERROR(INDEX(Atualizações!$Q$1:$Q$1265,MATCH(H8,Atualizações!$P$1:$P$1265,0)),"0")</f>
        <v>1</v>
      </c>
    </row>
    <row r="9" spans="1:9" ht="30">
      <c r="A9" s="9" t="s">
        <v>209</v>
      </c>
      <c r="B9" s="73" t="s">
        <v>210</v>
      </c>
      <c r="C9" s="79" t="s">
        <v>62</v>
      </c>
      <c r="D9" s="193">
        <f>IFERROR(INDEX(Projetos!$Q$3:$Q$129,MATCH(Projeto_Objetivo[[#This Row],[SEI]],Projetos!$A$3:$A$129,0))," ")</f>
        <v>45895</v>
      </c>
      <c r="E9">
        <f>YEAR(Projeto_Objetivo[[#This Row],[Status]])</f>
        <v>2025</v>
      </c>
      <c r="F9" t="str">
        <f>$G$1&amp;Projeto_Objetivo[[#This Row],[SEI]]</f>
        <v>202401945/2022</v>
      </c>
      <c r="G9">
        <f>IFERROR(INDEX(Atualizações!$Q$1:$Q$1265,MATCH(F9,Atualizações!$P$1:$P$1265,0)),"0")</f>
        <v>1</v>
      </c>
      <c r="H9" t="str">
        <f>$I$1&amp;Projeto_Objetivo[[#This Row],[SEI]]</f>
        <v>202501945/2022</v>
      </c>
      <c r="I9">
        <f>IFERROR(INDEX(Atualizações!$Q$1:$Q$1265,MATCH(H9,Atualizações!$P$1:$P$1265,0)),"0")</f>
        <v>1</v>
      </c>
    </row>
    <row r="10" spans="1:9" ht="30">
      <c r="A10" s="10" t="s">
        <v>451</v>
      </c>
      <c r="B10" s="98" t="s">
        <v>452</v>
      </c>
      <c r="C10" s="6" t="s">
        <v>455</v>
      </c>
      <c r="D10" s="193">
        <f>IFERROR(INDEX(Projetos!$Q$3:$Q$129,MATCH(Projeto_Objetivo[[#This Row],[SEI]],Projetos!$A$3:$A$129,0))," ")</f>
        <v>45383</v>
      </c>
      <c r="E10">
        <f>YEAR(Projeto_Objetivo[[#This Row],[Status]])</f>
        <v>2024</v>
      </c>
      <c r="F10" t="str">
        <f>$G$1&amp;Projeto_Objetivo[[#This Row],[SEI]]</f>
        <v>202408287/2022</v>
      </c>
      <c r="G10">
        <f>IFERROR(INDEX(Atualizações!$Q$1:$Q$1265,MATCH(F10,Atualizações!$P$1:$P$1265,0)),"0")</f>
        <v>1</v>
      </c>
      <c r="H10" t="str">
        <f>$I$1&amp;Projeto_Objetivo[[#This Row],[SEI]]</f>
        <v>202508287/2022</v>
      </c>
      <c r="I10" t="str">
        <f>IFERROR(INDEX(Atualizações!$Q$1:$Q$1265,MATCH(H10,Atualizações!$P$1:$P$1265,0)),"0")</f>
        <v>0</v>
      </c>
    </row>
    <row r="11" spans="1:9" ht="75">
      <c r="A11" s="9" t="s">
        <v>570</v>
      </c>
      <c r="B11" s="73" t="s">
        <v>1267</v>
      </c>
      <c r="C11" s="79" t="s">
        <v>75</v>
      </c>
      <c r="D11" s="193">
        <f>IFERROR(INDEX(Projetos!$Q$3:$Q$129,MATCH(Projeto_Objetivo[[#This Row],[SEI]],Projetos!$A$3:$A$129,0))," ")</f>
        <v>45544</v>
      </c>
      <c r="E11">
        <f>YEAR(Projeto_Objetivo[[#This Row],[Status]])</f>
        <v>2024</v>
      </c>
      <c r="F11" t="str">
        <f>$G$1&amp;Projeto_Objetivo[[#This Row],[SEI]]</f>
        <v>202410157/2022</v>
      </c>
      <c r="G11">
        <f>IFERROR(INDEX(Atualizações!$Q$1:$Q$1265,MATCH(F11,Atualizações!$P$1:$P$1265,0)),"0")</f>
        <v>1</v>
      </c>
      <c r="H11" t="str">
        <f>$I$1&amp;Projeto_Objetivo[[#This Row],[SEI]]</f>
        <v>202510157/2022</v>
      </c>
      <c r="I11" t="str">
        <f>IFERROR(INDEX(Atualizações!$Q$1:$Q$1265,MATCH(H11,Atualizações!$P$1:$P$1265,0)),"0")</f>
        <v>0</v>
      </c>
    </row>
    <row r="12" spans="1:9" ht="45">
      <c r="A12" s="9" t="s">
        <v>570</v>
      </c>
      <c r="B12" s="73" t="s">
        <v>1267</v>
      </c>
      <c r="C12" s="79" t="s">
        <v>165</v>
      </c>
      <c r="D12" s="193">
        <f>IFERROR(INDEX(Projetos!$Q$3:$Q$129,MATCH(Projeto_Objetivo[[#This Row],[SEI]],Projetos!$A$3:$A$129,0))," ")</f>
        <v>45544</v>
      </c>
      <c r="E12">
        <f>YEAR(Projeto_Objetivo[[#This Row],[Status]])</f>
        <v>2024</v>
      </c>
      <c r="F12" t="str">
        <f>$G$1&amp;Projeto_Objetivo[[#This Row],[SEI]]</f>
        <v>202410157/2022</v>
      </c>
      <c r="G12">
        <f>IFERROR(INDEX(Atualizações!$Q$1:$Q$1265,MATCH(F12,Atualizações!$P$1:$P$1265,0)),"0")</f>
        <v>1</v>
      </c>
      <c r="H12" t="str">
        <f>$I$1&amp;Projeto_Objetivo[[#This Row],[SEI]]</f>
        <v>202510157/2022</v>
      </c>
      <c r="I12" t="str">
        <f>IFERROR(INDEX(Atualizações!$Q$1:$Q$1265,MATCH(H12,Atualizações!$P$1:$P$1265,0)),"0")</f>
        <v>0</v>
      </c>
    </row>
    <row r="13" spans="1:9" ht="30">
      <c r="A13" s="9" t="s">
        <v>487</v>
      </c>
      <c r="B13" s="73" t="s">
        <v>488</v>
      </c>
      <c r="C13" s="16" t="s">
        <v>240</v>
      </c>
      <c r="D13" s="193">
        <f>IFERROR(INDEX(Projetos!$Q$3:$Q$129,MATCH(Projeto_Objetivo[[#This Row],[SEI]],Projetos!$A$3:$A$129,0))," ")</f>
        <v>45943</v>
      </c>
      <c r="E13">
        <f>YEAR(Projeto_Objetivo[[#This Row],[Status]])</f>
        <v>2025</v>
      </c>
      <c r="F13" t="str">
        <f>$G$1&amp;Projeto_Objetivo[[#This Row],[SEI]]</f>
        <v>202408610/2022</v>
      </c>
      <c r="G13">
        <f>IFERROR(INDEX(Atualizações!$Q$1:$Q$1265,MATCH(F13,Atualizações!$P$1:$P$1265,0)),"0")</f>
        <v>1</v>
      </c>
      <c r="H13" t="str">
        <f>$I$1&amp;Projeto_Objetivo[[#This Row],[SEI]]</f>
        <v>202508610/2022</v>
      </c>
      <c r="I13">
        <f>IFERROR(INDEX(Atualizações!$Q$1:$Q$1265,MATCH(H13,Atualizações!$P$1:$P$1265,0)),"0")</f>
        <v>1</v>
      </c>
    </row>
    <row r="14" spans="1:9" ht="75">
      <c r="A14" s="11" t="s">
        <v>425</v>
      </c>
      <c r="B14" s="98" t="s">
        <v>426</v>
      </c>
      <c r="C14" s="79" t="s">
        <v>75</v>
      </c>
      <c r="D14" s="193">
        <f>IFERROR(INDEX(Projetos!$Q$3:$Q$129,MATCH(Projeto_Objetivo[[#This Row],[SEI]],Projetos!$A$3:$A$129,0))," ")</f>
        <v>45608</v>
      </c>
      <c r="E14">
        <f>YEAR(Projeto_Objetivo[[#This Row],[Status]])</f>
        <v>2024</v>
      </c>
      <c r="F14" t="str">
        <f>$G$1&amp;Projeto_Objetivo[[#This Row],[SEI]]</f>
        <v>202406767/2022</v>
      </c>
      <c r="G14">
        <f>IFERROR(INDEX(Atualizações!$Q$1:$Q$1265,MATCH(F14,Atualizações!$P$1:$P$1265,0)),"0")</f>
        <v>1</v>
      </c>
      <c r="H14" t="str">
        <f>$I$1&amp;Projeto_Objetivo[[#This Row],[SEI]]</f>
        <v>202506767/2022</v>
      </c>
      <c r="I14" t="str">
        <f>IFERROR(INDEX(Atualizações!$Q$1:$Q$1265,MATCH(H14,Atualizações!$P$1:$P$1265,0)),"0")</f>
        <v>0</v>
      </c>
    </row>
    <row r="15" spans="1:9" ht="45">
      <c r="A15" s="11" t="s">
        <v>425</v>
      </c>
      <c r="B15" s="98" t="s">
        <v>426</v>
      </c>
      <c r="C15" s="7" t="s">
        <v>165</v>
      </c>
      <c r="D15" s="193">
        <f>IFERROR(INDEX(Projetos!$Q$3:$Q$129,MATCH(Projeto_Objetivo[[#This Row],[SEI]],Projetos!$A$3:$A$129,0))," ")</f>
        <v>45608</v>
      </c>
      <c r="E15">
        <f>YEAR(Projeto_Objetivo[[#This Row],[Status]])</f>
        <v>2024</v>
      </c>
      <c r="F15" t="str">
        <f>$G$1&amp;Projeto_Objetivo[[#This Row],[SEI]]</f>
        <v>202406767/2022</v>
      </c>
      <c r="G15">
        <f>IFERROR(INDEX(Atualizações!$Q$1:$Q$1265,MATCH(F15,Atualizações!$P$1:$P$1265,0)),"0")</f>
        <v>1</v>
      </c>
      <c r="H15" t="str">
        <f>$I$1&amp;Projeto_Objetivo[[#This Row],[SEI]]</f>
        <v>202506767/2022</v>
      </c>
      <c r="I15" t="str">
        <f>IFERROR(INDEX(Atualizações!$Q$1:$Q$1265,MATCH(H15,Atualizações!$P$1:$P$1265,0)),"0")</f>
        <v>0</v>
      </c>
    </row>
    <row r="16" spans="1:9" ht="45">
      <c r="A16" s="11" t="s">
        <v>160</v>
      </c>
      <c r="B16" s="98" t="s">
        <v>161</v>
      </c>
      <c r="C16" s="7" t="s">
        <v>165</v>
      </c>
      <c r="D16" s="193">
        <f>IFERROR(INDEX(Projetos!$Q$3:$Q$129,MATCH(Projeto_Objetivo[[#This Row],[SEI]],Projetos!$A$3:$A$129,0))," ")</f>
        <v>45544</v>
      </c>
      <c r="E16">
        <f>YEAR(Projeto_Objetivo[[#This Row],[Status]])</f>
        <v>2024</v>
      </c>
      <c r="F16" t="str">
        <f>$G$1&amp;Projeto_Objetivo[[#This Row],[SEI]]</f>
        <v>202401487/2022</v>
      </c>
      <c r="G16">
        <f>IFERROR(INDEX(Atualizações!$Q$1:$Q$1265,MATCH(F16,Atualizações!$P$1:$P$1265,0)),"0")</f>
        <v>1</v>
      </c>
      <c r="H16" t="str">
        <f>$I$1&amp;Projeto_Objetivo[[#This Row],[SEI]]</f>
        <v>202501487/2022</v>
      </c>
      <c r="I16" t="str">
        <f>IFERROR(INDEX(Atualizações!$Q$1:$Q$1265,MATCH(H16,Atualizações!$P$1:$P$1265,0)),"0")</f>
        <v>0</v>
      </c>
    </row>
    <row r="17" spans="1:9" ht="45">
      <c r="A17" s="11" t="s">
        <v>609</v>
      </c>
      <c r="B17" s="114" t="s">
        <v>1637</v>
      </c>
      <c r="C17" s="7" t="s">
        <v>165</v>
      </c>
      <c r="D17" s="193">
        <f>IFERROR(INDEX(Projetos!$Q$3:$Q$129,MATCH(Projeto_Objetivo[[#This Row],[SEI]],Projetos!$A$3:$A$129,0))," ")</f>
        <v>45715</v>
      </c>
      <c r="E17">
        <f>YEAR(Projeto_Objetivo[[#This Row],[Status]])</f>
        <v>2025</v>
      </c>
      <c r="F17" t="str">
        <f>$G$1&amp;Projeto_Objetivo[[#This Row],[SEI]]</f>
        <v>202411270/2022</v>
      </c>
      <c r="G17">
        <f>IFERROR(INDEX(Atualizações!$Q$1:$Q$1265,MATCH(F17,Atualizações!$P$1:$P$1265,0)),"0")</f>
        <v>1</v>
      </c>
      <c r="H17" t="str">
        <f>$I$1&amp;Projeto_Objetivo[[#This Row],[SEI]]</f>
        <v>202511270/2022</v>
      </c>
      <c r="I17">
        <f>IFERROR(INDEX(Atualizações!$Q$1:$Q$1265,MATCH(H17,Atualizações!$P$1:$P$1265,0)),"0")</f>
        <v>1</v>
      </c>
    </row>
    <row r="18" spans="1:9">
      <c r="A18" s="20" t="s">
        <v>97</v>
      </c>
      <c r="B18" s="97" t="s">
        <v>98</v>
      </c>
      <c r="C18" s="7" t="s">
        <v>104</v>
      </c>
      <c r="D18" s="193">
        <f>IFERROR(INDEX(Projetos!$Q$3:$Q$129,MATCH(Projeto_Objetivo[[#This Row],[SEI]],Projetos!$A$3:$A$129,0))," ")</f>
        <v>45624</v>
      </c>
      <c r="E18">
        <f>YEAR(Projeto_Objetivo[[#This Row],[Status]])</f>
        <v>2024</v>
      </c>
      <c r="F18" t="str">
        <f>$G$1&amp;Projeto_Objetivo[[#This Row],[SEI]]</f>
        <v>202400535/2019</v>
      </c>
      <c r="G18">
        <f>IFERROR(INDEX(Atualizações!$Q$1:$Q$1265,MATCH(F18,Atualizações!$P$1:$P$1265,0)),"0")</f>
        <v>1</v>
      </c>
      <c r="H18" t="str">
        <f>$I$1&amp;Projeto_Objetivo[[#This Row],[SEI]]</f>
        <v>202500535/2019</v>
      </c>
      <c r="I18" t="str">
        <f>IFERROR(INDEX(Atualizações!$Q$1:$Q$1265,MATCH(H18,Atualizações!$P$1:$P$1265,0)),"0")</f>
        <v>0</v>
      </c>
    </row>
    <row r="19" spans="1:9">
      <c r="A19" s="11" t="s">
        <v>229</v>
      </c>
      <c r="B19" s="97" t="s">
        <v>230</v>
      </c>
      <c r="C19" s="7" t="s">
        <v>104</v>
      </c>
      <c r="D19" s="193">
        <f>IFERROR(INDEX(Projetos!$Q$3:$Q$129,MATCH(Projeto_Objetivo[[#This Row],[SEI]],Projetos!$A$3:$A$129,0))," ")</f>
        <v>46167</v>
      </c>
      <c r="E19">
        <f>YEAR(Projeto_Objetivo[[#This Row],[Status]])</f>
        <v>2026</v>
      </c>
      <c r="F19" t="str">
        <f>$G$1&amp;Projeto_Objetivo[[#This Row],[SEI]]</f>
        <v>202402080/2023</v>
      </c>
      <c r="G19">
        <f>IFERROR(INDEX(Atualizações!$Q$1:$Q$1265,MATCH(F19,Atualizações!$P$1:$P$1265,0)),"0")</f>
        <v>1</v>
      </c>
      <c r="H19" t="str">
        <f>$I$1&amp;Projeto_Objetivo[[#This Row],[SEI]]</f>
        <v>202502080/2023</v>
      </c>
      <c r="I19">
        <f>IFERROR(INDEX(Atualizações!$Q$1:$Q$1265,MATCH(H19,Atualizações!$P$1:$P$1265,0)),"0")</f>
        <v>1</v>
      </c>
    </row>
    <row r="20" spans="1:9" ht="30">
      <c r="A20" s="11" t="s">
        <v>229</v>
      </c>
      <c r="B20" s="97" t="s">
        <v>230</v>
      </c>
      <c r="C20" s="79" t="s">
        <v>62</v>
      </c>
      <c r="D20" s="193">
        <f>IFERROR(INDEX(Projetos!$Q$3:$Q$129,MATCH(Projeto_Objetivo[[#This Row],[SEI]],Projetos!$A$3:$A$129,0))," ")</f>
        <v>46167</v>
      </c>
      <c r="E20">
        <f>YEAR(Projeto_Objetivo[[#This Row],[Status]])</f>
        <v>2026</v>
      </c>
      <c r="F20" t="str">
        <f>$G$1&amp;Projeto_Objetivo[[#This Row],[SEI]]</f>
        <v>202402080/2023</v>
      </c>
      <c r="G20">
        <f>IFERROR(INDEX(Atualizações!$Q$1:$Q$1265,MATCH(F20,Atualizações!$P$1:$P$1265,0)),"0")</f>
        <v>1</v>
      </c>
      <c r="H20" t="str">
        <f>$I$1&amp;Projeto_Objetivo[[#This Row],[SEI]]</f>
        <v>202502080/2023</v>
      </c>
      <c r="I20">
        <f>IFERROR(INDEX(Atualizações!$Q$1:$Q$1265,MATCH(H20,Atualizações!$P$1:$P$1265,0)),"0")</f>
        <v>1</v>
      </c>
    </row>
    <row r="21" spans="1:9">
      <c r="A21" s="11" t="s">
        <v>443</v>
      </c>
      <c r="B21" s="115" t="s">
        <v>444</v>
      </c>
      <c r="C21" s="2" t="s">
        <v>448</v>
      </c>
      <c r="D21" s="193">
        <f>IFERROR(INDEX(Projetos!$Q$3:$Q$129,MATCH(Projeto_Objetivo[[#This Row],[SEI]],Projetos!$A$3:$A$129,0))," ")</f>
        <v>45680</v>
      </c>
      <c r="E21">
        <f>YEAR(Projeto_Objetivo[[#This Row],[Status]])</f>
        <v>2025</v>
      </c>
      <c r="F21" t="str">
        <f>$G$1&amp;Projeto_Objetivo[[#This Row],[SEI]]</f>
        <v>202408286/2022</v>
      </c>
      <c r="G21">
        <f>IFERROR(INDEX(Atualizações!$Q$1:$Q$1265,MATCH(F21,Atualizações!$P$1:$P$1265,0)),"0")</f>
        <v>1</v>
      </c>
      <c r="H21" t="str">
        <f>$I$1&amp;Projeto_Objetivo[[#This Row],[SEI]]</f>
        <v>202508286/2022</v>
      </c>
      <c r="I21">
        <f>IFERROR(INDEX(Atualizações!$Q$1:$Q$1265,MATCH(H21,Atualizações!$P$1:$P$1265,0)),"0")</f>
        <v>1</v>
      </c>
    </row>
    <row r="22" spans="1:9" ht="45">
      <c r="A22" s="22" t="s">
        <v>182</v>
      </c>
      <c r="B22" s="116" t="s">
        <v>183</v>
      </c>
      <c r="C22" s="7" t="s">
        <v>165</v>
      </c>
      <c r="D22" s="193">
        <f>IFERROR(INDEX(Projetos!$Q$3:$Q$129,MATCH(Projeto_Objetivo[[#This Row],[SEI]],Projetos!$A$3:$A$129,0))," ")</f>
        <v>46142</v>
      </c>
      <c r="E22">
        <f>YEAR(Projeto_Objetivo[[#This Row],[Status]])</f>
        <v>2026</v>
      </c>
      <c r="F22" t="str">
        <f>$G$1&amp;Projeto_Objetivo[[#This Row],[SEI]]</f>
        <v>202401764/2020</v>
      </c>
      <c r="G22">
        <f>IFERROR(INDEX(Atualizações!$Q$1:$Q$1265,MATCH(F22,Atualizações!$P$1:$P$1265,0)),"0")</f>
        <v>1</v>
      </c>
      <c r="H22" t="str">
        <f>$I$1&amp;Projeto_Objetivo[[#This Row],[SEI]]</f>
        <v>202501764/2020</v>
      </c>
      <c r="I22">
        <f>IFERROR(INDEX(Atualizações!$Q$1:$Q$1265,MATCH(H22,Atualizações!$P$1:$P$1265,0)),"0")</f>
        <v>1</v>
      </c>
    </row>
    <row r="23" spans="1:9" ht="30">
      <c r="A23" s="11" t="s">
        <v>350</v>
      </c>
      <c r="B23" s="97" t="s">
        <v>1255</v>
      </c>
      <c r="C23" s="2" t="s">
        <v>88</v>
      </c>
      <c r="D23" s="193">
        <f>IFERROR(INDEX(Projetos!$Q$3:$Q$129,MATCH(Projeto_Objetivo[[#This Row],[SEI]],Projetos!$A$3:$A$129,0))," ")</f>
        <v>46167</v>
      </c>
      <c r="E23">
        <f>YEAR(Projeto_Objetivo[[#This Row],[Status]])</f>
        <v>2026</v>
      </c>
      <c r="F23" t="str">
        <f>$G$1&amp;Projeto_Objetivo[[#This Row],[SEI]]</f>
        <v>202403545/2021</v>
      </c>
      <c r="G23">
        <f>IFERROR(INDEX(Atualizações!$Q$1:$Q$1265,MATCH(F23,Atualizações!$P$1:$P$1265,0)),"0")</f>
        <v>1</v>
      </c>
      <c r="H23" t="str">
        <f>$I$1&amp;Projeto_Objetivo[[#This Row],[SEI]]</f>
        <v>202503545/2021</v>
      </c>
      <c r="I23">
        <f>IFERROR(INDEX(Atualizações!$Q$1:$Q$1265,MATCH(H23,Atualizações!$P$1:$P$1265,0)),"0")</f>
        <v>1</v>
      </c>
    </row>
    <row r="24" spans="1:9" ht="75">
      <c r="A24" s="11" t="s">
        <v>350</v>
      </c>
      <c r="B24" s="97" t="s">
        <v>1255</v>
      </c>
      <c r="C24" s="79" t="s">
        <v>75</v>
      </c>
      <c r="D24" s="193">
        <f>IFERROR(INDEX(Projetos!$Q$3:$Q$129,MATCH(Projeto_Objetivo[[#This Row],[SEI]],Projetos!$A$3:$A$129,0))," ")</f>
        <v>46167</v>
      </c>
      <c r="E24">
        <f>YEAR(Projeto_Objetivo[[#This Row],[Status]])</f>
        <v>2026</v>
      </c>
      <c r="F24" t="str">
        <f>$G$1&amp;Projeto_Objetivo[[#This Row],[SEI]]</f>
        <v>202403545/2021</v>
      </c>
      <c r="G24">
        <f>IFERROR(INDEX(Atualizações!$Q$1:$Q$1265,MATCH(F24,Atualizações!$P$1:$P$1265,0)),"0")</f>
        <v>1</v>
      </c>
      <c r="H24" t="str">
        <f>$I$1&amp;Projeto_Objetivo[[#This Row],[SEI]]</f>
        <v>202503545/2021</v>
      </c>
      <c r="I24">
        <f>IFERROR(INDEX(Atualizações!$Q$1:$Q$1265,MATCH(H24,Atualizações!$P$1:$P$1265,0)),"0")</f>
        <v>1</v>
      </c>
    </row>
    <row r="25" spans="1:9" ht="30">
      <c r="A25" s="11" t="s">
        <v>350</v>
      </c>
      <c r="B25" s="97" t="s">
        <v>1255</v>
      </c>
      <c r="C25" s="5" t="s">
        <v>390</v>
      </c>
      <c r="D25" s="193">
        <f>IFERROR(INDEX(Projetos!$Q$3:$Q$129,MATCH(Projeto_Objetivo[[#This Row],[SEI]],Projetos!$A$3:$A$129,0))," ")</f>
        <v>46167</v>
      </c>
      <c r="E25">
        <f>YEAR(Projeto_Objetivo[[#This Row],[Status]])</f>
        <v>2026</v>
      </c>
      <c r="F25" t="str">
        <f>$G$1&amp;Projeto_Objetivo[[#This Row],[SEI]]</f>
        <v>202403545/2021</v>
      </c>
      <c r="G25">
        <f>IFERROR(INDEX(Atualizações!$Q$1:$Q$1265,MATCH(F25,Atualizações!$P$1:$P$1265,0)),"0")</f>
        <v>1</v>
      </c>
      <c r="H25" t="str">
        <f>$I$1&amp;Projeto_Objetivo[[#This Row],[SEI]]</f>
        <v>202503545/2021</v>
      </c>
      <c r="I25">
        <f>IFERROR(INDEX(Atualizações!$Q$1:$Q$1265,MATCH(H25,Atualizações!$P$1:$P$1265,0)),"0")</f>
        <v>1</v>
      </c>
    </row>
    <row r="26" spans="1:9" ht="30">
      <c r="A26" s="11" t="s">
        <v>350</v>
      </c>
      <c r="B26" s="97" t="s">
        <v>1255</v>
      </c>
      <c r="C26" s="79" t="s">
        <v>672</v>
      </c>
      <c r="D26" s="193">
        <f>IFERROR(INDEX(Projetos!$Q$3:$Q$129,MATCH(Projeto_Objetivo[[#This Row],[SEI]],Projetos!$A$3:$A$129,0))," ")</f>
        <v>46167</v>
      </c>
      <c r="E26">
        <f>YEAR(Projeto_Objetivo[[#This Row],[Status]])</f>
        <v>2026</v>
      </c>
      <c r="F26" t="str">
        <f>$G$1&amp;Projeto_Objetivo[[#This Row],[SEI]]</f>
        <v>202403545/2021</v>
      </c>
      <c r="G26">
        <f>IFERROR(INDEX(Atualizações!$Q$1:$Q$1265,MATCH(F26,Atualizações!$P$1:$P$1265,0)),"0")</f>
        <v>1</v>
      </c>
      <c r="H26" t="str">
        <f>$I$1&amp;Projeto_Objetivo[[#This Row],[SEI]]</f>
        <v>202503545/2021</v>
      </c>
      <c r="I26">
        <f>IFERROR(INDEX(Atualizações!$Q$1:$Q$1265,MATCH(H26,Atualizações!$P$1:$P$1265,0)),"0")</f>
        <v>1</v>
      </c>
    </row>
    <row r="27" spans="1:9" ht="30">
      <c r="A27" s="11" t="s">
        <v>350</v>
      </c>
      <c r="B27" s="97" t="s">
        <v>1255</v>
      </c>
      <c r="C27" s="79" t="s">
        <v>346</v>
      </c>
      <c r="D27" s="193">
        <f>IFERROR(INDEX(Projetos!$Q$3:$Q$129,MATCH(Projeto_Objetivo[[#This Row],[SEI]],Projetos!$A$3:$A$129,0))," ")</f>
        <v>46167</v>
      </c>
      <c r="E27">
        <f>YEAR(Projeto_Objetivo[[#This Row],[Status]])</f>
        <v>2026</v>
      </c>
      <c r="F27" t="str">
        <f>$G$1&amp;Projeto_Objetivo[[#This Row],[SEI]]</f>
        <v>202403545/2021</v>
      </c>
      <c r="G27">
        <f>IFERROR(INDEX(Atualizações!$Q$1:$Q$1265,MATCH(F27,Atualizações!$P$1:$P$1265,0)),"0")</f>
        <v>1</v>
      </c>
      <c r="H27" t="str">
        <f>$I$1&amp;Projeto_Objetivo[[#This Row],[SEI]]</f>
        <v>202503545/2021</v>
      </c>
      <c r="I27">
        <f>IFERROR(INDEX(Atualizações!$Q$1:$Q$1265,MATCH(H27,Atualizações!$P$1:$P$1265,0)),"0")</f>
        <v>1</v>
      </c>
    </row>
    <row r="28" spans="1:9" ht="30">
      <c r="A28" s="11" t="s">
        <v>350</v>
      </c>
      <c r="B28" s="97" t="s">
        <v>1255</v>
      </c>
      <c r="C28" s="79" t="s">
        <v>1620</v>
      </c>
      <c r="D28" s="193">
        <f>IFERROR(INDEX(Projetos!$Q$3:$Q$129,MATCH(Projeto_Objetivo[[#This Row],[SEI]],Projetos!$A$3:$A$129,0))," ")</f>
        <v>46167</v>
      </c>
      <c r="E28">
        <f>YEAR(Projeto_Objetivo[[#This Row],[Status]])</f>
        <v>2026</v>
      </c>
      <c r="F28" t="str">
        <f>$G$1&amp;Projeto_Objetivo[[#This Row],[SEI]]</f>
        <v>202403545/2021</v>
      </c>
      <c r="G28">
        <f>IFERROR(INDEX(Atualizações!$Q$1:$Q$1265,MATCH(F28,Atualizações!$P$1:$P$1265,0)),"0")</f>
        <v>1</v>
      </c>
      <c r="H28" t="str">
        <f>$I$1&amp;Projeto_Objetivo[[#This Row],[SEI]]</f>
        <v>202503545/2021</v>
      </c>
      <c r="I28">
        <f>IFERROR(INDEX(Atualizações!$Q$1:$Q$1265,MATCH(H28,Atualizações!$P$1:$P$1265,0)),"0")</f>
        <v>1</v>
      </c>
    </row>
    <row r="29" spans="1:9" ht="30">
      <c r="A29" s="13" t="s">
        <v>502</v>
      </c>
      <c r="B29" s="117" t="s">
        <v>503</v>
      </c>
      <c r="C29" s="92" t="s">
        <v>346</v>
      </c>
      <c r="D29" s="193">
        <f>IFERROR(INDEX(Projetos!$Q$3:$Q$129,MATCH(Projeto_Objetivo[[#This Row],[SEI]],Projetos!$A$3:$A$129,0))," ")</f>
        <v>45376</v>
      </c>
      <c r="E29">
        <f>YEAR(Projeto_Objetivo[[#This Row],[Status]])</f>
        <v>2024</v>
      </c>
      <c r="F29" t="str">
        <f>$G$1&amp;Projeto_Objetivo[[#This Row],[SEI]]</f>
        <v>202409081/2022</v>
      </c>
      <c r="G29">
        <f>IFERROR(INDEX(Atualizações!$Q$1:$Q$1265,MATCH(F29,Atualizações!$P$1:$P$1265,0)),"0")</f>
        <v>1</v>
      </c>
      <c r="H29" t="str">
        <f>$I$1&amp;Projeto_Objetivo[[#This Row],[SEI]]</f>
        <v>202509081/2022</v>
      </c>
      <c r="I29" t="str">
        <f>IFERROR(INDEX(Atualizações!$Q$1:$Q$1265,MATCH(H29,Atualizações!$P$1:$P$1265,0)),"0")</f>
        <v>0</v>
      </c>
    </row>
    <row r="30" spans="1:9" ht="30">
      <c r="A30" s="11" t="s">
        <v>341</v>
      </c>
      <c r="B30" s="73" t="s">
        <v>1639</v>
      </c>
      <c r="C30" s="19" t="s">
        <v>346</v>
      </c>
      <c r="D30" s="193">
        <f>IFERROR(INDEX(Projetos!$Q$3:$Q$129,MATCH(Projeto_Objetivo[[#This Row],[SEI]],Projetos!$A$3:$A$129,0))," ")</f>
        <v>45512</v>
      </c>
      <c r="E30">
        <f>YEAR(Projeto_Objetivo[[#This Row],[Status]])</f>
        <v>2024</v>
      </c>
      <c r="F30" t="str">
        <f>$G$1&amp;Projeto_Objetivo[[#This Row],[SEI]]</f>
        <v>202403096/2021</v>
      </c>
      <c r="G30">
        <f>IFERROR(INDEX(Atualizações!$Q$1:$Q$1265,MATCH(F30,Atualizações!$P$1:$P$1265,0)),"0")</f>
        <v>1</v>
      </c>
      <c r="H30" t="str">
        <f>$I$1&amp;Projeto_Objetivo[[#This Row],[SEI]]</f>
        <v>202503096/2021</v>
      </c>
      <c r="I30" t="str">
        <f>IFERROR(INDEX(Atualizações!$Q$1:$Q$1265,MATCH(H30,Atualizações!$P$1:$P$1265,0)),"0")</f>
        <v>0</v>
      </c>
    </row>
    <row r="31" spans="1:9" ht="75">
      <c r="A31" s="11" t="s">
        <v>341</v>
      </c>
      <c r="B31" s="73" t="s">
        <v>1639</v>
      </c>
      <c r="C31" s="79" t="s">
        <v>75</v>
      </c>
      <c r="D31" s="193">
        <f>IFERROR(INDEX(Projetos!$Q$3:$Q$129,MATCH(Projeto_Objetivo[[#This Row],[SEI]],Projetos!$A$3:$A$129,0))," ")</f>
        <v>45512</v>
      </c>
      <c r="E31">
        <f>YEAR(Projeto_Objetivo[[#This Row],[Status]])</f>
        <v>2024</v>
      </c>
      <c r="F31" t="str">
        <f>$G$1&amp;Projeto_Objetivo[[#This Row],[SEI]]</f>
        <v>202403096/2021</v>
      </c>
      <c r="G31">
        <f>IFERROR(INDEX(Atualizações!$Q$1:$Q$1265,MATCH(F31,Atualizações!$P$1:$P$1265,0)),"0")</f>
        <v>1</v>
      </c>
      <c r="H31" t="str">
        <f>$I$1&amp;Projeto_Objetivo[[#This Row],[SEI]]</f>
        <v>202503096/2021</v>
      </c>
      <c r="I31" t="str">
        <f>IFERROR(INDEX(Atualizações!$Q$1:$Q$1265,MATCH(H31,Atualizações!$P$1:$P$1265,0)),"0")</f>
        <v>0</v>
      </c>
    </row>
    <row r="32" spans="1:9" ht="30">
      <c r="A32" s="11" t="s">
        <v>341</v>
      </c>
      <c r="B32" s="73" t="s">
        <v>1639</v>
      </c>
      <c r="C32" s="5" t="s">
        <v>390</v>
      </c>
      <c r="D32" s="193">
        <f>IFERROR(INDEX(Projetos!$Q$3:$Q$129,MATCH(Projeto_Objetivo[[#This Row],[SEI]],Projetos!$A$3:$A$129,0))," ")</f>
        <v>45512</v>
      </c>
      <c r="E32">
        <f>YEAR(Projeto_Objetivo[[#This Row],[Status]])</f>
        <v>2024</v>
      </c>
      <c r="F32" t="str">
        <f>$G$1&amp;Projeto_Objetivo[[#This Row],[SEI]]</f>
        <v>202403096/2021</v>
      </c>
      <c r="G32">
        <f>IFERROR(INDEX(Atualizações!$Q$1:$Q$1265,MATCH(F32,Atualizações!$P$1:$P$1265,0)),"0")</f>
        <v>1</v>
      </c>
      <c r="H32" t="str">
        <f>$I$1&amp;Projeto_Objetivo[[#This Row],[SEI]]</f>
        <v>202503096/2021</v>
      </c>
      <c r="I32" t="str">
        <f>IFERROR(INDEX(Atualizações!$Q$1:$Q$1265,MATCH(H32,Atualizações!$P$1:$P$1265,0)),"0")</f>
        <v>0</v>
      </c>
    </row>
    <row r="33" spans="1:9" ht="30">
      <c r="A33" s="11" t="s">
        <v>341</v>
      </c>
      <c r="B33" s="73" t="s">
        <v>1639</v>
      </c>
      <c r="C33" s="79" t="s">
        <v>88</v>
      </c>
      <c r="D33" s="193">
        <f>IFERROR(INDEX(Projetos!$Q$3:$Q$129,MATCH(Projeto_Objetivo[[#This Row],[SEI]],Projetos!$A$3:$A$129,0))," ")</f>
        <v>45512</v>
      </c>
      <c r="E33">
        <f>YEAR(Projeto_Objetivo[[#This Row],[Status]])</f>
        <v>2024</v>
      </c>
      <c r="F33" t="str">
        <f>$G$1&amp;Projeto_Objetivo[[#This Row],[SEI]]</f>
        <v>202403096/2021</v>
      </c>
      <c r="G33">
        <f>IFERROR(INDEX(Atualizações!$Q$1:$Q$1265,MATCH(F33,Atualizações!$P$1:$P$1265,0)),"0")</f>
        <v>1</v>
      </c>
      <c r="H33" t="str">
        <f>$I$1&amp;Projeto_Objetivo[[#This Row],[SEI]]</f>
        <v>202503096/2021</v>
      </c>
      <c r="I33" t="str">
        <f>IFERROR(INDEX(Atualizações!$Q$1:$Q$1265,MATCH(H33,Atualizações!$P$1:$P$1265,0)),"0")</f>
        <v>0</v>
      </c>
    </row>
    <row r="34" spans="1:9" ht="30">
      <c r="A34" s="11" t="s">
        <v>341</v>
      </c>
      <c r="B34" s="73" t="s">
        <v>1639</v>
      </c>
      <c r="C34" s="79" t="s">
        <v>672</v>
      </c>
      <c r="D34" s="193">
        <f>IFERROR(INDEX(Projetos!$Q$3:$Q$129,MATCH(Projeto_Objetivo[[#This Row],[SEI]],Projetos!$A$3:$A$129,0))," ")</f>
        <v>45512</v>
      </c>
      <c r="E34">
        <f>YEAR(Projeto_Objetivo[[#This Row],[Status]])</f>
        <v>2024</v>
      </c>
      <c r="F34" t="str">
        <f>$G$1&amp;Projeto_Objetivo[[#This Row],[SEI]]</f>
        <v>202403096/2021</v>
      </c>
      <c r="G34">
        <f>IFERROR(INDEX(Atualizações!$Q$1:$Q$1265,MATCH(F34,Atualizações!$P$1:$P$1265,0)),"0")</f>
        <v>1</v>
      </c>
      <c r="H34" t="str">
        <f>$I$1&amp;Projeto_Objetivo[[#This Row],[SEI]]</f>
        <v>202503096/2021</v>
      </c>
      <c r="I34" t="str">
        <f>IFERROR(INDEX(Atualizações!$Q$1:$Q$1265,MATCH(H34,Atualizações!$P$1:$P$1265,0)),"0")</f>
        <v>0</v>
      </c>
    </row>
    <row r="35" spans="1:9" ht="30">
      <c r="A35" s="11" t="s">
        <v>341</v>
      </c>
      <c r="B35" s="73" t="s">
        <v>1639</v>
      </c>
      <c r="C35" s="79" t="s">
        <v>1620</v>
      </c>
      <c r="D35" s="193">
        <f>IFERROR(INDEX(Projetos!$Q$3:$Q$129,MATCH(Projeto_Objetivo[[#This Row],[SEI]],Projetos!$A$3:$A$129,0))," ")</f>
        <v>45512</v>
      </c>
      <c r="E35">
        <f>YEAR(Projeto_Objetivo[[#This Row],[Status]])</f>
        <v>2024</v>
      </c>
      <c r="F35" t="str">
        <f>$G$1&amp;Projeto_Objetivo[[#This Row],[SEI]]</f>
        <v>202403096/2021</v>
      </c>
      <c r="G35">
        <f>IFERROR(INDEX(Atualizações!$Q$1:$Q$1265,MATCH(F35,Atualizações!$P$1:$P$1265,0)),"0")</f>
        <v>1</v>
      </c>
      <c r="H35" t="str">
        <f>$I$1&amp;Projeto_Objetivo[[#This Row],[SEI]]</f>
        <v>202503096/2021</v>
      </c>
      <c r="I35" t="str">
        <f>IFERROR(INDEX(Atualizações!$Q$1:$Q$1265,MATCH(H35,Atualizações!$P$1:$P$1265,0)),"0")</f>
        <v>0</v>
      </c>
    </row>
    <row r="36" spans="1:9" ht="30">
      <c r="A36" s="20" t="s">
        <v>358</v>
      </c>
      <c r="B36" s="118" t="s">
        <v>1638</v>
      </c>
      <c r="C36" s="19" t="s">
        <v>240</v>
      </c>
      <c r="D36" s="193">
        <f>IFERROR(INDEX(Projetos!$Q$3:$Q$129,MATCH(Projeto_Objetivo[[#This Row],[SEI]],Projetos!$A$3:$A$129,0))," ")</f>
        <v>46136</v>
      </c>
      <c r="E36">
        <f>YEAR(Projeto_Objetivo[[#This Row],[Status]])</f>
        <v>2026</v>
      </c>
      <c r="F36" t="str">
        <f>$G$1&amp;Projeto_Objetivo[[#This Row],[SEI]]</f>
        <v>202403558/2021</v>
      </c>
      <c r="G36">
        <f>IFERROR(INDEX(Atualizações!$Q$1:$Q$1265,MATCH(F36,Atualizações!$P$1:$P$1265,0)),"0")</f>
        <v>1</v>
      </c>
      <c r="H36" t="str">
        <f>$I$1&amp;Projeto_Objetivo[[#This Row],[SEI]]</f>
        <v>202503558/2021</v>
      </c>
      <c r="I36">
        <f>IFERROR(INDEX(Atualizações!$Q$1:$Q$1265,MATCH(H36,Atualizações!$P$1:$P$1265,0)),"0")</f>
        <v>1</v>
      </c>
    </row>
    <row r="37" spans="1:9" ht="45">
      <c r="A37" s="20" t="s">
        <v>358</v>
      </c>
      <c r="B37" s="118" t="s">
        <v>1638</v>
      </c>
      <c r="C37" s="79" t="s">
        <v>165</v>
      </c>
      <c r="D37" s="193">
        <f>IFERROR(INDEX(Projetos!$Q$3:$Q$129,MATCH(Projeto_Objetivo[[#This Row],[SEI]],Projetos!$A$3:$A$129,0))," ")</f>
        <v>46136</v>
      </c>
      <c r="E37">
        <f>YEAR(Projeto_Objetivo[[#This Row],[Status]])</f>
        <v>2026</v>
      </c>
      <c r="F37" t="str">
        <f>$G$1&amp;Projeto_Objetivo[[#This Row],[SEI]]</f>
        <v>202403558/2021</v>
      </c>
      <c r="G37">
        <f>IFERROR(INDEX(Atualizações!$Q$1:$Q$1265,MATCH(F37,Atualizações!$P$1:$P$1265,0)),"0")</f>
        <v>1</v>
      </c>
      <c r="H37" t="str">
        <f>$I$1&amp;Projeto_Objetivo[[#This Row],[SEI]]</f>
        <v>202503558/2021</v>
      </c>
      <c r="I37">
        <f>IFERROR(INDEX(Atualizações!$Q$1:$Q$1265,MATCH(H37,Atualizações!$P$1:$P$1265,0)),"0")</f>
        <v>1</v>
      </c>
    </row>
    <row r="38" spans="1:9" ht="30">
      <c r="A38" s="11" t="s">
        <v>298</v>
      </c>
      <c r="B38" s="97" t="s">
        <v>299</v>
      </c>
      <c r="C38" s="7" t="s">
        <v>305</v>
      </c>
      <c r="D38" s="193">
        <f>IFERROR(INDEX(Projetos!$Q$3:$Q$129,MATCH(Projeto_Objetivo[[#This Row],[SEI]],Projetos!$A$3:$A$129,0))," ")</f>
        <v>45645</v>
      </c>
      <c r="E38">
        <f>YEAR(Projeto_Objetivo[[#This Row],[Status]])</f>
        <v>2024</v>
      </c>
      <c r="F38" t="str">
        <f>$G$1&amp;Projeto_Objetivo[[#This Row],[SEI]]</f>
        <v>202402660/2023</v>
      </c>
      <c r="G38">
        <f>IFERROR(INDEX(Atualizações!$Q$1:$Q$1265,MATCH(F38,Atualizações!$P$1:$P$1265,0)),"0")</f>
        <v>1</v>
      </c>
      <c r="H38" t="str">
        <f>$I$1&amp;Projeto_Objetivo[[#This Row],[SEI]]</f>
        <v>202502660/2023</v>
      </c>
      <c r="I38" t="str">
        <f>IFERROR(INDEX(Atualizações!$Q$1:$Q$1265,MATCH(H38,Atualizações!$P$1:$P$1265,0)),"0")</f>
        <v>0</v>
      </c>
    </row>
    <row r="39" spans="1:9" ht="30">
      <c r="A39" s="11" t="s">
        <v>298</v>
      </c>
      <c r="B39" s="97" t="s">
        <v>299</v>
      </c>
      <c r="C39" s="19" t="s">
        <v>240</v>
      </c>
      <c r="D39" s="193">
        <f>IFERROR(INDEX(Projetos!$Q$3:$Q$129,MATCH(Projeto_Objetivo[[#This Row],[SEI]],Projetos!$A$3:$A$129,0))," ")</f>
        <v>45645</v>
      </c>
      <c r="E39">
        <f>YEAR(Projeto_Objetivo[[#This Row],[Status]])</f>
        <v>2024</v>
      </c>
      <c r="F39" t="str">
        <f>$G$1&amp;Projeto_Objetivo[[#This Row],[SEI]]</f>
        <v>202402660/2023</v>
      </c>
      <c r="G39">
        <f>IFERROR(INDEX(Atualizações!$Q$1:$Q$1265,MATCH(F39,Atualizações!$P$1:$P$1265,0)),"0")</f>
        <v>1</v>
      </c>
      <c r="H39" t="str">
        <f>$I$1&amp;Projeto_Objetivo[[#This Row],[SEI]]</f>
        <v>202502660/2023</v>
      </c>
      <c r="I39" t="str">
        <f>IFERROR(INDEX(Atualizações!$Q$1:$Q$1265,MATCH(H39,Atualizações!$P$1:$P$1265,0)),"0")</f>
        <v>0</v>
      </c>
    </row>
    <row r="40" spans="1:9">
      <c r="A40" s="11" t="s">
        <v>1262</v>
      </c>
      <c r="B40" s="97" t="s">
        <v>1263</v>
      </c>
      <c r="C40" s="2" t="s">
        <v>448</v>
      </c>
      <c r="D40" s="193" t="str">
        <f>IFERROR(INDEX(Projetos!$Q$3:$Q$129,MATCH(Projeto_Objetivo[[#This Row],[SEI]],Projetos!$A$3:$A$129,0))," ")</f>
        <v xml:space="preserve"> </v>
      </c>
      <c r="E40" t="e">
        <f>YEAR(Projeto_Objetivo[[#This Row],[Status]])</f>
        <v>#VALUE!</v>
      </c>
      <c r="F40" t="str">
        <f>$G$1&amp;Projeto_Objetivo[[#This Row],[SEI]]</f>
        <v>202408285/2022</v>
      </c>
      <c r="G40" t="str">
        <f>IFERROR(INDEX(Atualizações!$Q$1:$Q$1265,MATCH(F40,Atualizações!$P$1:$P$1265,0)),"0")</f>
        <v>0</v>
      </c>
      <c r="H40" t="str">
        <f>$I$1&amp;Projeto_Objetivo[[#This Row],[SEI]]</f>
        <v>202508285/2022</v>
      </c>
      <c r="I40" t="str">
        <f>IFERROR(INDEX(Atualizações!$Q$1:$Q$1265,MATCH(H40,Atualizações!$P$1:$P$1265,0)),"0")</f>
        <v>0</v>
      </c>
    </row>
    <row r="41" spans="1:9" ht="30">
      <c r="A41" s="11" t="s">
        <v>436</v>
      </c>
      <c r="B41" s="97" t="s">
        <v>437</v>
      </c>
      <c r="C41" s="2" t="s">
        <v>213</v>
      </c>
      <c r="D41" s="193">
        <f>IFERROR(INDEX(Projetos!$Q$3:$Q$129,MATCH(Projeto_Objetivo[[#This Row],[SEI]],Projetos!$A$3:$A$129,0))," ")</f>
        <v>45412</v>
      </c>
      <c r="E41">
        <f>YEAR(Projeto_Objetivo[[#This Row],[Status]])</f>
        <v>2024</v>
      </c>
      <c r="F41" t="str">
        <f>$G$1&amp;Projeto_Objetivo[[#This Row],[SEI]]</f>
        <v>202407855/2022</v>
      </c>
      <c r="G41">
        <f>IFERROR(INDEX(Atualizações!$Q$1:$Q$1265,MATCH(F41,Atualizações!$P$1:$P$1265,0)),"0")</f>
        <v>1</v>
      </c>
      <c r="H41" t="str">
        <f>$I$1&amp;Projeto_Objetivo[[#This Row],[SEI]]</f>
        <v>202507855/2022</v>
      </c>
      <c r="I41" t="str">
        <f>IFERROR(INDEX(Atualizações!$Q$1:$Q$1265,MATCH(H41,Atualizações!$P$1:$P$1265,0)),"0")</f>
        <v>0</v>
      </c>
    </row>
    <row r="42" spans="1:9">
      <c r="A42" s="2" t="s">
        <v>471</v>
      </c>
      <c r="B42" s="73" t="s">
        <v>472</v>
      </c>
      <c r="C42" s="2" t="s">
        <v>213</v>
      </c>
      <c r="D42" s="193">
        <f>IFERROR(INDEX(Projetos!$Q$3:$Q$129,MATCH(Projeto_Objetivo[[#This Row],[SEI]],Projetos!$A$3:$A$129,0))," ")</f>
        <v>45623</v>
      </c>
      <c r="E42">
        <f>YEAR(Projeto_Objetivo[[#This Row],[Status]])</f>
        <v>2024</v>
      </c>
      <c r="F42" t="str">
        <f>$G$1&amp;Projeto_Objetivo[[#This Row],[SEI]]</f>
        <v>202408543/2021</v>
      </c>
      <c r="G42">
        <f>IFERROR(INDEX(Atualizações!$Q$1:$Q$1265,MATCH(F42,Atualizações!$P$1:$P$1265,0)),"0")</f>
        <v>1</v>
      </c>
      <c r="H42" t="str">
        <f>$I$1&amp;Projeto_Objetivo[[#This Row],[SEI]]</f>
        <v>202508543/2021</v>
      </c>
      <c r="I42" t="str">
        <f>IFERROR(INDEX(Atualizações!$Q$1:$Q$1265,MATCH(H42,Atualizações!$P$1:$P$1265,0)),"0")</f>
        <v>0</v>
      </c>
    </row>
    <row r="43" spans="1:9" ht="45">
      <c r="A43" s="2" t="s">
        <v>471</v>
      </c>
      <c r="B43" s="73" t="s">
        <v>472</v>
      </c>
      <c r="C43" s="79" t="s">
        <v>165</v>
      </c>
      <c r="D43" s="193">
        <f>IFERROR(INDEX(Projetos!$Q$3:$Q$129,MATCH(Projeto_Objetivo[[#This Row],[SEI]],Projetos!$A$3:$A$129,0))," ")</f>
        <v>45623</v>
      </c>
      <c r="E43">
        <f>YEAR(Projeto_Objetivo[[#This Row],[Status]])</f>
        <v>2024</v>
      </c>
      <c r="F43" t="str">
        <f>$G$1&amp;Projeto_Objetivo[[#This Row],[SEI]]</f>
        <v>202408543/2021</v>
      </c>
      <c r="G43">
        <f>IFERROR(INDEX(Atualizações!$Q$1:$Q$1265,MATCH(F43,Atualizações!$P$1:$P$1265,0)),"0")</f>
        <v>1</v>
      </c>
      <c r="H43" t="str">
        <f>$I$1&amp;Projeto_Objetivo[[#This Row],[SEI]]</f>
        <v>202508543/2021</v>
      </c>
      <c r="I43" t="str">
        <f>IFERROR(INDEX(Atualizações!$Q$1:$Q$1265,MATCH(H43,Atualizações!$P$1:$P$1265,0)),"0")</f>
        <v>0</v>
      </c>
    </row>
    <row r="44" spans="1:9" ht="30">
      <c r="A44" s="21" t="s">
        <v>464</v>
      </c>
      <c r="B44" s="119" t="s">
        <v>465</v>
      </c>
      <c r="C44" s="7" t="s">
        <v>305</v>
      </c>
      <c r="D44" s="193">
        <f>IFERROR(INDEX(Projetos!$Q$3:$Q$129,MATCH(Projeto_Objetivo[[#This Row],[SEI]],Projetos!$A$3:$A$129,0))," ")</f>
        <v>45419</v>
      </c>
      <c r="E44">
        <f>YEAR(Projeto_Objetivo[[#This Row],[Status]])</f>
        <v>2024</v>
      </c>
      <c r="F44" t="str">
        <f>$G$1&amp;Projeto_Objetivo[[#This Row],[SEI]]</f>
        <v>202408536/2022</v>
      </c>
      <c r="G44">
        <f>IFERROR(INDEX(Atualizações!$Q$1:$Q$1265,MATCH(F44,Atualizações!$P$1:$P$1265,0)),"0")</f>
        <v>1</v>
      </c>
      <c r="H44" t="str">
        <f>$I$1&amp;Projeto_Objetivo[[#This Row],[SEI]]</f>
        <v>202508536/2022</v>
      </c>
      <c r="I44" t="str">
        <f>IFERROR(INDEX(Atualizações!$Q$1:$Q$1265,MATCH(H44,Atualizações!$P$1:$P$1265,0)),"0")</f>
        <v>0</v>
      </c>
    </row>
    <row r="45" spans="1:9" ht="45">
      <c r="A45" s="11" t="s">
        <v>322</v>
      </c>
      <c r="B45" s="97" t="s">
        <v>323</v>
      </c>
      <c r="C45" s="7" t="s">
        <v>165</v>
      </c>
      <c r="D45" s="193">
        <f>IFERROR(INDEX(Projetos!$Q$3:$Q$129,MATCH(Projeto_Objetivo[[#This Row],[SEI]],Projetos!$A$3:$A$129,0))," ")</f>
        <v>45519</v>
      </c>
      <c r="E45">
        <f>YEAR(Projeto_Objetivo[[#This Row],[Status]])</f>
        <v>2024</v>
      </c>
      <c r="F45" t="str">
        <f>$G$1&amp;Projeto_Objetivo[[#This Row],[SEI]]</f>
        <v>202402938/2021</v>
      </c>
      <c r="G45">
        <f>IFERROR(INDEX(Atualizações!$Q$1:$Q$1265,MATCH(F45,Atualizações!$P$1:$P$1265,0)),"0")</f>
        <v>1</v>
      </c>
      <c r="H45" t="str">
        <f>$I$1&amp;Projeto_Objetivo[[#This Row],[SEI]]</f>
        <v>202502938/2021</v>
      </c>
      <c r="I45" t="str">
        <f>IFERROR(INDEX(Atualizações!$Q$1:$Q$1265,MATCH(H45,Atualizações!$P$1:$P$1265,0)),"0")</f>
        <v>0</v>
      </c>
    </row>
    <row r="46" spans="1:9" ht="30">
      <c r="A46" s="11" t="s">
        <v>322</v>
      </c>
      <c r="B46" s="97" t="s">
        <v>323</v>
      </c>
      <c r="C46" s="79" t="s">
        <v>62</v>
      </c>
      <c r="D46" s="193">
        <f>IFERROR(INDEX(Projetos!$Q$3:$Q$129,MATCH(Projeto_Objetivo[[#This Row],[SEI]],Projetos!$A$3:$A$129,0))," ")</f>
        <v>45519</v>
      </c>
      <c r="E46">
        <f>YEAR(Projeto_Objetivo[[#This Row],[Status]])</f>
        <v>2024</v>
      </c>
      <c r="F46" t="str">
        <f>$G$1&amp;Projeto_Objetivo[[#This Row],[SEI]]</f>
        <v>202402938/2021</v>
      </c>
      <c r="G46">
        <f>IFERROR(INDEX(Atualizações!$Q$1:$Q$1265,MATCH(F46,Atualizações!$P$1:$P$1265,0)),"0")</f>
        <v>1</v>
      </c>
      <c r="H46" t="str">
        <f>$I$1&amp;Projeto_Objetivo[[#This Row],[SEI]]</f>
        <v>202502938/2021</v>
      </c>
      <c r="I46" t="str">
        <f>IFERROR(INDEX(Atualizações!$Q$1:$Q$1265,MATCH(H46,Atualizações!$P$1:$P$1265,0)),"0")</f>
        <v>0</v>
      </c>
    </row>
    <row r="47" spans="1:9" ht="45">
      <c r="A47" s="11" t="s">
        <v>331</v>
      </c>
      <c r="B47" s="97" t="s">
        <v>332</v>
      </c>
      <c r="C47" s="7" t="s">
        <v>165</v>
      </c>
      <c r="D47" s="193">
        <f>IFERROR(INDEX(Projetos!$Q$3:$Q$129,MATCH(Projeto_Objetivo[[#This Row],[SEI]],Projetos!$A$3:$A$129,0))," ")</f>
        <v>45392</v>
      </c>
      <c r="E47">
        <f>YEAR(Projeto_Objetivo[[#This Row],[Status]])</f>
        <v>2024</v>
      </c>
      <c r="F47" t="str">
        <f>$G$1&amp;Projeto_Objetivo[[#This Row],[SEI]]</f>
        <v>202402941/2021</v>
      </c>
      <c r="G47">
        <f>IFERROR(INDEX(Atualizações!$Q$1:$Q$1265,MATCH(F47,Atualizações!$P$1:$P$1265,0)),"0")</f>
        <v>1</v>
      </c>
      <c r="H47" t="str">
        <f>$I$1&amp;Projeto_Objetivo[[#This Row],[SEI]]</f>
        <v>202502941/2021</v>
      </c>
      <c r="I47" t="str">
        <f>IFERROR(INDEX(Atualizações!$Q$1:$Q$1265,MATCH(H47,Atualizações!$P$1:$P$1265,0)),"0")</f>
        <v>0</v>
      </c>
    </row>
    <row r="48" spans="1:9">
      <c r="A48" s="11" t="s">
        <v>331</v>
      </c>
      <c r="B48" s="97" t="s">
        <v>332</v>
      </c>
      <c r="C48" s="79" t="s">
        <v>104</v>
      </c>
      <c r="D48" s="193">
        <f>IFERROR(INDEX(Projetos!$Q$3:$Q$129,MATCH(Projeto_Objetivo[[#This Row],[SEI]],Projetos!$A$3:$A$129,0))," ")</f>
        <v>45392</v>
      </c>
      <c r="E48">
        <f>YEAR(Projeto_Objetivo[[#This Row],[Status]])</f>
        <v>2024</v>
      </c>
      <c r="F48" t="str">
        <f>$G$1&amp;Projeto_Objetivo[[#This Row],[SEI]]</f>
        <v>202402941/2021</v>
      </c>
      <c r="G48">
        <f>IFERROR(INDEX(Atualizações!$Q$1:$Q$1265,MATCH(F48,Atualizações!$P$1:$P$1265,0)),"0")</f>
        <v>1</v>
      </c>
      <c r="H48" t="str">
        <f>$I$1&amp;Projeto_Objetivo[[#This Row],[SEI]]</f>
        <v>202502941/2021</v>
      </c>
      <c r="I48" t="str">
        <f>IFERROR(INDEX(Atualizações!$Q$1:$Q$1265,MATCH(H48,Atualizações!$P$1:$P$1265,0)),"0")</f>
        <v>0</v>
      </c>
    </row>
    <row r="49" spans="1:9" ht="30">
      <c r="A49" s="11" t="s">
        <v>479</v>
      </c>
      <c r="B49" s="5" t="s">
        <v>480</v>
      </c>
      <c r="C49" s="2" t="s">
        <v>88</v>
      </c>
      <c r="D49" s="193">
        <f>IFERROR(INDEX(Projetos!$Q$3:$Q$129,MATCH(Projeto_Objetivo[[#This Row],[SEI]],Projetos!$A$3:$A$129,0))," ")</f>
        <v>45646</v>
      </c>
      <c r="E49">
        <f>YEAR(Projeto_Objetivo[[#This Row],[Status]])</f>
        <v>2024</v>
      </c>
      <c r="F49" t="str">
        <f>$G$1&amp;Projeto_Objetivo[[#This Row],[SEI]]</f>
        <v>202408547/2021</v>
      </c>
      <c r="G49">
        <f>IFERROR(INDEX(Atualizações!$Q$1:$Q$1265,MATCH(F49,Atualizações!$P$1:$P$1265,0)),"0")</f>
        <v>1</v>
      </c>
      <c r="H49" t="str">
        <f>$I$1&amp;Projeto_Objetivo[[#This Row],[SEI]]</f>
        <v>202508547/2021</v>
      </c>
      <c r="I49" t="str">
        <f>IFERROR(INDEX(Atualizações!$Q$1:$Q$1265,MATCH(H49,Atualizações!$P$1:$P$1265,0)),"0")</f>
        <v>0</v>
      </c>
    </row>
    <row r="50" spans="1:9">
      <c r="A50" s="11" t="s">
        <v>1283</v>
      </c>
      <c r="B50" s="79" t="s">
        <v>1284</v>
      </c>
      <c r="C50" s="7" t="s">
        <v>104</v>
      </c>
      <c r="D50" s="193" t="str">
        <f>IFERROR(INDEX(Projetos!$Q$3:$Q$129,MATCH(Projeto_Objetivo[[#This Row],[SEI]],Projetos!$A$3:$A$129,0))," ")</f>
        <v xml:space="preserve"> </v>
      </c>
      <c r="E50" t="e">
        <f>YEAR(Projeto_Objetivo[[#This Row],[Status]])</f>
        <v>#VALUE!</v>
      </c>
      <c r="F50" t="str">
        <f>$G$1&amp;Projeto_Objetivo[[#This Row],[SEI]]</f>
        <v>202401508/2022</v>
      </c>
      <c r="G50" t="str">
        <f>IFERROR(INDEX(Atualizações!$Q$1:$Q$1265,MATCH(F50,Atualizações!$P$1:$P$1265,0)),"0")</f>
        <v>0</v>
      </c>
      <c r="H50" t="str">
        <f>$I$1&amp;Projeto_Objetivo[[#This Row],[SEI]]</f>
        <v>202501508/2022</v>
      </c>
      <c r="I50" t="str">
        <f>IFERROR(INDEX(Atualizações!$Q$1:$Q$1265,MATCH(H50,Atualizações!$P$1:$P$1265,0)),"0")</f>
        <v>0</v>
      </c>
    </row>
    <row r="51" spans="1:9" ht="30">
      <c r="A51" s="11" t="s">
        <v>1283</v>
      </c>
      <c r="B51" s="79" t="s">
        <v>1284</v>
      </c>
      <c r="C51" s="7" t="s">
        <v>672</v>
      </c>
      <c r="D51" s="193" t="str">
        <f>IFERROR(INDEX(Projetos!$Q$3:$Q$129,MATCH(Projeto_Objetivo[[#This Row],[SEI]],Projetos!$A$3:$A$129,0))," ")</f>
        <v xml:space="preserve"> </v>
      </c>
      <c r="E51" t="e">
        <f>YEAR(Projeto_Objetivo[[#This Row],[Status]])</f>
        <v>#VALUE!</v>
      </c>
      <c r="F51" t="str">
        <f>$G$1&amp;Projeto_Objetivo[[#This Row],[SEI]]</f>
        <v>202401508/2022</v>
      </c>
      <c r="G51" t="str">
        <f>IFERROR(INDEX(Atualizações!$Q$1:$Q$1265,MATCH(F51,Atualizações!$P$1:$P$1265,0)),"0")</f>
        <v>0</v>
      </c>
      <c r="H51" t="str">
        <f>$I$1&amp;Projeto_Objetivo[[#This Row],[SEI]]</f>
        <v>202501508/2022</v>
      </c>
      <c r="I51" t="str">
        <f>IFERROR(INDEX(Atualizações!$Q$1:$Q$1265,MATCH(H51,Atualizações!$P$1:$P$1265,0)),"0")</f>
        <v>0</v>
      </c>
    </row>
    <row r="52" spans="1:9" ht="45">
      <c r="A52" s="2" t="s">
        <v>1283</v>
      </c>
      <c r="B52" s="73" t="s">
        <v>1284</v>
      </c>
      <c r="C52" s="2" t="s">
        <v>165</v>
      </c>
      <c r="D52" s="193" t="str">
        <f>IFERROR(INDEX(Projetos!$Q$3:$Q$129,MATCH(Projeto_Objetivo[[#This Row],[SEI]],Projetos!$A$3:$A$129,0))," ")</f>
        <v xml:space="preserve"> </v>
      </c>
      <c r="E52" t="e">
        <f>YEAR(Projeto_Objetivo[[#This Row],[Status]])</f>
        <v>#VALUE!</v>
      </c>
      <c r="F52" t="str">
        <f>$G$1&amp;Projeto_Objetivo[[#This Row],[SEI]]</f>
        <v>202401508/2022</v>
      </c>
      <c r="G52" t="str">
        <f>IFERROR(INDEX(Atualizações!$Q$1:$Q$1265,MATCH(F52,Atualizações!$P$1:$P$1265,0)),"0")</f>
        <v>0</v>
      </c>
      <c r="H52" t="str">
        <f>$I$1&amp;Projeto_Objetivo[[#This Row],[SEI]]</f>
        <v>202501508/2022</v>
      </c>
      <c r="I52" t="str">
        <f>IFERROR(INDEX(Atualizações!$Q$1:$Q$1265,MATCH(H52,Atualizações!$P$1:$P$1265,0)),"0")</f>
        <v>0</v>
      </c>
    </row>
    <row r="53" spans="1:9" ht="75">
      <c r="A53" s="2" t="s">
        <v>70</v>
      </c>
      <c r="B53" s="73" t="str">
        <f>IFERROR(INDEX(Projetos!$B$3:$B$129,MATCH(A53,Projetos!$A$3:$A$129,0))," ")</f>
        <v>Mapa Nacional do Tribunal do Júri</v>
      </c>
      <c r="C53" s="73" t="s">
        <v>75</v>
      </c>
      <c r="D53" s="193">
        <f>IFERROR(INDEX(Projetos!$Q$3:$Q$129,MATCH(Projeto_Objetivo[[#This Row],[SEI]],Projetos!$A$3:$A$129,0))," ")</f>
        <v>46035</v>
      </c>
      <c r="E53">
        <f>YEAR(Projeto_Objetivo[[#This Row],[Status]])</f>
        <v>2026</v>
      </c>
      <c r="F53" t="str">
        <f>$G$1&amp;Projeto_Objetivo[[#This Row],[SEI]]</f>
        <v>202400139/2024</v>
      </c>
      <c r="G53">
        <f>IFERROR(INDEX(Atualizações!$Q$1:$Q$1265,MATCH(F53,Atualizações!$P$1:$P$1265,0)),"0")</f>
        <v>1</v>
      </c>
      <c r="H53" t="str">
        <f>$I$1&amp;Projeto_Objetivo[[#This Row],[SEI]]</f>
        <v>202500139/2024</v>
      </c>
      <c r="I53">
        <f>IFERROR(INDEX(Atualizações!$Q$1:$Q$1265,MATCH(H53,Atualizações!$P$1:$P$1265,0)),"0")</f>
        <v>1</v>
      </c>
    </row>
    <row r="54" spans="1:9" ht="30">
      <c r="A54" s="65" t="s">
        <v>615</v>
      </c>
      <c r="B54" s="8" t="s">
        <v>616</v>
      </c>
      <c r="C54" s="2" t="s">
        <v>305</v>
      </c>
      <c r="D54" s="193">
        <f>IFERROR(INDEX(Projetos!$Q$3:$Q$129,MATCH(Projeto_Objetivo[[#This Row],[SEI]],Projetos!$A$3:$A$129,0))," ")</f>
        <v>45723</v>
      </c>
      <c r="E54">
        <f>YEAR(Projeto_Objetivo[[#This Row],[Status]])</f>
        <v>2025</v>
      </c>
      <c r="F54" t="str">
        <f>$G$1&amp;Projeto_Objetivo[[#This Row],[SEI]]</f>
        <v>202411340/2023</v>
      </c>
      <c r="G54">
        <f>IFERROR(INDEX(Atualizações!$Q$1:$Q$1265,MATCH(F54,Atualizações!$P$1:$P$1265,0)),"0")</f>
        <v>1</v>
      </c>
      <c r="H54" t="str">
        <f>$I$1&amp;Projeto_Objetivo[[#This Row],[SEI]]</f>
        <v>202511340/2023</v>
      </c>
      <c r="I54">
        <f>IFERROR(INDEX(Atualizações!$Q$1:$Q$1265,MATCH(H54,Atualizações!$P$1:$P$1265,0)),"0")</f>
        <v>1</v>
      </c>
    </row>
    <row r="55" spans="1:9">
      <c r="A55" s="65" t="s">
        <v>615</v>
      </c>
      <c r="B55" s="8" t="s">
        <v>616</v>
      </c>
      <c r="C55" s="2" t="s">
        <v>213</v>
      </c>
      <c r="D55" s="193">
        <f>IFERROR(INDEX(Projetos!$Q$3:$Q$129,MATCH(Projeto_Objetivo[[#This Row],[SEI]],Projetos!$A$3:$A$129,0))," ")</f>
        <v>45723</v>
      </c>
      <c r="E55">
        <f>YEAR(Projeto_Objetivo[[#This Row],[Status]])</f>
        <v>2025</v>
      </c>
      <c r="F55" t="str">
        <f>$G$1&amp;Projeto_Objetivo[[#This Row],[SEI]]</f>
        <v>202411340/2023</v>
      </c>
      <c r="G55">
        <f>IFERROR(INDEX(Atualizações!$Q$1:$Q$1265,MATCH(F55,Atualizações!$P$1:$P$1265,0)),"0")</f>
        <v>1</v>
      </c>
      <c r="H55" t="str">
        <f>$I$1&amp;Projeto_Objetivo[[#This Row],[SEI]]</f>
        <v>202511340/2023</v>
      </c>
      <c r="I55">
        <f>IFERROR(INDEX(Atualizações!$Q$1:$Q$1265,MATCH(H55,Atualizações!$P$1:$P$1265,0)),"0")</f>
        <v>1</v>
      </c>
    </row>
    <row r="56" spans="1:9" ht="30">
      <c r="A56" s="65" t="s">
        <v>376</v>
      </c>
      <c r="B56" s="8" t="s">
        <v>377</v>
      </c>
      <c r="C56" s="8" t="s">
        <v>240</v>
      </c>
      <c r="D56" s="193">
        <f>IFERROR(INDEX(Projetos!$Q$3:$Q$129,MATCH(Projeto_Objetivo[[#This Row],[SEI]],Projetos!$A$3:$A$129,0))," ")</f>
        <v>45755</v>
      </c>
      <c r="E56">
        <f>YEAR(Projeto_Objetivo[[#This Row],[Status]])</f>
        <v>2025</v>
      </c>
      <c r="F56" t="str">
        <f>$G$1&amp;Projeto_Objetivo[[#This Row],[SEI]]</f>
        <v>202403924/2023</v>
      </c>
      <c r="G56">
        <f>IFERROR(INDEX(Atualizações!$Q$1:$Q$1265,MATCH(F56,Atualizações!$P$1:$P$1265,0)),"0")</f>
        <v>1</v>
      </c>
      <c r="H56" t="str">
        <f>$I$1&amp;Projeto_Objetivo[[#This Row],[SEI]]</f>
        <v>202503924/2023</v>
      </c>
      <c r="I56">
        <f>IFERROR(INDEX(Atualizações!$Q$1:$Q$1265,MATCH(H56,Atualizações!$P$1:$P$1265,0)),"0")</f>
        <v>1</v>
      </c>
    </row>
    <row r="57" spans="1:9" ht="30">
      <c r="A57" s="65" t="s">
        <v>404</v>
      </c>
      <c r="B57" s="8" t="s">
        <v>405</v>
      </c>
      <c r="C57" s="8" t="s">
        <v>240</v>
      </c>
      <c r="D57" s="193">
        <f>IFERROR(INDEX(Projetos!$Q$3:$Q$129,MATCH(Projeto_Objetivo[[#This Row],[SEI]],Projetos!$A$3:$A$129,0))," ")</f>
        <v>45920</v>
      </c>
      <c r="E57">
        <f>YEAR(Projeto_Objetivo[[#This Row],[Status]])</f>
        <v>2025</v>
      </c>
      <c r="F57" t="str">
        <f>$G$1&amp;Projeto_Objetivo[[#This Row],[SEI]]</f>
        <v>202405138/2024</v>
      </c>
      <c r="G57">
        <f>IFERROR(INDEX(Atualizações!$Q$1:$Q$1265,MATCH(F57,Atualizações!$P$1:$P$1265,0)),"0")</f>
        <v>1</v>
      </c>
      <c r="H57" t="str">
        <f>$I$1&amp;Projeto_Objetivo[[#This Row],[SEI]]</f>
        <v>202505138/2024</v>
      </c>
      <c r="I57">
        <f>IFERROR(INDEX(Atualizações!$Q$1:$Q$1265,MATCH(H57,Atualizações!$P$1:$P$1265,0)),"0")</f>
        <v>1</v>
      </c>
    </row>
    <row r="58" spans="1:9" ht="30">
      <c r="A58" s="65" t="s">
        <v>384</v>
      </c>
      <c r="B58" s="8" t="s">
        <v>1640</v>
      </c>
      <c r="C58" s="5" t="s">
        <v>390</v>
      </c>
      <c r="D58" s="193">
        <f>IFERROR(INDEX(Projetos!$Q$3:$Q$129,MATCH(Projeto_Objetivo[[#This Row],[SEI]],Projetos!$A$3:$A$129,0))," ")</f>
        <v>46107</v>
      </c>
      <c r="E58">
        <f>YEAR(Projeto_Objetivo[[#This Row],[Status]])</f>
        <v>2026</v>
      </c>
      <c r="F58" t="str">
        <f>$G$1&amp;Projeto_Objetivo[[#This Row],[SEI]]</f>
        <v>202404137/2024</v>
      </c>
      <c r="G58">
        <f>IFERROR(INDEX(Atualizações!$Q$1:$Q$1265,MATCH(F58,Atualizações!$P$1:$P$1265,0)),"0")</f>
        <v>1</v>
      </c>
      <c r="H58" t="str">
        <f>$I$1&amp;Projeto_Objetivo[[#This Row],[SEI]]</f>
        <v>202504137/2024</v>
      </c>
      <c r="I58">
        <f>IFERROR(INDEX(Atualizações!$Q$1:$Q$1265,MATCH(H58,Atualizações!$P$1:$P$1265,0)),"0")</f>
        <v>1</v>
      </c>
    </row>
    <row r="59" spans="1:9" ht="45">
      <c r="A59" s="65" t="s">
        <v>495</v>
      </c>
      <c r="B59" s="8" t="s">
        <v>496</v>
      </c>
      <c r="C59" s="2" t="s">
        <v>165</v>
      </c>
      <c r="D59" s="193">
        <f>IFERROR(INDEX(Projetos!$Q$3:$Q$129,MATCH(Projeto_Objetivo[[#This Row],[SEI]],Projetos!$A$3:$A$129,0))," ")</f>
        <v>45518</v>
      </c>
      <c r="E59">
        <f>YEAR(Projeto_Objetivo[[#This Row],[Status]])</f>
        <v>2024</v>
      </c>
      <c r="F59" t="str">
        <f>$G$1&amp;Projeto_Objetivo[[#This Row],[SEI]]</f>
        <v>202408690/2023</v>
      </c>
      <c r="G59">
        <f>IFERROR(INDEX(Atualizações!$Q$1:$Q$1265,MATCH(F59,Atualizações!$P$1:$P$1265,0)),"0")</f>
        <v>1</v>
      </c>
      <c r="H59" t="str">
        <f>$I$1&amp;Projeto_Objetivo[[#This Row],[SEI]]</f>
        <v>202508690/2023</v>
      </c>
      <c r="I59" t="str">
        <f>IFERROR(INDEX(Atualizações!$Q$1:$Q$1265,MATCH(H59,Atualizações!$P$1:$P$1265,0)),"0")</f>
        <v>0</v>
      </c>
    </row>
    <row r="60" spans="1:9" ht="45">
      <c r="A60" s="24" t="s">
        <v>273</v>
      </c>
      <c r="B60" s="5" t="s">
        <v>274</v>
      </c>
      <c r="C60" s="2" t="s">
        <v>165</v>
      </c>
      <c r="D60" s="193">
        <f>IFERROR(INDEX(Projetos!$Q$3:$Q$129,MATCH(Projeto_Objetivo[[#This Row],[SEI]],Projetos!$A$3:$A$129,0))," ")</f>
        <v>45985</v>
      </c>
      <c r="E60">
        <f>YEAR(Projeto_Objetivo[[#This Row],[Status]])</f>
        <v>2025</v>
      </c>
      <c r="F60" t="str">
        <f>$G$1&amp;Projeto_Objetivo[[#This Row],[SEI]]</f>
        <v>202402483/2023</v>
      </c>
      <c r="G60">
        <f>IFERROR(INDEX(Atualizações!$Q$1:$Q$1265,MATCH(F60,Atualizações!$P$1:$P$1265,0)),"0")</f>
        <v>1</v>
      </c>
      <c r="H60" t="str">
        <f>$I$1&amp;Projeto_Objetivo[[#This Row],[SEI]]</f>
        <v>202502483/2023</v>
      </c>
      <c r="I60">
        <f>IFERROR(INDEX(Atualizações!$Q$1:$Q$1265,MATCH(H60,Atualizações!$P$1:$P$1265,0)),"0")</f>
        <v>1</v>
      </c>
    </row>
    <row r="61" spans="1:9" ht="30">
      <c r="A61" s="24" t="s">
        <v>273</v>
      </c>
      <c r="B61" s="5" t="s">
        <v>274</v>
      </c>
      <c r="C61" s="8" t="s">
        <v>240</v>
      </c>
      <c r="D61" s="193">
        <f>IFERROR(INDEX(Projetos!$Q$3:$Q$129,MATCH(Projeto_Objetivo[[#This Row],[SEI]],Projetos!$A$3:$A$129,0))," ")</f>
        <v>45985</v>
      </c>
      <c r="E61">
        <f>YEAR(Projeto_Objetivo[[#This Row],[Status]])</f>
        <v>2025</v>
      </c>
      <c r="F61" t="str">
        <f>$G$1&amp;Projeto_Objetivo[[#This Row],[SEI]]</f>
        <v>202402483/2023</v>
      </c>
      <c r="G61">
        <f>IFERROR(INDEX(Atualizações!$Q$1:$Q$1265,MATCH(F61,Atualizações!$P$1:$P$1265,0)),"0")</f>
        <v>1</v>
      </c>
      <c r="H61" t="str">
        <f>$I$1&amp;Projeto_Objetivo[[#This Row],[SEI]]</f>
        <v>202502483/2023</v>
      </c>
      <c r="I61">
        <f>IFERROR(INDEX(Atualizações!$Q$1:$Q$1265,MATCH(H61,Atualizações!$P$1:$P$1265,0)),"0")</f>
        <v>1</v>
      </c>
    </row>
    <row r="62" spans="1:9" ht="75">
      <c r="A62" s="24" t="s">
        <v>273</v>
      </c>
      <c r="B62" s="5" t="s">
        <v>274</v>
      </c>
      <c r="C62" s="79" t="s">
        <v>75</v>
      </c>
      <c r="D62" s="193">
        <f>IFERROR(INDEX(Projetos!$Q$3:$Q$129,MATCH(Projeto_Objetivo[[#This Row],[SEI]],Projetos!$A$3:$A$129,0))," ")</f>
        <v>45985</v>
      </c>
      <c r="E62">
        <f>YEAR(Projeto_Objetivo[[#This Row],[Status]])</f>
        <v>2025</v>
      </c>
      <c r="F62" t="str">
        <f>$G$1&amp;Projeto_Objetivo[[#This Row],[SEI]]</f>
        <v>202402483/2023</v>
      </c>
      <c r="G62">
        <f>IFERROR(INDEX(Atualizações!$Q$1:$Q$1265,MATCH(F62,Atualizações!$P$1:$P$1265,0)),"0")</f>
        <v>1</v>
      </c>
      <c r="H62" t="str">
        <f>$I$1&amp;Projeto_Objetivo[[#This Row],[SEI]]</f>
        <v>202502483/2023</v>
      </c>
      <c r="I62">
        <f>IFERROR(INDEX(Atualizações!$Q$1:$Q$1265,MATCH(H62,Atualizações!$P$1:$P$1265,0)),"0")</f>
        <v>1</v>
      </c>
    </row>
    <row r="63" spans="1:9" ht="75">
      <c r="A63" s="20" t="s">
        <v>410</v>
      </c>
      <c r="B63" s="129" t="s">
        <v>411</v>
      </c>
      <c r="C63" s="7" t="s">
        <v>75</v>
      </c>
      <c r="D63" s="193">
        <f>IFERROR(INDEX(Projetos!$Q$3:$Q$129,MATCH(Projeto_Objetivo[[#This Row],[SEI]],Projetos!$A$3:$A$129,0))," ")</f>
        <v>46011</v>
      </c>
      <c r="E63">
        <f>YEAR(Projeto_Objetivo[[#This Row],[Status]])</f>
        <v>2025</v>
      </c>
      <c r="F63" t="str">
        <f>$G$1&amp;Projeto_Objetivo[[#This Row],[SEI]]</f>
        <v>202405150/2024</v>
      </c>
      <c r="G63">
        <f>IFERROR(INDEX(Atualizações!$Q$1:$Q$1265,MATCH(F63,Atualizações!$P$1:$P$1265,0)),"0")</f>
        <v>1</v>
      </c>
      <c r="H63" t="str">
        <f>$I$1&amp;Projeto_Objetivo[[#This Row],[SEI]]</f>
        <v>202505150/2024</v>
      </c>
      <c r="I63">
        <f>IFERROR(INDEX(Atualizações!$Q$1:$Q$1265,MATCH(H63,Atualizações!$P$1:$P$1265,0)),"0")</f>
        <v>1</v>
      </c>
    </row>
    <row r="64" spans="1:9" ht="45">
      <c r="A64" s="20" t="s">
        <v>416</v>
      </c>
      <c r="B64" s="97" t="s">
        <v>1641</v>
      </c>
      <c r="C64" s="2" t="s">
        <v>165</v>
      </c>
      <c r="D64" s="193">
        <f>IFERROR(INDEX(Projetos!$Q$3:$Q$129,MATCH(Projeto_Objetivo[[#This Row],[SEI]],Projetos!$A$3:$A$129,0))," ")</f>
        <v>46167</v>
      </c>
      <c r="E64">
        <f>YEAR(Projeto_Objetivo[[#This Row],[Status]])</f>
        <v>2026</v>
      </c>
      <c r="F64" t="str">
        <f>$G$1&amp;Projeto_Objetivo[[#This Row],[SEI]]</f>
        <v>202405578/2024</v>
      </c>
      <c r="G64">
        <f>IFERROR(INDEX(Atualizações!$Q$1:$Q$1265,MATCH(F64,Atualizações!$P$1:$P$1265,0)),"0")</f>
        <v>1</v>
      </c>
      <c r="H64" t="str">
        <f>$I$1&amp;Projeto_Objetivo[[#This Row],[SEI]]</f>
        <v>202505578/2024</v>
      </c>
      <c r="I64">
        <f>IFERROR(INDEX(Atualizações!$Q$1:$Q$1265,MATCH(H64,Atualizações!$P$1:$P$1265,0)),"0")</f>
        <v>1</v>
      </c>
    </row>
    <row r="65" spans="1:9" ht="30">
      <c r="A65" s="20" t="s">
        <v>416</v>
      </c>
      <c r="B65" s="97" t="s">
        <v>1641</v>
      </c>
      <c r="C65" s="7" t="s">
        <v>88</v>
      </c>
      <c r="D65" s="193">
        <f>IFERROR(INDEX(Projetos!$Q$3:$Q$129,MATCH(Projeto_Objetivo[[#This Row],[SEI]],Projetos!$A$3:$A$129,0))," ")</f>
        <v>46167</v>
      </c>
      <c r="E65">
        <f>YEAR(Projeto_Objetivo[[#This Row],[Status]])</f>
        <v>2026</v>
      </c>
      <c r="F65" t="str">
        <f>$G$1&amp;Projeto_Objetivo[[#This Row],[SEI]]</f>
        <v>202405578/2024</v>
      </c>
      <c r="G65">
        <f>IFERROR(INDEX(Atualizações!$Q$1:$Q$1265,MATCH(F65,Atualizações!$P$1:$P$1265,0)),"0")</f>
        <v>1</v>
      </c>
      <c r="H65" t="str">
        <f>$I$1&amp;Projeto_Objetivo[[#This Row],[SEI]]</f>
        <v>202505578/2024</v>
      </c>
      <c r="I65">
        <f>IFERROR(INDEX(Atualizações!$Q$1:$Q$1265,MATCH(H65,Atualizações!$P$1:$P$1265,0)),"0")</f>
        <v>1</v>
      </c>
    </row>
    <row r="66" spans="1:9" ht="30">
      <c r="A66" s="20" t="s">
        <v>416</v>
      </c>
      <c r="B66" s="97" t="s">
        <v>1641</v>
      </c>
      <c r="C66" s="7" t="s">
        <v>62</v>
      </c>
      <c r="D66" s="193">
        <f>IFERROR(INDEX(Projetos!$Q$3:$Q$129,MATCH(Projeto_Objetivo[[#This Row],[SEI]],Projetos!$A$3:$A$129,0))," ")</f>
        <v>46167</v>
      </c>
      <c r="E66">
        <f>YEAR(Projeto_Objetivo[[#This Row],[Status]])</f>
        <v>2026</v>
      </c>
      <c r="F66" t="str">
        <f>$G$1&amp;Projeto_Objetivo[[#This Row],[SEI]]</f>
        <v>202405578/2024</v>
      </c>
      <c r="G66">
        <f>IFERROR(INDEX(Atualizações!$Q$1:$Q$1265,MATCH(F66,Atualizações!$P$1:$P$1265,0)),"0")</f>
        <v>1</v>
      </c>
      <c r="H66" t="str">
        <f>$I$1&amp;Projeto_Objetivo[[#This Row],[SEI]]</f>
        <v>202505578/2024</v>
      </c>
      <c r="I66">
        <f>IFERROR(INDEX(Atualizações!$Q$1:$Q$1265,MATCH(H66,Atualizações!$P$1:$P$1265,0)),"0")</f>
        <v>1</v>
      </c>
    </row>
    <row r="67" spans="1:9" ht="30">
      <c r="A67" s="20" t="s">
        <v>416</v>
      </c>
      <c r="B67" s="97" t="s">
        <v>1641</v>
      </c>
      <c r="C67" s="7" t="s">
        <v>346</v>
      </c>
      <c r="D67" s="193">
        <f>IFERROR(INDEX(Projetos!$Q$3:$Q$129,MATCH(Projeto_Objetivo[[#This Row],[SEI]],Projetos!$A$3:$A$129,0))," ")</f>
        <v>46167</v>
      </c>
      <c r="E67">
        <f>YEAR(Projeto_Objetivo[[#This Row],[Status]])</f>
        <v>2026</v>
      </c>
      <c r="F67" t="str">
        <f>$G$1&amp;Projeto_Objetivo[[#This Row],[SEI]]</f>
        <v>202405578/2024</v>
      </c>
      <c r="G67">
        <f>IFERROR(INDEX(Atualizações!$Q$1:$Q$1265,MATCH(F67,Atualizações!$P$1:$P$1265,0)),"0")</f>
        <v>1</v>
      </c>
      <c r="H67" t="str">
        <f>$I$1&amp;Projeto_Objetivo[[#This Row],[SEI]]</f>
        <v>202505578/2024</v>
      </c>
      <c r="I67">
        <f>IFERROR(INDEX(Atualizações!$Q$1:$Q$1265,MATCH(H67,Atualizações!$P$1:$P$1265,0)),"0")</f>
        <v>1</v>
      </c>
    </row>
    <row r="68" spans="1:9">
      <c r="A68" s="20" t="s">
        <v>416</v>
      </c>
      <c r="B68" s="97" t="s">
        <v>1641</v>
      </c>
      <c r="C68" s="7" t="s">
        <v>104</v>
      </c>
      <c r="D68" s="193">
        <f>IFERROR(INDEX(Projetos!$Q$3:$Q$129,MATCH(Projeto_Objetivo[[#This Row],[SEI]],Projetos!$A$3:$A$129,0))," ")</f>
        <v>46167</v>
      </c>
      <c r="E68">
        <f>YEAR(Projeto_Objetivo[[#This Row],[Status]])</f>
        <v>2026</v>
      </c>
      <c r="F68" t="str">
        <f>$G$1&amp;Projeto_Objetivo[[#This Row],[SEI]]</f>
        <v>202405578/2024</v>
      </c>
      <c r="G68">
        <f>IFERROR(INDEX(Atualizações!$Q$1:$Q$1265,MATCH(F68,Atualizações!$P$1:$P$1265,0)),"0")</f>
        <v>1</v>
      </c>
      <c r="H68" t="str">
        <f>$I$1&amp;Projeto_Objetivo[[#This Row],[SEI]]</f>
        <v>202505578/2024</v>
      </c>
      <c r="I68">
        <f>IFERROR(INDEX(Atualizações!$Q$1:$Q$1265,MATCH(H68,Atualizações!$P$1:$P$1265,0)),"0")</f>
        <v>1</v>
      </c>
    </row>
    <row r="69" spans="1:9" ht="30">
      <c r="A69" s="120" t="s">
        <v>257</v>
      </c>
      <c r="B69" s="97" t="s">
        <v>258</v>
      </c>
      <c r="C69" s="8" t="s">
        <v>240</v>
      </c>
      <c r="D69" s="193">
        <f>IFERROR(INDEX(Projetos!$Q$3:$Q$129,MATCH(Projeto_Objetivo[[#This Row],[SEI]],Projetos!$A$3:$A$129,0))," ")</f>
        <v>46167</v>
      </c>
      <c r="E69">
        <f>YEAR(Projeto_Objetivo[[#This Row],[Status]])</f>
        <v>2026</v>
      </c>
      <c r="F69" t="str">
        <f>$G$1&amp;Projeto_Objetivo[[#This Row],[SEI]]</f>
        <v>202402465/2024</v>
      </c>
      <c r="G69">
        <f>IFERROR(INDEX(Atualizações!$Q$1:$Q$1265,MATCH(F69,Atualizações!$P$1:$P$1265,0)),"0")</f>
        <v>1</v>
      </c>
      <c r="H69" t="str">
        <f>$I$1&amp;Projeto_Objetivo[[#This Row],[SEI]]</f>
        <v>202502465/2024</v>
      </c>
      <c r="I69">
        <f>IFERROR(INDEX(Atualizações!$Q$1:$Q$1265,MATCH(H69,Atualizações!$P$1:$P$1265,0)),"0")</f>
        <v>1</v>
      </c>
    </row>
    <row r="70" spans="1:9" ht="45">
      <c r="A70" s="120" t="s">
        <v>257</v>
      </c>
      <c r="B70" s="97" t="s">
        <v>258</v>
      </c>
      <c r="C70" s="7" t="s">
        <v>165</v>
      </c>
      <c r="D70" s="193">
        <f>IFERROR(INDEX(Projetos!$Q$3:$Q$129,MATCH(Projeto_Objetivo[[#This Row],[SEI]],Projetos!$A$3:$A$129,0))," ")</f>
        <v>46167</v>
      </c>
      <c r="E70">
        <f>YEAR(Projeto_Objetivo[[#This Row],[Status]])</f>
        <v>2026</v>
      </c>
      <c r="F70" t="str">
        <f>$G$1&amp;Projeto_Objetivo[[#This Row],[SEI]]</f>
        <v>202402465/2024</v>
      </c>
      <c r="G70">
        <f>IFERROR(INDEX(Atualizações!$Q$1:$Q$1265,MATCH(F70,Atualizações!$P$1:$P$1265,0)),"0")</f>
        <v>1</v>
      </c>
      <c r="H70" t="str">
        <f>$I$1&amp;Projeto_Objetivo[[#This Row],[SEI]]</f>
        <v>202502465/2024</v>
      </c>
      <c r="I70">
        <f>IFERROR(INDEX(Atualizações!$Q$1:$Q$1265,MATCH(H70,Atualizações!$P$1:$P$1265,0)),"0")</f>
        <v>1</v>
      </c>
    </row>
    <row r="71" spans="1:9">
      <c r="A71" s="120" t="s">
        <v>257</v>
      </c>
      <c r="B71" s="97" t="s">
        <v>258</v>
      </c>
      <c r="C71" s="7" t="s">
        <v>104</v>
      </c>
      <c r="D71" s="193">
        <f>IFERROR(INDEX(Projetos!$Q$3:$Q$129,MATCH(Projeto_Objetivo[[#This Row],[SEI]],Projetos!$A$3:$A$129,0))," ")</f>
        <v>46167</v>
      </c>
      <c r="E71">
        <f>YEAR(Projeto_Objetivo[[#This Row],[Status]])</f>
        <v>2026</v>
      </c>
      <c r="F71" t="str">
        <f>$G$1&amp;Projeto_Objetivo[[#This Row],[SEI]]</f>
        <v>202402465/2024</v>
      </c>
      <c r="G71">
        <f>IFERROR(INDEX(Atualizações!$Q$1:$Q$1265,MATCH(F71,Atualizações!$P$1:$P$1265,0)),"0")</f>
        <v>1</v>
      </c>
      <c r="H71" t="str">
        <f>$I$1&amp;Projeto_Objetivo[[#This Row],[SEI]]</f>
        <v>202502465/2024</v>
      </c>
      <c r="I71">
        <f>IFERROR(INDEX(Atualizações!$Q$1:$Q$1265,MATCH(H71,Atualizações!$P$1:$P$1265,0)),"0")</f>
        <v>1</v>
      </c>
    </row>
    <row r="72" spans="1:9" ht="30">
      <c r="A72" s="120" t="s">
        <v>266</v>
      </c>
      <c r="B72" s="97" t="s">
        <v>267</v>
      </c>
      <c r="C72" s="8" t="s">
        <v>240</v>
      </c>
      <c r="D72" s="193">
        <f>IFERROR(INDEX(Projetos!$Q$3:$Q$129,MATCH(Projeto_Objetivo[[#This Row],[SEI]],Projetos!$A$3:$A$129,0))," ")</f>
        <v>45714</v>
      </c>
      <c r="E72">
        <f>YEAR(Projeto_Objetivo[[#This Row],[Status]])</f>
        <v>2025</v>
      </c>
      <c r="F72" t="str">
        <f>$G$1&amp;Projeto_Objetivo[[#This Row],[SEI]]</f>
        <v>202402476/2024</v>
      </c>
      <c r="G72">
        <f>IFERROR(INDEX(Atualizações!$Q$1:$Q$1265,MATCH(F72,Atualizações!$P$1:$P$1265,0)),"0")</f>
        <v>1</v>
      </c>
      <c r="H72" t="str">
        <f>$I$1&amp;Projeto_Objetivo[[#This Row],[SEI]]</f>
        <v>202502476/2024</v>
      </c>
      <c r="I72">
        <f>IFERROR(INDEX(Atualizações!$Q$1:$Q$1265,MATCH(H72,Atualizações!$P$1:$P$1265,0)),"0")</f>
        <v>1</v>
      </c>
    </row>
    <row r="73" spans="1:9" ht="75">
      <c r="A73" s="120" t="s">
        <v>266</v>
      </c>
      <c r="B73" s="97" t="s">
        <v>267</v>
      </c>
      <c r="C73" s="7" t="s">
        <v>75</v>
      </c>
      <c r="D73" s="193">
        <f>IFERROR(INDEX(Projetos!$Q$3:$Q$129,MATCH(Projeto_Objetivo[[#This Row],[SEI]],Projetos!$A$3:$A$129,0))," ")</f>
        <v>45714</v>
      </c>
      <c r="E73">
        <f>YEAR(Projeto_Objetivo[[#This Row],[Status]])</f>
        <v>2025</v>
      </c>
      <c r="F73" t="str">
        <f>$G$1&amp;Projeto_Objetivo[[#This Row],[SEI]]</f>
        <v>202402476/2024</v>
      </c>
      <c r="G73">
        <f>IFERROR(INDEX(Atualizações!$Q$1:$Q$1265,MATCH(F73,Atualizações!$P$1:$P$1265,0)),"0")</f>
        <v>1</v>
      </c>
      <c r="H73" t="str">
        <f>$I$1&amp;Projeto_Objetivo[[#This Row],[SEI]]</f>
        <v>202502476/2024</v>
      </c>
      <c r="I73">
        <f>IFERROR(INDEX(Atualizações!$Q$1:$Q$1265,MATCH(H73,Atualizações!$P$1:$P$1265,0)),"0")</f>
        <v>1</v>
      </c>
    </row>
    <row r="74" spans="1:9" ht="30">
      <c r="A74" s="120" t="s">
        <v>559</v>
      </c>
      <c r="B74" s="141" t="s">
        <v>560</v>
      </c>
      <c r="C74" s="8" t="s">
        <v>240</v>
      </c>
      <c r="D74" s="193">
        <f>IFERROR(INDEX(Projetos!$Q$3:$Q$129,MATCH(Projeto_Objetivo[[#This Row],[SEI]],Projetos!$A$3:$A$129,0))," ")</f>
        <v>46155</v>
      </c>
      <c r="E74">
        <f>YEAR(Projeto_Objetivo[[#This Row],[Status]])</f>
        <v>2026</v>
      </c>
      <c r="F74" t="str">
        <f>$G$1&amp;Projeto_Objetivo[[#This Row],[SEI]]</f>
        <v>202410101/2024</v>
      </c>
      <c r="G74">
        <f>IFERROR(INDEX(Atualizações!$Q$1:$Q$1265,MATCH(F74,Atualizações!$P$1:$P$1265,0)),"0")</f>
        <v>1</v>
      </c>
      <c r="H74" t="str">
        <f>$I$1&amp;Projeto_Objetivo[[#This Row],[SEI]]</f>
        <v>202510101/2024</v>
      </c>
      <c r="I74">
        <f>IFERROR(INDEX(Atualizações!$Q$1:$Q$1265,MATCH(H74,Atualizações!$P$1:$P$1265,0)),"0")</f>
        <v>1</v>
      </c>
    </row>
    <row r="75" spans="1:9" ht="75">
      <c r="A75" s="120" t="s">
        <v>559</v>
      </c>
      <c r="B75" s="141" t="s">
        <v>560</v>
      </c>
      <c r="C75" s="7" t="s">
        <v>75</v>
      </c>
      <c r="D75" s="193">
        <f>IFERROR(INDEX(Projetos!$Q$3:$Q$129,MATCH(Projeto_Objetivo[[#This Row],[SEI]],Projetos!$A$3:$A$129,0))," ")</f>
        <v>46155</v>
      </c>
      <c r="E75">
        <f>YEAR(Projeto_Objetivo[[#This Row],[Status]])</f>
        <v>2026</v>
      </c>
      <c r="F75" t="str">
        <f>$G$1&amp;Projeto_Objetivo[[#This Row],[SEI]]</f>
        <v>202410101/2024</v>
      </c>
      <c r="G75">
        <f>IFERROR(INDEX(Atualizações!$Q$1:$Q$1265,MATCH(F75,Atualizações!$P$1:$P$1265,0)),"0")</f>
        <v>1</v>
      </c>
      <c r="H75" t="str">
        <f>$I$1&amp;Projeto_Objetivo[[#This Row],[SEI]]</f>
        <v>202510101/2024</v>
      </c>
      <c r="I75">
        <f>IFERROR(INDEX(Atualizações!$Q$1:$Q$1265,MATCH(H75,Atualizações!$P$1:$P$1265,0)),"0")</f>
        <v>1</v>
      </c>
    </row>
    <row r="76" spans="1:9" ht="30">
      <c r="A76" s="120" t="s">
        <v>589</v>
      </c>
      <c r="B76" s="141" t="s">
        <v>590</v>
      </c>
      <c r="C76" s="8" t="s">
        <v>240</v>
      </c>
      <c r="D76" s="193">
        <f>IFERROR(INDEX(Projetos!$Q$3:$Q$129,MATCH(Projeto_Objetivo[[#This Row],[SEI]],Projetos!$A$3:$A$129,0))," ")</f>
        <v>46010</v>
      </c>
      <c r="E76">
        <f>YEAR(Projeto_Objetivo[[#This Row],[Status]])</f>
        <v>2025</v>
      </c>
      <c r="F76" t="str">
        <f>$G$1&amp;Projeto_Objetivo[[#This Row],[SEI]]</f>
        <v>202410926/2024</v>
      </c>
      <c r="G76">
        <f>IFERROR(INDEX(Atualizações!$Q$1:$Q$1265,MATCH(F76,Atualizações!$P$1:$P$1265,0)),"0")</f>
        <v>1</v>
      </c>
      <c r="H76" t="str">
        <f>$I$1&amp;Projeto_Objetivo[[#This Row],[SEI]]</f>
        <v>202510926/2024</v>
      </c>
      <c r="I76">
        <f>IFERROR(INDEX(Atualizações!$Q$1:$Q$1265,MATCH(H76,Atualizações!$P$1:$P$1265,0)),"0")</f>
        <v>1</v>
      </c>
    </row>
    <row r="77" spans="1:9" ht="30">
      <c r="A77" s="120" t="s">
        <v>589</v>
      </c>
      <c r="B77" s="141" t="s">
        <v>590</v>
      </c>
      <c r="C77" s="79" t="s">
        <v>672</v>
      </c>
      <c r="D77" s="193">
        <f>IFERROR(INDEX(Projetos!$Q$3:$Q$129,MATCH(Projeto_Objetivo[[#This Row],[SEI]],Projetos!$A$3:$A$129,0))," ")</f>
        <v>46010</v>
      </c>
      <c r="E77">
        <f>YEAR(Projeto_Objetivo[[#This Row],[Status]])</f>
        <v>2025</v>
      </c>
      <c r="F77" t="str">
        <f>$G$1&amp;Projeto_Objetivo[[#This Row],[SEI]]</f>
        <v>202410926/2024</v>
      </c>
      <c r="G77">
        <f>IFERROR(INDEX(Atualizações!$Q$1:$Q$1265,MATCH(F77,Atualizações!$P$1:$P$1265,0)),"0")</f>
        <v>1</v>
      </c>
      <c r="H77" t="str">
        <f>$I$1&amp;Projeto_Objetivo[[#This Row],[SEI]]</f>
        <v>202510926/2024</v>
      </c>
      <c r="I77">
        <f>IFERROR(INDEX(Atualizações!$Q$1:$Q$1265,MATCH(H77,Atualizações!$P$1:$P$1265,0)),"0")</f>
        <v>1</v>
      </c>
    </row>
    <row r="78" spans="1:9" ht="30">
      <c r="A78" s="120" t="s">
        <v>589</v>
      </c>
      <c r="B78" s="141" t="s">
        <v>590</v>
      </c>
      <c r="C78" s="79" t="s">
        <v>1620</v>
      </c>
      <c r="D78" s="193">
        <f>IFERROR(INDEX(Projetos!$Q$3:$Q$129,MATCH(Projeto_Objetivo[[#This Row],[SEI]],Projetos!$A$3:$A$129,0))," ")</f>
        <v>46010</v>
      </c>
      <c r="E78">
        <f>YEAR(Projeto_Objetivo[[#This Row],[Status]])</f>
        <v>2025</v>
      </c>
      <c r="F78" t="str">
        <f>$G$1&amp;Projeto_Objetivo[[#This Row],[SEI]]</f>
        <v>202410926/2024</v>
      </c>
      <c r="G78">
        <f>IFERROR(INDEX(Atualizações!$Q$1:$Q$1265,MATCH(F78,Atualizações!$P$1:$P$1265,0)),"0")</f>
        <v>1</v>
      </c>
      <c r="H78" t="str">
        <f>$I$1&amp;Projeto_Objetivo[[#This Row],[SEI]]</f>
        <v>202510926/2024</v>
      </c>
      <c r="I78">
        <f>IFERROR(INDEX(Atualizações!$Q$1:$Q$1265,MATCH(H78,Atualizações!$P$1:$P$1265,0)),"0")</f>
        <v>1</v>
      </c>
    </row>
    <row r="79" spans="1:9" ht="75">
      <c r="A79" s="120" t="s">
        <v>684</v>
      </c>
      <c r="B79" s="144" t="s">
        <v>685</v>
      </c>
      <c r="C79" s="7" t="s">
        <v>75</v>
      </c>
      <c r="D79" s="193">
        <f>IFERROR(INDEX(Projetos!$Q$3:$Q$129,MATCH(Projeto_Objetivo[[#This Row],[SEI]],Projetos!$A$3:$A$129,0))," ")</f>
        <v>46167</v>
      </c>
      <c r="E79">
        <f>YEAR(Projeto_Objetivo[[#This Row],[Status]])</f>
        <v>2026</v>
      </c>
      <c r="F79" t="str">
        <f>$G$1&amp;Projeto_Objetivo[[#This Row],[SEI]]</f>
        <v>202412135/2022</v>
      </c>
      <c r="G79">
        <f>IFERROR(INDEX(Atualizações!$Q$1:$Q$1265,MATCH(F79,Atualizações!$P$1:$P$1265,0)),"0")</f>
        <v>1</v>
      </c>
      <c r="H79" t="str">
        <f>$I$1&amp;Projeto_Objetivo[[#This Row],[SEI]]</f>
        <v>202512135/2022</v>
      </c>
      <c r="I79">
        <f>IFERROR(INDEX(Atualizações!$Q$1:$Q$1265,MATCH(H79,Atualizações!$P$1:$P$1265,0)),"0")</f>
        <v>1</v>
      </c>
    </row>
    <row r="80" spans="1:9" ht="30">
      <c r="A80" s="120" t="s">
        <v>684</v>
      </c>
      <c r="B80" s="144" t="s">
        <v>685</v>
      </c>
      <c r="C80" s="7" t="s">
        <v>88</v>
      </c>
      <c r="D80" s="193">
        <f>IFERROR(INDEX(Projetos!$Q$3:$Q$129,MATCH(Projeto_Objetivo[[#This Row],[SEI]],Projetos!$A$3:$A$129,0))," ")</f>
        <v>46167</v>
      </c>
      <c r="E80">
        <f>YEAR(Projeto_Objetivo[[#This Row],[Status]])</f>
        <v>2026</v>
      </c>
      <c r="F80" t="str">
        <f>$G$1&amp;Projeto_Objetivo[[#This Row],[SEI]]</f>
        <v>202412135/2022</v>
      </c>
      <c r="G80">
        <f>IFERROR(INDEX(Atualizações!$Q$1:$Q$1265,MATCH(F80,Atualizações!$P$1:$P$1265,0)),"0")</f>
        <v>1</v>
      </c>
      <c r="H80" t="str">
        <f>$I$1&amp;Projeto_Objetivo[[#This Row],[SEI]]</f>
        <v>202512135/2022</v>
      </c>
      <c r="I80">
        <f>IFERROR(INDEX(Atualizações!$Q$1:$Q$1265,MATCH(H80,Atualizações!$P$1:$P$1265,0)),"0")</f>
        <v>1</v>
      </c>
    </row>
    <row r="81" spans="1:9" ht="30">
      <c r="A81" s="120" t="s">
        <v>684</v>
      </c>
      <c r="B81" s="144" t="s">
        <v>685</v>
      </c>
      <c r="C81" s="7" t="s">
        <v>672</v>
      </c>
      <c r="D81" s="193">
        <f>IFERROR(INDEX(Projetos!$Q$3:$Q$129,MATCH(Projeto_Objetivo[[#This Row],[SEI]],Projetos!$A$3:$A$129,0))," ")</f>
        <v>46167</v>
      </c>
      <c r="E81">
        <f>YEAR(Projeto_Objetivo[[#This Row],[Status]])</f>
        <v>2026</v>
      </c>
      <c r="F81" t="str">
        <f>$G$1&amp;Projeto_Objetivo[[#This Row],[SEI]]</f>
        <v>202412135/2022</v>
      </c>
      <c r="G81">
        <f>IFERROR(INDEX(Atualizações!$Q$1:$Q$1265,MATCH(F81,Atualizações!$P$1:$P$1265,0)),"0")</f>
        <v>1</v>
      </c>
      <c r="H81" t="str">
        <f>$I$1&amp;Projeto_Objetivo[[#This Row],[SEI]]</f>
        <v>202512135/2022</v>
      </c>
      <c r="I81">
        <f>IFERROR(INDEX(Atualizações!$Q$1:$Q$1265,MATCH(H81,Atualizações!$P$1:$P$1265,0)),"0")</f>
        <v>1</v>
      </c>
    </row>
    <row r="82" spans="1:9" ht="30">
      <c r="A82" s="149" t="s">
        <v>668</v>
      </c>
      <c r="B82" s="141" t="s">
        <v>669</v>
      </c>
      <c r="C82" s="2" t="s">
        <v>305</v>
      </c>
      <c r="D82" s="193">
        <f>IFERROR(INDEX(Projetos!$Q$3:$Q$129,MATCH(Projeto_Objetivo[[#This Row],[SEI]],Projetos!$A$3:$A$129,0))," ")</f>
        <v>45604</v>
      </c>
      <c r="E82">
        <f>YEAR(Projeto_Objetivo[[#This Row],[Status]])</f>
        <v>2024</v>
      </c>
      <c r="F82" t="str">
        <f>$G$1&amp;Projeto_Objetivo[[#This Row],[SEI]]</f>
        <v>202411821/2024</v>
      </c>
      <c r="G82">
        <f>IFERROR(INDEX(Atualizações!$Q$1:$Q$1265,MATCH(F82,Atualizações!$P$1:$P$1265,0)),"0")</f>
        <v>1</v>
      </c>
      <c r="H82" t="str">
        <f>$I$1&amp;Projeto_Objetivo[[#This Row],[SEI]]</f>
        <v>202511821/2024</v>
      </c>
      <c r="I82" t="str">
        <f>IFERROR(INDEX(Atualizações!$Q$1:$Q$1265,MATCH(H82,Atualizações!$P$1:$P$1265,0)),"0")</f>
        <v>0</v>
      </c>
    </row>
    <row r="83" spans="1:9">
      <c r="A83" s="149" t="s">
        <v>431</v>
      </c>
      <c r="B83" s="97" t="s">
        <v>432</v>
      </c>
      <c r="C83" s="7" t="s">
        <v>104</v>
      </c>
      <c r="D83" s="193">
        <f>IFERROR(INDEX(Projetos!$Q$3:$Q$129,MATCH(Projeto_Objetivo[[#This Row],[SEI]],Projetos!$A$3:$A$129,0))," ")</f>
        <v>46167</v>
      </c>
      <c r="E83">
        <f>YEAR(Projeto_Objetivo[[#This Row],[Status]])</f>
        <v>2026</v>
      </c>
      <c r="F83" t="str">
        <f>$G$1&amp;Projeto_Objetivo[[#This Row],[SEI]]</f>
        <v>202406826/2024</v>
      </c>
      <c r="G83">
        <f>IFERROR(INDEX(Atualizações!$Q$1:$Q$1265,MATCH(F83,Atualizações!$P$1:$P$1265,0)),"0")</f>
        <v>1</v>
      </c>
      <c r="H83" t="str">
        <f>$I$1&amp;Projeto_Objetivo[[#This Row],[SEI]]</f>
        <v>202506826/2024</v>
      </c>
      <c r="I83">
        <f>IFERROR(INDEX(Atualizações!$Q$1:$Q$1265,MATCH(H83,Atualizações!$P$1:$P$1265,0)),"0")</f>
        <v>1</v>
      </c>
    </row>
    <row r="84" spans="1:9" ht="75">
      <c r="A84" s="149" t="s">
        <v>431</v>
      </c>
      <c r="B84" s="97" t="s">
        <v>432</v>
      </c>
      <c r="C84" s="7" t="s">
        <v>75</v>
      </c>
      <c r="D84" s="193">
        <f>IFERROR(INDEX(Projetos!$Q$3:$Q$129,MATCH(Projeto_Objetivo[[#This Row],[SEI]],Projetos!$A$3:$A$129,0))," ")</f>
        <v>46167</v>
      </c>
      <c r="E84">
        <f>YEAR(Projeto_Objetivo[[#This Row],[Status]])</f>
        <v>2026</v>
      </c>
      <c r="F84" t="str">
        <f>$G$1&amp;Projeto_Objetivo[[#This Row],[SEI]]</f>
        <v>202406826/2024</v>
      </c>
      <c r="G84">
        <f>IFERROR(INDEX(Atualizações!$Q$1:$Q$1265,MATCH(F84,Atualizações!$P$1:$P$1265,0)),"0")</f>
        <v>1</v>
      </c>
      <c r="H84" t="str">
        <f>$I$1&amp;Projeto_Objetivo[[#This Row],[SEI]]</f>
        <v>202506826/2024</v>
      </c>
      <c r="I84">
        <f>IFERROR(INDEX(Atualizações!$Q$1:$Q$1265,MATCH(H84,Atualizações!$P$1:$P$1265,0)),"0")</f>
        <v>1</v>
      </c>
    </row>
    <row r="85" spans="1:9" ht="45">
      <c r="A85" s="149" t="s">
        <v>172</v>
      </c>
      <c r="B85" s="97" t="s">
        <v>173</v>
      </c>
      <c r="C85" s="2" t="s">
        <v>165</v>
      </c>
      <c r="D85" s="193">
        <f>IFERROR(INDEX(Projetos!$Q$3:$Q$129,MATCH(Projeto_Objetivo[[#This Row],[SEI]],Projetos!$A$3:$A$129,0))," ")</f>
        <v>45645</v>
      </c>
      <c r="E85">
        <f>YEAR(Projeto_Objetivo[[#This Row],[Status]])</f>
        <v>2024</v>
      </c>
      <c r="F85" t="str">
        <f>$G$1&amp;Projeto_Objetivo[[#This Row],[SEI]]</f>
        <v>202401703/2024</v>
      </c>
      <c r="G85">
        <f>IFERROR(INDEX(Atualizações!$Q$1:$Q$1265,MATCH(F85,Atualizações!$P$1:$P$1265,0)),"0")</f>
        <v>1</v>
      </c>
      <c r="H85" t="str">
        <f>$I$1&amp;Projeto_Objetivo[[#This Row],[SEI]]</f>
        <v>202501703/2024</v>
      </c>
      <c r="I85" t="str">
        <f>IFERROR(INDEX(Atualizações!$Q$1:$Q$1265,MATCH(H85,Atualizações!$P$1:$P$1265,0)),"0")</f>
        <v>0</v>
      </c>
    </row>
    <row r="86" spans="1:9" ht="30">
      <c r="A86" s="149" t="s">
        <v>172</v>
      </c>
      <c r="B86" s="97" t="s">
        <v>173</v>
      </c>
      <c r="C86" s="7" t="s">
        <v>62</v>
      </c>
      <c r="D86" s="193">
        <f>IFERROR(INDEX(Projetos!$Q$3:$Q$129,MATCH(Projeto_Objetivo[[#This Row],[SEI]],Projetos!$A$3:$A$129,0))," ")</f>
        <v>45645</v>
      </c>
      <c r="E86">
        <f>YEAR(Projeto_Objetivo[[#This Row],[Status]])</f>
        <v>2024</v>
      </c>
      <c r="F86" t="str">
        <f>$G$1&amp;Projeto_Objetivo[[#This Row],[SEI]]</f>
        <v>202401703/2024</v>
      </c>
      <c r="G86">
        <f>IFERROR(INDEX(Atualizações!$Q$1:$Q$1265,MATCH(F86,Atualizações!$P$1:$P$1265,0)),"0")</f>
        <v>1</v>
      </c>
      <c r="H86" t="str">
        <f>$I$1&amp;Projeto_Objetivo[[#This Row],[SEI]]</f>
        <v>202501703/2024</v>
      </c>
      <c r="I86" t="str">
        <f>IFERROR(INDEX(Atualizações!$Q$1:$Q$1265,MATCH(H86,Atualizações!$P$1:$P$1265,0)),"0")</f>
        <v>0</v>
      </c>
    </row>
    <row r="87" spans="1:9" ht="75">
      <c r="A87" s="149" t="s">
        <v>172</v>
      </c>
      <c r="B87" s="97" t="s">
        <v>173</v>
      </c>
      <c r="C87" s="7" t="s">
        <v>75</v>
      </c>
      <c r="D87" s="193">
        <f>IFERROR(INDEX(Projetos!$Q$3:$Q$129,MATCH(Projeto_Objetivo[[#This Row],[SEI]],Projetos!$A$3:$A$129,0))," ")</f>
        <v>45645</v>
      </c>
      <c r="E87">
        <f>YEAR(Projeto_Objetivo[[#This Row],[Status]])</f>
        <v>2024</v>
      </c>
      <c r="F87" t="str">
        <f>$G$1&amp;Projeto_Objetivo[[#This Row],[SEI]]</f>
        <v>202401703/2024</v>
      </c>
      <c r="G87">
        <f>IFERROR(INDEX(Atualizações!$Q$1:$Q$1265,MATCH(F87,Atualizações!$P$1:$P$1265,0)),"0")</f>
        <v>1</v>
      </c>
      <c r="H87" t="str">
        <f>$I$1&amp;Projeto_Objetivo[[#This Row],[SEI]]</f>
        <v>202501703/2024</v>
      </c>
      <c r="I87" t="str">
        <f>IFERROR(INDEX(Atualizações!$Q$1:$Q$1265,MATCH(H87,Atualizações!$P$1:$P$1265,0)),"0")</f>
        <v>0</v>
      </c>
    </row>
    <row r="88" spans="1:9">
      <c r="A88" s="149" t="s">
        <v>549</v>
      </c>
      <c r="B88" s="97" t="s">
        <v>1582</v>
      </c>
      <c r="C88" s="7" t="s">
        <v>104</v>
      </c>
      <c r="D88" s="193">
        <f>IFERROR(INDEX(Projetos!$Q$3:$Q$129,MATCH(Projeto_Objetivo[[#This Row],[SEI]],Projetos!$A$3:$A$129,0))," ")</f>
        <v>46167</v>
      </c>
      <c r="E88">
        <f>YEAR(Projeto_Objetivo[[#This Row],[Status]])</f>
        <v>2026</v>
      </c>
      <c r="F88" t="str">
        <f>$G$1&amp;Projeto_Objetivo[[#This Row],[SEI]]</f>
        <v>202409796/2024</v>
      </c>
      <c r="G88">
        <f>IFERROR(INDEX(Atualizações!$Q$1:$Q$1265,MATCH(F88,Atualizações!$P$1:$P$1265,0)),"0")</f>
        <v>1</v>
      </c>
      <c r="H88" t="str">
        <f>$I$1&amp;Projeto_Objetivo[[#This Row],[SEI]]</f>
        <v>202509796/2024</v>
      </c>
      <c r="I88">
        <f>IFERROR(INDEX(Atualizações!$Q$1:$Q$1265,MATCH(H88,Atualizações!$P$1:$P$1265,0)),"0")</f>
        <v>1</v>
      </c>
    </row>
    <row r="89" spans="1:9" ht="75">
      <c r="A89" s="149" t="s">
        <v>549</v>
      </c>
      <c r="B89" s="97" t="s">
        <v>1582</v>
      </c>
      <c r="C89" s="7" t="s">
        <v>75</v>
      </c>
      <c r="D89" s="193">
        <f>IFERROR(INDEX(Projetos!$Q$3:$Q$129,MATCH(Projeto_Objetivo[[#This Row],[SEI]],Projetos!$A$3:$A$129,0))," ")</f>
        <v>46167</v>
      </c>
      <c r="E89">
        <f>YEAR(Projeto_Objetivo[[#This Row],[Status]])</f>
        <v>2026</v>
      </c>
      <c r="F89" t="str">
        <f>$G$1&amp;Projeto_Objetivo[[#This Row],[SEI]]</f>
        <v>202409796/2024</v>
      </c>
      <c r="G89">
        <f>IFERROR(INDEX(Atualizações!$Q$1:$Q$1265,MATCH(F89,Atualizações!$P$1:$P$1265,0)),"0")</f>
        <v>1</v>
      </c>
      <c r="H89" t="str">
        <f>$I$1&amp;Projeto_Objetivo[[#This Row],[SEI]]</f>
        <v>202509796/2024</v>
      </c>
      <c r="I89">
        <f>IFERROR(INDEX(Atualizações!$Q$1:$Q$1265,MATCH(H89,Atualizações!$P$1:$P$1265,0)),"0")</f>
        <v>1</v>
      </c>
    </row>
    <row r="90" spans="1:9">
      <c r="A90" s="149" t="s">
        <v>644</v>
      </c>
      <c r="B90" s="97" t="s">
        <v>645</v>
      </c>
      <c r="C90" s="7" t="s">
        <v>104</v>
      </c>
      <c r="D90" s="193">
        <f>IFERROR(INDEX(Projetos!$Q$3:$Q$129,MATCH(Projeto_Objetivo[[#This Row],[SEI]],Projetos!$A$3:$A$129,0))," ")</f>
        <v>46137</v>
      </c>
      <c r="E90">
        <f>YEAR(Projeto_Objetivo[[#This Row],[Status]])</f>
        <v>2026</v>
      </c>
      <c r="F90" t="str">
        <f>$G$1&amp;Projeto_Objetivo[[#This Row],[SEI]]</f>
        <v>202411645/2022</v>
      </c>
      <c r="G90">
        <f>IFERROR(INDEX(Atualizações!$Q$1:$Q$1265,MATCH(F90,Atualizações!$P$1:$P$1265,0)),"0")</f>
        <v>1</v>
      </c>
      <c r="H90" t="str">
        <f>$I$1&amp;Projeto_Objetivo[[#This Row],[SEI]]</f>
        <v>202511645/2022</v>
      </c>
      <c r="I90">
        <f>IFERROR(INDEX(Atualizações!$Q$1:$Q$1265,MATCH(H90,Atualizações!$P$1:$P$1265,0)),"0")</f>
        <v>1</v>
      </c>
    </row>
    <row r="91" spans="1:9" ht="45">
      <c r="A91" s="149" t="s">
        <v>644</v>
      </c>
      <c r="B91" s="97" t="s">
        <v>645</v>
      </c>
      <c r="C91" s="7" t="s">
        <v>165</v>
      </c>
      <c r="D91" s="193">
        <f>IFERROR(INDEX(Projetos!$Q$3:$Q$129,MATCH(Projeto_Objetivo[[#This Row],[SEI]],Projetos!$A$3:$A$129,0))," ")</f>
        <v>46137</v>
      </c>
      <c r="E91">
        <f>YEAR(Projeto_Objetivo[[#This Row],[Status]])</f>
        <v>2026</v>
      </c>
      <c r="F91" t="str">
        <f>$G$1&amp;Projeto_Objetivo[[#This Row],[SEI]]</f>
        <v>202411645/2022</v>
      </c>
      <c r="G91">
        <f>IFERROR(INDEX(Atualizações!$Q$1:$Q$1265,MATCH(F91,Atualizações!$P$1:$P$1265,0)),"0")</f>
        <v>1</v>
      </c>
      <c r="H91" t="str">
        <f>$I$1&amp;Projeto_Objetivo[[#This Row],[SEI]]</f>
        <v>202511645/2022</v>
      </c>
      <c r="I91">
        <f>IFERROR(INDEX(Atualizações!$Q$1:$Q$1265,MATCH(H91,Atualizações!$P$1:$P$1265,0)),"0")</f>
        <v>1</v>
      </c>
    </row>
    <row r="92" spans="1:9" ht="75">
      <c r="A92" s="149" t="s">
        <v>629</v>
      </c>
      <c r="B92" s="97" t="s">
        <v>630</v>
      </c>
      <c r="C92" s="7" t="s">
        <v>75</v>
      </c>
      <c r="D92" s="193">
        <f>IFERROR(INDEX(Projetos!$Q$3:$Q$129,MATCH(Projeto_Objetivo[[#This Row],[SEI]],Projetos!$A$3:$A$129,0))," ")</f>
        <v>46157</v>
      </c>
      <c r="E92">
        <f>YEAR(Projeto_Objetivo[[#This Row],[Status]])</f>
        <v>2026</v>
      </c>
      <c r="F92" t="str">
        <f>$G$1&amp;Projeto_Objetivo[[#This Row],[SEI]]</f>
        <v>202411449/2024</v>
      </c>
      <c r="G92">
        <f>IFERROR(INDEX(Atualizações!$Q$1:$Q$1265,MATCH(F92,Atualizações!$P$1:$P$1265,0)),"0")</f>
        <v>1</v>
      </c>
      <c r="H92" t="str">
        <f>$I$1&amp;Projeto_Objetivo[[#This Row],[SEI]]</f>
        <v>202511449/2024</v>
      </c>
      <c r="I92">
        <f>IFERROR(INDEX(Atualizações!$Q$1:$Q$1265,MATCH(H92,Atualizações!$P$1:$P$1265,0)),"0")</f>
        <v>1</v>
      </c>
    </row>
    <row r="93" spans="1:9" ht="30">
      <c r="A93" s="149" t="s">
        <v>629</v>
      </c>
      <c r="B93" s="97" t="s">
        <v>630</v>
      </c>
      <c r="C93" s="7" t="s">
        <v>240</v>
      </c>
      <c r="D93" s="193">
        <f>IFERROR(INDEX(Projetos!$Q$3:$Q$129,MATCH(Projeto_Objetivo[[#This Row],[SEI]],Projetos!$A$3:$A$129,0))," ")</f>
        <v>46157</v>
      </c>
      <c r="E93">
        <f>YEAR(Projeto_Objetivo[[#This Row],[Status]])</f>
        <v>2026</v>
      </c>
      <c r="F93" t="str">
        <f>$G$1&amp;Projeto_Objetivo[[#This Row],[SEI]]</f>
        <v>202411449/2024</v>
      </c>
      <c r="G93">
        <f>IFERROR(INDEX(Atualizações!$Q$1:$Q$1265,MATCH(F93,Atualizações!$P$1:$P$1265,0)),"0")</f>
        <v>1</v>
      </c>
      <c r="H93" t="str">
        <f>$I$1&amp;Projeto_Objetivo[[#This Row],[SEI]]</f>
        <v>202511449/2024</v>
      </c>
      <c r="I93">
        <f>IFERROR(INDEX(Atualizações!$Q$1:$Q$1265,MATCH(H93,Atualizações!$P$1:$P$1265,0)),"0")</f>
        <v>1</v>
      </c>
    </row>
    <row r="94" spans="1:9" ht="30">
      <c r="A94" s="149" t="s">
        <v>533</v>
      </c>
      <c r="B94" s="97" t="s">
        <v>534</v>
      </c>
      <c r="C94" s="7" t="s">
        <v>88</v>
      </c>
      <c r="D94" s="193">
        <f>IFERROR(INDEX(Projetos!$Q$3:$Q$129,MATCH(Projeto_Objetivo[[#This Row],[SEI]],Projetos!$A$3:$A$129,0))," ")</f>
        <v>46167</v>
      </c>
      <c r="E94">
        <f>YEAR(Projeto_Objetivo[[#This Row],[Status]])</f>
        <v>2026</v>
      </c>
      <c r="F94" t="str">
        <f>$G$1&amp;Projeto_Objetivo[[#This Row],[SEI]]</f>
        <v>202409613/2024</v>
      </c>
      <c r="G94">
        <f>IFERROR(INDEX(Atualizações!$Q$1:$Q$1265,MATCH(F94,Atualizações!$P$1:$P$1265,0)),"0")</f>
        <v>1</v>
      </c>
      <c r="H94" t="str">
        <f>$I$1&amp;Projeto_Objetivo[[#This Row],[SEI]]</f>
        <v>202509613/2024</v>
      </c>
      <c r="I94">
        <f>IFERROR(INDEX(Atualizações!$Q$1:$Q$1265,MATCH(H94,Atualizações!$P$1:$P$1265,0)),"0")</f>
        <v>1</v>
      </c>
    </row>
    <row r="95" spans="1:9" ht="75">
      <c r="A95" s="149" t="s">
        <v>318</v>
      </c>
      <c r="B95" s="97" t="s">
        <v>319</v>
      </c>
      <c r="C95" s="7" t="s">
        <v>75</v>
      </c>
      <c r="D95" s="193">
        <f>IFERROR(INDEX(Projetos!$Q$3:$Q$129,MATCH(Projeto_Objetivo[[#This Row],[SEI]],Projetos!$A$3:$A$129,0))," ")</f>
        <v>45576</v>
      </c>
      <c r="E95">
        <f>YEAR(Projeto_Objetivo[[#This Row],[Status]])</f>
        <v>2024</v>
      </c>
      <c r="F95" t="str">
        <f>$G$1&amp;Projeto_Objetivo[[#This Row],[SEI]]</f>
        <v>202402888/2024</v>
      </c>
      <c r="G95">
        <f>IFERROR(INDEX(Atualizações!$Q$1:$Q$1265,MATCH(F95,Atualizações!$P$1:$P$1265,0)),"0")</f>
        <v>1</v>
      </c>
      <c r="H95" t="str">
        <f>$I$1&amp;Projeto_Objetivo[[#This Row],[SEI]]</f>
        <v>202502888/2024</v>
      </c>
      <c r="I95" t="str">
        <f>IFERROR(INDEX(Atualizações!$Q$1:$Q$1265,MATCH(H95,Atualizações!$P$1:$P$1265,0)),"0")</f>
        <v>0</v>
      </c>
    </row>
    <row r="96" spans="1:9">
      <c r="A96" s="133" t="s">
        <v>698</v>
      </c>
      <c r="B96" s="103" t="s">
        <v>699</v>
      </c>
      <c r="C96" s="2" t="s">
        <v>213</v>
      </c>
      <c r="D96" s="193">
        <f>IFERROR(INDEX(Projetos!$Q$3:$Q$129,MATCH(Projeto_Objetivo[[#This Row],[SEI]],Projetos!$A$3:$A$129,0))," ")</f>
        <v>46160</v>
      </c>
      <c r="E96">
        <f>YEAR(Projeto_Objetivo[[#This Row],[Status]])</f>
        <v>2026</v>
      </c>
      <c r="F96" t="str">
        <f>$G$1&amp;Projeto_Objetivo[[#This Row],[SEI]]</f>
        <v>202413898/2024</v>
      </c>
      <c r="G96">
        <f>IFERROR(INDEX(Atualizações!$Q$1:$Q$1265,MATCH(F96,Atualizações!$P$1:$P$1265,0)),"0")</f>
        <v>1</v>
      </c>
      <c r="H96" t="str">
        <f>$I$1&amp;Projeto_Objetivo[[#This Row],[SEI]]</f>
        <v>202513898/2024</v>
      </c>
      <c r="I96">
        <f>IFERROR(INDEX(Atualizações!$Q$1:$Q$1265,MATCH(H96,Atualizações!$P$1:$P$1265,0)),"0")</f>
        <v>1</v>
      </c>
    </row>
    <row r="97" spans="1:9" ht="75">
      <c r="A97" s="149" t="s">
        <v>310</v>
      </c>
      <c r="B97" s="97" t="s">
        <v>311</v>
      </c>
      <c r="C97" s="7" t="s">
        <v>75</v>
      </c>
      <c r="D97" s="193">
        <f>IFERROR(INDEX(Projetos!$Q$3:$Q$129,MATCH(Projeto_Objetivo[[#This Row],[SEI]],Projetos!$A$3:$A$129,0))," ")</f>
        <v>46137</v>
      </c>
      <c r="E97">
        <f>YEAR(Projeto_Objetivo[[#This Row],[Status]])</f>
        <v>2026</v>
      </c>
      <c r="F97" t="str">
        <f>$G$1&amp;Projeto_Objetivo[[#This Row],[SEI]]</f>
        <v>202402887/2024</v>
      </c>
      <c r="G97">
        <f>IFERROR(INDEX(Atualizações!$Q$1:$Q$1265,MATCH(F97,Atualizações!$P$1:$P$1265,0)),"0")</f>
        <v>1</v>
      </c>
      <c r="H97" t="str">
        <f>$I$1&amp;Projeto_Objetivo[[#This Row],[SEI]]</f>
        <v>202502887/2024</v>
      </c>
      <c r="I97">
        <f>IFERROR(INDEX(Atualizações!$Q$1:$Q$1265,MATCH(H97,Atualizações!$P$1:$P$1265,0)),"0")</f>
        <v>1</v>
      </c>
    </row>
    <row r="98" spans="1:9" ht="45">
      <c r="A98" s="149" t="s">
        <v>310</v>
      </c>
      <c r="B98" s="97" t="s">
        <v>311</v>
      </c>
      <c r="C98" s="2" t="s">
        <v>165</v>
      </c>
      <c r="D98" s="193">
        <f>IFERROR(INDEX(Projetos!$Q$3:$Q$129,MATCH(Projeto_Objetivo[[#This Row],[SEI]],Projetos!$A$3:$A$129,0))," ")</f>
        <v>46137</v>
      </c>
      <c r="E98">
        <f>YEAR(Projeto_Objetivo[[#This Row],[Status]])</f>
        <v>2026</v>
      </c>
      <c r="F98" t="str">
        <f>$G$1&amp;Projeto_Objetivo[[#This Row],[SEI]]</f>
        <v>202402887/2024</v>
      </c>
      <c r="G98">
        <f>IFERROR(INDEX(Atualizações!$Q$1:$Q$1265,MATCH(F98,Atualizações!$P$1:$P$1265,0)),"0")</f>
        <v>1</v>
      </c>
      <c r="H98" t="str">
        <f>$I$1&amp;Projeto_Objetivo[[#This Row],[SEI]]</f>
        <v>202502887/2024</v>
      </c>
      <c r="I98">
        <f>IFERROR(INDEX(Atualizações!$Q$1:$Q$1265,MATCH(H98,Atualizações!$P$1:$P$1265,0)),"0")</f>
        <v>1</v>
      </c>
    </row>
    <row r="99" spans="1:9" ht="30">
      <c r="A99" s="149" t="s">
        <v>310</v>
      </c>
      <c r="B99" s="97" t="s">
        <v>311</v>
      </c>
      <c r="C99" s="7" t="s">
        <v>62</v>
      </c>
      <c r="D99" s="193">
        <f>IFERROR(INDEX(Projetos!$Q$3:$Q$129,MATCH(Projeto_Objetivo[[#This Row],[SEI]],Projetos!$A$3:$A$129,0))," ")</f>
        <v>46137</v>
      </c>
      <c r="E99">
        <f>YEAR(Projeto_Objetivo[[#This Row],[Status]])</f>
        <v>2026</v>
      </c>
      <c r="F99" t="str">
        <f>$G$1&amp;Projeto_Objetivo[[#This Row],[SEI]]</f>
        <v>202402887/2024</v>
      </c>
      <c r="G99">
        <f>IFERROR(INDEX(Atualizações!$Q$1:$Q$1265,MATCH(F99,Atualizações!$P$1:$P$1265,0)),"0")</f>
        <v>1</v>
      </c>
      <c r="H99" t="str">
        <f>$I$1&amp;Projeto_Objetivo[[#This Row],[SEI]]</f>
        <v>202502887/2024</v>
      </c>
      <c r="I99">
        <f>IFERROR(INDEX(Atualizações!$Q$1:$Q$1265,MATCH(H99,Atualizações!$P$1:$P$1265,0)),"0")</f>
        <v>1</v>
      </c>
    </row>
    <row r="100" spans="1:9" ht="30">
      <c r="A100" s="133" t="s">
        <v>690</v>
      </c>
      <c r="B100" s="18" t="s">
        <v>691</v>
      </c>
      <c r="C100" s="7" t="s">
        <v>390</v>
      </c>
      <c r="D100" s="193">
        <f>IFERROR(INDEX(Projetos!$Q$3:$Q$129,MATCH(Projeto_Objetivo[[#This Row],[SEI]],Projetos!$A$3:$A$129,0))," ")</f>
        <v>46167</v>
      </c>
      <c r="E100">
        <f>YEAR(Projeto_Objetivo[[#This Row],[Status]])</f>
        <v>2026</v>
      </c>
      <c r="F100" t="str">
        <f>$G$1&amp;Projeto_Objetivo[[#This Row],[SEI]]</f>
        <v>202412215/2023</v>
      </c>
      <c r="G100">
        <f>IFERROR(INDEX(Atualizações!$Q$1:$Q$1265,MATCH(F100,Atualizações!$P$1:$P$1265,0)),"0")</f>
        <v>1</v>
      </c>
      <c r="H100" t="str">
        <f>$I$1&amp;Projeto_Objetivo[[#This Row],[SEI]]</f>
        <v>202512215/2023</v>
      </c>
      <c r="I100">
        <f>IFERROR(INDEX(Atualizações!$Q$1:$Q$1265,MATCH(H100,Atualizações!$P$1:$P$1265,0)),"0")</f>
        <v>1</v>
      </c>
    </row>
    <row r="101" spans="1:9" ht="30">
      <c r="A101" s="133" t="s">
        <v>690</v>
      </c>
      <c r="B101" s="79" t="s">
        <v>691</v>
      </c>
      <c r="C101" s="7" t="s">
        <v>88</v>
      </c>
      <c r="D101" s="193">
        <f>IFERROR(INDEX(Projetos!$Q$3:$Q$129,MATCH(Projeto_Objetivo[[#This Row],[SEI]],Projetos!$A$3:$A$129,0))," ")</f>
        <v>46167</v>
      </c>
      <c r="E101">
        <f>YEAR(Projeto_Objetivo[[#This Row],[Status]])</f>
        <v>2026</v>
      </c>
      <c r="F101" t="str">
        <f>$G$1&amp;Projeto_Objetivo[[#This Row],[SEI]]</f>
        <v>202412215/2023</v>
      </c>
      <c r="G101">
        <f>IFERROR(INDEX(Atualizações!$Q$1:$Q$1265,MATCH(F101,Atualizações!$P$1:$P$1265,0)),"0")</f>
        <v>1</v>
      </c>
      <c r="H101" t="str">
        <f>$I$1&amp;Projeto_Objetivo[[#This Row],[SEI]]</f>
        <v>202512215/2023</v>
      </c>
      <c r="I101">
        <f>IFERROR(INDEX(Atualizações!$Q$1:$Q$1265,MATCH(H101,Atualizações!$P$1:$P$1265,0)),"0")</f>
        <v>1</v>
      </c>
    </row>
    <row r="102" spans="1:9" ht="30">
      <c r="A102" s="133" t="s">
        <v>690</v>
      </c>
      <c r="B102" s="79" t="s">
        <v>691</v>
      </c>
      <c r="C102" s="7" t="s">
        <v>240</v>
      </c>
      <c r="D102" s="193">
        <f>IFERROR(INDEX(Projetos!$Q$3:$Q$129,MATCH(Projeto_Objetivo[[#This Row],[SEI]],Projetos!$A$3:$A$129,0))," ")</f>
        <v>46167</v>
      </c>
      <c r="E102">
        <f>YEAR(Projeto_Objetivo[[#This Row],[Status]])</f>
        <v>2026</v>
      </c>
      <c r="F102" t="str">
        <f>$G$1&amp;Projeto_Objetivo[[#This Row],[SEI]]</f>
        <v>202412215/2023</v>
      </c>
      <c r="G102">
        <f>IFERROR(INDEX(Atualizações!$Q$1:$Q$1265,MATCH(F102,Atualizações!$P$1:$P$1265,0)),"0")</f>
        <v>1</v>
      </c>
      <c r="H102" t="str">
        <f>$I$1&amp;Projeto_Objetivo[[#This Row],[SEI]]</f>
        <v>202512215/2023</v>
      </c>
      <c r="I102">
        <f>IFERROR(INDEX(Atualizações!$Q$1:$Q$1265,MATCH(H102,Atualizações!$P$1:$P$1265,0)),"0")</f>
        <v>1</v>
      </c>
    </row>
    <row r="103" spans="1:9" ht="45">
      <c r="A103" s="24" t="s">
        <v>458</v>
      </c>
      <c r="B103" s="5" t="s">
        <v>459</v>
      </c>
      <c r="C103" s="2" t="s">
        <v>165</v>
      </c>
      <c r="D103" s="193">
        <f>IFERROR(INDEX(Projetos!$Q$3:$Q$129,MATCH(Projeto_Objetivo[[#This Row],[SEI]],Projetos!$A$3:$A$129,0))," ")</f>
        <v>46112</v>
      </c>
      <c r="E103">
        <f>YEAR(Projeto_Objetivo[[#This Row],[Status]])</f>
        <v>2026</v>
      </c>
      <c r="F103" t="str">
        <f>$G$1&amp;Projeto_Objetivo[[#This Row],[SEI]]</f>
        <v>202408370/2024</v>
      </c>
      <c r="G103">
        <f>IFERROR(INDEX(Atualizações!$Q$1:$Q$1265,MATCH(F103,Atualizações!$P$1:$P$1265,0)),"0")</f>
        <v>1</v>
      </c>
      <c r="H103" t="str">
        <f>$I$1&amp;Projeto_Objetivo[[#This Row],[SEI]]</f>
        <v>202508370/2024</v>
      </c>
      <c r="I103">
        <f>IFERROR(INDEX(Atualizações!$Q$1:$Q$1265,MATCH(H103,Atualizações!$P$1:$P$1265,0)),"0")</f>
        <v>1</v>
      </c>
    </row>
    <row r="104" spans="1:9" ht="30">
      <c r="A104" s="149" t="s">
        <v>83</v>
      </c>
      <c r="B104" s="210" t="s">
        <v>84</v>
      </c>
      <c r="C104" s="7" t="s">
        <v>88</v>
      </c>
      <c r="D104" s="193">
        <f>IFERROR(INDEX(Projetos!$Q$3:$Q$129,MATCH(Projeto_Objetivo[[#This Row],[SEI]],Projetos!$A$3:$A$129,0))," ")</f>
        <v>46167</v>
      </c>
      <c r="E104">
        <f>YEAR(Projeto_Objetivo[[#This Row],[Status]])</f>
        <v>2026</v>
      </c>
      <c r="F104" t="str">
        <f>$G$1&amp;Projeto_Objetivo[[#This Row],[SEI]]</f>
        <v>202400484/2024</v>
      </c>
      <c r="G104">
        <f>IFERROR(INDEX(Atualizações!$Q$1:$Q$1265,MATCH(F104,Atualizações!$P$1:$P$1265,0)),"0")</f>
        <v>1</v>
      </c>
      <c r="H104" t="str">
        <f>$I$1&amp;Projeto_Objetivo[[#This Row],[SEI]]</f>
        <v>202500484/2024</v>
      </c>
      <c r="I104">
        <f>IFERROR(INDEX(Atualizações!$Q$1:$Q$1265,MATCH(H104,Atualizações!$P$1:$P$1265,0)),"0")</f>
        <v>1</v>
      </c>
    </row>
    <row r="105" spans="1:9" ht="30">
      <c r="A105" s="149" t="s">
        <v>83</v>
      </c>
      <c r="B105" s="210" t="s">
        <v>84</v>
      </c>
      <c r="C105" s="7" t="s">
        <v>455</v>
      </c>
      <c r="D105" s="193">
        <f>IFERROR(INDEX(Projetos!$Q$3:$Q$129,MATCH(Projeto_Objetivo[[#This Row],[SEI]],Projetos!$A$3:$A$129,0))," ")</f>
        <v>46167</v>
      </c>
      <c r="E105">
        <f>YEAR(Projeto_Objetivo[[#This Row],[Status]])</f>
        <v>2026</v>
      </c>
      <c r="F105" t="str">
        <f>$G$1&amp;Projeto_Objetivo[[#This Row],[SEI]]</f>
        <v>202400484/2024</v>
      </c>
      <c r="G105">
        <f>IFERROR(INDEX(Atualizações!$Q$1:$Q$1265,MATCH(F105,Atualizações!$P$1:$P$1265,0)),"0")</f>
        <v>1</v>
      </c>
      <c r="H105" t="str">
        <f>$I$1&amp;Projeto_Objetivo[[#This Row],[SEI]]</f>
        <v>202500484/2024</v>
      </c>
      <c r="I105">
        <f>IFERROR(INDEX(Atualizações!$Q$1:$Q$1265,MATCH(H105,Atualizações!$P$1:$P$1265,0)),"0")</f>
        <v>1</v>
      </c>
    </row>
    <row r="106" spans="1:9" ht="30">
      <c r="A106" s="24" t="s">
        <v>523</v>
      </c>
      <c r="B106" s="5" t="s">
        <v>1643</v>
      </c>
      <c r="C106" s="7" t="s">
        <v>672</v>
      </c>
      <c r="D106" s="193">
        <f>IFERROR(INDEX(Projetos!$Q$3:$Q$129,MATCH(Projeto_Objetivo[[#This Row],[SEI]],Projetos!$A$3:$A$129,0))," ")</f>
        <v>46007</v>
      </c>
      <c r="E106">
        <f>YEAR(Projeto_Objetivo[[#This Row],[Status]])</f>
        <v>2025</v>
      </c>
      <c r="F106" t="str">
        <f>$G$1&amp;Projeto_Objetivo[[#This Row],[SEI]]</f>
        <v>202409536/2024</v>
      </c>
      <c r="G106">
        <f>IFERROR(INDEX(Atualizações!$Q$1:$Q$1265,MATCH(F106,Atualizações!$P$1:$P$1265,0)),"0")</f>
        <v>1</v>
      </c>
      <c r="H106" t="str">
        <f>$I$1&amp;Projeto_Objetivo[[#This Row],[SEI]]</f>
        <v>202509536/2024</v>
      </c>
      <c r="I106">
        <f>IFERROR(INDEX(Atualizações!$Q$1:$Q$1265,MATCH(H106,Atualizações!$P$1:$P$1265,0)),"0")</f>
        <v>1</v>
      </c>
    </row>
    <row r="107" spans="1:9" ht="30">
      <c r="A107" s="24" t="s">
        <v>523</v>
      </c>
      <c r="B107" s="5" t="s">
        <v>1643</v>
      </c>
      <c r="C107" s="5" t="s">
        <v>1620</v>
      </c>
      <c r="D107" s="193">
        <f>IFERROR(INDEX(Projetos!$Q$3:$Q$129,MATCH(Projeto_Objetivo[[#This Row],[SEI]],Projetos!$A$3:$A$129,0))," ")</f>
        <v>46007</v>
      </c>
      <c r="E107">
        <f>YEAR(Projeto_Objetivo[[#This Row],[Status]])</f>
        <v>2025</v>
      </c>
      <c r="F107" t="str">
        <f>$G$1&amp;Projeto_Objetivo[[#This Row],[SEI]]</f>
        <v>202409536/2024</v>
      </c>
      <c r="G107">
        <f>IFERROR(INDEX(Atualizações!$Q$1:$Q$1265,MATCH(F107,Atualizações!$P$1:$P$1265,0)),"0")</f>
        <v>1</v>
      </c>
      <c r="H107" t="str">
        <f>$I$1&amp;Projeto_Objetivo[[#This Row],[SEI]]</f>
        <v>202509536/2024</v>
      </c>
      <c r="I107">
        <f>IFERROR(INDEX(Atualizações!$Q$1:$Q$1265,MATCH(H107,Atualizações!$P$1:$P$1265,0)),"0")</f>
        <v>1</v>
      </c>
    </row>
    <row r="108" spans="1:9" ht="30">
      <c r="A108" s="23" t="s">
        <v>638</v>
      </c>
      <c r="B108" s="665" t="s">
        <v>639</v>
      </c>
      <c r="C108" s="7" t="s">
        <v>240</v>
      </c>
      <c r="D108" s="193">
        <f>IFERROR(INDEX(Projetos!$Q$3:$Q$129,MATCH(Projeto_Objetivo[[#This Row],[SEI]],Projetos!$A$3:$A$129,0))," ")</f>
        <v>46167</v>
      </c>
      <c r="E108">
        <f>YEAR(Projeto_Objetivo[[#This Row],[Status]])</f>
        <v>2026</v>
      </c>
      <c r="F108" t="str">
        <f>$G$1&amp;Projeto_Objetivo[[#This Row],[SEI]]</f>
        <v>202411644/2022</v>
      </c>
      <c r="G108">
        <f>IFERROR(INDEX(Atualizações!$Q$1:$Q$1265,MATCH(F108,Atualizações!$P$1:$P$1265,0)),"0")</f>
        <v>1</v>
      </c>
      <c r="H108" t="str">
        <f>$I$1&amp;Projeto_Objetivo[[#This Row],[SEI]]</f>
        <v>202511644/2022</v>
      </c>
      <c r="I108">
        <f>IFERROR(INDEX(Atualizações!$Q$1:$Q$1265,MATCH(H108,Atualizações!$P$1:$P$1265,0)),"0")</f>
        <v>1</v>
      </c>
    </row>
    <row r="109" spans="1:9" ht="45">
      <c r="A109" s="664" t="s">
        <v>638</v>
      </c>
      <c r="B109" s="665" t="s">
        <v>639</v>
      </c>
      <c r="C109" s="2" t="s">
        <v>165</v>
      </c>
      <c r="D109" s="193">
        <f>IFERROR(INDEX(Projetos!$Q$3:$Q$129,MATCH(Projeto_Objetivo[[#This Row],[SEI]],Projetos!$A$3:$A$129,0))," ")</f>
        <v>46167</v>
      </c>
      <c r="E109">
        <f>YEAR(Projeto_Objetivo[[#This Row],[Status]])</f>
        <v>2026</v>
      </c>
      <c r="F109" t="str">
        <f>$G$1&amp;Projeto_Objetivo[[#This Row],[SEI]]</f>
        <v>202411644/2022</v>
      </c>
      <c r="G109">
        <f>IFERROR(INDEX(Atualizações!$Q$1:$Q$1265,MATCH(F109,Atualizações!$P$1:$P$1265,0)),"0")</f>
        <v>1</v>
      </c>
      <c r="H109" t="str">
        <f>$I$1&amp;Projeto_Objetivo[[#This Row],[SEI]]</f>
        <v>202511644/2022</v>
      </c>
      <c r="I109">
        <f>IFERROR(INDEX(Atualizações!$Q$1:$Q$1265,MATCH(H109,Atualizações!$P$1:$P$1265,0)),"0")</f>
        <v>1</v>
      </c>
    </row>
    <row r="110" spans="1:9" ht="75">
      <c r="A110" s="192" t="s">
        <v>247</v>
      </c>
      <c r="B110" s="5" t="str">
        <f>IFERROR(INDEX(Projetos!$B$3:$B$129,MATCH(Projeto_Objetivo[[#This Row],[SEI]],Projetos!$A$3:$A$129,0))," ")</f>
        <v>Portal de Serviços</v>
      </c>
      <c r="C110" s="7" t="s">
        <v>75</v>
      </c>
      <c r="D110" s="193">
        <f>IFERROR(INDEX(Projetos!$Q$3:$Q$129,MATCH(Projeto_Objetivo[[#This Row],[SEI]],Projetos!$A$3:$A$129,0))," ")</f>
        <v>46167</v>
      </c>
      <c r="E110">
        <f>YEAR(Projeto_Objetivo[[#This Row],[Status]])</f>
        <v>2026</v>
      </c>
      <c r="F110" t="str">
        <f>$G$1&amp;Projeto_Objetivo[[#This Row],[SEI]]</f>
        <v>202402394/2024</v>
      </c>
      <c r="G110">
        <f>IFERROR(INDEX(Atualizações!$Q$1:$Q$1265,MATCH(F110,Atualizações!$P$1:$P$1265,0)),"0")</f>
        <v>1</v>
      </c>
      <c r="H110" t="str">
        <f>$I$1&amp;Projeto_Objetivo[[#This Row],[SEI]]</f>
        <v>202502394/2024</v>
      </c>
      <c r="I110">
        <f>IFERROR(INDEX(Atualizações!$Q$1:$Q$1265,MATCH(H110,Atualizações!$P$1:$P$1265,0)),"0")</f>
        <v>1</v>
      </c>
    </row>
    <row r="111" spans="1:9" ht="30">
      <c r="A111" s="192" t="s">
        <v>247</v>
      </c>
      <c r="B111" s="5" t="str">
        <f>IFERROR(INDEX(Projetos!$B$3:$B$129,MATCH(Projeto_Objetivo[[#This Row],[SEI]],Projetos!$A$3:$A$129,0))," ")</f>
        <v>Portal de Serviços</v>
      </c>
      <c r="C111" s="7" t="s">
        <v>240</v>
      </c>
      <c r="D111" s="193">
        <f>IFERROR(INDEX(Projetos!$Q$3:$Q$129,MATCH(Projeto_Objetivo[[#This Row],[SEI]],Projetos!$A$3:$A$129,0))," ")</f>
        <v>46167</v>
      </c>
      <c r="E111">
        <f>YEAR(Projeto_Objetivo[[#This Row],[Status]])</f>
        <v>2026</v>
      </c>
      <c r="F111" t="str">
        <f>$G$1&amp;Projeto_Objetivo[[#This Row],[SEI]]</f>
        <v>202402394/2024</v>
      </c>
      <c r="G111">
        <f>IFERROR(INDEX(Atualizações!$Q$1:$Q$1265,MATCH(F111,Atualizações!$P$1:$P$1265,0)),"0")</f>
        <v>1</v>
      </c>
      <c r="H111" t="str">
        <f>$I$1&amp;Projeto_Objetivo[[#This Row],[SEI]]</f>
        <v>202502394/2024</v>
      </c>
      <c r="I111">
        <f>IFERROR(INDEX(Atualizações!$Q$1:$Q$1265,MATCH(H111,Atualizações!$P$1:$P$1265,0)),"0")</f>
        <v>1</v>
      </c>
    </row>
    <row r="112" spans="1:9">
      <c r="A112" s="192" t="s">
        <v>247</v>
      </c>
      <c r="B112" s="5" t="str">
        <f>IFERROR(INDEX(Projetos!$B$3:$B$129,MATCH(Projeto_Objetivo[[#This Row],[SEI]],Projetos!$A$3:$A$129,0))," ")</f>
        <v>Portal de Serviços</v>
      </c>
      <c r="C112" s="7" t="s">
        <v>104</v>
      </c>
      <c r="D112" s="193">
        <f>IFERROR(INDEX(Projetos!$Q$3:$Q$129,MATCH(Projeto_Objetivo[[#This Row],[SEI]],Projetos!$A$3:$A$129,0))," ")</f>
        <v>46167</v>
      </c>
      <c r="E112">
        <f>YEAR(Projeto_Objetivo[[#This Row],[Status]])</f>
        <v>2026</v>
      </c>
      <c r="F112" t="str">
        <f>$G$1&amp;Projeto_Objetivo[[#This Row],[SEI]]</f>
        <v>202402394/2024</v>
      </c>
      <c r="G112">
        <f>IFERROR(INDEX(Atualizações!$Q$1:$Q$1265,MATCH(F112,Atualizações!$P$1:$P$1265,0)),"0")</f>
        <v>1</v>
      </c>
      <c r="H112" t="str">
        <f>$I$1&amp;Projeto_Objetivo[[#This Row],[SEI]]</f>
        <v>202502394/2024</v>
      </c>
      <c r="I112">
        <f>IFERROR(INDEX(Atualizações!$Q$1:$Q$1265,MATCH(H112,Atualizações!$P$1:$P$1265,0)),"0")</f>
        <v>1</v>
      </c>
    </row>
    <row r="113" spans="1:9" ht="75">
      <c r="A113" s="24" t="s">
        <v>539</v>
      </c>
      <c r="B113" s="5" t="str">
        <f>IFERROR(INDEX(Projetos!$B$3:$B$129,MATCH(Projeto_Objetivo[[#This Row],[SEI]],Projetos!$A$3:$A$129,0))," ")</f>
        <v>Desenvolvimento do módulo de Sessão de Julgamento (PDPJ-Br)</v>
      </c>
      <c r="C113" s="7" t="s">
        <v>75</v>
      </c>
      <c r="D113" s="193">
        <f>IFERROR(INDEX(Projetos!$Q$3:$Q$129,MATCH(Projeto_Objetivo[[#This Row],[SEI]],Projetos!$A$3:$A$129,0))," ")</f>
        <v>46167</v>
      </c>
      <c r="E113">
        <f>YEAR(Projeto_Objetivo[[#This Row],[Status]])</f>
        <v>2026</v>
      </c>
      <c r="F113" t="str">
        <f>$G$1&amp;Projeto_Objetivo[[#This Row],[SEI]]</f>
        <v>202409630/2024</v>
      </c>
      <c r="G113">
        <f>IFERROR(INDEX(Atualizações!$Q$1:$Q$1265,MATCH(F113,Atualizações!$P$1:$P$1265,0)),"0")</f>
        <v>1</v>
      </c>
      <c r="H113" t="str">
        <f>$I$1&amp;Projeto_Objetivo[[#This Row],[SEI]]</f>
        <v>202509630/2024</v>
      </c>
      <c r="I113">
        <f>IFERROR(INDEX(Atualizações!$Q$1:$Q$1265,MATCH(H113,Atualizações!$P$1:$P$1265,0)),"0")</f>
        <v>1</v>
      </c>
    </row>
    <row r="114" spans="1:9" ht="45">
      <c r="A114" s="24" t="s">
        <v>539</v>
      </c>
      <c r="B114" s="5" t="str">
        <f>IFERROR(INDEX(Projetos!$B$3:$B$129,MATCH(Projeto_Objetivo[[#This Row],[SEI]],Projetos!$A$3:$A$129,0))," ")</f>
        <v>Desenvolvimento do módulo de Sessão de Julgamento (PDPJ-Br)</v>
      </c>
      <c r="C114" s="2" t="s">
        <v>165</v>
      </c>
      <c r="D114" s="193">
        <f>IFERROR(INDEX(Projetos!$Q$3:$Q$129,MATCH(Projeto_Objetivo[[#This Row],[SEI]],Projetos!$A$3:$A$129,0))," ")</f>
        <v>46167</v>
      </c>
      <c r="E114">
        <f>YEAR(Projeto_Objetivo[[#This Row],[Status]])</f>
        <v>2026</v>
      </c>
      <c r="F114" t="str">
        <f>$G$1&amp;Projeto_Objetivo[[#This Row],[SEI]]</f>
        <v>202409630/2024</v>
      </c>
      <c r="G114">
        <f>IFERROR(INDEX(Atualizações!$Q$1:$Q$1265,MATCH(F114,Atualizações!$P$1:$P$1265,0)),"0")</f>
        <v>1</v>
      </c>
      <c r="H114" t="str">
        <f>$I$1&amp;Projeto_Objetivo[[#This Row],[SEI]]</f>
        <v>202509630/2024</v>
      </c>
      <c r="I114">
        <f>IFERROR(INDEX(Atualizações!$Q$1:$Q$1265,MATCH(H114,Atualizações!$P$1:$P$1265,0)),"0")</f>
        <v>1</v>
      </c>
    </row>
    <row r="115" spans="1:9">
      <c r="A115" s="24" t="s">
        <v>539</v>
      </c>
      <c r="B115" s="5" t="str">
        <f>IFERROR(INDEX(Projetos!$B$3:$B$129,MATCH(Projeto_Objetivo[[#This Row],[SEI]],Projetos!$A$3:$A$129,0))," ")</f>
        <v>Desenvolvimento do módulo de Sessão de Julgamento (PDPJ-Br)</v>
      </c>
      <c r="C115" s="7" t="s">
        <v>104</v>
      </c>
      <c r="D115" s="193">
        <f>IFERROR(INDEX(Projetos!$Q$3:$Q$129,MATCH(Projeto_Objetivo[[#This Row],[SEI]],Projetos!$A$3:$A$129,0))," ")</f>
        <v>46167</v>
      </c>
      <c r="E115">
        <f>YEAR(Projeto_Objetivo[[#This Row],[Status]])</f>
        <v>2026</v>
      </c>
      <c r="F115" t="str">
        <f>$G$1&amp;Projeto_Objetivo[[#This Row],[SEI]]</f>
        <v>202409630/2024</v>
      </c>
      <c r="G115">
        <f>IFERROR(INDEX(Atualizações!$Q$1:$Q$1265,MATCH(F115,Atualizações!$P$1:$P$1265,0)),"0")</f>
        <v>1</v>
      </c>
      <c r="H115" t="str">
        <f>$I$1&amp;Projeto_Objetivo[[#This Row],[SEI]]</f>
        <v>202509630/2024</v>
      </c>
      <c r="I115">
        <f>IFERROR(INDEX(Atualizações!$Q$1:$Q$1265,MATCH(H115,Atualizações!$P$1:$P$1265,0)),"0")</f>
        <v>1</v>
      </c>
    </row>
    <row r="116" spans="1:9" ht="30">
      <c r="A116" s="24" t="s">
        <v>599</v>
      </c>
      <c r="B116" s="5" t="str">
        <f>IFERROR(INDEX(Projetos!$B$3:$B$129,MATCH(Projeto_Objetivo[[#This Row],[SEI]],Projetos!$A$3:$A$129,0))," ")</f>
        <v>BNMP 3.0 – Banco Nacional de Medidas Penais e Prisões – Fase 2</v>
      </c>
      <c r="C116" s="7" t="s">
        <v>240</v>
      </c>
      <c r="D116" s="193">
        <f>IFERROR(INDEX(Projetos!$Q$3:$Q$129,MATCH(Projeto_Objetivo[[#This Row],[SEI]],Projetos!$A$3:$A$129,0))," ")</f>
        <v>45534</v>
      </c>
      <c r="E116">
        <f>YEAR(Projeto_Objetivo[[#This Row],[Status]])</f>
        <v>2024</v>
      </c>
      <c r="F116" t="str">
        <f>$G$1&amp;Projeto_Objetivo[[#This Row],[SEI]]</f>
        <v>202410965/2023</v>
      </c>
      <c r="G116">
        <f>IFERROR(INDEX(Atualizações!$Q$1:$Q$1265,MATCH(F116,Atualizações!$P$1:$P$1265,0)),"0")</f>
        <v>1</v>
      </c>
      <c r="H116" t="str">
        <f>$I$1&amp;Projeto_Objetivo[[#This Row],[SEI]]</f>
        <v>202510965/2023</v>
      </c>
      <c r="I116" t="str">
        <f>IFERROR(INDEX(Atualizações!$Q$1:$Q$1265,MATCH(H116,Atualizações!$P$1:$P$1265,0)),"0")</f>
        <v>0</v>
      </c>
    </row>
    <row r="117" spans="1:9" ht="30">
      <c r="A117" s="24" t="s">
        <v>781</v>
      </c>
      <c r="B117" s="5" t="str">
        <f>IFERROR(INDEX(Projetos!$B$3:$B$129,MATCH(Projeto_Objetivo[[#This Row],[SEI]],Projetos!$A$3:$A$129,0))," ")</f>
        <v>Audiência de Custódia (sistema penal)</v>
      </c>
      <c r="C117" s="7" t="s">
        <v>240</v>
      </c>
      <c r="D117" s="193">
        <f>IFERROR(INDEX(Projetos!$Q$3:$Q$129,MATCH(Projeto_Objetivo[[#This Row],[SEI]],Projetos!$A$3:$A$129,0))," ")</f>
        <v>45642</v>
      </c>
      <c r="E117">
        <f>YEAR(Projeto_Objetivo[[#This Row],[Status]])</f>
        <v>2024</v>
      </c>
      <c r="F117" t="str">
        <f>$G$1&amp;Projeto_Objetivo[[#This Row],[SEI]]</f>
        <v>202417466/2024</v>
      </c>
      <c r="G117">
        <f>IFERROR(INDEX(Atualizações!$Q$1:$Q$1265,MATCH(F117,Atualizações!$P$1:$P$1265,0)),"0")</f>
        <v>1</v>
      </c>
      <c r="H117" t="str">
        <f>$I$1&amp;Projeto_Objetivo[[#This Row],[SEI]]</f>
        <v>202517466/2024</v>
      </c>
      <c r="I117" t="str">
        <f>IFERROR(INDEX(Atualizações!$Q$1:$Q$1265,MATCH(H117,Atualizações!$P$1:$P$1265,0)),"0")</f>
        <v>0</v>
      </c>
    </row>
    <row r="118" spans="1:9" ht="75">
      <c r="A118" s="24" t="s">
        <v>781</v>
      </c>
      <c r="B118" s="5" t="str">
        <f>IFERROR(INDEX(Projetos!$B$3:$B$129,MATCH(Projeto_Objetivo[[#This Row],[SEI]],Projetos!$A$3:$A$129,0))," ")</f>
        <v>Audiência de Custódia (sistema penal)</v>
      </c>
      <c r="C118" s="7" t="s">
        <v>75</v>
      </c>
      <c r="D118" s="193">
        <f>IFERROR(INDEX(Projetos!$Q$3:$Q$129,MATCH(Projeto_Objetivo[[#This Row],[SEI]],Projetos!$A$3:$A$129,0))," ")</f>
        <v>45642</v>
      </c>
      <c r="E118">
        <f>YEAR(Projeto_Objetivo[[#This Row],[Status]])</f>
        <v>2024</v>
      </c>
      <c r="F118" t="str">
        <f>$G$1&amp;Projeto_Objetivo[[#This Row],[SEI]]</f>
        <v>202417466/2024</v>
      </c>
      <c r="G118">
        <f>IFERROR(INDEX(Atualizações!$Q$1:$Q$1265,MATCH(F118,Atualizações!$P$1:$P$1265,0)),"0")</f>
        <v>1</v>
      </c>
      <c r="H118" t="str">
        <f>$I$1&amp;Projeto_Objetivo[[#This Row],[SEI]]</f>
        <v>202517466/2024</v>
      </c>
      <c r="I118" t="str">
        <f>IFERROR(INDEX(Atualizações!$Q$1:$Q$1265,MATCH(H118,Atualizações!$P$1:$P$1265,0)),"0")</f>
        <v>0</v>
      </c>
    </row>
    <row r="119" spans="1:9" ht="30">
      <c r="A119" s="24" t="s">
        <v>792</v>
      </c>
      <c r="B119" s="5" t="str">
        <f>IFERROR(INDEX(Projetos!$B$3:$B$129,MATCH(Projeto_Objetivo[[#This Row],[SEI]],Projetos!$A$3:$A$129,0))," ")</f>
        <v>Alternativas Penais (sistema penal)</v>
      </c>
      <c r="C119" s="7" t="s">
        <v>240</v>
      </c>
      <c r="D119" s="193">
        <f>IFERROR(INDEX(Projetos!$Q$3:$Q$129,MATCH(Projeto_Objetivo[[#This Row],[SEI]],Projetos!$A$3:$A$129,0))," ")</f>
        <v>45642</v>
      </c>
      <c r="E119">
        <f>YEAR(Projeto_Objetivo[[#This Row],[Status]])</f>
        <v>2024</v>
      </c>
      <c r="F119" t="str">
        <f>$G$1&amp;Projeto_Objetivo[[#This Row],[SEI]]</f>
        <v>2024174661/2024</v>
      </c>
      <c r="G119">
        <f>IFERROR(INDEX(Atualizações!$Q$1:$Q$1265,MATCH(F119,Atualizações!$P$1:$P$1265,0)),"0")</f>
        <v>1</v>
      </c>
      <c r="H119" t="str">
        <f>$I$1&amp;Projeto_Objetivo[[#This Row],[SEI]]</f>
        <v>2025174661/2024</v>
      </c>
      <c r="I119" t="str">
        <f>IFERROR(INDEX(Atualizações!$Q$1:$Q$1265,MATCH(H119,Atualizações!$P$1:$P$1265,0)),"0")</f>
        <v>0</v>
      </c>
    </row>
    <row r="120" spans="1:9" ht="75">
      <c r="A120" s="24" t="s">
        <v>792</v>
      </c>
      <c r="B120" s="5" t="str">
        <f>IFERROR(INDEX(Projetos!$B$3:$B$129,MATCH(Projeto_Objetivo[[#This Row],[SEI]],Projetos!$A$3:$A$129,0))," ")</f>
        <v>Alternativas Penais (sistema penal)</v>
      </c>
      <c r="C120" s="7" t="s">
        <v>75</v>
      </c>
      <c r="D120" s="193">
        <f>IFERROR(INDEX(Projetos!$Q$3:$Q$129,MATCH(Projeto_Objetivo[[#This Row],[SEI]],Projetos!$A$3:$A$129,0))," ")</f>
        <v>45642</v>
      </c>
      <c r="E120">
        <f>YEAR(Projeto_Objetivo[[#This Row],[Status]])</f>
        <v>2024</v>
      </c>
      <c r="F120" t="str">
        <f>$G$1&amp;Projeto_Objetivo[[#This Row],[SEI]]</f>
        <v>2024174661/2024</v>
      </c>
      <c r="G120">
        <f>IFERROR(INDEX(Atualizações!$Q$1:$Q$1265,MATCH(F120,Atualizações!$P$1:$P$1265,0)),"0")</f>
        <v>1</v>
      </c>
      <c r="H120" t="str">
        <f>$I$1&amp;Projeto_Objetivo[[#This Row],[SEI]]</f>
        <v>2025174661/2024</v>
      </c>
      <c r="I120" t="str">
        <f>IFERROR(INDEX(Atualizações!$Q$1:$Q$1265,MATCH(H120,Atualizações!$P$1:$P$1265,0)),"0")</f>
        <v>0</v>
      </c>
    </row>
    <row r="121" spans="1:9" ht="30">
      <c r="A121" s="24" t="s">
        <v>839</v>
      </c>
      <c r="B121" s="5" t="str">
        <f>IFERROR(INDEX(Projetos!$B$3:$B$129,MATCH(Projeto_Objetivo[[#This Row],[SEI]],Projetos!$A$3:$A$129,0))," ")</f>
        <v>Monitoração Eletrônica (sistema penal)</v>
      </c>
      <c r="C121" s="7" t="s">
        <v>240</v>
      </c>
      <c r="D121" s="193">
        <f>IFERROR(INDEX(Projetos!$Q$3:$Q$129,MATCH(Projeto_Objetivo[[#This Row],[SEI]],Projetos!$A$3:$A$129,0))," ")</f>
        <v>45642</v>
      </c>
      <c r="E121">
        <f>YEAR(Projeto_Objetivo[[#This Row],[Status]])</f>
        <v>2024</v>
      </c>
      <c r="F121" t="str">
        <f>$G$1&amp;Projeto_Objetivo[[#This Row],[SEI]]</f>
        <v>2024174662/2024</v>
      </c>
      <c r="G121">
        <f>IFERROR(INDEX(Atualizações!$Q$1:$Q$1265,MATCH(F121,Atualizações!$P$1:$P$1265,0)),"0")</f>
        <v>1</v>
      </c>
      <c r="H121" t="str">
        <f>$I$1&amp;Projeto_Objetivo[[#This Row],[SEI]]</f>
        <v>2025174662/2024</v>
      </c>
      <c r="I121" t="str">
        <f>IFERROR(INDEX(Atualizações!$Q$1:$Q$1265,MATCH(H121,Atualizações!$P$1:$P$1265,0)),"0")</f>
        <v>0</v>
      </c>
    </row>
    <row r="122" spans="1:9" ht="75">
      <c r="A122" s="24" t="s">
        <v>839</v>
      </c>
      <c r="B122" s="5" t="str">
        <f>IFERROR(INDEX(Projetos!$B$3:$B$129,MATCH(Projeto_Objetivo[[#This Row],[SEI]],Projetos!$A$3:$A$129,0))," ")</f>
        <v>Monitoração Eletrônica (sistema penal)</v>
      </c>
      <c r="C122" s="7" t="s">
        <v>75</v>
      </c>
      <c r="D122" s="193">
        <f>IFERROR(INDEX(Projetos!$Q$3:$Q$129,MATCH(Projeto_Objetivo[[#This Row],[SEI]],Projetos!$A$3:$A$129,0))," ")</f>
        <v>45642</v>
      </c>
      <c r="E122">
        <f>YEAR(Projeto_Objetivo[[#This Row],[Status]])</f>
        <v>2024</v>
      </c>
      <c r="F122" t="str">
        <f>$G$1&amp;Projeto_Objetivo[[#This Row],[SEI]]</f>
        <v>2024174662/2024</v>
      </c>
      <c r="G122">
        <f>IFERROR(INDEX(Atualizações!$Q$1:$Q$1265,MATCH(F122,Atualizações!$P$1:$P$1265,0)),"0")</f>
        <v>1</v>
      </c>
      <c r="H122" t="str">
        <f>$I$1&amp;Projeto_Objetivo[[#This Row],[SEI]]</f>
        <v>2025174662/2024</v>
      </c>
      <c r="I122" t="str">
        <f>IFERROR(INDEX(Atualizações!$Q$1:$Q$1265,MATCH(H122,Atualizações!$P$1:$P$1265,0)),"0")</f>
        <v>0</v>
      </c>
    </row>
    <row r="123" spans="1:9" ht="30">
      <c r="A123" s="24" t="s">
        <v>888</v>
      </c>
      <c r="B123" s="5" t="str">
        <f>IFERROR(INDEX(Projetos!$B$3:$B$129,MATCH(Projeto_Objetivo[[#This Row],[SEI]],Projetos!$A$3:$A$129,0))," ")</f>
        <v>Central de Regulação de Vagas (sistema penal)</v>
      </c>
      <c r="C123" s="7" t="s">
        <v>240</v>
      </c>
      <c r="D123" s="193">
        <f>IFERROR(INDEX(Projetos!$Q$3:$Q$129,MATCH(Projeto_Objetivo[[#This Row],[SEI]],Projetos!$A$3:$A$129,0))," ")</f>
        <v>45874</v>
      </c>
      <c r="E123">
        <f>YEAR(Projeto_Objetivo[[#This Row],[Status]])</f>
        <v>2025</v>
      </c>
      <c r="F123" t="str">
        <f>$G$1&amp;Projeto_Objetivo[[#This Row],[SEI]]</f>
        <v>2024174663/2024</v>
      </c>
      <c r="G123">
        <f>IFERROR(INDEX(Atualizações!$Q$1:$Q$1265,MATCH(F123,Atualizações!$P$1:$P$1265,0)),"0")</f>
        <v>1</v>
      </c>
      <c r="H123" t="str">
        <f>$I$1&amp;Projeto_Objetivo[[#This Row],[SEI]]</f>
        <v>2025174663/2024</v>
      </c>
      <c r="I123">
        <f>IFERROR(INDEX(Atualizações!$Q$1:$Q$1265,MATCH(H123,Atualizações!$P$1:$P$1265,0)),"0")</f>
        <v>1</v>
      </c>
    </row>
    <row r="124" spans="1:9" ht="75">
      <c r="A124" s="24" t="s">
        <v>888</v>
      </c>
      <c r="B124" s="5" t="str">
        <f>IFERROR(INDEX(Projetos!$B$3:$B$129,MATCH(Projeto_Objetivo[[#This Row],[SEI]],Projetos!$A$3:$A$129,0))," ")</f>
        <v>Central de Regulação de Vagas (sistema penal)</v>
      </c>
      <c r="C124" s="7" t="s">
        <v>75</v>
      </c>
      <c r="D124" s="193">
        <f>IFERROR(INDEX(Projetos!$Q$3:$Q$129,MATCH(Projeto_Objetivo[[#This Row],[SEI]],Projetos!$A$3:$A$129,0))," ")</f>
        <v>45874</v>
      </c>
      <c r="E124">
        <f>YEAR(Projeto_Objetivo[[#This Row],[Status]])</f>
        <v>2025</v>
      </c>
      <c r="F124" t="str">
        <f>$G$1&amp;Projeto_Objetivo[[#This Row],[SEI]]</f>
        <v>2024174663/2024</v>
      </c>
      <c r="G124">
        <f>IFERROR(INDEX(Atualizações!$Q$1:$Q$1265,MATCH(F124,Atualizações!$P$1:$P$1265,0)),"0")</f>
        <v>1</v>
      </c>
      <c r="H124" t="str">
        <f>$I$1&amp;Projeto_Objetivo[[#This Row],[SEI]]</f>
        <v>2025174663/2024</v>
      </c>
      <c r="I124">
        <f>IFERROR(INDEX(Atualizações!$Q$1:$Q$1265,MATCH(H124,Atualizações!$P$1:$P$1265,0)),"0")</f>
        <v>1</v>
      </c>
    </row>
    <row r="125" spans="1:9" ht="30">
      <c r="A125" s="24" t="s">
        <v>893</v>
      </c>
      <c r="B125" s="5" t="str">
        <f>IFERROR(INDEX(Projetos!$B$3:$B$129,MATCH(Projeto_Objetivo[[#This Row],[SEI]],Projetos!$A$3:$A$129,0))," ")</f>
        <v>Ação Nacional de Trabalho e Renda (sistema penal)</v>
      </c>
      <c r="C125" s="7" t="s">
        <v>240</v>
      </c>
      <c r="D125" s="193">
        <f>IFERROR(INDEX(Projetos!$Q$3:$Q$129,MATCH(Projeto_Objetivo[[#This Row],[SEI]],Projetos!$A$3:$A$129,0))," ")</f>
        <v>46011</v>
      </c>
      <c r="E125">
        <f>YEAR(Projeto_Objetivo[[#This Row],[Status]])</f>
        <v>2025</v>
      </c>
      <c r="F125" t="str">
        <f>$G$1&amp;Projeto_Objetivo[[#This Row],[SEI]]</f>
        <v>2024174664/2024</v>
      </c>
      <c r="G125">
        <f>IFERROR(INDEX(Atualizações!$Q$1:$Q$1265,MATCH(F125,Atualizações!$P$1:$P$1265,0)),"0")</f>
        <v>1</v>
      </c>
      <c r="H125" t="str">
        <f>$I$1&amp;Projeto_Objetivo[[#This Row],[SEI]]</f>
        <v>2025174664/2024</v>
      </c>
      <c r="I125">
        <f>IFERROR(INDEX(Atualizações!$Q$1:$Q$1265,MATCH(H125,Atualizações!$P$1:$P$1265,0)),"0")</f>
        <v>1</v>
      </c>
    </row>
    <row r="126" spans="1:9" ht="75">
      <c r="A126" s="24" t="s">
        <v>893</v>
      </c>
      <c r="B126" s="5" t="str">
        <f>IFERROR(INDEX(Projetos!$B$3:$B$129,MATCH(Projeto_Objetivo[[#This Row],[SEI]],Projetos!$A$3:$A$129,0))," ")</f>
        <v>Ação Nacional de Trabalho e Renda (sistema penal)</v>
      </c>
      <c r="C126" s="7" t="s">
        <v>75</v>
      </c>
      <c r="D126" s="193">
        <f>IFERROR(INDEX(Projetos!$Q$3:$Q$129,MATCH(Projeto_Objetivo[[#This Row],[SEI]],Projetos!$A$3:$A$129,0))," ")</f>
        <v>46011</v>
      </c>
      <c r="E126">
        <f>YEAR(Projeto_Objetivo[[#This Row],[Status]])</f>
        <v>2025</v>
      </c>
      <c r="F126" t="str">
        <f>$G$1&amp;Projeto_Objetivo[[#This Row],[SEI]]</f>
        <v>2024174664/2024</v>
      </c>
      <c r="G126">
        <f>IFERROR(INDEX(Atualizações!$Q$1:$Q$1265,MATCH(F126,Atualizações!$P$1:$P$1265,0)),"0")</f>
        <v>1</v>
      </c>
      <c r="H126" t="str">
        <f>$I$1&amp;Projeto_Objetivo[[#This Row],[SEI]]</f>
        <v>2025174664/2024</v>
      </c>
      <c r="I126">
        <f>IFERROR(INDEX(Atualizações!$Q$1:$Q$1265,MATCH(H126,Atualizações!$P$1:$P$1265,0)),"0")</f>
        <v>1</v>
      </c>
    </row>
    <row r="127" spans="1:9" ht="30">
      <c r="A127" s="24" t="s">
        <v>897</v>
      </c>
      <c r="B127" s="5" t="str">
        <f>IFERROR(INDEX(Projetos!$B$3:$B$129,MATCH(Projeto_Objetivo[[#This Row],[SEI]],Projetos!$A$3:$A$129,0))," ")</f>
        <v>Plano Nacional de Fomento à Leitura (sistema penal)</v>
      </c>
      <c r="C127" s="7" t="s">
        <v>240</v>
      </c>
      <c r="D127" s="193">
        <f>IFERROR(INDEX(Projetos!$Q$3:$Q$129,MATCH(Projeto_Objetivo[[#This Row],[SEI]],Projetos!$A$3:$A$129,0))," ")</f>
        <v>45642</v>
      </c>
      <c r="E127">
        <f>YEAR(Projeto_Objetivo[[#This Row],[Status]])</f>
        <v>2024</v>
      </c>
      <c r="F127" t="str">
        <f>$G$1&amp;Projeto_Objetivo[[#This Row],[SEI]]</f>
        <v>2024174665/2024</v>
      </c>
      <c r="G127">
        <f>IFERROR(INDEX(Atualizações!$Q$1:$Q$1265,MATCH(F127,Atualizações!$P$1:$P$1265,0)),"0")</f>
        <v>1</v>
      </c>
      <c r="H127" t="str">
        <f>$I$1&amp;Projeto_Objetivo[[#This Row],[SEI]]</f>
        <v>2025174665/2024</v>
      </c>
      <c r="I127" t="str">
        <f>IFERROR(INDEX(Atualizações!$Q$1:$Q$1265,MATCH(H127,Atualizações!$P$1:$P$1265,0)),"0")</f>
        <v>0</v>
      </c>
    </row>
    <row r="128" spans="1:9" ht="75">
      <c r="A128" s="24" t="s">
        <v>897</v>
      </c>
      <c r="B128" s="5" t="str">
        <f>IFERROR(INDEX(Projetos!$B$3:$B$129,MATCH(Projeto_Objetivo[[#This Row],[SEI]],Projetos!$A$3:$A$129,0))," ")</f>
        <v>Plano Nacional de Fomento à Leitura (sistema penal)</v>
      </c>
      <c r="C128" s="7" t="s">
        <v>75</v>
      </c>
      <c r="D128" s="193">
        <f>IFERROR(INDEX(Projetos!$Q$3:$Q$129,MATCH(Projeto_Objetivo[[#This Row],[SEI]],Projetos!$A$3:$A$129,0))," ")</f>
        <v>45642</v>
      </c>
      <c r="E128">
        <f>YEAR(Projeto_Objetivo[[#This Row],[Status]])</f>
        <v>2024</v>
      </c>
      <c r="F128" t="str">
        <f>$G$1&amp;Projeto_Objetivo[[#This Row],[SEI]]</f>
        <v>2024174665/2024</v>
      </c>
      <c r="G128">
        <f>IFERROR(INDEX(Atualizações!$Q$1:$Q$1265,MATCH(F128,Atualizações!$P$1:$P$1265,0)),"0")</f>
        <v>1</v>
      </c>
      <c r="H128" t="str">
        <f>$I$1&amp;Projeto_Objetivo[[#This Row],[SEI]]</f>
        <v>2025174665/2024</v>
      </c>
      <c r="I128" t="str">
        <f>IFERROR(INDEX(Atualizações!$Q$1:$Q$1265,MATCH(H128,Atualizações!$P$1:$P$1265,0)),"0")</f>
        <v>0</v>
      </c>
    </row>
    <row r="129" spans="1:9" ht="30">
      <c r="A129" s="24" t="s">
        <v>901</v>
      </c>
      <c r="B129" s="5" t="str">
        <f>IFERROR(INDEX(Projetos!$B$3:$B$129,MATCH(Projeto_Objetivo[[#This Row],[SEI]],Projetos!$A$3:$A$129,0))," ")</f>
        <v>Plano Nacional de Fomento ao Esporte e Lazer (sistema penal)</v>
      </c>
      <c r="C129" s="7" t="s">
        <v>240</v>
      </c>
      <c r="D129" s="193">
        <f>IFERROR(INDEX(Projetos!$Q$3:$Q$129,MATCH(Projeto_Objetivo[[#This Row],[SEI]],Projetos!$A$3:$A$129,0))," ")</f>
        <v>46155</v>
      </c>
      <c r="E129">
        <f>YEAR(Projeto_Objetivo[[#This Row],[Status]])</f>
        <v>2026</v>
      </c>
      <c r="F129" t="str">
        <f>$G$1&amp;Projeto_Objetivo[[#This Row],[SEI]]</f>
        <v>2024174666/2024</v>
      </c>
      <c r="G129">
        <f>IFERROR(INDEX(Atualizações!$Q$1:$Q$1265,MATCH(F129,Atualizações!$P$1:$P$1265,0)),"0")</f>
        <v>1</v>
      </c>
      <c r="H129" t="str">
        <f>$I$1&amp;Projeto_Objetivo[[#This Row],[SEI]]</f>
        <v>2025174666/2024</v>
      </c>
      <c r="I129">
        <f>IFERROR(INDEX(Atualizações!$Q$1:$Q$1265,MATCH(H129,Atualizações!$P$1:$P$1265,0)),"0")</f>
        <v>1</v>
      </c>
    </row>
    <row r="130" spans="1:9" ht="75">
      <c r="A130" s="24" t="s">
        <v>901</v>
      </c>
      <c r="B130" s="5" t="str">
        <f>IFERROR(INDEX(Projetos!$B$3:$B$129,MATCH(Projeto_Objetivo[[#This Row],[SEI]],Projetos!$A$3:$A$129,0))," ")</f>
        <v>Plano Nacional de Fomento ao Esporte e Lazer (sistema penal)</v>
      </c>
      <c r="C130" s="7" t="s">
        <v>75</v>
      </c>
      <c r="D130" s="193">
        <f>IFERROR(INDEX(Projetos!$Q$3:$Q$129,MATCH(Projeto_Objetivo[[#This Row],[SEI]],Projetos!$A$3:$A$129,0))," ")</f>
        <v>46155</v>
      </c>
      <c r="E130">
        <f>YEAR(Projeto_Objetivo[[#This Row],[Status]])</f>
        <v>2026</v>
      </c>
      <c r="F130" t="str">
        <f>$G$1&amp;Projeto_Objetivo[[#This Row],[SEI]]</f>
        <v>2024174666/2024</v>
      </c>
      <c r="G130">
        <f>IFERROR(INDEX(Atualizações!$Q$1:$Q$1265,MATCH(F130,Atualizações!$P$1:$P$1265,0)),"0")</f>
        <v>1</v>
      </c>
      <c r="H130" t="str">
        <f>$I$1&amp;Projeto_Objetivo[[#This Row],[SEI]]</f>
        <v>2025174666/2024</v>
      </c>
      <c r="I130">
        <f>IFERROR(INDEX(Atualizações!$Q$1:$Q$1265,MATCH(H130,Atualizações!$P$1:$P$1265,0)),"0")</f>
        <v>1</v>
      </c>
    </row>
    <row r="131" spans="1:9" ht="30">
      <c r="A131" s="24" t="s">
        <v>905</v>
      </c>
      <c r="B131" s="5" t="str">
        <f>IFERROR(INDEX(Projetos!$B$3:$B$129,MATCH(Projeto_Objetivo[[#This Row],[SEI]],Projetos!$A$3:$A$129,0))," ")</f>
        <v>Atenção às Pessoas Egressas e Escritório Social (sistema penal)</v>
      </c>
      <c r="C131" s="7" t="s">
        <v>240</v>
      </c>
      <c r="D131" s="193">
        <f>IFERROR(INDEX(Projetos!$Q$3:$Q$129,MATCH(Projeto_Objetivo[[#This Row],[SEI]],Projetos!$A$3:$A$129,0))," ")</f>
        <v>45642</v>
      </c>
      <c r="E131">
        <f>YEAR(Projeto_Objetivo[[#This Row],[Status]])</f>
        <v>2024</v>
      </c>
      <c r="F131" t="str">
        <f>$G$1&amp;Projeto_Objetivo[[#This Row],[SEI]]</f>
        <v>2024174667/2024</v>
      </c>
      <c r="G131">
        <f>IFERROR(INDEX(Atualizações!$Q$1:$Q$1265,MATCH(F131,Atualizações!$P$1:$P$1265,0)),"0")</f>
        <v>1</v>
      </c>
      <c r="H131" t="str">
        <f>$I$1&amp;Projeto_Objetivo[[#This Row],[SEI]]</f>
        <v>2025174667/2024</v>
      </c>
      <c r="I131" t="str">
        <f>IFERROR(INDEX(Atualizações!$Q$1:$Q$1265,MATCH(H131,Atualizações!$P$1:$P$1265,0)),"0")</f>
        <v>0</v>
      </c>
    </row>
    <row r="132" spans="1:9" ht="75">
      <c r="A132" s="24" t="s">
        <v>905</v>
      </c>
      <c r="B132" s="5" t="str">
        <f>IFERROR(INDEX(Projetos!$B$3:$B$129,MATCH(Projeto_Objetivo[[#This Row],[SEI]],Projetos!$A$3:$A$129,0))," ")</f>
        <v>Atenção às Pessoas Egressas e Escritório Social (sistema penal)</v>
      </c>
      <c r="C132" s="7" t="s">
        <v>75</v>
      </c>
      <c r="D132" s="193">
        <f>IFERROR(INDEX(Projetos!$Q$3:$Q$129,MATCH(Projeto_Objetivo[[#This Row],[SEI]],Projetos!$A$3:$A$129,0))," ")</f>
        <v>45642</v>
      </c>
      <c r="E132">
        <f>YEAR(Projeto_Objetivo[[#This Row],[Status]])</f>
        <v>2024</v>
      </c>
      <c r="F132" t="str">
        <f>$G$1&amp;Projeto_Objetivo[[#This Row],[SEI]]</f>
        <v>2024174667/2024</v>
      </c>
      <c r="G132">
        <f>IFERROR(INDEX(Atualizações!$Q$1:$Q$1265,MATCH(F132,Atualizações!$P$1:$P$1265,0)),"0")</f>
        <v>1</v>
      </c>
      <c r="H132" t="str">
        <f>$I$1&amp;Projeto_Objetivo[[#This Row],[SEI]]</f>
        <v>2025174667/2024</v>
      </c>
      <c r="I132" t="str">
        <f>IFERROR(INDEX(Atualizações!$Q$1:$Q$1265,MATCH(H132,Atualizações!$P$1:$P$1265,0)),"0")</f>
        <v>0</v>
      </c>
    </row>
    <row r="133" spans="1:9" ht="30">
      <c r="A133" s="24" t="s">
        <v>909</v>
      </c>
      <c r="B133" s="5" t="str">
        <f>IFERROR(INDEX(Projetos!$B$3:$B$129,MATCH(Projeto_Objetivo[[#This Row],[SEI]],Projetos!$A$3:$A$129,0))," ")</f>
        <v>Fortalecimento da Participação Social (sistema penal)</v>
      </c>
      <c r="C133" s="7" t="s">
        <v>240</v>
      </c>
      <c r="D133" s="193">
        <f>IFERROR(INDEX(Projetos!$Q$3:$Q$129,MATCH(Projeto_Objetivo[[#This Row],[SEI]],Projetos!$A$3:$A$129,0))," ")</f>
        <v>45642</v>
      </c>
      <c r="E133">
        <f>YEAR(Projeto_Objetivo[[#This Row],[Status]])</f>
        <v>2024</v>
      </c>
      <c r="F133" t="str">
        <f>$G$1&amp;Projeto_Objetivo[[#This Row],[SEI]]</f>
        <v>2024174668/2024</v>
      </c>
      <c r="G133">
        <f>IFERROR(INDEX(Atualizações!$Q$1:$Q$1265,MATCH(F133,Atualizações!$P$1:$P$1265,0)),"0")</f>
        <v>1</v>
      </c>
      <c r="H133" t="str">
        <f>$I$1&amp;Projeto_Objetivo[[#This Row],[SEI]]</f>
        <v>2025174668/2024</v>
      </c>
      <c r="I133" t="str">
        <f>IFERROR(INDEX(Atualizações!$Q$1:$Q$1265,MATCH(H133,Atualizações!$P$1:$P$1265,0)),"0")</f>
        <v>0</v>
      </c>
    </row>
    <row r="134" spans="1:9" ht="75">
      <c r="A134" s="24" t="s">
        <v>909</v>
      </c>
      <c r="B134" s="5" t="str">
        <f>IFERROR(INDEX(Projetos!$B$3:$B$129,MATCH(Projeto_Objetivo[[#This Row],[SEI]],Projetos!$A$3:$A$129,0))," ")</f>
        <v>Fortalecimento da Participação Social (sistema penal)</v>
      </c>
      <c r="C134" s="7" t="s">
        <v>75</v>
      </c>
      <c r="D134" s="193">
        <f>IFERROR(INDEX(Projetos!$Q$3:$Q$129,MATCH(Projeto_Objetivo[[#This Row],[SEI]],Projetos!$A$3:$A$129,0))," ")</f>
        <v>45642</v>
      </c>
      <c r="E134">
        <f>YEAR(Projeto_Objetivo[[#This Row],[Status]])</f>
        <v>2024</v>
      </c>
      <c r="F134" t="str">
        <f>$G$1&amp;Projeto_Objetivo[[#This Row],[SEI]]</f>
        <v>2024174668/2024</v>
      </c>
      <c r="G134">
        <f>IFERROR(INDEX(Atualizações!$Q$1:$Q$1265,MATCH(F134,Atualizações!$P$1:$P$1265,0)),"0")</f>
        <v>1</v>
      </c>
      <c r="H134" t="str">
        <f>$I$1&amp;Projeto_Objetivo[[#This Row],[SEI]]</f>
        <v>2025174668/2024</v>
      </c>
      <c r="I134" t="str">
        <f>IFERROR(INDEX(Atualizações!$Q$1:$Q$1265,MATCH(H134,Atualizações!$P$1:$P$1265,0)),"0")</f>
        <v>0</v>
      </c>
    </row>
    <row r="135" spans="1:9" ht="30">
      <c r="A135" s="24" t="s">
        <v>913</v>
      </c>
      <c r="B135" s="5" t="str">
        <f>IFERROR(INDEX(Projetos!$B$3:$B$129,MATCH(Projeto_Objetivo[[#This Row],[SEI]],Projetos!$A$3:$A$129,0))," ")</f>
        <v>Comitê de Políticas Penais (sistema penal)</v>
      </c>
      <c r="C135" s="7" t="s">
        <v>240</v>
      </c>
      <c r="D135" s="193">
        <f>IFERROR(INDEX(Projetos!$Q$3:$Q$129,MATCH(Projeto_Objetivo[[#This Row],[SEI]],Projetos!$A$3:$A$129,0))," ")</f>
        <v>45642</v>
      </c>
      <c r="E135">
        <f>YEAR(Projeto_Objetivo[[#This Row],[Status]])</f>
        <v>2024</v>
      </c>
      <c r="F135" t="str">
        <f>$G$1&amp;Projeto_Objetivo[[#This Row],[SEI]]</f>
        <v>2024174669/2024</v>
      </c>
      <c r="G135">
        <f>IFERROR(INDEX(Atualizações!$Q$1:$Q$1265,MATCH(F135,Atualizações!$P$1:$P$1265,0)),"0")</f>
        <v>1</v>
      </c>
      <c r="H135" t="str">
        <f>$I$1&amp;Projeto_Objetivo[[#This Row],[SEI]]</f>
        <v>2025174669/2024</v>
      </c>
      <c r="I135" t="str">
        <f>IFERROR(INDEX(Atualizações!$Q$1:$Q$1265,MATCH(H135,Atualizações!$P$1:$P$1265,0)),"0")</f>
        <v>0</v>
      </c>
    </row>
    <row r="136" spans="1:9" ht="75">
      <c r="A136" s="24" t="s">
        <v>913</v>
      </c>
      <c r="B136" s="5" t="str">
        <f>IFERROR(INDEX(Projetos!$B$3:$B$129,MATCH(Projeto_Objetivo[[#This Row],[SEI]],Projetos!$A$3:$A$129,0))," ")</f>
        <v>Comitê de Políticas Penais (sistema penal)</v>
      </c>
      <c r="C136" s="7" t="s">
        <v>75</v>
      </c>
      <c r="D136" s="193">
        <f>IFERROR(INDEX(Projetos!$Q$3:$Q$129,MATCH(Projeto_Objetivo[[#This Row],[SEI]],Projetos!$A$3:$A$129,0))," ")</f>
        <v>45642</v>
      </c>
      <c r="E136">
        <f>YEAR(Projeto_Objetivo[[#This Row],[Status]])</f>
        <v>2024</v>
      </c>
      <c r="F136" t="str">
        <f>$G$1&amp;Projeto_Objetivo[[#This Row],[SEI]]</f>
        <v>2024174669/2024</v>
      </c>
      <c r="G136">
        <f>IFERROR(INDEX(Atualizações!$Q$1:$Q$1265,MATCH(F136,Atualizações!$P$1:$P$1265,0)),"0")</f>
        <v>1</v>
      </c>
      <c r="H136" t="str">
        <f>$I$1&amp;Projeto_Objetivo[[#This Row],[SEI]]</f>
        <v>2025174669/2024</v>
      </c>
      <c r="I136" t="str">
        <f>IFERROR(INDEX(Atualizações!$Q$1:$Q$1265,MATCH(H136,Atualizações!$P$1:$P$1265,0)),"0")</f>
        <v>0</v>
      </c>
    </row>
    <row r="137" spans="1:9" ht="30">
      <c r="A137" s="24" t="s">
        <v>796</v>
      </c>
      <c r="B137" s="5" t="str">
        <f>IFERROR(INDEX(Projetos!$B$3:$B$129,MATCH(Projeto_Objetivo[[#This Row],[SEI]],Projetos!$A$3:$A$129,0))," ")</f>
        <v>Mutirão Processual Penal (sistema penal)</v>
      </c>
      <c r="C137" s="7" t="s">
        <v>240</v>
      </c>
      <c r="D137" s="193">
        <f>IFERROR(INDEX(Projetos!$Q$3:$Q$129,MATCH(Projeto_Objetivo[[#This Row],[SEI]],Projetos!$A$3:$A$129,0))," ")</f>
        <v>45642</v>
      </c>
      <c r="E137">
        <f>YEAR(Projeto_Objetivo[[#This Row],[Status]])</f>
        <v>2024</v>
      </c>
      <c r="F137" t="str">
        <f>$G$1&amp;Projeto_Objetivo[[#This Row],[SEI]]</f>
        <v>20241746610/2024</v>
      </c>
      <c r="G137">
        <f>IFERROR(INDEX(Atualizações!$Q$1:$Q$1265,MATCH(F137,Atualizações!$P$1:$P$1265,0)),"0")</f>
        <v>1</v>
      </c>
      <c r="H137" t="str">
        <f>$I$1&amp;Projeto_Objetivo[[#This Row],[SEI]]</f>
        <v>20251746610/2024</v>
      </c>
      <c r="I137" t="str">
        <f>IFERROR(INDEX(Atualizações!$Q$1:$Q$1265,MATCH(H137,Atualizações!$P$1:$P$1265,0)),"0")</f>
        <v>0</v>
      </c>
    </row>
    <row r="138" spans="1:9" ht="75">
      <c r="A138" s="24" t="s">
        <v>796</v>
      </c>
      <c r="B138" s="5" t="str">
        <f>IFERROR(INDEX(Projetos!$B$3:$B$129,MATCH(Projeto_Objetivo[[#This Row],[SEI]],Projetos!$A$3:$A$129,0))," ")</f>
        <v>Mutirão Processual Penal (sistema penal)</v>
      </c>
      <c r="C138" s="7" t="s">
        <v>75</v>
      </c>
      <c r="D138" s="193">
        <f>IFERROR(INDEX(Projetos!$Q$3:$Q$129,MATCH(Projeto_Objetivo[[#This Row],[SEI]],Projetos!$A$3:$A$129,0))," ")</f>
        <v>45642</v>
      </c>
      <c r="E138">
        <f>YEAR(Projeto_Objetivo[[#This Row],[Status]])</f>
        <v>2024</v>
      </c>
      <c r="F138" t="str">
        <f>$G$1&amp;Projeto_Objetivo[[#This Row],[SEI]]</f>
        <v>20241746610/2024</v>
      </c>
      <c r="G138">
        <f>IFERROR(INDEX(Atualizações!$Q$1:$Q$1265,MATCH(F138,Atualizações!$P$1:$P$1265,0)),"0")</f>
        <v>1</v>
      </c>
      <c r="H138" t="str">
        <f>$I$1&amp;Projeto_Objetivo[[#This Row],[SEI]]</f>
        <v>20251746610/2024</v>
      </c>
      <c r="I138" t="str">
        <f>IFERROR(INDEX(Atualizações!$Q$1:$Q$1265,MATCH(H138,Atualizações!$P$1:$P$1265,0)),"0")</f>
        <v>0</v>
      </c>
    </row>
    <row r="139" spans="1:9" ht="30">
      <c r="A139" s="24" t="s">
        <v>800</v>
      </c>
      <c r="B139" s="5" t="str">
        <f>IFERROR(INDEX(Projetos!$B$3:$B$129,MATCH(Projeto_Objetivo[[#This Row],[SEI]],Projetos!$A$3:$A$129,0))," ")</f>
        <v>Sistema Eletrônico de Execução Unificado - SEEU (sistema penal)</v>
      </c>
      <c r="C139" s="7" t="s">
        <v>240</v>
      </c>
      <c r="D139" s="193">
        <f>IFERROR(INDEX(Projetos!$Q$3:$Q$129,MATCH(Projeto_Objetivo[[#This Row],[SEI]],Projetos!$A$3:$A$129,0))," ")</f>
        <v>45642</v>
      </c>
      <c r="E139">
        <f>YEAR(Projeto_Objetivo[[#This Row],[Status]])</f>
        <v>2024</v>
      </c>
      <c r="F139" t="str">
        <f>$G$1&amp;Projeto_Objetivo[[#This Row],[SEI]]</f>
        <v>20241746611/2024</v>
      </c>
      <c r="G139">
        <f>IFERROR(INDEX(Atualizações!$Q$1:$Q$1265,MATCH(F139,Atualizações!$P$1:$P$1265,0)),"0")</f>
        <v>1</v>
      </c>
      <c r="H139" t="str">
        <f>$I$1&amp;Projeto_Objetivo[[#This Row],[SEI]]</f>
        <v>20251746611/2024</v>
      </c>
      <c r="I139" t="str">
        <f>IFERROR(INDEX(Atualizações!$Q$1:$Q$1265,MATCH(H139,Atualizações!$P$1:$P$1265,0)),"0")</f>
        <v>0</v>
      </c>
    </row>
    <row r="140" spans="1:9" ht="75">
      <c r="A140" s="24" t="s">
        <v>800</v>
      </c>
      <c r="B140" s="5" t="str">
        <f>IFERROR(INDEX(Projetos!$B$3:$B$129,MATCH(Projeto_Objetivo[[#This Row],[SEI]],Projetos!$A$3:$A$129,0))," ")</f>
        <v>Sistema Eletrônico de Execução Unificado - SEEU (sistema penal)</v>
      </c>
      <c r="C140" s="7" t="s">
        <v>75</v>
      </c>
      <c r="D140" s="193">
        <f>IFERROR(INDEX(Projetos!$Q$3:$Q$129,MATCH(Projeto_Objetivo[[#This Row],[SEI]],Projetos!$A$3:$A$129,0))," ")</f>
        <v>45642</v>
      </c>
      <c r="E140">
        <f>YEAR(Projeto_Objetivo[[#This Row],[Status]])</f>
        <v>2024</v>
      </c>
      <c r="F140" t="str">
        <f>$G$1&amp;Projeto_Objetivo[[#This Row],[SEI]]</f>
        <v>20241746611/2024</v>
      </c>
      <c r="G140">
        <f>IFERROR(INDEX(Atualizações!$Q$1:$Q$1265,MATCH(F140,Atualizações!$P$1:$P$1265,0)),"0")</f>
        <v>1</v>
      </c>
      <c r="H140" t="str">
        <f>$I$1&amp;Projeto_Objetivo[[#This Row],[SEI]]</f>
        <v>20251746611/2024</v>
      </c>
      <c r="I140" t="str">
        <f>IFERROR(INDEX(Atualizações!$Q$1:$Q$1265,MATCH(H140,Atualizações!$P$1:$P$1265,0)),"0")</f>
        <v>0</v>
      </c>
    </row>
    <row r="141" spans="1:9" ht="30">
      <c r="A141" s="24" t="s">
        <v>805</v>
      </c>
      <c r="B141" s="5" t="str">
        <f>IFERROR(INDEX(Projetos!$B$3:$B$129,MATCH(Projeto_Objetivo[[#This Row],[SEI]],Projetos!$A$3:$A$129,0))," ")</f>
        <v>Atendimento Inicial e Núcleo de Atendimento Integrado (sistema socioeducativo)</v>
      </c>
      <c r="C141" s="7" t="s">
        <v>240</v>
      </c>
      <c r="D141" s="193">
        <f>IFERROR(INDEX(Projetos!$Q$3:$Q$129,MATCH(Projeto_Objetivo[[#This Row],[SEI]],Projetos!$A$3:$A$129,0))," ")</f>
        <v>45642</v>
      </c>
      <c r="E141">
        <f>YEAR(Projeto_Objetivo[[#This Row],[Status]])</f>
        <v>2024</v>
      </c>
      <c r="F141" t="str">
        <f>$G$1&amp;Projeto_Objetivo[[#This Row],[SEI]]</f>
        <v>20241746612/2024</v>
      </c>
      <c r="G141">
        <f>IFERROR(INDEX(Atualizações!$Q$1:$Q$1265,MATCH(F141,Atualizações!$P$1:$P$1265,0)),"0")</f>
        <v>1</v>
      </c>
      <c r="H141" t="str">
        <f>$I$1&amp;Projeto_Objetivo[[#This Row],[SEI]]</f>
        <v>20251746612/2024</v>
      </c>
      <c r="I141" t="str">
        <f>IFERROR(INDEX(Atualizações!$Q$1:$Q$1265,MATCH(H141,Atualizações!$P$1:$P$1265,0)),"0")</f>
        <v>0</v>
      </c>
    </row>
    <row r="142" spans="1:9" ht="75">
      <c r="A142" s="24" t="s">
        <v>805</v>
      </c>
      <c r="B142" s="5" t="str">
        <f>IFERROR(INDEX(Projetos!$B$3:$B$129,MATCH(Projeto_Objetivo[[#This Row],[SEI]],Projetos!$A$3:$A$129,0))," ")</f>
        <v>Atendimento Inicial e Núcleo de Atendimento Integrado (sistema socioeducativo)</v>
      </c>
      <c r="C142" s="7" t="s">
        <v>75</v>
      </c>
      <c r="D142" s="193">
        <f>IFERROR(INDEX(Projetos!$Q$3:$Q$129,MATCH(Projeto_Objetivo[[#This Row],[SEI]],Projetos!$A$3:$A$129,0))," ")</f>
        <v>45642</v>
      </c>
      <c r="E142">
        <f>YEAR(Projeto_Objetivo[[#This Row],[Status]])</f>
        <v>2024</v>
      </c>
      <c r="F142" t="str">
        <f>$G$1&amp;Projeto_Objetivo[[#This Row],[SEI]]</f>
        <v>20241746612/2024</v>
      </c>
      <c r="G142">
        <f>IFERROR(INDEX(Atualizações!$Q$1:$Q$1265,MATCH(F142,Atualizações!$P$1:$P$1265,0)),"0")</f>
        <v>1</v>
      </c>
      <c r="H142" t="str">
        <f>$I$1&amp;Projeto_Objetivo[[#This Row],[SEI]]</f>
        <v>20251746612/2024</v>
      </c>
      <c r="I142" t="str">
        <f>IFERROR(INDEX(Atualizações!$Q$1:$Q$1265,MATCH(H142,Atualizações!$P$1:$P$1265,0)),"0")</f>
        <v>0</v>
      </c>
    </row>
    <row r="143" spans="1:9" ht="30">
      <c r="A143" s="24" t="s">
        <v>810</v>
      </c>
      <c r="B143" s="5" t="str">
        <f>IFERROR(INDEX(Projetos!$B$3:$B$129,MATCH(Projeto_Objetivo[[#This Row],[SEI]],Projetos!$A$3:$A$129,0))," ")</f>
        <v>Central de Vagas (sistema socioeducativo)</v>
      </c>
      <c r="C143" s="7" t="s">
        <v>240</v>
      </c>
      <c r="D143" s="193">
        <f>IFERROR(INDEX(Projetos!$Q$3:$Q$129,MATCH(Projeto_Objetivo[[#This Row],[SEI]],Projetos!$A$3:$A$129,0))," ")</f>
        <v>45642</v>
      </c>
      <c r="E143">
        <f>YEAR(Projeto_Objetivo[[#This Row],[Status]])</f>
        <v>2024</v>
      </c>
      <c r="F143" t="str">
        <f>$G$1&amp;Projeto_Objetivo[[#This Row],[SEI]]</f>
        <v>20241746613/2024</v>
      </c>
      <c r="G143">
        <f>IFERROR(INDEX(Atualizações!$Q$1:$Q$1265,MATCH(F143,Atualizações!$P$1:$P$1265,0)),"0")</f>
        <v>1</v>
      </c>
      <c r="H143" t="str">
        <f>$I$1&amp;Projeto_Objetivo[[#This Row],[SEI]]</f>
        <v>20251746613/2024</v>
      </c>
      <c r="I143" t="str">
        <f>IFERROR(INDEX(Atualizações!$Q$1:$Q$1265,MATCH(H143,Atualizações!$P$1:$P$1265,0)),"0")</f>
        <v>0</v>
      </c>
    </row>
    <row r="144" spans="1:9" ht="75">
      <c r="A144" s="24" t="s">
        <v>810</v>
      </c>
      <c r="B144" s="5" t="str">
        <f>IFERROR(INDEX(Projetos!$B$3:$B$129,MATCH(Projeto_Objetivo[[#This Row],[SEI]],Projetos!$A$3:$A$129,0))," ")</f>
        <v>Central de Vagas (sistema socioeducativo)</v>
      </c>
      <c r="C144" s="7" t="s">
        <v>75</v>
      </c>
      <c r="D144" s="193">
        <f>IFERROR(INDEX(Projetos!$Q$3:$Q$129,MATCH(Projeto_Objetivo[[#This Row],[SEI]],Projetos!$A$3:$A$129,0))," ")</f>
        <v>45642</v>
      </c>
      <c r="E144">
        <f>YEAR(Projeto_Objetivo[[#This Row],[Status]])</f>
        <v>2024</v>
      </c>
      <c r="F144" t="str">
        <f>$G$1&amp;Projeto_Objetivo[[#This Row],[SEI]]</f>
        <v>20241746613/2024</v>
      </c>
      <c r="G144">
        <f>IFERROR(INDEX(Atualizações!$Q$1:$Q$1265,MATCH(F144,Atualizações!$P$1:$P$1265,0)),"0")</f>
        <v>1</v>
      </c>
      <c r="H144" t="str">
        <f>$I$1&amp;Projeto_Objetivo[[#This Row],[SEI]]</f>
        <v>20251746613/2024</v>
      </c>
      <c r="I144" t="str">
        <f>IFERROR(INDEX(Atualizações!$Q$1:$Q$1265,MATCH(H144,Atualizações!$P$1:$P$1265,0)),"0")</f>
        <v>0</v>
      </c>
    </row>
    <row r="145" spans="1:9" ht="30">
      <c r="A145" s="24" t="s">
        <v>814</v>
      </c>
      <c r="B145" s="5" t="str">
        <f>IFERROR(INDEX(Projetos!$B$3:$B$129,MATCH(Projeto_Objetivo[[#This Row],[SEI]],Projetos!$A$3:$A$129,0))," ")</f>
        <v>Audiência Concentrada (sistema socioeducativo)</v>
      </c>
      <c r="C145" s="7" t="s">
        <v>240</v>
      </c>
      <c r="D145" s="193">
        <f>IFERROR(INDEX(Projetos!$Q$3:$Q$129,MATCH(Projeto_Objetivo[[#This Row],[SEI]],Projetos!$A$3:$A$129,0))," ")</f>
        <v>45642</v>
      </c>
      <c r="E145">
        <f>YEAR(Projeto_Objetivo[[#This Row],[Status]])</f>
        <v>2024</v>
      </c>
      <c r="F145" t="str">
        <f>$G$1&amp;Projeto_Objetivo[[#This Row],[SEI]]</f>
        <v>20241746614/2024</v>
      </c>
      <c r="G145">
        <f>IFERROR(INDEX(Atualizações!$Q$1:$Q$1265,MATCH(F145,Atualizações!$P$1:$P$1265,0)),"0")</f>
        <v>1</v>
      </c>
      <c r="H145" t="str">
        <f>$I$1&amp;Projeto_Objetivo[[#This Row],[SEI]]</f>
        <v>20251746614/2024</v>
      </c>
      <c r="I145" t="str">
        <f>IFERROR(INDEX(Atualizações!$Q$1:$Q$1265,MATCH(H145,Atualizações!$P$1:$P$1265,0)),"0")</f>
        <v>0</v>
      </c>
    </row>
    <row r="146" spans="1:9" ht="75">
      <c r="A146" s="24" t="s">
        <v>814</v>
      </c>
      <c r="B146" s="5" t="str">
        <f>IFERROR(INDEX(Projetos!$B$3:$B$129,MATCH(Projeto_Objetivo[[#This Row],[SEI]],Projetos!$A$3:$A$129,0))," ")</f>
        <v>Audiência Concentrada (sistema socioeducativo)</v>
      </c>
      <c r="C146" s="7" t="s">
        <v>75</v>
      </c>
      <c r="D146" s="193">
        <f>IFERROR(INDEX(Projetos!$Q$3:$Q$129,MATCH(Projeto_Objetivo[[#This Row],[SEI]],Projetos!$A$3:$A$129,0))," ")</f>
        <v>45642</v>
      </c>
      <c r="E146">
        <f>YEAR(Projeto_Objetivo[[#This Row],[Status]])</f>
        <v>2024</v>
      </c>
      <c r="F146" t="str">
        <f>$G$1&amp;Projeto_Objetivo[[#This Row],[SEI]]</f>
        <v>20241746614/2024</v>
      </c>
      <c r="G146">
        <f>IFERROR(INDEX(Atualizações!$Q$1:$Q$1265,MATCH(F146,Atualizações!$P$1:$P$1265,0)),"0")</f>
        <v>1</v>
      </c>
      <c r="H146" t="str">
        <f>$I$1&amp;Projeto_Objetivo[[#This Row],[SEI]]</f>
        <v>20251746614/2024</v>
      </c>
      <c r="I146" t="str">
        <f>IFERROR(INDEX(Atualizações!$Q$1:$Q$1265,MATCH(H146,Atualizações!$P$1:$P$1265,0)),"0")</f>
        <v>0</v>
      </c>
    </row>
    <row r="147" spans="1:9" ht="30">
      <c r="A147" s="24" t="s">
        <v>818</v>
      </c>
      <c r="B147" s="5" t="str">
        <f>IFERROR(INDEX(Projetos!$B$3:$B$129,MATCH(Projeto_Objetivo[[#This Row],[SEI]],Projetos!$A$3:$A$129,0))," ")</f>
        <v>Programa Pós-medida (sistema socioeducativo)</v>
      </c>
      <c r="C147" s="7" t="s">
        <v>240</v>
      </c>
      <c r="D147" s="193">
        <f>IFERROR(INDEX(Projetos!$Q$3:$Q$129,MATCH(Projeto_Objetivo[[#This Row],[SEI]],Projetos!$A$3:$A$129,0))," ")</f>
        <v>45642</v>
      </c>
      <c r="E147">
        <f>YEAR(Projeto_Objetivo[[#This Row],[Status]])</f>
        <v>2024</v>
      </c>
      <c r="F147" t="str">
        <f>$G$1&amp;Projeto_Objetivo[[#This Row],[SEI]]</f>
        <v>20241746615/2024</v>
      </c>
      <c r="G147">
        <f>IFERROR(INDEX(Atualizações!$Q$1:$Q$1265,MATCH(F147,Atualizações!$P$1:$P$1265,0)),"0")</f>
        <v>1</v>
      </c>
      <c r="H147" t="str">
        <f>$I$1&amp;Projeto_Objetivo[[#This Row],[SEI]]</f>
        <v>20251746615/2024</v>
      </c>
      <c r="I147" t="str">
        <f>IFERROR(INDEX(Atualizações!$Q$1:$Q$1265,MATCH(H147,Atualizações!$P$1:$P$1265,0)),"0")</f>
        <v>0</v>
      </c>
    </row>
    <row r="148" spans="1:9" ht="75">
      <c r="A148" s="24" t="s">
        <v>818</v>
      </c>
      <c r="B148" s="5" t="str">
        <f>IFERROR(INDEX(Projetos!$B$3:$B$129,MATCH(Projeto_Objetivo[[#This Row],[SEI]],Projetos!$A$3:$A$129,0))," ")</f>
        <v>Programa Pós-medida (sistema socioeducativo)</v>
      </c>
      <c r="C148" s="7" t="s">
        <v>75</v>
      </c>
      <c r="D148" s="193">
        <f>IFERROR(INDEX(Projetos!$Q$3:$Q$129,MATCH(Projeto_Objetivo[[#This Row],[SEI]],Projetos!$A$3:$A$129,0))," ")</f>
        <v>45642</v>
      </c>
      <c r="E148">
        <f>YEAR(Projeto_Objetivo[[#This Row],[Status]])</f>
        <v>2024</v>
      </c>
      <c r="F148" t="str">
        <f>$G$1&amp;Projeto_Objetivo[[#This Row],[SEI]]</f>
        <v>20241746615/2024</v>
      </c>
      <c r="G148">
        <f>IFERROR(INDEX(Atualizações!$Q$1:$Q$1265,MATCH(F148,Atualizações!$P$1:$P$1265,0)),"0")</f>
        <v>1</v>
      </c>
      <c r="H148" t="str">
        <f>$I$1&amp;Projeto_Objetivo[[#This Row],[SEI]]</f>
        <v>20251746615/2024</v>
      </c>
      <c r="I148" t="str">
        <f>IFERROR(INDEX(Atualizações!$Q$1:$Q$1265,MATCH(H148,Atualizações!$P$1:$P$1265,0)),"0")</f>
        <v>0</v>
      </c>
    </row>
    <row r="149" spans="1:9" ht="30">
      <c r="A149" s="24" t="s">
        <v>822</v>
      </c>
      <c r="B149" s="5" t="str">
        <f>IFERROR(INDEX(Projetos!$B$3:$B$129,MATCH(Projeto_Objetivo[[#This Row],[SEI]],Projetos!$A$3:$A$129,0))," ")</f>
        <v>Ação Nacional de Cultura (sistema socioeducativo)</v>
      </c>
      <c r="C149" s="7" t="s">
        <v>240</v>
      </c>
      <c r="D149" s="193">
        <f>IFERROR(INDEX(Projetos!$Q$3:$Q$129,MATCH(Projeto_Objetivo[[#This Row],[SEI]],Projetos!$A$3:$A$129,0))," ")</f>
        <v>45642</v>
      </c>
      <c r="E149">
        <f>YEAR(Projeto_Objetivo[[#This Row],[Status]])</f>
        <v>2024</v>
      </c>
      <c r="F149" t="str">
        <f>$G$1&amp;Projeto_Objetivo[[#This Row],[SEI]]</f>
        <v>20241746616/2024</v>
      </c>
      <c r="G149">
        <f>IFERROR(INDEX(Atualizações!$Q$1:$Q$1265,MATCH(F149,Atualizações!$P$1:$P$1265,0)),"0")</f>
        <v>1</v>
      </c>
      <c r="H149" t="str">
        <f>$I$1&amp;Projeto_Objetivo[[#This Row],[SEI]]</f>
        <v>20251746616/2024</v>
      </c>
      <c r="I149" t="str">
        <f>IFERROR(INDEX(Atualizações!$Q$1:$Q$1265,MATCH(H149,Atualizações!$P$1:$P$1265,0)),"0")</f>
        <v>0</v>
      </c>
    </row>
    <row r="150" spans="1:9" ht="75">
      <c r="A150" s="24" t="s">
        <v>822</v>
      </c>
      <c r="B150" s="5" t="str">
        <f>IFERROR(INDEX(Projetos!$B$3:$B$129,MATCH(Projeto_Objetivo[[#This Row],[SEI]],Projetos!$A$3:$A$129,0))," ")</f>
        <v>Ação Nacional de Cultura (sistema socioeducativo)</v>
      </c>
      <c r="C150" s="7" t="s">
        <v>75</v>
      </c>
      <c r="D150" s="193">
        <f>IFERROR(INDEX(Projetos!$Q$3:$Q$129,MATCH(Projeto_Objetivo[[#This Row],[SEI]],Projetos!$A$3:$A$129,0))," ")</f>
        <v>45642</v>
      </c>
      <c r="E150">
        <f>YEAR(Projeto_Objetivo[[#This Row],[Status]])</f>
        <v>2024</v>
      </c>
      <c r="F150" t="str">
        <f>$G$1&amp;Projeto_Objetivo[[#This Row],[SEI]]</f>
        <v>20241746616/2024</v>
      </c>
      <c r="G150">
        <f>IFERROR(INDEX(Atualizações!$Q$1:$Q$1265,MATCH(F150,Atualizações!$P$1:$P$1265,0)),"0")</f>
        <v>1</v>
      </c>
      <c r="H150" t="str">
        <f>$I$1&amp;Projeto_Objetivo[[#This Row],[SEI]]</f>
        <v>20251746616/2024</v>
      </c>
      <c r="I150" t="str">
        <f>IFERROR(INDEX(Atualizações!$Q$1:$Q$1265,MATCH(H150,Atualizações!$P$1:$P$1265,0)),"0")</f>
        <v>0</v>
      </c>
    </row>
    <row r="151" spans="1:9" ht="30">
      <c r="A151" s="24" t="s">
        <v>826</v>
      </c>
      <c r="B151" s="5" t="str">
        <f>IFERROR(INDEX(Projetos!$B$3:$B$129,MATCH(Projeto_Objetivo[[#This Row],[SEI]],Projetos!$A$3:$A$129,0))," ")</f>
        <v>Aprendizagem (sistema socioeducativo)</v>
      </c>
      <c r="C151" s="7" t="s">
        <v>240</v>
      </c>
      <c r="D151" s="193">
        <f>IFERROR(INDEX(Projetos!$Q$3:$Q$129,MATCH(Projeto_Objetivo[[#This Row],[SEI]],Projetos!$A$3:$A$129,0))," ")</f>
        <v>45642</v>
      </c>
      <c r="E151">
        <f>YEAR(Projeto_Objetivo[[#This Row],[Status]])</f>
        <v>2024</v>
      </c>
      <c r="F151" t="str">
        <f>$G$1&amp;Projeto_Objetivo[[#This Row],[SEI]]</f>
        <v>20241746617/2024</v>
      </c>
      <c r="G151">
        <f>IFERROR(INDEX(Atualizações!$Q$1:$Q$1265,MATCH(F151,Atualizações!$P$1:$P$1265,0)),"0")</f>
        <v>1</v>
      </c>
      <c r="H151" t="str">
        <f>$I$1&amp;Projeto_Objetivo[[#This Row],[SEI]]</f>
        <v>20251746617/2024</v>
      </c>
      <c r="I151" t="str">
        <f>IFERROR(INDEX(Atualizações!$Q$1:$Q$1265,MATCH(H151,Atualizações!$P$1:$P$1265,0)),"0")</f>
        <v>0</v>
      </c>
    </row>
    <row r="152" spans="1:9" ht="75">
      <c r="A152" s="24" t="s">
        <v>826</v>
      </c>
      <c r="B152" s="5" t="str">
        <f>IFERROR(INDEX(Projetos!$B$3:$B$129,MATCH(Projeto_Objetivo[[#This Row],[SEI]],Projetos!$A$3:$A$129,0))," ")</f>
        <v>Aprendizagem (sistema socioeducativo)</v>
      </c>
      <c r="C152" s="7" t="s">
        <v>75</v>
      </c>
      <c r="D152" s="193">
        <f>IFERROR(INDEX(Projetos!$Q$3:$Q$129,MATCH(Projeto_Objetivo[[#This Row],[SEI]],Projetos!$A$3:$A$129,0))," ")</f>
        <v>45642</v>
      </c>
      <c r="E152">
        <f>YEAR(Projeto_Objetivo[[#This Row],[Status]])</f>
        <v>2024</v>
      </c>
      <c r="F152" t="str">
        <f>$G$1&amp;Projeto_Objetivo[[#This Row],[SEI]]</f>
        <v>20241746617/2024</v>
      </c>
      <c r="G152">
        <f>IFERROR(INDEX(Atualizações!$Q$1:$Q$1265,MATCH(F152,Atualizações!$P$1:$P$1265,0)),"0")</f>
        <v>1</v>
      </c>
      <c r="H152" t="str">
        <f>$I$1&amp;Projeto_Objetivo[[#This Row],[SEI]]</f>
        <v>20251746617/2024</v>
      </c>
      <c r="I152" t="str">
        <f>IFERROR(INDEX(Atualizações!$Q$1:$Q$1265,MATCH(H152,Atualizações!$P$1:$P$1265,0)),"0")</f>
        <v>0</v>
      </c>
    </row>
    <row r="153" spans="1:9" ht="30">
      <c r="A153" s="24" t="s">
        <v>830</v>
      </c>
      <c r="B153" s="5" t="str">
        <f>IFERROR(INDEX(Projetos!$B$3:$B$129,MATCH(Projeto_Objetivo[[#This Row],[SEI]],Projetos!$A$3:$A$129,0))," ")</f>
        <v>Plataforma Socioeducativa (sistema socioeducativo)</v>
      </c>
      <c r="C153" s="7" t="s">
        <v>240</v>
      </c>
      <c r="D153" s="193">
        <f>IFERROR(INDEX(Projetos!$Q$3:$Q$129,MATCH(Projeto_Objetivo[[#This Row],[SEI]],Projetos!$A$3:$A$129,0))," ")</f>
        <v>45642</v>
      </c>
      <c r="E153">
        <f>YEAR(Projeto_Objetivo[[#This Row],[Status]])</f>
        <v>2024</v>
      </c>
      <c r="F153" t="str">
        <f>$G$1&amp;Projeto_Objetivo[[#This Row],[SEI]]</f>
        <v>20241746618/2024</v>
      </c>
      <c r="G153">
        <f>IFERROR(INDEX(Atualizações!$Q$1:$Q$1265,MATCH(F153,Atualizações!$P$1:$P$1265,0)),"0")</f>
        <v>1</v>
      </c>
      <c r="H153" t="str">
        <f>$I$1&amp;Projeto_Objetivo[[#This Row],[SEI]]</f>
        <v>20251746618/2024</v>
      </c>
      <c r="I153" t="str">
        <f>IFERROR(INDEX(Atualizações!$Q$1:$Q$1265,MATCH(H153,Atualizações!$P$1:$P$1265,0)),"0")</f>
        <v>0</v>
      </c>
    </row>
    <row r="154" spans="1:9" ht="75">
      <c r="A154" s="24" t="s">
        <v>830</v>
      </c>
      <c r="B154" s="5" t="str">
        <f>IFERROR(INDEX(Projetos!$B$3:$B$129,MATCH(Projeto_Objetivo[[#This Row],[SEI]],Projetos!$A$3:$A$129,0))," ")</f>
        <v>Plataforma Socioeducativa (sistema socioeducativo)</v>
      </c>
      <c r="C154" s="7" t="s">
        <v>75</v>
      </c>
      <c r="D154" s="193">
        <f>IFERROR(INDEX(Projetos!$Q$3:$Q$129,MATCH(Projeto_Objetivo[[#This Row],[SEI]],Projetos!$A$3:$A$129,0))," ")</f>
        <v>45642</v>
      </c>
      <c r="E154">
        <f>YEAR(Projeto_Objetivo[[#This Row],[Status]])</f>
        <v>2024</v>
      </c>
      <c r="F154" t="str">
        <f>$G$1&amp;Projeto_Objetivo[[#This Row],[SEI]]</f>
        <v>20241746618/2024</v>
      </c>
      <c r="G154">
        <f>IFERROR(INDEX(Atualizações!$Q$1:$Q$1265,MATCH(F154,Atualizações!$P$1:$P$1265,0)),"0")</f>
        <v>1</v>
      </c>
      <c r="H154" t="str">
        <f>$I$1&amp;Projeto_Objetivo[[#This Row],[SEI]]</f>
        <v>20251746618/2024</v>
      </c>
      <c r="I154" t="str">
        <f>IFERROR(INDEX(Atualizações!$Q$1:$Q$1265,MATCH(H154,Atualizações!$P$1:$P$1265,0)),"0")</f>
        <v>0</v>
      </c>
    </row>
    <row r="155" spans="1:9" ht="30">
      <c r="A155" s="24" t="s">
        <v>834</v>
      </c>
      <c r="B155" s="5" t="str">
        <f>IFERROR(INDEX(Projetos!$B$3:$B$129,MATCH(Projeto_Objetivo[[#This Row],[SEI]],Projetos!$A$3:$A$129,0))," ")</f>
        <v>Inspeção Judicial</v>
      </c>
      <c r="C155" s="7" t="s">
        <v>240</v>
      </c>
      <c r="D155" s="193">
        <f>IFERROR(INDEX(Projetos!$Q$3:$Q$129,MATCH(Projeto_Objetivo[[#This Row],[SEI]],Projetos!$A$3:$A$129,0))," ")</f>
        <v>45950</v>
      </c>
      <c r="E155">
        <f>YEAR(Projeto_Objetivo[[#This Row],[Status]])</f>
        <v>2025</v>
      </c>
      <c r="F155" t="str">
        <f>$G$1&amp;Projeto_Objetivo[[#This Row],[SEI]]</f>
        <v>20241746619/2024</v>
      </c>
      <c r="G155">
        <f>IFERROR(INDEX(Atualizações!$Q$1:$Q$1265,MATCH(F155,Atualizações!$P$1:$P$1265,0)),"0")</f>
        <v>1</v>
      </c>
      <c r="H155" t="str">
        <f>$I$1&amp;Projeto_Objetivo[[#This Row],[SEI]]</f>
        <v>20251746619/2024</v>
      </c>
      <c r="I155">
        <f>IFERROR(INDEX(Atualizações!$Q$1:$Q$1265,MATCH(H155,Atualizações!$P$1:$P$1265,0)),"0")</f>
        <v>1</v>
      </c>
    </row>
    <row r="156" spans="1:9" ht="75">
      <c r="A156" s="24" t="s">
        <v>834</v>
      </c>
      <c r="B156" s="5" t="str">
        <f>IFERROR(INDEX(Projetos!$B$3:$B$129,MATCH(Projeto_Objetivo[[#This Row],[SEI]],Projetos!$A$3:$A$129,0))," ")</f>
        <v>Inspeção Judicial</v>
      </c>
      <c r="C156" s="7" t="s">
        <v>75</v>
      </c>
      <c r="D156" s="193">
        <f>IFERROR(INDEX(Projetos!$Q$3:$Q$129,MATCH(Projeto_Objetivo[[#This Row],[SEI]],Projetos!$A$3:$A$129,0))," ")</f>
        <v>45950</v>
      </c>
      <c r="E156">
        <f>YEAR(Projeto_Objetivo[[#This Row],[Status]])</f>
        <v>2025</v>
      </c>
      <c r="F156" t="str">
        <f>$G$1&amp;Projeto_Objetivo[[#This Row],[SEI]]</f>
        <v>20241746619/2024</v>
      </c>
      <c r="G156">
        <f>IFERROR(INDEX(Atualizações!$Q$1:$Q$1265,MATCH(F156,Atualizações!$P$1:$P$1265,0)),"0")</f>
        <v>1</v>
      </c>
      <c r="H156" t="str">
        <f>$I$1&amp;Projeto_Objetivo[[#This Row],[SEI]]</f>
        <v>20251746619/2024</v>
      </c>
      <c r="I156">
        <f>IFERROR(INDEX(Atualizações!$Q$1:$Q$1265,MATCH(H156,Atualizações!$P$1:$P$1265,0)),"0")</f>
        <v>1</v>
      </c>
    </row>
    <row r="157" spans="1:9" ht="30">
      <c r="A157" s="24" t="s">
        <v>844</v>
      </c>
      <c r="B157" s="5" t="str">
        <f>IFERROR(INDEX(Projetos!$B$3:$B$129,MATCH(Projeto_Objetivo[[#This Row],[SEI]],Projetos!$A$3:$A$129,0))," ")</f>
        <v>Enfrentamento da Tortura</v>
      </c>
      <c r="C157" s="7" t="s">
        <v>240</v>
      </c>
      <c r="D157" s="193">
        <f>IFERROR(INDEX(Projetos!$Q$3:$Q$129,MATCH(Projeto_Objetivo[[#This Row],[SEI]],Projetos!$A$3:$A$129,0))," ")</f>
        <v>46155</v>
      </c>
      <c r="E157">
        <f>YEAR(Projeto_Objetivo[[#This Row],[Status]])</f>
        <v>2026</v>
      </c>
      <c r="F157" t="str">
        <f>$G$1&amp;Projeto_Objetivo[[#This Row],[SEI]]</f>
        <v>20241746620/2024</v>
      </c>
      <c r="G157">
        <f>IFERROR(INDEX(Atualizações!$Q$1:$Q$1265,MATCH(F157,Atualizações!$P$1:$P$1265,0)),"0")</f>
        <v>1</v>
      </c>
      <c r="H157" t="str">
        <f>$I$1&amp;Projeto_Objetivo[[#This Row],[SEI]]</f>
        <v>20251746620/2024</v>
      </c>
      <c r="I157">
        <f>IFERROR(INDEX(Atualizações!$Q$1:$Q$1265,MATCH(H157,Atualizações!$P$1:$P$1265,0)),"0")</f>
        <v>1</v>
      </c>
    </row>
    <row r="158" spans="1:9" ht="75">
      <c r="A158" s="24" t="s">
        <v>844</v>
      </c>
      <c r="B158" s="5" t="str">
        <f>IFERROR(INDEX(Projetos!$B$3:$B$129,MATCH(Projeto_Objetivo[[#This Row],[SEI]],Projetos!$A$3:$A$129,0))," ")</f>
        <v>Enfrentamento da Tortura</v>
      </c>
      <c r="C158" s="7" t="s">
        <v>75</v>
      </c>
      <c r="D158" s="193">
        <f>IFERROR(INDEX(Projetos!$Q$3:$Q$129,MATCH(Projeto_Objetivo[[#This Row],[SEI]],Projetos!$A$3:$A$129,0))," ")</f>
        <v>46155</v>
      </c>
      <c r="E158">
        <f>YEAR(Projeto_Objetivo[[#This Row],[Status]])</f>
        <v>2026</v>
      </c>
      <c r="F158" t="str">
        <f>$G$1&amp;Projeto_Objetivo[[#This Row],[SEI]]</f>
        <v>20241746620/2024</v>
      </c>
      <c r="G158">
        <f>IFERROR(INDEX(Atualizações!$Q$1:$Q$1265,MATCH(F158,Atualizações!$P$1:$P$1265,0)),"0")</f>
        <v>1</v>
      </c>
      <c r="H158" t="str">
        <f>$I$1&amp;Projeto_Objetivo[[#This Row],[SEI]]</f>
        <v>20251746620/2024</v>
      </c>
      <c r="I158">
        <f>IFERROR(INDEX(Atualizações!$Q$1:$Q$1265,MATCH(H158,Atualizações!$P$1:$P$1265,0)),"0")</f>
        <v>1</v>
      </c>
    </row>
    <row r="159" spans="1:9" ht="30">
      <c r="A159" s="24" t="s">
        <v>849</v>
      </c>
      <c r="B159" s="5" t="str">
        <f>IFERROR(INDEX(Projetos!$B$3:$B$129,MATCH(Projeto_Objetivo[[#This Row],[SEI]],Projetos!$A$3:$A$129,0))," ")</f>
        <v>Populações com Vulnerabilidade Acrescida</v>
      </c>
      <c r="C159" s="7" t="s">
        <v>240</v>
      </c>
      <c r="D159" s="193">
        <f>IFERROR(INDEX(Projetos!$Q$3:$Q$129,MATCH(Projeto_Objetivo[[#This Row],[SEI]],Projetos!$A$3:$A$129,0))," ")</f>
        <v>45642</v>
      </c>
      <c r="E159">
        <f>YEAR(Projeto_Objetivo[[#This Row],[Status]])</f>
        <v>2024</v>
      </c>
      <c r="F159" t="str">
        <f>$G$1&amp;Projeto_Objetivo[[#This Row],[SEI]]</f>
        <v>20241746621/2024</v>
      </c>
      <c r="G159">
        <f>IFERROR(INDEX(Atualizações!$Q$1:$Q$1265,MATCH(F159,Atualizações!$P$1:$P$1265,0)),"0")</f>
        <v>1</v>
      </c>
      <c r="H159" t="str">
        <f>$I$1&amp;Projeto_Objetivo[[#This Row],[SEI]]</f>
        <v>20251746621/2024</v>
      </c>
      <c r="I159" t="str">
        <f>IFERROR(INDEX(Atualizações!$Q$1:$Q$1265,MATCH(H159,Atualizações!$P$1:$P$1265,0)),"0")</f>
        <v>0</v>
      </c>
    </row>
    <row r="160" spans="1:9" ht="75">
      <c r="A160" s="24" t="s">
        <v>849</v>
      </c>
      <c r="B160" s="5" t="str">
        <f>IFERROR(INDEX(Projetos!$B$3:$B$129,MATCH(Projeto_Objetivo[[#This Row],[SEI]],Projetos!$A$3:$A$129,0))," ")</f>
        <v>Populações com Vulnerabilidade Acrescida</v>
      </c>
      <c r="C160" s="7" t="s">
        <v>75</v>
      </c>
      <c r="D160" s="193">
        <f>IFERROR(INDEX(Projetos!$Q$3:$Q$129,MATCH(Projeto_Objetivo[[#This Row],[SEI]],Projetos!$A$3:$A$129,0))," ")</f>
        <v>45642</v>
      </c>
      <c r="E160">
        <f>YEAR(Projeto_Objetivo[[#This Row],[Status]])</f>
        <v>2024</v>
      </c>
      <c r="F160" t="str">
        <f>$G$1&amp;Projeto_Objetivo[[#This Row],[SEI]]</f>
        <v>20241746621/2024</v>
      </c>
      <c r="G160">
        <f>IFERROR(INDEX(Atualizações!$Q$1:$Q$1265,MATCH(F160,Atualizações!$P$1:$P$1265,0)),"0")</f>
        <v>1</v>
      </c>
      <c r="H160" t="str">
        <f>$I$1&amp;Projeto_Objetivo[[#This Row],[SEI]]</f>
        <v>20251746621/2024</v>
      </c>
      <c r="I160" t="str">
        <f>IFERROR(INDEX(Atualizações!$Q$1:$Q$1265,MATCH(H160,Atualizações!$P$1:$P$1265,0)),"0")</f>
        <v>0</v>
      </c>
    </row>
    <row r="161" spans="1:12" ht="30">
      <c r="A161" s="24" t="s">
        <v>853</v>
      </c>
      <c r="B161" s="5" t="str">
        <f>IFERROR(INDEX(Projetos!$B$3:$B$129,MATCH(Projeto_Objetivo[[#This Row],[SEI]],Projetos!$A$3:$A$129,0))," ")</f>
        <v>Saúde Mental</v>
      </c>
      <c r="C161" s="7" t="s">
        <v>240</v>
      </c>
      <c r="D161" s="193">
        <f>IFERROR(INDEX(Projetos!$Q$3:$Q$129,MATCH(Projeto_Objetivo[[#This Row],[SEI]],Projetos!$A$3:$A$129,0))," ")</f>
        <v>45642</v>
      </c>
      <c r="E161">
        <f>YEAR(Projeto_Objetivo[[#This Row],[Status]])</f>
        <v>2024</v>
      </c>
      <c r="F161" t="str">
        <f>$G$1&amp;Projeto_Objetivo[[#This Row],[SEI]]</f>
        <v>20241746622/2024</v>
      </c>
      <c r="G161">
        <f>IFERROR(INDEX(Atualizações!$Q$1:$Q$1265,MATCH(F161,Atualizações!$P$1:$P$1265,0)),"0")</f>
        <v>1</v>
      </c>
      <c r="H161" t="str">
        <f>$I$1&amp;Projeto_Objetivo[[#This Row],[SEI]]</f>
        <v>20251746622/2024</v>
      </c>
      <c r="I161" t="str">
        <f>IFERROR(INDEX(Atualizações!$Q$1:$Q$1265,MATCH(H161,Atualizações!$P$1:$P$1265,0)),"0")</f>
        <v>0</v>
      </c>
    </row>
    <row r="162" spans="1:12" ht="75">
      <c r="A162" s="24" t="s">
        <v>853</v>
      </c>
      <c r="B162" s="5" t="str">
        <f>IFERROR(INDEX(Projetos!$B$3:$B$129,MATCH(Projeto_Objetivo[[#This Row],[SEI]],Projetos!$A$3:$A$129,0))," ")</f>
        <v>Saúde Mental</v>
      </c>
      <c r="C162" s="7" t="s">
        <v>75</v>
      </c>
      <c r="D162" s="193">
        <f>IFERROR(INDEX(Projetos!$Q$3:$Q$129,MATCH(Projeto_Objetivo[[#This Row],[SEI]],Projetos!$A$3:$A$129,0))," ")</f>
        <v>45642</v>
      </c>
      <c r="E162">
        <f>YEAR(Projeto_Objetivo[[#This Row],[Status]])</f>
        <v>2024</v>
      </c>
      <c r="F162" t="str">
        <f>$G$1&amp;Projeto_Objetivo[[#This Row],[SEI]]</f>
        <v>20241746622/2024</v>
      </c>
      <c r="G162">
        <f>IFERROR(INDEX(Atualizações!$Q$1:$Q$1265,MATCH(F162,Atualizações!$P$1:$P$1265,0)),"0")</f>
        <v>1</v>
      </c>
      <c r="H162" t="str">
        <f>$I$1&amp;Projeto_Objetivo[[#This Row],[SEI]]</f>
        <v>20251746622/2024</v>
      </c>
      <c r="I162" t="str">
        <f>IFERROR(INDEX(Atualizações!$Q$1:$Q$1265,MATCH(H162,Atualizações!$P$1:$P$1265,0)),"0")</f>
        <v>0</v>
      </c>
    </row>
    <row r="163" spans="1:12" ht="30">
      <c r="A163" s="24" t="s">
        <v>857</v>
      </c>
      <c r="B163" s="5" t="str">
        <f>IFERROR(INDEX(Projetos!$B$3:$B$129,MATCH(Projeto_Objetivo[[#This Row],[SEI]],Projetos!$A$3:$A$129,0))," ")</f>
        <v>Políticas de Drogas</v>
      </c>
      <c r="C163" s="7" t="s">
        <v>240</v>
      </c>
      <c r="D163" s="193">
        <f>IFERROR(INDEX(Projetos!$Q$3:$Q$129,MATCH(Projeto_Objetivo[[#This Row],[SEI]],Projetos!$A$3:$A$129,0))," ")</f>
        <v>45642</v>
      </c>
      <c r="E163">
        <f>YEAR(Projeto_Objetivo[[#This Row],[Status]])</f>
        <v>2024</v>
      </c>
      <c r="F163" t="str">
        <f>$G$1&amp;Projeto_Objetivo[[#This Row],[SEI]]</f>
        <v>20241746623/2024</v>
      </c>
      <c r="G163">
        <f>IFERROR(INDEX(Atualizações!$Q$1:$Q$1265,MATCH(F163,Atualizações!$P$1:$P$1265,0)),"0")</f>
        <v>1</v>
      </c>
      <c r="H163" t="str">
        <f>$I$1&amp;Projeto_Objetivo[[#This Row],[SEI]]</f>
        <v>20251746623/2024</v>
      </c>
      <c r="I163" t="str">
        <f>IFERROR(INDEX(Atualizações!$Q$1:$Q$1265,MATCH(H163,Atualizações!$P$1:$P$1265,0)),"0")</f>
        <v>0</v>
      </c>
    </row>
    <row r="164" spans="1:12" ht="75">
      <c r="A164" s="24" t="s">
        <v>857</v>
      </c>
      <c r="B164" s="5" t="str">
        <f>IFERROR(INDEX(Projetos!$B$3:$B$129,MATCH(Projeto_Objetivo[[#This Row],[SEI]],Projetos!$A$3:$A$129,0))," ")</f>
        <v>Políticas de Drogas</v>
      </c>
      <c r="C164" s="7" t="s">
        <v>75</v>
      </c>
      <c r="D164" s="193">
        <f>IFERROR(INDEX(Projetos!$Q$3:$Q$129,MATCH(Projeto_Objetivo[[#This Row],[SEI]],Projetos!$A$3:$A$129,0))," ")</f>
        <v>45642</v>
      </c>
      <c r="E164">
        <f>YEAR(Projeto_Objetivo[[#This Row],[Status]])</f>
        <v>2024</v>
      </c>
      <c r="F164" t="str">
        <f>$G$1&amp;Projeto_Objetivo[[#This Row],[SEI]]</f>
        <v>20241746623/2024</v>
      </c>
      <c r="G164">
        <f>IFERROR(INDEX(Atualizações!$Q$1:$Q$1265,MATCH(F164,Atualizações!$P$1:$P$1265,0)),"0")</f>
        <v>1</v>
      </c>
      <c r="H164" t="str">
        <f>$I$1&amp;Projeto_Objetivo[[#This Row],[SEI]]</f>
        <v>20251746623/2024</v>
      </c>
      <c r="I164" t="str">
        <f>IFERROR(INDEX(Atualizações!$Q$1:$Q$1265,MATCH(H164,Atualizações!$P$1:$P$1265,0)),"0")</f>
        <v>0</v>
      </c>
    </row>
    <row r="165" spans="1:12" ht="30">
      <c r="A165" s="24" t="s">
        <v>861</v>
      </c>
      <c r="B165" s="5" t="str">
        <f>IFERROR(INDEX(Projetos!$B$3:$B$129,MATCH(Projeto_Objetivo[[#This Row],[SEI]],Projetos!$A$3:$A$129,0))," ")</f>
        <v>Documentação Civil</v>
      </c>
      <c r="C165" s="7" t="s">
        <v>240</v>
      </c>
      <c r="D165" s="193">
        <f>IFERROR(INDEX(Projetos!$Q$3:$Q$129,MATCH(Projeto_Objetivo[[#This Row],[SEI]],Projetos!$A$3:$A$129,0))," ")</f>
        <v>45642</v>
      </c>
      <c r="E165">
        <f>YEAR(Projeto_Objetivo[[#This Row],[Status]])</f>
        <v>2024</v>
      </c>
      <c r="F165" t="str">
        <f>$G$1&amp;Projeto_Objetivo[[#This Row],[SEI]]</f>
        <v>20241746624/2024</v>
      </c>
      <c r="G165">
        <f>IFERROR(INDEX(Atualizações!$Q$1:$Q$1265,MATCH(F165,Atualizações!$P$1:$P$1265,0)),"0")</f>
        <v>1</v>
      </c>
      <c r="H165" t="str">
        <f>$I$1&amp;Projeto_Objetivo[[#This Row],[SEI]]</f>
        <v>20251746624/2024</v>
      </c>
      <c r="I165" t="str">
        <f>IFERROR(INDEX(Atualizações!$Q$1:$Q$1265,MATCH(H165,Atualizações!$P$1:$P$1265,0)),"0")</f>
        <v>0</v>
      </c>
    </row>
    <row r="166" spans="1:12" ht="75">
      <c r="A166" s="24" t="s">
        <v>861</v>
      </c>
      <c r="B166" s="5" t="str">
        <f>IFERROR(INDEX(Projetos!$B$3:$B$129,MATCH(Projeto_Objetivo[[#This Row],[SEI]],Projetos!$A$3:$A$129,0))," ")</f>
        <v>Documentação Civil</v>
      </c>
      <c r="C166" s="7" t="s">
        <v>75</v>
      </c>
      <c r="D166" s="193">
        <f>IFERROR(INDEX(Projetos!$Q$3:$Q$129,MATCH(Projeto_Objetivo[[#This Row],[SEI]],Projetos!$A$3:$A$129,0))," ")</f>
        <v>45642</v>
      </c>
      <c r="E166">
        <f>YEAR(Projeto_Objetivo[[#This Row],[Status]])</f>
        <v>2024</v>
      </c>
      <c r="F166" t="str">
        <f>$G$1&amp;Projeto_Objetivo[[#This Row],[SEI]]</f>
        <v>20241746624/2024</v>
      </c>
      <c r="G166">
        <f>IFERROR(INDEX(Atualizações!$Q$1:$Q$1265,MATCH(F166,Atualizações!$P$1:$P$1265,0)),"0")</f>
        <v>1</v>
      </c>
      <c r="H166" t="str">
        <f>$I$1&amp;Projeto_Objetivo[[#This Row],[SEI]]</f>
        <v>20251746624/2024</v>
      </c>
      <c r="I166" t="str">
        <f>IFERROR(INDEX(Atualizações!$Q$1:$Q$1265,MATCH(H166,Atualizações!$P$1:$P$1265,0)),"0")</f>
        <v>0</v>
      </c>
    </row>
    <row r="167" spans="1:12" ht="30">
      <c r="A167" s="24" t="s">
        <v>865</v>
      </c>
      <c r="B167" s="5" t="str">
        <f>IFERROR(INDEX(Projetos!$B$3:$B$129,MATCH(Projeto_Objetivo[[#This Row],[SEI]],Projetos!$A$3:$A$129,0))," ")</f>
        <v>Articulação Internacional e Proteção dos Direitos Humanos</v>
      </c>
      <c r="C167" s="7" t="s">
        <v>240</v>
      </c>
      <c r="D167" s="193">
        <f>IFERROR(INDEX(Projetos!$Q$3:$Q$129,MATCH(Projeto_Objetivo[[#This Row],[SEI]],Projetos!$A$3:$A$129,0))," ")</f>
        <v>46155</v>
      </c>
      <c r="E167">
        <f>YEAR(Projeto_Objetivo[[#This Row],[Status]])</f>
        <v>2026</v>
      </c>
      <c r="F167" t="str">
        <f>$G$1&amp;Projeto_Objetivo[[#This Row],[SEI]]</f>
        <v>20241746625/2024</v>
      </c>
      <c r="G167">
        <f>IFERROR(INDEX(Atualizações!$Q$1:$Q$1265,MATCH(F167,Atualizações!$P$1:$P$1265,0)),"0")</f>
        <v>1</v>
      </c>
      <c r="H167" t="str">
        <f>$I$1&amp;Projeto_Objetivo[[#This Row],[SEI]]</f>
        <v>20251746625/2024</v>
      </c>
      <c r="I167">
        <f>IFERROR(INDEX(Atualizações!$Q$1:$Q$1265,MATCH(H167,Atualizações!$P$1:$P$1265,0)),"0")</f>
        <v>1</v>
      </c>
    </row>
    <row r="168" spans="1:12" ht="75">
      <c r="A168" s="24" t="s">
        <v>865</v>
      </c>
      <c r="B168" s="5" t="str">
        <f>IFERROR(INDEX(Projetos!$B$3:$B$129,MATCH(Projeto_Objetivo[[#This Row],[SEI]],Projetos!$A$3:$A$129,0))," ")</f>
        <v>Articulação Internacional e Proteção dos Direitos Humanos</v>
      </c>
      <c r="C168" s="7" t="s">
        <v>75</v>
      </c>
      <c r="D168" s="193">
        <f>IFERROR(INDEX(Projetos!$Q$3:$Q$129,MATCH(Projeto_Objetivo[[#This Row],[SEI]],Projetos!$A$3:$A$129,0))," ")</f>
        <v>46155</v>
      </c>
      <c r="E168">
        <f>YEAR(Projeto_Objetivo[[#This Row],[Status]])</f>
        <v>2026</v>
      </c>
      <c r="F168" t="str">
        <f>$G$1&amp;Projeto_Objetivo[[#This Row],[SEI]]</f>
        <v>20241746625/2024</v>
      </c>
      <c r="G168">
        <f>IFERROR(INDEX(Atualizações!$Q$1:$Q$1265,MATCH(F168,Atualizações!$P$1:$P$1265,0)),"0")</f>
        <v>1</v>
      </c>
      <c r="H168" t="str">
        <f>$I$1&amp;Projeto_Objetivo[[#This Row],[SEI]]</f>
        <v>20251746625/2024</v>
      </c>
      <c r="I168">
        <f>IFERROR(INDEX(Atualizações!$Q$1:$Q$1265,MATCH(H168,Atualizações!$P$1:$P$1265,0)),"0")</f>
        <v>1</v>
      </c>
    </row>
    <row r="169" spans="1:12" ht="30">
      <c r="A169" s="24" t="s">
        <v>870</v>
      </c>
      <c r="B169" s="5" t="str">
        <f>IFERROR(INDEX(Projetos!$B$3:$B$129,MATCH(Projeto_Objetivo[[#This Row],[SEI]],Projetos!$A$3:$A$129,0))," ")</f>
        <v>Grupo de Monitoramento e Fiscalização - GMF</v>
      </c>
      <c r="C169" s="7" t="s">
        <v>240</v>
      </c>
      <c r="D169" s="193">
        <f>IFERROR(INDEX(Projetos!$Q$3:$Q$129,MATCH(Projeto_Objetivo[[#This Row],[SEI]],Projetos!$A$3:$A$129,0))," ")</f>
        <v>45642</v>
      </c>
      <c r="E169">
        <f>YEAR(Projeto_Objetivo[[#This Row],[Status]])</f>
        <v>2024</v>
      </c>
      <c r="F169" t="str">
        <f>$G$1&amp;Projeto_Objetivo[[#This Row],[SEI]]</f>
        <v>20241746626/2024</v>
      </c>
      <c r="G169">
        <f>IFERROR(INDEX(Atualizações!$Q$1:$Q$1265,MATCH(F169,Atualizações!$P$1:$P$1265,0)),"0")</f>
        <v>1</v>
      </c>
      <c r="H169" t="str">
        <f>$I$1&amp;Projeto_Objetivo[[#This Row],[SEI]]</f>
        <v>20251746626/2024</v>
      </c>
      <c r="I169" t="str">
        <f>IFERROR(INDEX(Atualizações!$Q$1:$Q$1265,MATCH(H169,Atualizações!$P$1:$P$1265,0)),"0")</f>
        <v>0</v>
      </c>
    </row>
    <row r="170" spans="1:12" ht="75">
      <c r="A170" s="24" t="s">
        <v>870</v>
      </c>
      <c r="B170" s="5" t="str">
        <f>IFERROR(INDEX(Projetos!$B$3:$B$129,MATCH(Projeto_Objetivo[[#This Row],[SEI]],Projetos!$A$3:$A$129,0))," ")</f>
        <v>Grupo de Monitoramento e Fiscalização - GMF</v>
      </c>
      <c r="C170" s="7" t="s">
        <v>75</v>
      </c>
      <c r="D170" s="193">
        <f>IFERROR(INDEX(Projetos!$Q$3:$Q$129,MATCH(Projeto_Objetivo[[#This Row],[SEI]],Projetos!$A$3:$A$129,0))," ")</f>
        <v>45642</v>
      </c>
      <c r="E170">
        <f>YEAR(Projeto_Objetivo[[#This Row],[Status]])</f>
        <v>2024</v>
      </c>
      <c r="F170" t="str">
        <f>$G$1&amp;Projeto_Objetivo[[#This Row],[SEI]]</f>
        <v>20241746626/2024</v>
      </c>
      <c r="G170">
        <f>IFERROR(INDEX(Atualizações!$Q$1:$Q$1265,MATCH(F170,Atualizações!$P$1:$P$1265,0)),"0")</f>
        <v>1</v>
      </c>
      <c r="H170" t="str">
        <f>$I$1&amp;Projeto_Objetivo[[#This Row],[SEI]]</f>
        <v>20251746626/2024</v>
      </c>
      <c r="I170" t="str">
        <f>IFERROR(INDEX(Atualizações!$Q$1:$Q$1265,MATCH(H170,Atualizações!$P$1:$P$1265,0)),"0")</f>
        <v>0</v>
      </c>
      <c r="L170">
        <v>175</v>
      </c>
    </row>
    <row r="171" spans="1:12" ht="30">
      <c r="A171" s="24" t="s">
        <v>874</v>
      </c>
      <c r="B171" s="5" t="str">
        <f>IFERROR(INDEX(Projetos!$B$3:$B$129,MATCH(Projeto_Objetivo[[#This Row],[SEI]],Projetos!$A$3:$A$129,0))," ")</f>
        <v>Formação e Cultura Institucional</v>
      </c>
      <c r="C171" s="7" t="s">
        <v>240</v>
      </c>
      <c r="D171" s="193">
        <f>IFERROR(INDEX(Projetos!$Q$3:$Q$129,MATCH(Projeto_Objetivo[[#This Row],[SEI]],Projetos!$A$3:$A$129,0))," ")</f>
        <v>45642</v>
      </c>
      <c r="E171">
        <f>YEAR(Projeto_Objetivo[[#This Row],[Status]])</f>
        <v>2024</v>
      </c>
      <c r="F171" t="str">
        <f>$G$1&amp;Projeto_Objetivo[[#This Row],[SEI]]</f>
        <v>20241746627/2024</v>
      </c>
      <c r="G171">
        <f>IFERROR(INDEX(Atualizações!$Q$1:$Q$1265,MATCH(F171,Atualizações!$P$1:$P$1265,0)),"0")</f>
        <v>1</v>
      </c>
      <c r="H171" t="str">
        <f>$I$1&amp;Projeto_Objetivo[[#This Row],[SEI]]</f>
        <v>20251746627/2024</v>
      </c>
      <c r="I171" t="str">
        <f>IFERROR(INDEX(Atualizações!$Q$1:$Q$1265,MATCH(H171,Atualizações!$P$1:$P$1265,0)),"0")</f>
        <v>0</v>
      </c>
    </row>
    <row r="172" spans="1:12" ht="75">
      <c r="A172" s="24" t="s">
        <v>874</v>
      </c>
      <c r="B172" s="5" t="str">
        <f>IFERROR(INDEX(Projetos!$B$3:$B$129,MATCH(Projeto_Objetivo[[#This Row],[SEI]],Projetos!$A$3:$A$129,0))," ")</f>
        <v>Formação e Cultura Institucional</v>
      </c>
      <c r="C172" s="7" t="s">
        <v>75</v>
      </c>
      <c r="D172" s="193">
        <f>IFERROR(INDEX(Projetos!$Q$3:$Q$129,MATCH(Projeto_Objetivo[[#This Row],[SEI]],Projetos!$A$3:$A$129,0))," ")</f>
        <v>45642</v>
      </c>
      <c r="E172">
        <f>YEAR(Projeto_Objetivo[[#This Row],[Status]])</f>
        <v>2024</v>
      </c>
      <c r="F172" t="str">
        <f>$G$1&amp;Projeto_Objetivo[[#This Row],[SEI]]</f>
        <v>20241746627/2024</v>
      </c>
      <c r="G172">
        <f>IFERROR(INDEX(Atualizações!$Q$1:$Q$1265,MATCH(F172,Atualizações!$P$1:$P$1265,0)),"0")</f>
        <v>1</v>
      </c>
      <c r="H172" t="str">
        <f>$I$1&amp;Projeto_Objetivo[[#This Row],[SEI]]</f>
        <v>20251746627/2024</v>
      </c>
      <c r="I172" t="str">
        <f>IFERROR(INDEX(Atualizações!$Q$1:$Q$1265,MATCH(H172,Atualizações!$P$1:$P$1265,0)),"0")</f>
        <v>0</v>
      </c>
    </row>
    <row r="173" spans="1:12" ht="30">
      <c r="A173" s="24" t="s">
        <v>878</v>
      </c>
      <c r="B173" s="5" t="str">
        <f>IFERROR(INDEX(Projetos!$B$3:$B$129,MATCH(Projeto_Objetivo[[#This Row],[SEI]],Projetos!$A$3:$A$129,0))," ")</f>
        <v>Adequação à Lei Geral de Proteção de Dados Pessoais</v>
      </c>
      <c r="C173" s="7" t="s">
        <v>240</v>
      </c>
      <c r="D173" s="193">
        <f>IFERROR(INDEX(Projetos!$Q$3:$Q$129,MATCH(Projeto_Objetivo[[#This Row],[SEI]],Projetos!$A$3:$A$129,0))," ")</f>
        <v>46011</v>
      </c>
      <c r="E173">
        <f>YEAR(Projeto_Objetivo[[#This Row],[Status]])</f>
        <v>2025</v>
      </c>
      <c r="F173" t="str">
        <f>$G$1&amp;Projeto_Objetivo[[#This Row],[SEI]]</f>
        <v>20241746628/2024</v>
      </c>
      <c r="G173">
        <f>IFERROR(INDEX(Atualizações!$Q$1:$Q$1265,MATCH(F173,Atualizações!$P$1:$P$1265,0)),"0")</f>
        <v>1</v>
      </c>
      <c r="H173" t="str">
        <f>$I$1&amp;Projeto_Objetivo[[#This Row],[SEI]]</f>
        <v>20251746628/2024</v>
      </c>
      <c r="I173">
        <f>IFERROR(INDEX(Atualizações!$Q$1:$Q$1265,MATCH(H173,Atualizações!$P$1:$P$1265,0)),"0")</f>
        <v>1</v>
      </c>
    </row>
    <row r="174" spans="1:12" ht="75">
      <c r="A174" s="24" t="s">
        <v>878</v>
      </c>
      <c r="B174" s="5" t="str">
        <f>IFERROR(INDEX(Projetos!$B$3:$B$129,MATCH(Projeto_Objetivo[[#This Row],[SEI]],Projetos!$A$3:$A$129,0))," ")</f>
        <v>Adequação à Lei Geral de Proteção de Dados Pessoais</v>
      </c>
      <c r="C174" s="7" t="s">
        <v>75</v>
      </c>
      <c r="D174" s="193">
        <f>IFERROR(INDEX(Projetos!$Q$3:$Q$129,MATCH(Projeto_Objetivo[[#This Row],[SEI]],Projetos!$A$3:$A$129,0))," ")</f>
        <v>46011</v>
      </c>
      <c r="E174">
        <f>YEAR(Projeto_Objetivo[[#This Row],[Status]])</f>
        <v>2025</v>
      </c>
      <c r="F174" t="str">
        <f>$G$1&amp;Projeto_Objetivo[[#This Row],[SEI]]</f>
        <v>20241746628/2024</v>
      </c>
      <c r="G174">
        <f>IFERROR(INDEX(Atualizações!$Q$1:$Q$1265,MATCH(F174,Atualizações!$P$1:$P$1265,0)),"0")</f>
        <v>1</v>
      </c>
      <c r="H174" t="str">
        <f>$I$1&amp;Projeto_Objetivo[[#This Row],[SEI]]</f>
        <v>20251746628/2024</v>
      </c>
      <c r="I174">
        <f>IFERROR(INDEX(Atualizações!$Q$1:$Q$1265,MATCH(H174,Atualizações!$P$1:$P$1265,0)),"0")</f>
        <v>1</v>
      </c>
    </row>
    <row r="175" spans="1:12" ht="30">
      <c r="A175" s="192" t="s">
        <v>728</v>
      </c>
      <c r="B175" s="5" t="str">
        <f>IFERROR(INDEX(Projetos!$B$3:$B$129,MATCH(Projeto_Objetivo[[#This Row],[SEI]],Projetos!$A$3:$A$129,0))," ")</f>
        <v>Programa de Acessibilidade e Inclusão do Conselho Nacional de Justiça (CNJ)</v>
      </c>
      <c r="C175" s="2" t="s">
        <v>305</v>
      </c>
      <c r="D175" s="193">
        <f>IFERROR(INDEX(Projetos!$Q$3:$Q$129,MATCH(Projeto_Objetivo[[#This Row],[SEI]],Projetos!$A$3:$A$129,0))," ")</f>
        <v>46128</v>
      </c>
      <c r="E175">
        <f>YEAR(Projeto_Objetivo[[#This Row],[Status]])</f>
        <v>2026</v>
      </c>
      <c r="F175" t="str">
        <f>$G$1&amp;Projeto_Objetivo[[#This Row],[SEI]]</f>
        <v>202415844/2024</v>
      </c>
      <c r="G175" t="str">
        <f>IFERROR(INDEX(Atualizações!$Q$1:$Q$1265,MATCH(F175,Atualizações!$P$1:$P$1265,0)),"0")</f>
        <v>0</v>
      </c>
      <c r="H175" t="str">
        <f>$I$1&amp;Projeto_Objetivo[[#This Row],[SEI]]</f>
        <v>202515844/2024</v>
      </c>
      <c r="I175">
        <f>IFERROR(INDEX(Atualizações!$Q$1:$Q$1265,MATCH(H175,Atualizações!$P$1:$P$1265,0)),"0")</f>
        <v>1</v>
      </c>
    </row>
    <row r="176" spans="1:12" ht="30">
      <c r="A176" s="24" t="s">
        <v>714</v>
      </c>
      <c r="B176" s="5" t="str">
        <f>IFERROR(INDEX(Projetos!$B$3:$B$129,MATCH(Projeto_Objetivo[[#This Row],[SEI]],Projetos!$A$3:$A$129,0))," ")</f>
        <v>Programa Novos Caminhos</v>
      </c>
      <c r="C176" s="7" t="s">
        <v>240</v>
      </c>
      <c r="D176" s="193">
        <f>IFERROR(INDEX(Projetos!$Q$3:$Q$129,MATCH(Projeto_Objetivo[[#This Row],[SEI]],Projetos!$A$3:$A$129,0))," ")</f>
        <v>46105</v>
      </c>
      <c r="E176">
        <f>YEAR(Projeto_Objetivo[[#This Row],[Status]])</f>
        <v>2026</v>
      </c>
      <c r="F176" t="str">
        <f>$G$1&amp;Projeto_Objetivo[[#This Row],[SEI]]</f>
        <v>202414204/2024</v>
      </c>
      <c r="G176">
        <f>IFERROR(INDEX(Atualizações!$Q$1:$Q$1265,MATCH(F176,Atualizações!$P$1:$P$1265,0)),"0")</f>
        <v>1</v>
      </c>
      <c r="H176" t="str">
        <f>$I$1&amp;Projeto_Objetivo[[#This Row],[SEI]]</f>
        <v>202514204/2024</v>
      </c>
      <c r="I176">
        <f>IFERROR(INDEX(Atualizações!$Q$1:$Q$1265,MATCH(H176,Atualizações!$P$1:$P$1265,0)),"0")</f>
        <v>1</v>
      </c>
    </row>
  </sheetData>
  <conditionalFormatting sqref="A104">
    <cfRule type="duplicateValues" dxfId="44" priority="3"/>
  </conditionalFormatting>
  <conditionalFormatting sqref="A105">
    <cfRule type="duplicateValues" dxfId="43" priority="2"/>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sheetPr>
  <dimension ref="E1:G29"/>
  <sheetViews>
    <sheetView workbookViewId="0"/>
  </sheetViews>
  <sheetFormatPr defaultRowHeight="15"/>
  <cols>
    <col min="5" max="5" width="53.42578125" customWidth="1"/>
    <col min="6" max="6" width="58.5703125" bestFit="1" customWidth="1"/>
    <col min="7" max="7" width="18.5703125" bestFit="1" customWidth="1"/>
  </cols>
  <sheetData>
    <row r="1" spans="5:7">
      <c r="F1" t="s">
        <v>2256</v>
      </c>
      <c r="G1" t="s">
        <v>1636</v>
      </c>
    </row>
    <row r="2" spans="5:7" ht="60">
      <c r="E2" s="4"/>
      <c r="F2" s="5" t="s">
        <v>75</v>
      </c>
      <c r="G2" t="s">
        <v>2257</v>
      </c>
    </row>
    <row r="3" spans="5:7" ht="30">
      <c r="E3" s="4"/>
      <c r="F3" s="224" t="s">
        <v>390</v>
      </c>
      <c r="G3" t="s">
        <v>2257</v>
      </c>
    </row>
    <row r="4" spans="5:7" ht="30">
      <c r="E4" s="4"/>
      <c r="F4" s="5" t="s">
        <v>88</v>
      </c>
      <c r="G4" t="s">
        <v>2257</v>
      </c>
    </row>
    <row r="5" spans="5:7" ht="30">
      <c r="E5" s="4"/>
      <c r="F5" s="5" t="s">
        <v>672</v>
      </c>
      <c r="G5" t="s">
        <v>2257</v>
      </c>
    </row>
    <row r="6" spans="5:7">
      <c r="E6" s="4"/>
      <c r="F6" s="5" t="s">
        <v>204</v>
      </c>
      <c r="G6" t="s">
        <v>2257</v>
      </c>
    </row>
    <row r="7" spans="5:7">
      <c r="E7" s="5"/>
      <c r="F7" s="5" t="s">
        <v>448</v>
      </c>
      <c r="G7" t="s">
        <v>2257</v>
      </c>
    </row>
    <row r="8" spans="5:7" ht="30">
      <c r="E8" s="5"/>
      <c r="F8" s="5" t="s">
        <v>240</v>
      </c>
      <c r="G8" t="s">
        <v>2257</v>
      </c>
    </row>
    <row r="9" spans="5:7" ht="30">
      <c r="E9" s="5"/>
      <c r="F9" s="5" t="s">
        <v>455</v>
      </c>
      <c r="G9" t="s">
        <v>2257</v>
      </c>
    </row>
    <row r="10" spans="5:7" ht="30">
      <c r="E10" s="5"/>
      <c r="F10" s="5" t="s">
        <v>165</v>
      </c>
      <c r="G10" t="s">
        <v>2257</v>
      </c>
    </row>
    <row r="11" spans="5:7" ht="30">
      <c r="E11" s="5"/>
      <c r="F11" s="5" t="s">
        <v>62</v>
      </c>
      <c r="G11" t="s">
        <v>2257</v>
      </c>
    </row>
    <row r="12" spans="5:7">
      <c r="F12" s="5" t="s">
        <v>1619</v>
      </c>
      <c r="G12" t="s">
        <v>2257</v>
      </c>
    </row>
    <row r="13" spans="5:7" ht="30">
      <c r="F13" s="5" t="s">
        <v>346</v>
      </c>
      <c r="G13" t="s">
        <v>2257</v>
      </c>
    </row>
    <row r="14" spans="5:7">
      <c r="F14" s="5" t="s">
        <v>104</v>
      </c>
      <c r="G14" t="s">
        <v>2257</v>
      </c>
    </row>
    <row r="15" spans="5:7" ht="30">
      <c r="F15" s="5" t="s">
        <v>305</v>
      </c>
      <c r="G15" t="s">
        <v>2257</v>
      </c>
    </row>
    <row r="16" spans="5:7" ht="30">
      <c r="F16" s="5" t="s">
        <v>1620</v>
      </c>
      <c r="G16" t="s">
        <v>2257</v>
      </c>
    </row>
    <row r="17" spans="6:7">
      <c r="F17" s="5" t="s">
        <v>213</v>
      </c>
      <c r="G17" t="s">
        <v>2257</v>
      </c>
    </row>
    <row r="18" spans="6:7" ht="30">
      <c r="F18" s="5" t="s">
        <v>1621</v>
      </c>
      <c r="G18" t="s">
        <v>2257</v>
      </c>
    </row>
    <row r="19" spans="6:7" ht="30">
      <c r="F19" s="5" t="s">
        <v>1622</v>
      </c>
      <c r="G19" t="s">
        <v>2257</v>
      </c>
    </row>
    <row r="20" spans="6:7">
      <c r="F20" s="4"/>
    </row>
    <row r="21" spans="6:7">
      <c r="F21" s="4"/>
    </row>
    <row r="22" spans="6:7">
      <c r="F22" s="4"/>
    </row>
    <row r="23" spans="6:7">
      <c r="F23" s="4"/>
    </row>
    <row r="24" spans="6:7">
      <c r="F24" s="4"/>
    </row>
    <row r="25" spans="6:7">
      <c r="F25" s="4"/>
    </row>
    <row r="26" spans="6:7">
      <c r="F26" s="4"/>
    </row>
    <row r="27" spans="6:7">
      <c r="F27" s="4"/>
    </row>
    <row r="28" spans="6:7">
      <c r="F28" s="4"/>
    </row>
    <row r="29" spans="6:7">
      <c r="F29" s="4"/>
    </row>
  </sheetData>
  <pageMargins left="0.511811024" right="0.511811024" top="0.78740157499999996" bottom="0.78740157499999996" header="0.31496062000000002" footer="0.31496062000000002"/>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G166"/>
  <sheetViews>
    <sheetView workbookViewId="0"/>
  </sheetViews>
  <sheetFormatPr defaultRowHeight="15"/>
  <cols>
    <col min="1" max="1" width="22.42578125" style="18" customWidth="1"/>
    <col min="2" max="2" width="40.140625" style="5" customWidth="1"/>
    <col min="3" max="3" width="73.5703125" style="23" bestFit="1" customWidth="1"/>
    <col min="4" max="4" width="16.42578125" bestFit="1" customWidth="1"/>
    <col min="5" max="5" width="8.5703125" bestFit="1" customWidth="1"/>
    <col min="6" max="6" width="16.42578125" bestFit="1" customWidth="1"/>
    <col min="7" max="7" width="8.5703125" bestFit="1" customWidth="1"/>
  </cols>
  <sheetData>
    <row r="1" spans="1:7" ht="16.5">
      <c r="A1" s="93" t="s">
        <v>1</v>
      </c>
      <c r="B1" s="94" t="s">
        <v>2</v>
      </c>
      <c r="C1" s="94" t="s">
        <v>10</v>
      </c>
      <c r="D1" s="94" t="s">
        <v>1633</v>
      </c>
      <c r="E1" s="94" t="s">
        <v>1615</v>
      </c>
      <c r="F1" s="94" t="s">
        <v>1634</v>
      </c>
      <c r="G1" s="94" t="s">
        <v>1616</v>
      </c>
    </row>
    <row r="2" spans="1:7" ht="15.75">
      <c r="A2" s="9" t="s">
        <v>141</v>
      </c>
      <c r="B2" s="140" t="s">
        <v>142</v>
      </c>
      <c r="C2" s="107" t="s">
        <v>146</v>
      </c>
      <c r="D2" s="666" t="str">
        <f>$E$1&amp;Projeto_e_Macro[[#This Row],[SEI]]</f>
        <v>202401179/2023</v>
      </c>
      <c r="E2">
        <f>IFERROR(INDEX(Atualizações!$Q$1:$Q$1265,MATCH(Projeto_e_Macro[[#This Row],[AUXILIAR 1]],Atualizações!$P$1:$P$1265,0)),"0")</f>
        <v>1</v>
      </c>
      <c r="F2" s="666" t="str">
        <f>$G$1&amp;Projeto_e_Macro[[#This Row],[SEI]]</f>
        <v>202501179/2023</v>
      </c>
      <c r="G2">
        <f>IFERROR(INDEX(Atualizações!$Q$1:$Q$1265,MATCH(Projeto_e_Macro[[#This Row],[Auxiliar 2]],Atualizações!$P$1:$P$1265,0)),"0")</f>
        <v>1</v>
      </c>
    </row>
    <row r="3" spans="1:7" ht="15.75">
      <c r="A3" s="9" t="s">
        <v>141</v>
      </c>
      <c r="B3" s="140" t="s">
        <v>142</v>
      </c>
      <c r="C3" s="108" t="s">
        <v>120</v>
      </c>
      <c r="D3" s="666" t="str">
        <f>$E$1&amp;Projeto_e_Macro[[#This Row],[SEI]]</f>
        <v>202401179/2023</v>
      </c>
      <c r="E3">
        <f>IFERROR(INDEX(Atualizações!$Q$1:$Q$1265,MATCH(Projeto_e_Macro[[#This Row],[AUXILIAR 1]],Atualizações!$P$1:$P$1265,0)),"0")</f>
        <v>1</v>
      </c>
      <c r="F3" s="666" t="str">
        <f>$G$1&amp;Projeto_e_Macro[[#This Row],[SEI]]</f>
        <v>202501179/2023</v>
      </c>
      <c r="G3">
        <f>IFERROR(INDEX(Atualizações!$Q$1:$Q$1265,MATCH(Projeto_e_Macro[[#This Row],[Auxiliar 2]],Atualizações!$P$1:$P$1265,0)),"0")</f>
        <v>1</v>
      </c>
    </row>
    <row r="4" spans="1:7" ht="60">
      <c r="A4" s="9" t="s">
        <v>369</v>
      </c>
      <c r="B4" s="140" t="s">
        <v>370</v>
      </c>
      <c r="C4" s="107" t="s">
        <v>146</v>
      </c>
      <c r="D4" s="666" t="str">
        <f>$E$1&amp;Projeto_e_Macro[[#This Row],[SEI]]</f>
        <v>202403559/2021</v>
      </c>
      <c r="E4">
        <f>IFERROR(INDEX(Atualizações!$Q$1:$Q$1265,MATCH(Projeto_e_Macro[[#This Row],[AUXILIAR 1]],Atualizações!$P$1:$P$1265,0)),"0")</f>
        <v>1</v>
      </c>
      <c r="F4" s="666" t="str">
        <f>$G$1&amp;Projeto_e_Macro[[#This Row],[SEI]]</f>
        <v>202503559/2021</v>
      </c>
      <c r="G4" t="str">
        <f>IFERROR(INDEX(Atualizações!$Q$1:$Q$1265,MATCH(Projeto_e_Macro[[#This Row],[Auxiliar 2]],Atualizações!$P$1:$P$1265,0)),"0")</f>
        <v>0</v>
      </c>
    </row>
    <row r="5" spans="1:7" ht="60">
      <c r="A5" s="9" t="s">
        <v>369</v>
      </c>
      <c r="B5" s="75" t="s">
        <v>370</v>
      </c>
      <c r="C5" s="109" t="s">
        <v>214</v>
      </c>
      <c r="D5" s="666" t="str">
        <f>$E$1&amp;Projeto_e_Macro[[#This Row],[SEI]]</f>
        <v>202403559/2021</v>
      </c>
      <c r="E5">
        <f>IFERROR(INDEX(Atualizações!$Q$1:$Q$1265,MATCH(Projeto_e_Macro[[#This Row],[AUXILIAR 1]],Atualizações!$P$1:$P$1265,0)),"0")</f>
        <v>1</v>
      </c>
      <c r="F5" s="666" t="str">
        <f>$G$1&amp;Projeto_e_Macro[[#This Row],[SEI]]</f>
        <v>202503559/2021</v>
      </c>
      <c r="G5" t="str">
        <f>IFERROR(INDEX(Atualizações!$Q$1:$Q$1265,MATCH(Projeto_e_Macro[[#This Row],[Auxiliar 2]],Atualizações!$P$1:$P$1265,0)),"0")</f>
        <v>0</v>
      </c>
    </row>
    <row r="6" spans="1:7" ht="60">
      <c r="A6" s="9" t="s">
        <v>369</v>
      </c>
      <c r="B6" s="75" t="s">
        <v>370</v>
      </c>
      <c r="C6" s="109" t="s">
        <v>176</v>
      </c>
      <c r="D6" s="666" t="str">
        <f>$E$1&amp;Projeto_e_Macro[[#This Row],[SEI]]</f>
        <v>202403559/2021</v>
      </c>
      <c r="E6">
        <f>IFERROR(INDEX(Atualizações!$Q$1:$Q$1265,MATCH(Projeto_e_Macro[[#This Row],[AUXILIAR 1]],Atualizações!$P$1:$P$1265,0)),"0")</f>
        <v>1</v>
      </c>
      <c r="F6" s="666" t="str">
        <f>$G$1&amp;Projeto_e_Macro[[#This Row],[SEI]]</f>
        <v>202503559/2021</v>
      </c>
      <c r="G6" t="str">
        <f>IFERROR(INDEX(Atualizações!$Q$1:$Q$1265,MATCH(Projeto_e_Macro[[#This Row],[Auxiliar 2]],Atualizações!$P$1:$P$1265,0)),"0")</f>
        <v>0</v>
      </c>
    </row>
    <row r="7" spans="1:7" ht="30">
      <c r="A7" s="9" t="s">
        <v>209</v>
      </c>
      <c r="B7" s="75" t="s">
        <v>210</v>
      </c>
      <c r="C7" s="107" t="s">
        <v>214</v>
      </c>
      <c r="D7" s="666" t="str">
        <f>$E$1&amp;Projeto_e_Macro[[#This Row],[SEI]]</f>
        <v>202401945/2022</v>
      </c>
      <c r="E7">
        <f>IFERROR(INDEX(Atualizações!$Q$1:$Q$1265,MATCH(Projeto_e_Macro[[#This Row],[AUXILIAR 1]],Atualizações!$P$1:$P$1265,0)),"0")</f>
        <v>1</v>
      </c>
      <c r="F7" s="666" t="str">
        <f>$G$1&amp;Projeto_e_Macro[[#This Row],[SEI]]</f>
        <v>202501945/2022</v>
      </c>
      <c r="G7">
        <f>IFERROR(INDEX(Atualizações!$Q$1:$Q$1265,MATCH(Projeto_e_Macro[[#This Row],[Auxiliar 2]],Atualizações!$P$1:$P$1265,0)),"0")</f>
        <v>1</v>
      </c>
    </row>
    <row r="8" spans="1:7" ht="30">
      <c r="A8" s="9" t="s">
        <v>209</v>
      </c>
      <c r="B8" s="75" t="s">
        <v>210</v>
      </c>
      <c r="C8" s="109" t="s">
        <v>176</v>
      </c>
      <c r="D8" s="666" t="str">
        <f>$E$1&amp;Projeto_e_Macro[[#This Row],[SEI]]</f>
        <v>202401945/2022</v>
      </c>
      <c r="E8">
        <f>IFERROR(INDEX(Atualizações!$Q$1:$Q$1265,MATCH(Projeto_e_Macro[[#This Row],[AUXILIAR 1]],Atualizações!$P$1:$P$1265,0)),"0")</f>
        <v>1</v>
      </c>
      <c r="F8" s="666" t="str">
        <f>$G$1&amp;Projeto_e_Macro[[#This Row],[SEI]]</f>
        <v>202501945/2022</v>
      </c>
      <c r="G8">
        <f>IFERROR(INDEX(Atualizações!$Q$1:$Q$1265,MATCH(Projeto_e_Macro[[#This Row],[Auxiliar 2]],Atualizações!$P$1:$P$1265,0)),"0")</f>
        <v>1</v>
      </c>
    </row>
    <row r="9" spans="1:7" ht="31.5">
      <c r="A9" s="10" t="s">
        <v>451</v>
      </c>
      <c r="B9" s="101" t="s">
        <v>452</v>
      </c>
      <c r="C9" s="107" t="s">
        <v>89</v>
      </c>
      <c r="D9" s="666" t="str">
        <f>$E$1&amp;Projeto_e_Macro[[#This Row],[SEI]]</f>
        <v>202408287/2022</v>
      </c>
      <c r="E9">
        <f>IFERROR(INDEX(Atualizações!$Q$1:$Q$1265,MATCH(Projeto_e_Macro[[#This Row],[AUXILIAR 1]],Atualizações!$P$1:$P$1265,0)),"0")</f>
        <v>1</v>
      </c>
      <c r="F9" s="666" t="str">
        <f>$G$1&amp;Projeto_e_Macro[[#This Row],[SEI]]</f>
        <v>202508287/2022</v>
      </c>
      <c r="G9" t="str">
        <f>IFERROR(INDEX(Atualizações!$Q$1:$Q$1265,MATCH(Projeto_e_Macro[[#This Row],[Auxiliar 2]],Atualizações!$P$1:$P$1265,0)),"0")</f>
        <v>0</v>
      </c>
    </row>
    <row r="10" spans="1:7" ht="45">
      <c r="A10" s="9" t="s">
        <v>570</v>
      </c>
      <c r="B10" s="75" t="s">
        <v>1267</v>
      </c>
      <c r="C10" s="110" t="s">
        <v>575</v>
      </c>
      <c r="D10" s="666" t="str">
        <f>$E$1&amp;Projeto_e_Macro[[#This Row],[SEI]]</f>
        <v>202410157/2022</v>
      </c>
      <c r="E10">
        <f>IFERROR(INDEX(Atualizações!$Q$1:$Q$1265,MATCH(Projeto_e_Macro[[#This Row],[AUXILIAR 1]],Atualizações!$P$1:$P$1265,0)),"0")</f>
        <v>1</v>
      </c>
      <c r="F10" s="666" t="str">
        <f>$G$1&amp;Projeto_e_Macro[[#This Row],[SEI]]</f>
        <v>202510157/2022</v>
      </c>
      <c r="G10" t="str">
        <f>IFERROR(INDEX(Atualizações!$Q$1:$Q$1265,MATCH(Projeto_e_Macro[[#This Row],[Auxiliar 2]],Atualizações!$P$1:$P$1265,0)),"0")</f>
        <v>0</v>
      </c>
    </row>
    <row r="11" spans="1:7" ht="45">
      <c r="A11" s="9" t="s">
        <v>570</v>
      </c>
      <c r="B11" s="140" t="s">
        <v>1267</v>
      </c>
      <c r="C11" s="107" t="s">
        <v>146</v>
      </c>
      <c r="D11" s="666" t="str">
        <f>$E$1&amp;Projeto_e_Macro[[#This Row],[SEI]]</f>
        <v>202410157/2022</v>
      </c>
      <c r="E11">
        <f>IFERROR(INDEX(Atualizações!$Q$1:$Q$1265,MATCH(Projeto_e_Macro[[#This Row],[AUXILIAR 1]],Atualizações!$P$1:$P$1265,0)),"0")</f>
        <v>1</v>
      </c>
      <c r="F11" s="666" t="str">
        <f>$G$1&amp;Projeto_e_Macro[[#This Row],[SEI]]</f>
        <v>202510157/2022</v>
      </c>
      <c r="G11" t="str">
        <f>IFERROR(INDEX(Atualizações!$Q$1:$Q$1265,MATCH(Projeto_e_Macro[[#This Row],[Auxiliar 2]],Atualizações!$P$1:$P$1265,0)),"0")</f>
        <v>0</v>
      </c>
    </row>
    <row r="12" spans="1:7" ht="15.75">
      <c r="A12" s="9" t="s">
        <v>487</v>
      </c>
      <c r="B12" s="140" t="s">
        <v>488</v>
      </c>
      <c r="C12" s="111" t="s">
        <v>105</v>
      </c>
      <c r="D12" s="666" t="str">
        <f>$E$1&amp;Projeto_e_Macro[[#This Row],[SEI]]</f>
        <v>202408610/2022</v>
      </c>
      <c r="E12">
        <f>IFERROR(INDEX(Atualizações!$Q$1:$Q$1265,MATCH(Projeto_e_Macro[[#This Row],[AUXILIAR 1]],Atualizações!$P$1:$P$1265,0)),"0")</f>
        <v>1</v>
      </c>
      <c r="F12" s="666" t="str">
        <f>$G$1&amp;Projeto_e_Macro[[#This Row],[SEI]]</f>
        <v>202508610/2022</v>
      </c>
      <c r="G12">
        <f>IFERROR(INDEX(Atualizações!$Q$1:$Q$1265,MATCH(Projeto_e_Macro[[#This Row],[Auxiliar 2]],Atualizações!$P$1:$P$1265,0)),"0")</f>
        <v>1</v>
      </c>
    </row>
    <row r="13" spans="1:7" ht="60">
      <c r="A13" s="11" t="s">
        <v>425</v>
      </c>
      <c r="B13" s="187" t="s">
        <v>426</v>
      </c>
      <c r="C13" s="107" t="s">
        <v>146</v>
      </c>
      <c r="D13" s="666" t="str">
        <f>$E$1&amp;Projeto_e_Macro[[#This Row],[SEI]]</f>
        <v>202406767/2022</v>
      </c>
      <c r="E13">
        <f>IFERROR(INDEX(Atualizações!$Q$1:$Q$1265,MATCH(Projeto_e_Macro[[#This Row],[AUXILIAR 1]],Atualizações!$P$1:$P$1265,0)),"0")</f>
        <v>1</v>
      </c>
      <c r="F13" s="666" t="str">
        <f>$G$1&amp;Projeto_e_Macro[[#This Row],[SEI]]</f>
        <v>202506767/2022</v>
      </c>
      <c r="G13" t="str">
        <f>IFERROR(INDEX(Atualizações!$Q$1:$Q$1265,MATCH(Projeto_e_Macro[[#This Row],[Auxiliar 2]],Atualizações!$P$1:$P$1265,0)),"0")</f>
        <v>0</v>
      </c>
    </row>
    <row r="14" spans="1:7" ht="60">
      <c r="A14" s="11" t="s">
        <v>425</v>
      </c>
      <c r="B14" s="101" t="s">
        <v>426</v>
      </c>
      <c r="C14" s="109" t="s">
        <v>176</v>
      </c>
      <c r="D14" s="666" t="str">
        <f>$E$1&amp;Projeto_e_Macro[[#This Row],[SEI]]</f>
        <v>202406767/2022</v>
      </c>
      <c r="E14">
        <f>IFERROR(INDEX(Atualizações!$Q$1:$Q$1265,MATCH(Projeto_e_Macro[[#This Row],[AUXILIAR 1]],Atualizações!$P$1:$P$1265,0)),"0")</f>
        <v>1</v>
      </c>
      <c r="F14" s="666" t="str">
        <f>$G$1&amp;Projeto_e_Macro[[#This Row],[SEI]]</f>
        <v>202506767/2022</v>
      </c>
      <c r="G14" t="str">
        <f>IFERROR(INDEX(Atualizações!$Q$1:$Q$1265,MATCH(Projeto_e_Macro[[#This Row],[Auxiliar 2]],Atualizações!$P$1:$P$1265,0)),"0")</f>
        <v>0</v>
      </c>
    </row>
    <row r="15" spans="1:7" ht="15.75">
      <c r="A15" s="11" t="s">
        <v>160</v>
      </c>
      <c r="B15" s="101" t="s">
        <v>161</v>
      </c>
      <c r="C15" s="107" t="s">
        <v>166</v>
      </c>
      <c r="D15" s="666" t="str">
        <f>$E$1&amp;Projeto_e_Macro[[#This Row],[SEI]]</f>
        <v>202401487/2022</v>
      </c>
      <c r="E15">
        <f>IFERROR(INDEX(Atualizações!$Q$1:$Q$1265,MATCH(Projeto_e_Macro[[#This Row],[AUXILIAR 1]],Atualizações!$P$1:$P$1265,0)),"0")</f>
        <v>1</v>
      </c>
      <c r="F15" s="666" t="str">
        <f>$G$1&amp;Projeto_e_Macro[[#This Row],[SEI]]</f>
        <v>202501487/2022</v>
      </c>
      <c r="G15" t="str">
        <f>IFERROR(INDEX(Atualizações!$Q$1:$Q$1265,MATCH(Projeto_e_Macro[[#This Row],[Auxiliar 2]],Atualizações!$P$1:$P$1265,0)),"0")</f>
        <v>0</v>
      </c>
    </row>
    <row r="16" spans="1:7" ht="15.75">
      <c r="A16" s="11" t="s">
        <v>160</v>
      </c>
      <c r="B16" s="101" t="s">
        <v>161</v>
      </c>
      <c r="C16" s="109" t="s">
        <v>176</v>
      </c>
      <c r="D16" s="666" t="str">
        <f>$E$1&amp;Projeto_e_Macro[[#This Row],[SEI]]</f>
        <v>202401487/2022</v>
      </c>
      <c r="E16">
        <f>IFERROR(INDEX(Atualizações!$Q$1:$Q$1265,MATCH(Projeto_e_Macro[[#This Row],[AUXILIAR 1]],Atualizações!$P$1:$P$1265,0)),"0")</f>
        <v>1</v>
      </c>
      <c r="F16" s="666" t="str">
        <f>$G$1&amp;Projeto_e_Macro[[#This Row],[SEI]]</f>
        <v>202501487/2022</v>
      </c>
      <c r="G16" t="str">
        <f>IFERROR(INDEX(Atualizações!$Q$1:$Q$1265,MATCH(Projeto_e_Macro[[#This Row],[Auxiliar 2]],Atualizações!$P$1:$P$1265,0)),"0")</f>
        <v>0</v>
      </c>
    </row>
    <row r="17" spans="1:7" ht="15.75">
      <c r="A17" s="11" t="s">
        <v>609</v>
      </c>
      <c r="B17" s="185" t="s">
        <v>610</v>
      </c>
      <c r="C17" s="112" t="s">
        <v>105</v>
      </c>
      <c r="D17" s="666" t="str">
        <f>$E$1&amp;Projeto_e_Macro[[#This Row],[SEI]]</f>
        <v>202411270/2022</v>
      </c>
      <c r="E17">
        <f>IFERROR(INDEX(Atualizações!$Q$1:$Q$1265,MATCH(Projeto_e_Macro[[#This Row],[AUXILIAR 1]],Atualizações!$P$1:$P$1265,0)),"0")</f>
        <v>1</v>
      </c>
      <c r="F17" s="666" t="str">
        <f>$G$1&amp;Projeto_e_Macro[[#This Row],[SEI]]</f>
        <v>202511270/2022</v>
      </c>
      <c r="G17">
        <f>IFERROR(INDEX(Atualizações!$Q$1:$Q$1265,MATCH(Projeto_e_Macro[[#This Row],[Auxiliar 2]],Atualizações!$P$1:$P$1265,0)),"0")</f>
        <v>1</v>
      </c>
    </row>
    <row r="18" spans="1:7" ht="15.75">
      <c r="A18" s="11" t="s">
        <v>609</v>
      </c>
      <c r="B18" s="99" t="s">
        <v>1637</v>
      </c>
      <c r="C18" s="107" t="s">
        <v>166</v>
      </c>
      <c r="D18" s="666" t="str">
        <f>$E$1&amp;Projeto_e_Macro[[#This Row],[SEI]]</f>
        <v>202411270/2022</v>
      </c>
      <c r="E18">
        <f>IFERROR(INDEX(Atualizações!$Q$1:$Q$1265,MATCH(Projeto_e_Macro[[#This Row],[AUXILIAR 1]],Atualizações!$P$1:$P$1265,0)),"0")</f>
        <v>1</v>
      </c>
      <c r="F18" s="666" t="str">
        <f>$G$1&amp;Projeto_e_Macro[[#This Row],[SEI]]</f>
        <v>202511270/2022</v>
      </c>
      <c r="G18">
        <f>IFERROR(INDEX(Atualizações!$Q$1:$Q$1265,MATCH(Projeto_e_Macro[[#This Row],[Auxiliar 2]],Atualizações!$P$1:$P$1265,0)),"0")</f>
        <v>1</v>
      </c>
    </row>
    <row r="19" spans="1:7" ht="15.75">
      <c r="A19" s="20" t="s">
        <v>97</v>
      </c>
      <c r="B19" s="181" t="s">
        <v>98</v>
      </c>
      <c r="C19" s="112" t="s">
        <v>105</v>
      </c>
      <c r="D19" s="666" t="str">
        <f>$E$1&amp;Projeto_e_Macro[[#This Row],[SEI]]</f>
        <v>202400535/2019</v>
      </c>
      <c r="E19">
        <f>IFERROR(INDEX(Atualizações!$Q$1:$Q$1265,MATCH(Projeto_e_Macro[[#This Row],[AUXILIAR 1]],Atualizações!$P$1:$P$1265,0)),"0")</f>
        <v>1</v>
      </c>
      <c r="F19" s="666" t="str">
        <f>$G$1&amp;Projeto_e_Macro[[#This Row],[SEI]]</f>
        <v>202500535/2019</v>
      </c>
      <c r="G19" t="str">
        <f>IFERROR(INDEX(Atualizações!$Q$1:$Q$1265,MATCH(Projeto_e_Macro[[#This Row],[Auxiliar 2]],Atualizações!$P$1:$P$1265,0)),"0")</f>
        <v>0</v>
      </c>
    </row>
    <row r="20" spans="1:7" ht="15.75">
      <c r="A20" s="11" t="s">
        <v>229</v>
      </c>
      <c r="B20" s="181" t="s">
        <v>230</v>
      </c>
      <c r="C20" s="112" t="s">
        <v>146</v>
      </c>
      <c r="D20" s="666" t="str">
        <f>$E$1&amp;Projeto_e_Macro[[#This Row],[SEI]]</f>
        <v>202402080/2023</v>
      </c>
      <c r="E20">
        <f>IFERROR(INDEX(Atualizações!$Q$1:$Q$1265,MATCH(Projeto_e_Macro[[#This Row],[AUXILIAR 1]],Atualizações!$P$1:$P$1265,0)),"0")</f>
        <v>1</v>
      </c>
      <c r="F20" s="666" t="str">
        <f>$G$1&amp;Projeto_e_Macro[[#This Row],[SEI]]</f>
        <v>202502080/2023</v>
      </c>
      <c r="G20">
        <f>IFERROR(INDEX(Atualizações!$Q$1:$Q$1265,MATCH(Projeto_e_Macro[[#This Row],[Auxiliar 2]],Atualizações!$P$1:$P$1265,0)),"0")</f>
        <v>1</v>
      </c>
    </row>
    <row r="21" spans="1:7" ht="15.75">
      <c r="A21" s="11" t="s">
        <v>229</v>
      </c>
      <c r="B21" s="103" t="s">
        <v>230</v>
      </c>
      <c r="C21" s="109" t="s">
        <v>176</v>
      </c>
      <c r="D21" s="666" t="str">
        <f>$E$1&amp;Projeto_e_Macro[[#This Row],[SEI]]</f>
        <v>202402080/2023</v>
      </c>
      <c r="E21">
        <f>IFERROR(INDEX(Atualizações!$Q$1:$Q$1265,MATCH(Projeto_e_Macro[[#This Row],[AUXILIAR 1]],Atualizações!$P$1:$P$1265,0)),"0")</f>
        <v>1</v>
      </c>
      <c r="F21" s="666" t="str">
        <f>$G$1&amp;Projeto_e_Macro[[#This Row],[SEI]]</f>
        <v>202502080/2023</v>
      </c>
      <c r="G21">
        <f>IFERROR(INDEX(Atualizações!$Q$1:$Q$1265,MATCH(Projeto_e_Macro[[#This Row],[Auxiliar 2]],Atualizações!$P$1:$P$1265,0)),"0")</f>
        <v>1</v>
      </c>
    </row>
    <row r="22" spans="1:7" ht="15.75">
      <c r="A22" s="11" t="s">
        <v>443</v>
      </c>
      <c r="B22" s="186" t="s">
        <v>444</v>
      </c>
      <c r="C22" s="110" t="s">
        <v>105</v>
      </c>
      <c r="D22" s="666" t="str">
        <f>$E$1&amp;Projeto_e_Macro[[#This Row],[SEI]]</f>
        <v>202408286/2022</v>
      </c>
      <c r="E22">
        <f>IFERROR(INDEX(Atualizações!$Q$1:$Q$1265,MATCH(Projeto_e_Macro[[#This Row],[AUXILIAR 1]],Atualizações!$P$1:$P$1265,0)),"0")</f>
        <v>1</v>
      </c>
      <c r="F22" s="666" t="str">
        <f>$G$1&amp;Projeto_e_Macro[[#This Row],[SEI]]</f>
        <v>202508286/2022</v>
      </c>
      <c r="G22">
        <f>IFERROR(INDEX(Atualizações!$Q$1:$Q$1265,MATCH(Projeto_e_Macro[[#This Row],[Auxiliar 2]],Atualizações!$P$1:$P$1265,0)),"0")</f>
        <v>1</v>
      </c>
    </row>
    <row r="23" spans="1:7" ht="31.5">
      <c r="A23" s="11" t="s">
        <v>443</v>
      </c>
      <c r="B23" s="130" t="s">
        <v>444</v>
      </c>
      <c r="C23" s="110" t="s">
        <v>575</v>
      </c>
      <c r="D23" s="666" t="str">
        <f>$E$1&amp;Projeto_e_Macro[[#This Row],[SEI]]</f>
        <v>202408286/2022</v>
      </c>
      <c r="E23">
        <f>IFERROR(INDEX(Atualizações!$Q$1:$Q$1265,MATCH(Projeto_e_Macro[[#This Row],[AUXILIAR 1]],Atualizações!$P$1:$P$1265,0)),"0")</f>
        <v>1</v>
      </c>
      <c r="F23" s="666" t="str">
        <f>$G$1&amp;Projeto_e_Macro[[#This Row],[SEI]]</f>
        <v>202508286/2022</v>
      </c>
      <c r="G23">
        <f>IFERROR(INDEX(Atualizações!$Q$1:$Q$1265,MATCH(Projeto_e_Macro[[#This Row],[Auxiliar 2]],Atualizações!$P$1:$P$1265,0)),"0")</f>
        <v>1</v>
      </c>
    </row>
    <row r="24" spans="1:7" ht="15.75">
      <c r="A24" s="22" t="s">
        <v>182</v>
      </c>
      <c r="B24" s="104" t="s">
        <v>183</v>
      </c>
      <c r="C24" s="110" t="s">
        <v>176</v>
      </c>
      <c r="D24" s="666" t="str">
        <f>$E$1&amp;Projeto_e_Macro[[#This Row],[SEI]]</f>
        <v>202401764/2020</v>
      </c>
      <c r="E24">
        <f>IFERROR(INDEX(Atualizações!$Q$1:$Q$1265,MATCH(Projeto_e_Macro[[#This Row],[AUXILIAR 1]],Atualizações!$P$1:$P$1265,0)),"0")</f>
        <v>1</v>
      </c>
      <c r="F24" s="666" t="str">
        <f>$G$1&amp;Projeto_e_Macro[[#This Row],[SEI]]</f>
        <v>202501764/2020</v>
      </c>
      <c r="G24">
        <f>IFERROR(INDEX(Atualizações!$Q$1:$Q$1265,MATCH(Projeto_e_Macro[[#This Row],[Auxiliar 2]],Atualizações!$P$1:$P$1265,0)),"0")</f>
        <v>1</v>
      </c>
    </row>
    <row r="25" spans="1:7" ht="15.75">
      <c r="A25" s="11" t="s">
        <v>350</v>
      </c>
      <c r="B25" s="181" t="s">
        <v>1255</v>
      </c>
      <c r="C25" s="110" t="s">
        <v>146</v>
      </c>
      <c r="D25" s="666" t="str">
        <f>$E$1&amp;Projeto_e_Macro[[#This Row],[SEI]]</f>
        <v>202403545/2021</v>
      </c>
      <c r="E25">
        <f>IFERROR(INDEX(Atualizações!$Q$1:$Q$1265,MATCH(Projeto_e_Macro[[#This Row],[AUXILIAR 1]],Atualizações!$P$1:$P$1265,0)),"0")</f>
        <v>1</v>
      </c>
      <c r="F25" s="666" t="str">
        <f>$G$1&amp;Projeto_e_Macro[[#This Row],[SEI]]</f>
        <v>202503545/2021</v>
      </c>
      <c r="G25">
        <f>IFERROR(INDEX(Atualizações!$Q$1:$Q$1265,MATCH(Projeto_e_Macro[[#This Row],[Auxiliar 2]],Atualizações!$P$1:$P$1265,0)),"0")</f>
        <v>1</v>
      </c>
    </row>
    <row r="26" spans="1:7" ht="15.75">
      <c r="A26" s="11" t="s">
        <v>350</v>
      </c>
      <c r="B26" s="103" t="s">
        <v>1255</v>
      </c>
      <c r="C26" s="110" t="s">
        <v>176</v>
      </c>
      <c r="D26" s="666" t="str">
        <f>$E$1&amp;Projeto_e_Macro[[#This Row],[SEI]]</f>
        <v>202403545/2021</v>
      </c>
      <c r="E26">
        <f>IFERROR(INDEX(Atualizações!$Q$1:$Q$1265,MATCH(Projeto_e_Macro[[#This Row],[AUXILIAR 1]],Atualizações!$P$1:$P$1265,0)),"0")</f>
        <v>1</v>
      </c>
      <c r="F26" s="666" t="str">
        <f>$G$1&amp;Projeto_e_Macro[[#This Row],[SEI]]</f>
        <v>202503545/2021</v>
      </c>
      <c r="G26">
        <f>IFERROR(INDEX(Atualizações!$Q$1:$Q$1265,MATCH(Projeto_e_Macro[[#This Row],[Auxiliar 2]],Atualizações!$P$1:$P$1265,0)),"0")</f>
        <v>1</v>
      </c>
    </row>
    <row r="27" spans="1:7" ht="30">
      <c r="A27" s="11" t="s">
        <v>502</v>
      </c>
      <c r="B27" s="181" t="s">
        <v>503</v>
      </c>
      <c r="C27" s="113" t="s">
        <v>146</v>
      </c>
      <c r="D27" s="666" t="str">
        <f>$E$1&amp;Projeto_e_Macro[[#This Row],[SEI]]</f>
        <v>202409081/2022</v>
      </c>
      <c r="E27">
        <f>IFERROR(INDEX(Atualizações!$Q$1:$Q$1265,MATCH(Projeto_e_Macro[[#This Row],[AUXILIAR 1]],Atualizações!$P$1:$P$1265,0)),"0")</f>
        <v>1</v>
      </c>
      <c r="F27" s="666" t="str">
        <f>$G$1&amp;Projeto_e_Macro[[#This Row],[SEI]]</f>
        <v>202509081/2022</v>
      </c>
      <c r="G27" t="str">
        <f>IFERROR(INDEX(Atualizações!$Q$1:$Q$1265,MATCH(Projeto_e_Macro[[#This Row],[Auxiliar 2]],Atualizações!$P$1:$P$1265,0)),"0")</f>
        <v>0</v>
      </c>
    </row>
    <row r="28" spans="1:7" ht="30">
      <c r="A28" s="11" t="s">
        <v>341</v>
      </c>
      <c r="B28" s="140" t="s">
        <v>1639</v>
      </c>
      <c r="C28" s="110" t="s">
        <v>146</v>
      </c>
      <c r="D28" s="666" t="str">
        <f>$E$1&amp;Projeto_e_Macro[[#This Row],[SEI]]</f>
        <v>202403096/2021</v>
      </c>
      <c r="E28">
        <f>IFERROR(INDEX(Atualizações!$Q$1:$Q$1265,MATCH(Projeto_e_Macro[[#This Row],[AUXILIAR 1]],Atualizações!$P$1:$P$1265,0)),"0")</f>
        <v>1</v>
      </c>
      <c r="F28" s="666" t="str">
        <f>$G$1&amp;Projeto_e_Macro[[#This Row],[SEI]]</f>
        <v>202503096/2021</v>
      </c>
      <c r="G28" t="str">
        <f>IFERROR(INDEX(Atualizações!$Q$1:$Q$1265,MATCH(Projeto_e_Macro[[#This Row],[Auxiliar 2]],Atualizações!$P$1:$P$1265,0)),"0")</f>
        <v>0</v>
      </c>
    </row>
    <row r="29" spans="1:7" ht="30">
      <c r="A29" s="20" t="s">
        <v>358</v>
      </c>
      <c r="B29" s="140" t="s">
        <v>359</v>
      </c>
      <c r="C29" s="113" t="s">
        <v>105</v>
      </c>
      <c r="D29" s="666" t="str">
        <f>$E$1&amp;Projeto_e_Macro[[#This Row],[SEI]]</f>
        <v>202403558/2021</v>
      </c>
      <c r="E29">
        <f>IFERROR(INDEX(Atualizações!$Q$1:$Q$1265,MATCH(Projeto_e_Macro[[#This Row],[AUXILIAR 1]],Atualizações!$P$1:$P$1265,0)),"0")</f>
        <v>1</v>
      </c>
      <c r="F29" s="666" t="str">
        <f>$G$1&amp;Projeto_e_Macro[[#This Row],[SEI]]</f>
        <v>202503558/2021</v>
      </c>
      <c r="G29">
        <f>IFERROR(INDEX(Atualizações!$Q$1:$Q$1265,MATCH(Projeto_e_Macro[[#This Row],[Auxiliar 2]],Atualizações!$P$1:$P$1265,0)),"0")</f>
        <v>1</v>
      </c>
    </row>
    <row r="30" spans="1:7" ht="15.75">
      <c r="A30" s="20" t="s">
        <v>358</v>
      </c>
      <c r="B30" s="184" t="s">
        <v>1638</v>
      </c>
      <c r="C30" s="112" t="s">
        <v>120</v>
      </c>
      <c r="D30" s="666" t="str">
        <f>$E$1&amp;Projeto_e_Macro[[#This Row],[SEI]]</f>
        <v>202403558/2021</v>
      </c>
      <c r="E30">
        <f>IFERROR(INDEX(Atualizações!$Q$1:$Q$1265,MATCH(Projeto_e_Macro[[#This Row],[AUXILIAR 1]],Atualizações!$P$1:$P$1265,0)),"0")</f>
        <v>1</v>
      </c>
      <c r="F30" s="666" t="str">
        <f>$G$1&amp;Projeto_e_Macro[[#This Row],[SEI]]</f>
        <v>202503558/2021</v>
      </c>
      <c r="G30">
        <f>IFERROR(INDEX(Atualizações!$Q$1:$Q$1265,MATCH(Projeto_e_Macro[[#This Row],[Auxiliar 2]],Atualizações!$P$1:$P$1265,0)),"0")</f>
        <v>1</v>
      </c>
    </row>
    <row r="31" spans="1:7" ht="15.75">
      <c r="A31" s="20" t="s">
        <v>358</v>
      </c>
      <c r="B31" s="102" t="s">
        <v>1638</v>
      </c>
      <c r="C31" s="109" t="s">
        <v>176</v>
      </c>
      <c r="D31" s="666" t="str">
        <f>$E$1&amp;Projeto_e_Macro[[#This Row],[SEI]]</f>
        <v>202403558/2021</v>
      </c>
      <c r="E31">
        <f>IFERROR(INDEX(Atualizações!$Q$1:$Q$1265,MATCH(Projeto_e_Macro[[#This Row],[AUXILIAR 1]],Atualizações!$P$1:$P$1265,0)),"0")</f>
        <v>1</v>
      </c>
      <c r="F31" s="666" t="str">
        <f>$G$1&amp;Projeto_e_Macro[[#This Row],[SEI]]</f>
        <v>202503558/2021</v>
      </c>
      <c r="G31">
        <f>IFERROR(INDEX(Atualizações!$Q$1:$Q$1265,MATCH(Projeto_e_Macro[[#This Row],[Auxiliar 2]],Atualizações!$P$1:$P$1265,0)),"0")</f>
        <v>1</v>
      </c>
    </row>
    <row r="32" spans="1:7" ht="28.35" customHeight="1">
      <c r="A32" s="11" t="s">
        <v>298</v>
      </c>
      <c r="B32" s="181" t="s">
        <v>299</v>
      </c>
      <c r="C32" s="112" t="s">
        <v>120</v>
      </c>
      <c r="D32" s="666" t="str">
        <f>$E$1&amp;Projeto_e_Macro[[#This Row],[SEI]]</f>
        <v>202402660/2023</v>
      </c>
      <c r="E32">
        <f>IFERROR(INDEX(Atualizações!$Q$1:$Q$1265,MATCH(Projeto_e_Macro[[#This Row],[AUXILIAR 1]],Atualizações!$P$1:$P$1265,0)),"0")</f>
        <v>1</v>
      </c>
      <c r="F32" s="666" t="str">
        <f>$G$1&amp;Projeto_e_Macro[[#This Row],[SEI]]</f>
        <v>202502660/2023</v>
      </c>
      <c r="G32" t="str">
        <f>IFERROR(INDEX(Atualizações!$Q$1:$Q$1265,MATCH(Projeto_e_Macro[[#This Row],[Auxiliar 2]],Atualizações!$P$1:$P$1265,0)),"0")</f>
        <v>0</v>
      </c>
    </row>
    <row r="33" spans="1:7" ht="28.35" customHeight="1">
      <c r="A33" s="11" t="s">
        <v>298</v>
      </c>
      <c r="B33" s="103" t="s">
        <v>299</v>
      </c>
      <c r="C33" s="107" t="s">
        <v>166</v>
      </c>
      <c r="D33" s="666" t="str">
        <f>$E$1&amp;Projeto_e_Macro[[#This Row],[SEI]]</f>
        <v>202402660/2023</v>
      </c>
      <c r="E33">
        <f>IFERROR(INDEX(Atualizações!$Q$1:$Q$1265,MATCH(Projeto_e_Macro[[#This Row],[AUXILIAR 1]],Atualizações!$P$1:$P$1265,0)),"0")</f>
        <v>1</v>
      </c>
      <c r="F33" s="666" t="str">
        <f>$G$1&amp;Projeto_e_Macro[[#This Row],[SEI]]</f>
        <v>202502660/2023</v>
      </c>
      <c r="G33" t="str">
        <f>IFERROR(INDEX(Atualizações!$Q$1:$Q$1265,MATCH(Projeto_e_Macro[[#This Row],[Auxiliar 2]],Atualizações!$P$1:$P$1265,0)),"0")</f>
        <v>0</v>
      </c>
    </row>
    <row r="34" spans="1:7" ht="30">
      <c r="A34" s="11" t="s">
        <v>298</v>
      </c>
      <c r="B34" s="103" t="s">
        <v>299</v>
      </c>
      <c r="C34" s="109" t="s">
        <v>1624</v>
      </c>
      <c r="D34" s="666" t="str">
        <f>$E$1&amp;Projeto_e_Macro[[#This Row],[SEI]]</f>
        <v>202402660/2023</v>
      </c>
      <c r="E34">
        <f>IFERROR(INDEX(Atualizações!$Q$1:$Q$1265,MATCH(Projeto_e_Macro[[#This Row],[AUXILIAR 1]],Atualizações!$P$1:$P$1265,0)),"0")</f>
        <v>1</v>
      </c>
      <c r="F34" s="666" t="str">
        <f>$G$1&amp;Projeto_e_Macro[[#This Row],[SEI]]</f>
        <v>202502660/2023</v>
      </c>
      <c r="G34" t="str">
        <f>IFERROR(INDEX(Atualizações!$Q$1:$Q$1265,MATCH(Projeto_e_Macro[[#This Row],[Auxiliar 2]],Atualizações!$P$1:$P$1265,0)),"0")</f>
        <v>0</v>
      </c>
    </row>
    <row r="35" spans="1:7" ht="30">
      <c r="A35" s="11" t="s">
        <v>1262</v>
      </c>
      <c r="B35" s="103" t="s">
        <v>1263</v>
      </c>
      <c r="C35" s="110" t="s">
        <v>105</v>
      </c>
      <c r="D35" s="666" t="str">
        <f>$E$1&amp;Projeto_e_Macro[[#This Row],[SEI]]</f>
        <v>202408285/2022</v>
      </c>
      <c r="E35" t="str">
        <f>IFERROR(INDEX(Atualizações!$Q$1:$Q$1265,MATCH(Projeto_e_Macro[[#This Row],[AUXILIAR 1]],Atualizações!$P$1:$P$1265,0)),"0")</f>
        <v>0</v>
      </c>
      <c r="F35" s="666" t="str">
        <f>$G$1&amp;Projeto_e_Macro[[#This Row],[SEI]]</f>
        <v>202508285/2022</v>
      </c>
      <c r="G35" t="str">
        <f>IFERROR(INDEX(Atualizações!$Q$1:$Q$1265,MATCH(Projeto_e_Macro[[#This Row],[Auxiliar 2]],Atualizações!$P$1:$P$1265,0)),"0")</f>
        <v>0</v>
      </c>
    </row>
    <row r="36" spans="1:7" ht="30">
      <c r="A36" s="11" t="s">
        <v>1262</v>
      </c>
      <c r="B36" s="103" t="s">
        <v>1263</v>
      </c>
      <c r="C36" s="112" t="s">
        <v>120</v>
      </c>
      <c r="D36" s="666" t="str">
        <f>$E$1&amp;Projeto_e_Macro[[#This Row],[SEI]]</f>
        <v>202408285/2022</v>
      </c>
      <c r="E36" t="str">
        <f>IFERROR(INDEX(Atualizações!$Q$1:$Q$1265,MATCH(Projeto_e_Macro[[#This Row],[AUXILIAR 1]],Atualizações!$P$1:$P$1265,0)),"0")</f>
        <v>0</v>
      </c>
      <c r="F36" s="666" t="str">
        <f>$G$1&amp;Projeto_e_Macro[[#This Row],[SEI]]</f>
        <v>202508285/2022</v>
      </c>
      <c r="G36" t="str">
        <f>IFERROR(INDEX(Atualizações!$Q$1:$Q$1265,MATCH(Projeto_e_Macro[[#This Row],[Auxiliar 2]],Atualizações!$P$1:$P$1265,0)),"0")</f>
        <v>0</v>
      </c>
    </row>
    <row r="37" spans="1:7" ht="30">
      <c r="A37" s="11" t="s">
        <v>436</v>
      </c>
      <c r="B37" s="103" t="s">
        <v>437</v>
      </c>
      <c r="C37" s="113" t="s">
        <v>214</v>
      </c>
      <c r="D37" s="666" t="str">
        <f>$E$1&amp;Projeto_e_Macro[[#This Row],[SEI]]</f>
        <v>202407855/2022</v>
      </c>
      <c r="E37">
        <f>IFERROR(INDEX(Atualizações!$Q$1:$Q$1265,MATCH(Projeto_e_Macro[[#This Row],[AUXILIAR 1]],Atualizações!$P$1:$P$1265,0)),"0")</f>
        <v>1</v>
      </c>
      <c r="F37" s="666" t="str">
        <f>$G$1&amp;Projeto_e_Macro[[#This Row],[SEI]]</f>
        <v>202507855/2022</v>
      </c>
      <c r="G37" t="str">
        <f>IFERROR(INDEX(Atualizações!$Q$1:$Q$1265,MATCH(Projeto_e_Macro[[#This Row],[Auxiliar 2]],Atualizações!$P$1:$P$1265,0)),"0")</f>
        <v>0</v>
      </c>
    </row>
    <row r="38" spans="1:7" ht="31.5">
      <c r="A38" s="11" t="s">
        <v>436</v>
      </c>
      <c r="B38" s="103" t="s">
        <v>437</v>
      </c>
      <c r="C38" s="109" t="s">
        <v>575</v>
      </c>
      <c r="D38" s="666" t="str">
        <f>$E$1&amp;Projeto_e_Macro[[#This Row],[SEI]]</f>
        <v>202407855/2022</v>
      </c>
      <c r="E38">
        <f>IFERROR(INDEX(Atualizações!$Q$1:$Q$1265,MATCH(Projeto_e_Macro[[#This Row],[AUXILIAR 1]],Atualizações!$P$1:$P$1265,0)),"0")</f>
        <v>1</v>
      </c>
      <c r="F38" s="666" t="str">
        <f>$G$1&amp;Projeto_e_Macro[[#This Row],[SEI]]</f>
        <v>202507855/2022</v>
      </c>
      <c r="G38" t="str">
        <f>IFERROR(INDEX(Atualizações!$Q$1:$Q$1265,MATCH(Projeto_e_Macro[[#This Row],[Auxiliar 2]],Atualizações!$P$1:$P$1265,0)),"0")</f>
        <v>0</v>
      </c>
    </row>
    <row r="39" spans="1:7" ht="15.75">
      <c r="A39" s="9" t="s">
        <v>471</v>
      </c>
      <c r="B39" s="75" t="s">
        <v>472</v>
      </c>
      <c r="C39" s="110" t="s">
        <v>214</v>
      </c>
      <c r="D39" s="666" t="str">
        <f>$E$1&amp;Projeto_e_Macro[[#This Row],[SEI]]</f>
        <v>202408543/2021</v>
      </c>
      <c r="E39">
        <f>IFERROR(INDEX(Atualizações!$Q$1:$Q$1265,MATCH(Projeto_e_Macro[[#This Row],[AUXILIAR 1]],Atualizações!$P$1:$P$1265,0)),"0")</f>
        <v>1</v>
      </c>
      <c r="F39" s="666" t="str">
        <f>$G$1&amp;Projeto_e_Macro[[#This Row],[SEI]]</f>
        <v>202508543/2021</v>
      </c>
      <c r="G39" t="str">
        <f>IFERROR(INDEX(Atualizações!$Q$1:$Q$1265,MATCH(Projeto_e_Macro[[#This Row],[Auxiliar 2]],Atualizações!$P$1:$P$1265,0)),"0")</f>
        <v>0</v>
      </c>
    </row>
    <row r="40" spans="1:7" ht="15.75">
      <c r="A40" s="9" t="s">
        <v>471</v>
      </c>
      <c r="B40" s="75" t="s">
        <v>472</v>
      </c>
      <c r="C40" s="112" t="s">
        <v>176</v>
      </c>
      <c r="D40" s="666" t="str">
        <f>$E$1&amp;Projeto_e_Macro[[#This Row],[SEI]]</f>
        <v>202408543/2021</v>
      </c>
      <c r="E40">
        <f>IFERROR(INDEX(Atualizações!$Q$1:$Q$1265,MATCH(Projeto_e_Macro[[#This Row],[AUXILIAR 1]],Atualizações!$P$1:$P$1265,0)),"0")</f>
        <v>1</v>
      </c>
      <c r="F40" s="666" t="str">
        <f>$G$1&amp;Projeto_e_Macro[[#This Row],[SEI]]</f>
        <v>202508543/2021</v>
      </c>
      <c r="G40" t="str">
        <f>IFERROR(INDEX(Atualizações!$Q$1:$Q$1265,MATCH(Projeto_e_Macro[[#This Row],[Auxiliar 2]],Atualizações!$P$1:$P$1265,0)),"0")</f>
        <v>0</v>
      </c>
    </row>
    <row r="41" spans="1:7" ht="15.75">
      <c r="A41" s="21" t="s">
        <v>464</v>
      </c>
      <c r="B41" s="183" t="s">
        <v>465</v>
      </c>
      <c r="C41" s="112" t="s">
        <v>120</v>
      </c>
      <c r="D41" s="666" t="str">
        <f>$E$1&amp;Projeto_e_Macro[[#This Row],[SEI]]</f>
        <v>202408536/2022</v>
      </c>
      <c r="E41">
        <f>IFERROR(INDEX(Atualizações!$Q$1:$Q$1265,MATCH(Projeto_e_Macro[[#This Row],[AUXILIAR 1]],Atualizações!$P$1:$P$1265,0)),"0")</f>
        <v>1</v>
      </c>
      <c r="F41" s="666" t="str">
        <f>$G$1&amp;Projeto_e_Macro[[#This Row],[SEI]]</f>
        <v>202508536/2022</v>
      </c>
      <c r="G41" t="str">
        <f>IFERROR(INDEX(Atualizações!$Q$1:$Q$1265,MATCH(Projeto_e_Macro[[#This Row],[Auxiliar 2]],Atualizações!$P$1:$P$1265,0)),"0")</f>
        <v>0</v>
      </c>
    </row>
    <row r="42" spans="1:7" ht="15.75">
      <c r="A42" s="21" t="s">
        <v>464</v>
      </c>
      <c r="B42" s="100" t="s">
        <v>465</v>
      </c>
      <c r="C42" s="109" t="s">
        <v>1624</v>
      </c>
      <c r="D42" s="666" t="str">
        <f>$E$1&amp;Projeto_e_Macro[[#This Row],[SEI]]</f>
        <v>202408536/2022</v>
      </c>
      <c r="E42">
        <f>IFERROR(INDEX(Atualizações!$Q$1:$Q$1265,MATCH(Projeto_e_Macro[[#This Row],[AUXILIAR 1]],Atualizações!$P$1:$P$1265,0)),"0")</f>
        <v>1</v>
      </c>
      <c r="F42" s="666" t="str">
        <f>$G$1&amp;Projeto_e_Macro[[#This Row],[SEI]]</f>
        <v>202508536/2022</v>
      </c>
      <c r="G42" t="str">
        <f>IFERROR(INDEX(Atualizações!$Q$1:$Q$1265,MATCH(Projeto_e_Macro[[#This Row],[Auxiliar 2]],Atualizações!$P$1:$P$1265,0)),"0")</f>
        <v>0</v>
      </c>
    </row>
    <row r="43" spans="1:7" ht="30">
      <c r="A43" s="11" t="s">
        <v>322</v>
      </c>
      <c r="B43" s="103" t="s">
        <v>323</v>
      </c>
      <c r="C43" s="109" t="s">
        <v>176</v>
      </c>
      <c r="D43" s="666" t="str">
        <f>$E$1&amp;Projeto_e_Macro[[#This Row],[SEI]]</f>
        <v>202402938/2021</v>
      </c>
      <c r="E43">
        <f>IFERROR(INDEX(Atualizações!$Q$1:$Q$1265,MATCH(Projeto_e_Macro[[#This Row],[AUXILIAR 1]],Atualizações!$P$1:$P$1265,0)),"0")</f>
        <v>1</v>
      </c>
      <c r="F43" s="666" t="str">
        <f>$G$1&amp;Projeto_e_Macro[[#This Row],[SEI]]</f>
        <v>202502938/2021</v>
      </c>
      <c r="G43" t="str">
        <f>IFERROR(INDEX(Atualizações!$Q$1:$Q$1265,MATCH(Projeto_e_Macro[[#This Row],[Auxiliar 2]],Atualizações!$P$1:$P$1265,0)),"0")</f>
        <v>0</v>
      </c>
    </row>
    <row r="44" spans="1:7" ht="15.75">
      <c r="A44" s="11" t="s">
        <v>331</v>
      </c>
      <c r="B44" s="181" t="s">
        <v>332</v>
      </c>
      <c r="C44" s="113" t="s">
        <v>146</v>
      </c>
      <c r="D44" s="666" t="str">
        <f>$E$1&amp;Projeto_e_Macro[[#This Row],[SEI]]</f>
        <v>202402941/2021</v>
      </c>
      <c r="E44">
        <f>IFERROR(INDEX(Atualizações!$Q$1:$Q$1265,MATCH(Projeto_e_Macro[[#This Row],[AUXILIAR 1]],Atualizações!$P$1:$P$1265,0)),"0")</f>
        <v>1</v>
      </c>
      <c r="F44" s="666" t="str">
        <f>$G$1&amp;Projeto_e_Macro[[#This Row],[SEI]]</f>
        <v>202502941/2021</v>
      </c>
      <c r="G44" t="str">
        <f>IFERROR(INDEX(Atualizações!$Q$1:$Q$1265,MATCH(Projeto_e_Macro[[#This Row],[Auxiliar 2]],Atualizações!$P$1:$P$1265,0)),"0")</f>
        <v>0</v>
      </c>
    </row>
    <row r="45" spans="1:7" ht="15.75">
      <c r="A45" s="11" t="s">
        <v>331</v>
      </c>
      <c r="B45" s="103" t="s">
        <v>332</v>
      </c>
      <c r="C45" s="112" t="s">
        <v>176</v>
      </c>
      <c r="D45" s="666" t="str">
        <f>$E$1&amp;Projeto_e_Macro[[#This Row],[SEI]]</f>
        <v>202402941/2021</v>
      </c>
      <c r="E45">
        <f>IFERROR(INDEX(Atualizações!$Q$1:$Q$1265,MATCH(Projeto_e_Macro[[#This Row],[AUXILIAR 1]],Atualizações!$P$1:$P$1265,0)),"0")</f>
        <v>1</v>
      </c>
      <c r="F45" s="666" t="str">
        <f>$G$1&amp;Projeto_e_Macro[[#This Row],[SEI]]</f>
        <v>202502941/2021</v>
      </c>
      <c r="G45" t="str">
        <f>IFERROR(INDEX(Atualizações!$Q$1:$Q$1265,MATCH(Projeto_e_Macro[[#This Row],[Auxiliar 2]],Atualizações!$P$1:$P$1265,0)),"0")</f>
        <v>0</v>
      </c>
    </row>
    <row r="46" spans="1:7" ht="15.75">
      <c r="A46" s="11" t="s">
        <v>479</v>
      </c>
      <c r="B46" s="131" t="s">
        <v>480</v>
      </c>
      <c r="C46" s="112" t="s">
        <v>176</v>
      </c>
      <c r="D46" s="666" t="str">
        <f>$E$1&amp;Projeto_e_Macro[[#This Row],[SEI]]</f>
        <v>202408547/2021</v>
      </c>
      <c r="E46">
        <f>IFERROR(INDEX(Atualizações!$Q$1:$Q$1265,MATCH(Projeto_e_Macro[[#This Row],[AUXILIAR 1]],Atualizações!$P$1:$P$1265,0)),"0")</f>
        <v>1</v>
      </c>
      <c r="F46" s="666" t="str">
        <f>$G$1&amp;Projeto_e_Macro[[#This Row],[SEI]]</f>
        <v>202508547/2021</v>
      </c>
      <c r="G46" t="str">
        <f>IFERROR(INDEX(Atualizações!$Q$1:$Q$1265,MATCH(Projeto_e_Macro[[#This Row],[Auxiliar 2]],Atualizações!$P$1:$P$1265,0)),"0")</f>
        <v>0</v>
      </c>
    </row>
    <row r="47" spans="1:7" ht="15.75">
      <c r="A47" s="11" t="s">
        <v>479</v>
      </c>
      <c r="B47" s="188" t="s">
        <v>480</v>
      </c>
      <c r="C47" s="113" t="s">
        <v>146</v>
      </c>
      <c r="D47" s="666" t="str">
        <f>$E$1&amp;Projeto_e_Macro[[#This Row],[SEI]]</f>
        <v>202408547/2021</v>
      </c>
      <c r="E47">
        <f>IFERROR(INDEX(Atualizações!$Q$1:$Q$1265,MATCH(Projeto_e_Macro[[#This Row],[AUXILIAR 1]],Atualizações!$P$1:$P$1265,0)),"0")</f>
        <v>1</v>
      </c>
      <c r="F47" s="666" t="str">
        <f>$G$1&amp;Projeto_e_Macro[[#This Row],[SEI]]</f>
        <v>202508547/2021</v>
      </c>
      <c r="G47" t="str">
        <f>IFERROR(INDEX(Atualizações!$Q$1:$Q$1265,MATCH(Projeto_e_Macro[[#This Row],[Auxiliar 2]],Atualizações!$P$1:$P$1265,0)),"0")</f>
        <v>0</v>
      </c>
    </row>
    <row r="48" spans="1:7" ht="15.75">
      <c r="A48" s="105" t="s">
        <v>1283</v>
      </c>
      <c r="B48" s="132" t="s">
        <v>1284</v>
      </c>
      <c r="C48" s="107" t="s">
        <v>105</v>
      </c>
      <c r="D48" s="666" t="str">
        <f>$E$1&amp;Projeto_e_Macro[[#This Row],[SEI]]</f>
        <v>202401508/2022</v>
      </c>
      <c r="E48" t="str">
        <f>IFERROR(INDEX(Atualizações!$Q$1:$Q$1265,MATCH(Projeto_e_Macro[[#This Row],[AUXILIAR 1]],Atualizações!$P$1:$P$1265,0)),"0")</f>
        <v>0</v>
      </c>
      <c r="F48" s="666" t="str">
        <f>$G$1&amp;Projeto_e_Macro[[#This Row],[SEI]]</f>
        <v>202501508/2022</v>
      </c>
      <c r="G48" t="str">
        <f>IFERROR(INDEX(Atualizações!$Q$1:$Q$1265,MATCH(Projeto_e_Macro[[#This Row],[Auxiliar 2]],Atualizações!$P$1:$P$1265,0)),"0")</f>
        <v>0</v>
      </c>
    </row>
    <row r="49" spans="1:7" ht="15.75">
      <c r="A49" s="105" t="s">
        <v>1283</v>
      </c>
      <c r="B49" s="132" t="s">
        <v>1284</v>
      </c>
      <c r="C49" s="112" t="s">
        <v>146</v>
      </c>
      <c r="D49" s="666" t="str">
        <f>$E$1&amp;Projeto_e_Macro[[#This Row],[SEI]]</f>
        <v>202401508/2022</v>
      </c>
      <c r="E49" t="str">
        <f>IFERROR(INDEX(Atualizações!$Q$1:$Q$1265,MATCH(Projeto_e_Macro[[#This Row],[AUXILIAR 1]],Atualizações!$P$1:$P$1265,0)),"0")</f>
        <v>0</v>
      </c>
      <c r="F49" s="666" t="str">
        <f>$G$1&amp;Projeto_e_Macro[[#This Row],[SEI]]</f>
        <v>202501508/2022</v>
      </c>
      <c r="G49" t="str">
        <f>IFERROR(INDEX(Atualizações!$Q$1:$Q$1265,MATCH(Projeto_e_Macro[[#This Row],[Auxiliar 2]],Atualizações!$P$1:$P$1265,0)),"0")</f>
        <v>0</v>
      </c>
    </row>
    <row r="50" spans="1:7" ht="15.75">
      <c r="A50" s="7" t="s">
        <v>70</v>
      </c>
      <c r="B50" s="103" t="str">
        <f>IFERROR(INDEX(Projetos!$B$3:$B$129,MATCH(A50,Projetos!$A$3:$A$129,0))," ")</f>
        <v>Mapa Nacional do Tribunal do Júri</v>
      </c>
      <c r="C50" s="109" t="s">
        <v>76</v>
      </c>
      <c r="D50" s="666" t="str">
        <f>$E$1&amp;Projeto_e_Macro[[#This Row],[SEI]]</f>
        <v>202400139/2024</v>
      </c>
      <c r="E50">
        <f>IFERROR(INDEX(Atualizações!$Q$1:$Q$1265,MATCH(Projeto_e_Macro[[#This Row],[AUXILIAR 1]],Atualizações!$P$1:$P$1265,0)),"0")</f>
        <v>1</v>
      </c>
      <c r="F50" s="666" t="str">
        <f>$G$1&amp;Projeto_e_Macro[[#This Row],[SEI]]</f>
        <v>202500139/2024</v>
      </c>
      <c r="G50">
        <f>IFERROR(INDEX(Atualizações!$Q$1:$Q$1265,MATCH(Projeto_e_Macro[[#This Row],[Auxiliar 2]],Atualizações!$P$1:$P$1265,0)),"0")</f>
        <v>1</v>
      </c>
    </row>
    <row r="51" spans="1:7" ht="15.75">
      <c r="A51" s="2" t="s">
        <v>70</v>
      </c>
      <c r="B51" s="140" t="str">
        <f>IFERROR(INDEX(Projetos!$B$3:$B$129,MATCH(A51,Projetos!$A$3:$A$129,0))," ")</f>
        <v>Mapa Nacional do Tribunal do Júri</v>
      </c>
      <c r="C51" s="110" t="s">
        <v>105</v>
      </c>
      <c r="D51" s="666" t="str">
        <f>$E$1&amp;Projeto_e_Macro[[#This Row],[SEI]]</f>
        <v>202400139/2024</v>
      </c>
      <c r="E51">
        <f>IFERROR(INDEX(Atualizações!$Q$1:$Q$1265,MATCH(Projeto_e_Macro[[#This Row],[AUXILIAR 1]],Atualizações!$P$1:$P$1265,0)),"0")</f>
        <v>1</v>
      </c>
      <c r="F51" s="666" t="str">
        <f>$G$1&amp;Projeto_e_Macro[[#This Row],[SEI]]</f>
        <v>202500139/2024</v>
      </c>
      <c r="G51">
        <f>IFERROR(INDEX(Atualizações!$Q$1:$Q$1265,MATCH(Projeto_e_Macro[[#This Row],[Auxiliar 2]],Atualizações!$P$1:$P$1265,0)),"0")</f>
        <v>1</v>
      </c>
    </row>
    <row r="52" spans="1:7" ht="15.75">
      <c r="A52" s="74" t="s">
        <v>615</v>
      </c>
      <c r="B52" s="180" t="s">
        <v>616</v>
      </c>
      <c r="C52" s="110" t="s">
        <v>120</v>
      </c>
      <c r="D52" s="666" t="str">
        <f>$E$1&amp;Projeto_e_Macro[[#This Row],[SEI]]</f>
        <v>202411340/2023</v>
      </c>
      <c r="E52">
        <f>IFERROR(INDEX(Atualizações!$Q$1:$Q$1265,MATCH(Projeto_e_Macro[[#This Row],[AUXILIAR 1]],Atualizações!$P$1:$P$1265,0)),"0")</f>
        <v>1</v>
      </c>
      <c r="F52" s="666" t="str">
        <f>$G$1&amp;Projeto_e_Macro[[#This Row],[SEI]]</f>
        <v>202511340/2023</v>
      </c>
      <c r="G52">
        <f>IFERROR(INDEX(Atualizações!$Q$1:$Q$1265,MATCH(Projeto_e_Macro[[#This Row],[Auxiliar 2]],Atualizações!$P$1:$P$1265,0)),"0")</f>
        <v>1</v>
      </c>
    </row>
    <row r="53" spans="1:7" ht="15.75">
      <c r="A53" s="74" t="s">
        <v>615</v>
      </c>
      <c r="B53" s="106" t="s">
        <v>616</v>
      </c>
      <c r="C53" s="110" t="s">
        <v>214</v>
      </c>
      <c r="D53" s="666" t="str">
        <f>$E$1&amp;Projeto_e_Macro[[#This Row],[SEI]]</f>
        <v>202411340/2023</v>
      </c>
      <c r="E53">
        <f>IFERROR(INDEX(Atualizações!$Q$1:$Q$1265,MATCH(Projeto_e_Macro[[#This Row],[AUXILIAR 1]],Atualizações!$P$1:$P$1265,0)),"0")</f>
        <v>1</v>
      </c>
      <c r="F53" s="666" t="str">
        <f>$G$1&amp;Projeto_e_Macro[[#This Row],[SEI]]</f>
        <v>202511340/2023</v>
      </c>
      <c r="G53">
        <f>IFERROR(INDEX(Atualizações!$Q$1:$Q$1265,MATCH(Projeto_e_Macro[[#This Row],[Auxiliar 2]],Atualizações!$P$1:$P$1265,0)),"0")</f>
        <v>1</v>
      </c>
    </row>
    <row r="54" spans="1:7" ht="45">
      <c r="A54" s="74" t="s">
        <v>376</v>
      </c>
      <c r="B54" s="180" t="s">
        <v>377</v>
      </c>
      <c r="C54" s="110" t="s">
        <v>105</v>
      </c>
      <c r="D54" s="666" t="str">
        <f>$E$1&amp;Projeto_e_Macro[[#This Row],[SEI]]</f>
        <v>202403924/2023</v>
      </c>
      <c r="E54">
        <f>IFERROR(INDEX(Atualizações!$Q$1:$Q$1265,MATCH(Projeto_e_Macro[[#This Row],[AUXILIAR 1]],Atualizações!$P$1:$P$1265,0)),"0")</f>
        <v>1</v>
      </c>
      <c r="F54" s="666" t="str">
        <f>$G$1&amp;Projeto_e_Macro[[#This Row],[SEI]]</f>
        <v>202503924/2023</v>
      </c>
      <c r="G54">
        <f>IFERROR(INDEX(Atualizações!$Q$1:$Q$1265,MATCH(Projeto_e_Macro[[#This Row],[Auxiliar 2]],Atualizações!$P$1:$P$1265,0)),"0")</f>
        <v>1</v>
      </c>
    </row>
    <row r="55" spans="1:7" ht="45">
      <c r="A55" s="74" t="s">
        <v>376</v>
      </c>
      <c r="B55" s="106" t="s">
        <v>377</v>
      </c>
      <c r="C55" s="110" t="s">
        <v>176</v>
      </c>
      <c r="D55" s="666" t="str">
        <f>$E$1&amp;Projeto_e_Macro[[#This Row],[SEI]]</f>
        <v>202403924/2023</v>
      </c>
      <c r="E55">
        <f>IFERROR(INDEX(Atualizações!$Q$1:$Q$1265,MATCH(Projeto_e_Macro[[#This Row],[AUXILIAR 1]],Atualizações!$P$1:$P$1265,0)),"0")</f>
        <v>1</v>
      </c>
      <c r="F55" s="666" t="str">
        <f>$G$1&amp;Projeto_e_Macro[[#This Row],[SEI]]</f>
        <v>202503924/2023</v>
      </c>
      <c r="G55">
        <f>IFERROR(INDEX(Atualizações!$Q$1:$Q$1265,MATCH(Projeto_e_Macro[[#This Row],[Auxiliar 2]],Atualizações!$P$1:$P$1265,0)),"0")</f>
        <v>1</v>
      </c>
    </row>
    <row r="56" spans="1:7" ht="30">
      <c r="A56" s="74" t="s">
        <v>404</v>
      </c>
      <c r="B56" s="106" t="s">
        <v>405</v>
      </c>
      <c r="C56" s="17" t="s">
        <v>76</v>
      </c>
      <c r="D56" s="666" t="str">
        <f>$E$1&amp;Projeto_e_Macro[[#This Row],[SEI]]</f>
        <v>202405138/2024</v>
      </c>
      <c r="E56">
        <f>IFERROR(INDEX(Atualizações!$Q$1:$Q$1265,MATCH(Projeto_e_Macro[[#This Row],[AUXILIAR 1]],Atualizações!$P$1:$P$1265,0)),"0")</f>
        <v>1</v>
      </c>
      <c r="F56" s="666" t="str">
        <f>$G$1&amp;Projeto_e_Macro[[#This Row],[SEI]]</f>
        <v>202505138/2024</v>
      </c>
      <c r="G56">
        <f>IFERROR(INDEX(Atualizações!$Q$1:$Q$1265,MATCH(Projeto_e_Macro[[#This Row],[Auxiliar 2]],Atualizações!$P$1:$P$1265,0)),"0")</f>
        <v>1</v>
      </c>
    </row>
    <row r="57" spans="1:7" ht="45">
      <c r="A57" s="65" t="s">
        <v>384</v>
      </c>
      <c r="B57" s="189" t="s">
        <v>1640</v>
      </c>
      <c r="C57" s="110" t="s">
        <v>146</v>
      </c>
      <c r="D57" s="666" t="str">
        <f>$E$1&amp;Projeto_e_Macro[[#This Row],[SEI]]</f>
        <v>202404137/2024</v>
      </c>
      <c r="E57">
        <f>IFERROR(INDEX(Atualizações!$Q$1:$Q$1265,MATCH(Projeto_e_Macro[[#This Row],[AUXILIAR 1]],Atualizações!$P$1:$P$1265,0)),"0")</f>
        <v>1</v>
      </c>
      <c r="F57" s="666" t="str">
        <f>$G$1&amp;Projeto_e_Macro[[#This Row],[SEI]]</f>
        <v>202504137/2024</v>
      </c>
      <c r="G57">
        <f>IFERROR(INDEX(Atualizações!$Q$1:$Q$1265,MATCH(Projeto_e_Macro[[#This Row],[Auxiliar 2]],Atualizações!$P$1:$P$1265,0)),"0")</f>
        <v>1</v>
      </c>
    </row>
    <row r="58" spans="1:7" ht="60">
      <c r="A58" s="667" t="s">
        <v>495</v>
      </c>
      <c r="B58" s="668" t="s">
        <v>496</v>
      </c>
      <c r="C58" s="17" t="s">
        <v>214</v>
      </c>
      <c r="D58" s="666" t="str">
        <f>$E$1&amp;Projeto_e_Macro[[#This Row],[SEI]]</f>
        <v>202408690/2023</v>
      </c>
      <c r="E58">
        <f>IFERROR(INDEX(Atualizações!$Q$1:$Q$1265,MATCH(Projeto_e_Macro[[#This Row],[AUXILIAR 1]],Atualizações!$P$1:$P$1265,0)),"0")</f>
        <v>1</v>
      </c>
      <c r="F58" s="666" t="str">
        <f>$G$1&amp;Projeto_e_Macro[[#This Row],[SEI]]</f>
        <v>202508690/2023</v>
      </c>
      <c r="G58" t="str">
        <f>IFERROR(INDEX(Atualizações!$Q$1:$Q$1265,MATCH(Projeto_e_Macro[[#This Row],[Auxiliar 2]],Atualizações!$P$1:$P$1265,0)),"0")</f>
        <v>0</v>
      </c>
    </row>
    <row r="59" spans="1:7" ht="60">
      <c r="A59" s="667" t="s">
        <v>495</v>
      </c>
      <c r="B59" s="668" t="s">
        <v>496</v>
      </c>
      <c r="C59" s="110" t="s">
        <v>176</v>
      </c>
      <c r="D59" s="666" t="str">
        <f>$E$1&amp;Projeto_e_Macro[[#This Row],[SEI]]</f>
        <v>202408690/2023</v>
      </c>
      <c r="E59">
        <f>IFERROR(INDEX(Atualizações!$Q$1:$Q$1265,MATCH(Projeto_e_Macro[[#This Row],[AUXILIAR 1]],Atualizações!$P$1:$P$1265,0)),"0")</f>
        <v>1</v>
      </c>
      <c r="F59" s="666" t="str">
        <f>$G$1&amp;Projeto_e_Macro[[#This Row],[SEI]]</f>
        <v>202508690/2023</v>
      </c>
      <c r="G59" t="str">
        <f>IFERROR(INDEX(Atualizações!$Q$1:$Q$1265,MATCH(Projeto_e_Macro[[#This Row],[Auxiliar 2]],Atualizações!$P$1:$P$1265,0)),"0")</f>
        <v>0</v>
      </c>
    </row>
    <row r="60" spans="1:7" ht="30">
      <c r="A60" s="664" t="s">
        <v>273</v>
      </c>
      <c r="B60" s="669" t="s">
        <v>274</v>
      </c>
      <c r="C60" s="112" t="s">
        <v>120</v>
      </c>
      <c r="D60" s="666" t="str">
        <f>$E$1&amp;Projeto_e_Macro[[#This Row],[SEI]]</f>
        <v>202402483/2023</v>
      </c>
      <c r="E60">
        <f>IFERROR(INDEX(Atualizações!$Q$1:$Q$1265,MATCH(Projeto_e_Macro[[#This Row],[AUXILIAR 1]],Atualizações!$P$1:$P$1265,0)),"0")</f>
        <v>1</v>
      </c>
      <c r="F60" s="666" t="str">
        <f>$G$1&amp;Projeto_e_Macro[[#This Row],[SEI]]</f>
        <v>202502483/2023</v>
      </c>
      <c r="G60">
        <f>IFERROR(INDEX(Atualizações!$Q$1:$Q$1265,MATCH(Projeto_e_Macro[[#This Row],[Auxiliar 2]],Atualizações!$P$1:$P$1265,0)),"0")</f>
        <v>1</v>
      </c>
    </row>
    <row r="61" spans="1:7" ht="30">
      <c r="A61" s="664" t="s">
        <v>273</v>
      </c>
      <c r="B61" s="670" t="s">
        <v>274</v>
      </c>
      <c r="C61" s="107" t="s">
        <v>166</v>
      </c>
      <c r="D61" s="666" t="str">
        <f>$E$1&amp;Projeto_e_Macro[[#This Row],[SEI]]</f>
        <v>202402483/2023</v>
      </c>
      <c r="E61">
        <f>IFERROR(INDEX(Atualizações!$Q$1:$Q$1265,MATCH(Projeto_e_Macro[[#This Row],[AUXILIAR 1]],Atualizações!$P$1:$P$1265,0)),"0")</f>
        <v>1</v>
      </c>
      <c r="F61" s="666" t="str">
        <f>$G$1&amp;Projeto_e_Macro[[#This Row],[SEI]]</f>
        <v>202502483/2023</v>
      </c>
      <c r="G61">
        <f>IFERROR(INDEX(Atualizações!$Q$1:$Q$1265,MATCH(Projeto_e_Macro[[#This Row],[Auxiliar 2]],Atualizações!$P$1:$P$1265,0)),"0")</f>
        <v>1</v>
      </c>
    </row>
    <row r="62" spans="1:7" ht="30">
      <c r="A62" s="20" t="s">
        <v>410</v>
      </c>
      <c r="B62" s="103" t="s">
        <v>411</v>
      </c>
      <c r="C62" s="112" t="s">
        <v>166</v>
      </c>
      <c r="D62" s="666" t="str">
        <f>$E$1&amp;Projeto_e_Macro[[#This Row],[SEI]]</f>
        <v>202405150/2024</v>
      </c>
      <c r="E62">
        <f>IFERROR(INDEX(Atualizações!$Q$1:$Q$1265,MATCH(Projeto_e_Macro[[#This Row],[AUXILIAR 1]],Atualizações!$P$1:$P$1265,0)),"0")</f>
        <v>1</v>
      </c>
      <c r="F62" s="666" t="str">
        <f>$G$1&amp;Projeto_e_Macro[[#This Row],[SEI]]</f>
        <v>202505150/2024</v>
      </c>
      <c r="G62">
        <f>IFERROR(INDEX(Atualizações!$Q$1:$Q$1265,MATCH(Projeto_e_Macro[[#This Row],[Auxiliar 2]],Atualizações!$P$1:$P$1265,0)),"0")</f>
        <v>1</v>
      </c>
    </row>
    <row r="63" spans="1:7" ht="30">
      <c r="A63" s="20" t="s">
        <v>410</v>
      </c>
      <c r="B63" s="181" t="s">
        <v>411</v>
      </c>
      <c r="C63" s="112" t="s">
        <v>146</v>
      </c>
      <c r="D63" s="666" t="str">
        <f>$E$1&amp;Projeto_e_Macro[[#This Row],[SEI]]</f>
        <v>202405150/2024</v>
      </c>
      <c r="E63">
        <f>IFERROR(INDEX(Atualizações!$Q$1:$Q$1265,MATCH(Projeto_e_Macro[[#This Row],[AUXILIAR 1]],Atualizações!$P$1:$P$1265,0)),"0")</f>
        <v>1</v>
      </c>
      <c r="F63" s="666" t="str">
        <f>$G$1&amp;Projeto_e_Macro[[#This Row],[SEI]]</f>
        <v>202505150/2024</v>
      </c>
      <c r="G63">
        <f>IFERROR(INDEX(Atualizações!$Q$1:$Q$1265,MATCH(Projeto_e_Macro[[#This Row],[Auxiliar 2]],Atualizações!$P$1:$P$1265,0)),"0")</f>
        <v>1</v>
      </c>
    </row>
    <row r="64" spans="1:7" ht="15.75">
      <c r="A64" s="671" t="s">
        <v>416</v>
      </c>
      <c r="B64" s="672" t="s">
        <v>1641</v>
      </c>
      <c r="C64" s="112" t="s">
        <v>146</v>
      </c>
      <c r="D64" s="666" t="str">
        <f>$E$1&amp;Projeto_e_Macro[[#This Row],[SEI]]</f>
        <v>202405578/2024</v>
      </c>
      <c r="E64">
        <f>IFERROR(INDEX(Atualizações!$Q$1:$Q$1265,MATCH(Projeto_e_Macro[[#This Row],[AUXILIAR 1]],Atualizações!$P$1:$P$1265,0)),"0")</f>
        <v>1</v>
      </c>
      <c r="F64" s="666" t="str">
        <f>$G$1&amp;Projeto_e_Macro[[#This Row],[SEI]]</f>
        <v>202505578/2024</v>
      </c>
      <c r="G64">
        <f>IFERROR(INDEX(Atualizações!$Q$1:$Q$1265,MATCH(Projeto_e_Macro[[#This Row],[Auxiliar 2]],Atualizações!$P$1:$P$1265,0)),"0")</f>
        <v>1</v>
      </c>
    </row>
    <row r="65" spans="1:7" ht="15.75">
      <c r="A65" s="671" t="s">
        <v>416</v>
      </c>
      <c r="B65" s="662" t="s">
        <v>1641</v>
      </c>
      <c r="C65" s="112" t="s">
        <v>176</v>
      </c>
      <c r="D65" s="666" t="str">
        <f>$E$1&amp;Projeto_e_Macro[[#This Row],[SEI]]</f>
        <v>202405578/2024</v>
      </c>
      <c r="E65">
        <f>IFERROR(INDEX(Atualizações!$Q$1:$Q$1265,MATCH(Projeto_e_Macro[[#This Row],[AUXILIAR 1]],Atualizações!$P$1:$P$1265,0)),"0")</f>
        <v>1</v>
      </c>
      <c r="F65" s="666" t="str">
        <f>$G$1&amp;Projeto_e_Macro[[#This Row],[SEI]]</f>
        <v>202505578/2024</v>
      </c>
      <c r="G65">
        <f>IFERROR(INDEX(Atualizações!$Q$1:$Q$1265,MATCH(Projeto_e_Macro[[#This Row],[Auxiliar 2]],Atualizações!$P$1:$P$1265,0)),"0")</f>
        <v>1</v>
      </c>
    </row>
    <row r="66" spans="1:7" ht="30">
      <c r="A66" s="671" t="s">
        <v>257</v>
      </c>
      <c r="B66" s="672" t="s">
        <v>258</v>
      </c>
      <c r="C66" s="110" t="s">
        <v>105</v>
      </c>
      <c r="D66" s="666" t="str">
        <f>$E$1&amp;Projeto_e_Macro[[#This Row],[SEI]]</f>
        <v>202402465/2024</v>
      </c>
      <c r="E66">
        <f>IFERROR(INDEX(Atualizações!$Q$1:$Q$1265,MATCH(Projeto_e_Macro[[#This Row],[AUXILIAR 1]],Atualizações!$P$1:$P$1265,0)),"0")</f>
        <v>1</v>
      </c>
      <c r="F66" s="666" t="str">
        <f>$G$1&amp;Projeto_e_Macro[[#This Row],[SEI]]</f>
        <v>202502465/2024</v>
      </c>
      <c r="G66">
        <f>IFERROR(INDEX(Atualizações!$Q$1:$Q$1265,MATCH(Projeto_e_Macro[[#This Row],[Auxiliar 2]],Atualizações!$P$1:$P$1265,0)),"0")</f>
        <v>1</v>
      </c>
    </row>
    <row r="67" spans="1:7" ht="30">
      <c r="A67" s="120" t="s">
        <v>266</v>
      </c>
      <c r="B67" s="672" t="s">
        <v>267</v>
      </c>
      <c r="C67" s="112" t="s">
        <v>120</v>
      </c>
      <c r="D67" s="666" t="str">
        <f>$E$1&amp;Projeto_e_Macro[[#This Row],[SEI]]</f>
        <v>202402476/2024</v>
      </c>
      <c r="E67">
        <f>IFERROR(INDEX(Atualizações!$Q$1:$Q$1265,MATCH(Projeto_e_Macro[[#This Row],[AUXILIAR 1]],Atualizações!$P$1:$P$1265,0)),"0")</f>
        <v>1</v>
      </c>
      <c r="F67" s="666" t="str">
        <f>$G$1&amp;Projeto_e_Macro[[#This Row],[SEI]]</f>
        <v>202502476/2024</v>
      </c>
      <c r="G67">
        <f>IFERROR(INDEX(Atualizações!$Q$1:$Q$1265,MATCH(Projeto_e_Macro[[#This Row],[Auxiliar 2]],Atualizações!$P$1:$P$1265,0)),"0")</f>
        <v>1</v>
      </c>
    </row>
    <row r="68" spans="1:7" ht="30">
      <c r="A68" s="120" t="s">
        <v>266</v>
      </c>
      <c r="B68" s="662" t="s">
        <v>267</v>
      </c>
      <c r="C68" s="107" t="s">
        <v>166</v>
      </c>
      <c r="D68" s="666" t="str">
        <f>$E$1&amp;Projeto_e_Macro[[#This Row],[SEI]]</f>
        <v>202402476/2024</v>
      </c>
      <c r="E68">
        <f>IFERROR(INDEX(Atualizações!$Q$1:$Q$1265,MATCH(Projeto_e_Macro[[#This Row],[AUXILIAR 1]],Atualizações!$P$1:$P$1265,0)),"0")</f>
        <v>1</v>
      </c>
      <c r="F68" s="666" t="str">
        <f>$G$1&amp;Projeto_e_Macro[[#This Row],[SEI]]</f>
        <v>202502476/2024</v>
      </c>
      <c r="G68">
        <f>IFERROR(INDEX(Atualizações!$Q$1:$Q$1265,MATCH(Projeto_e_Macro[[#This Row],[Auxiliar 2]],Atualizações!$P$1:$P$1265,0)),"0")</f>
        <v>1</v>
      </c>
    </row>
    <row r="69" spans="1:7" ht="15.75">
      <c r="A69" s="120" t="s">
        <v>559</v>
      </c>
      <c r="B69" s="182" t="s">
        <v>560</v>
      </c>
      <c r="C69" s="112" t="s">
        <v>120</v>
      </c>
      <c r="D69" s="666" t="str">
        <f>$E$1&amp;Projeto_e_Macro[[#This Row],[SEI]]</f>
        <v>202410101/2024</v>
      </c>
      <c r="E69">
        <f>IFERROR(INDEX(Atualizações!$Q$1:$Q$1265,MATCH(Projeto_e_Macro[[#This Row],[AUXILIAR 1]],Atualizações!$P$1:$P$1265,0)),"0")</f>
        <v>1</v>
      </c>
      <c r="F69" s="666" t="str">
        <f>$G$1&amp;Projeto_e_Macro[[#This Row],[SEI]]</f>
        <v>202510101/2024</v>
      </c>
      <c r="G69">
        <f>IFERROR(INDEX(Atualizações!$Q$1:$Q$1265,MATCH(Projeto_e_Macro[[#This Row],[Auxiliar 2]],Atualizações!$P$1:$P$1265,0)),"0")</f>
        <v>1</v>
      </c>
    </row>
    <row r="70" spans="1:7" ht="15.75">
      <c r="A70" s="120" t="s">
        <v>559</v>
      </c>
      <c r="B70" s="142" t="s">
        <v>560</v>
      </c>
      <c r="C70" s="112" t="s">
        <v>166</v>
      </c>
      <c r="D70" s="666" t="str">
        <f>$E$1&amp;Projeto_e_Macro[[#This Row],[SEI]]</f>
        <v>202410101/2024</v>
      </c>
      <c r="E70">
        <f>IFERROR(INDEX(Atualizações!$Q$1:$Q$1265,MATCH(Projeto_e_Macro[[#This Row],[AUXILIAR 1]],Atualizações!$P$1:$P$1265,0)),"0")</f>
        <v>1</v>
      </c>
      <c r="F70" s="666" t="str">
        <f>$G$1&amp;Projeto_e_Macro[[#This Row],[SEI]]</f>
        <v>202510101/2024</v>
      </c>
      <c r="G70">
        <f>IFERROR(INDEX(Atualizações!$Q$1:$Q$1265,MATCH(Projeto_e_Macro[[#This Row],[Auxiliar 2]],Atualizações!$P$1:$P$1265,0)),"0")</f>
        <v>1</v>
      </c>
    </row>
    <row r="71" spans="1:7" ht="31.5">
      <c r="A71" s="120" t="s">
        <v>589</v>
      </c>
      <c r="B71" s="182" t="s">
        <v>590</v>
      </c>
      <c r="C71" s="112" t="s">
        <v>120</v>
      </c>
      <c r="D71" s="666" t="str">
        <f>$E$1&amp;Projeto_e_Macro[[#This Row],[SEI]]</f>
        <v>202410926/2024</v>
      </c>
      <c r="E71">
        <f>IFERROR(INDEX(Atualizações!$Q$1:$Q$1265,MATCH(Projeto_e_Macro[[#This Row],[AUXILIAR 1]],Atualizações!$P$1:$P$1265,0)),"0")</f>
        <v>1</v>
      </c>
      <c r="F71" s="666" t="str">
        <f>$G$1&amp;Projeto_e_Macro[[#This Row],[SEI]]</f>
        <v>202510926/2024</v>
      </c>
      <c r="G71">
        <f>IFERROR(INDEX(Atualizações!$Q$1:$Q$1265,MATCH(Projeto_e_Macro[[#This Row],[Auxiliar 2]],Atualizações!$P$1:$P$1265,0)),"0")</f>
        <v>1</v>
      </c>
    </row>
    <row r="72" spans="1:7" ht="31.5">
      <c r="A72" s="120" t="s">
        <v>589</v>
      </c>
      <c r="B72" s="142" t="s">
        <v>590</v>
      </c>
      <c r="C72" s="107" t="s">
        <v>166</v>
      </c>
      <c r="D72" s="666" t="str">
        <f>$E$1&amp;Projeto_e_Macro[[#This Row],[SEI]]</f>
        <v>202410926/2024</v>
      </c>
      <c r="E72">
        <f>IFERROR(INDEX(Atualizações!$Q$1:$Q$1265,MATCH(Projeto_e_Macro[[#This Row],[AUXILIAR 1]],Atualizações!$P$1:$P$1265,0)),"0")</f>
        <v>1</v>
      </c>
      <c r="F72" s="666" t="str">
        <f>$G$1&amp;Projeto_e_Macro[[#This Row],[SEI]]</f>
        <v>202510926/2024</v>
      </c>
      <c r="G72">
        <f>IFERROR(INDEX(Atualizações!$Q$1:$Q$1265,MATCH(Projeto_e_Macro[[#This Row],[Auxiliar 2]],Atualizações!$P$1:$P$1265,0)),"0")</f>
        <v>1</v>
      </c>
    </row>
    <row r="73" spans="1:7" ht="15.75">
      <c r="A73" s="120" t="s">
        <v>684</v>
      </c>
      <c r="B73" s="173" t="s">
        <v>685</v>
      </c>
      <c r="C73" s="107" t="s">
        <v>166</v>
      </c>
      <c r="D73" s="666" t="str">
        <f>$E$1&amp;Projeto_e_Macro[[#This Row],[SEI]]</f>
        <v>202412135/2022</v>
      </c>
      <c r="E73">
        <f>IFERROR(INDEX(Atualizações!$Q$1:$Q$1265,MATCH(Projeto_e_Macro[[#This Row],[AUXILIAR 1]],Atualizações!$P$1:$P$1265,0)),"0")</f>
        <v>1</v>
      </c>
      <c r="F73" s="666" t="str">
        <f>$G$1&amp;Projeto_e_Macro[[#This Row],[SEI]]</f>
        <v>202512135/2022</v>
      </c>
      <c r="G73">
        <f>IFERROR(INDEX(Atualizações!$Q$1:$Q$1265,MATCH(Projeto_e_Macro[[#This Row],[Auxiliar 2]],Atualizações!$P$1:$P$1265,0)),"0")</f>
        <v>1</v>
      </c>
    </row>
    <row r="74" spans="1:7" ht="15.75">
      <c r="A74" s="120" t="s">
        <v>684</v>
      </c>
      <c r="B74" s="190" t="s">
        <v>685</v>
      </c>
      <c r="C74" s="112" t="s">
        <v>146</v>
      </c>
      <c r="D74" s="666" t="str">
        <f>$E$1&amp;Projeto_e_Macro[[#This Row],[SEI]]</f>
        <v>202412135/2022</v>
      </c>
      <c r="E74">
        <f>IFERROR(INDEX(Atualizações!$Q$1:$Q$1265,MATCH(Projeto_e_Macro[[#This Row],[AUXILIAR 1]],Atualizações!$P$1:$P$1265,0)),"0")</f>
        <v>1</v>
      </c>
      <c r="F74" s="666" t="str">
        <f>$G$1&amp;Projeto_e_Macro[[#This Row],[SEI]]</f>
        <v>202512135/2022</v>
      </c>
      <c r="G74">
        <f>IFERROR(INDEX(Atualizações!$Q$1:$Q$1265,MATCH(Projeto_e_Macro[[#This Row],[Auxiliar 2]],Atualizações!$P$1:$P$1265,0)),"0")</f>
        <v>1</v>
      </c>
    </row>
    <row r="75" spans="1:7" ht="15.75">
      <c r="A75" s="149" t="s">
        <v>668</v>
      </c>
      <c r="B75" s="182" t="s">
        <v>669</v>
      </c>
      <c r="C75" s="112" t="s">
        <v>120</v>
      </c>
      <c r="D75" s="666" t="str">
        <f>$E$1&amp;Projeto_e_Macro[[#This Row],[SEI]]</f>
        <v>202411821/2024</v>
      </c>
      <c r="E75">
        <f>IFERROR(INDEX(Atualizações!$Q$1:$Q$1265,MATCH(Projeto_e_Macro[[#This Row],[AUXILIAR 1]],Atualizações!$P$1:$P$1265,0)),"0")</f>
        <v>1</v>
      </c>
      <c r="F75" s="666" t="str">
        <f>$G$1&amp;Projeto_e_Macro[[#This Row],[SEI]]</f>
        <v>202511821/2024</v>
      </c>
      <c r="G75" t="str">
        <f>IFERROR(INDEX(Atualizações!$Q$1:$Q$1265,MATCH(Projeto_e_Macro[[#This Row],[Auxiliar 2]],Atualizações!$P$1:$P$1265,0)),"0")</f>
        <v>0</v>
      </c>
    </row>
    <row r="76" spans="1:7" ht="15.75">
      <c r="A76" s="149" t="s">
        <v>668</v>
      </c>
      <c r="B76" s="142" t="s">
        <v>669</v>
      </c>
      <c r="C76" s="112" t="s">
        <v>166</v>
      </c>
      <c r="D76" s="666" t="str">
        <f>$E$1&amp;Projeto_e_Macro[[#This Row],[SEI]]</f>
        <v>202411821/2024</v>
      </c>
      <c r="E76">
        <f>IFERROR(INDEX(Atualizações!$Q$1:$Q$1265,MATCH(Projeto_e_Macro[[#This Row],[AUXILIAR 1]],Atualizações!$P$1:$P$1265,0)),"0")</f>
        <v>1</v>
      </c>
      <c r="F76" s="666" t="str">
        <f>$G$1&amp;Projeto_e_Macro[[#This Row],[SEI]]</f>
        <v>202511821/2024</v>
      </c>
      <c r="G76" t="str">
        <f>IFERROR(INDEX(Atualizações!$Q$1:$Q$1265,MATCH(Projeto_e_Macro[[#This Row],[Auxiliar 2]],Atualizações!$P$1:$P$1265,0)),"0")</f>
        <v>0</v>
      </c>
    </row>
    <row r="77" spans="1:7" ht="15.75">
      <c r="A77" s="149" t="s">
        <v>431</v>
      </c>
      <c r="B77" s="672" t="s">
        <v>432</v>
      </c>
      <c r="C77" s="110" t="s">
        <v>105</v>
      </c>
      <c r="D77" s="666" t="str">
        <f>$E$1&amp;Projeto_e_Macro[[#This Row],[SEI]]</f>
        <v>202406826/2024</v>
      </c>
      <c r="E77">
        <f>IFERROR(INDEX(Atualizações!$Q$1:$Q$1265,MATCH(Projeto_e_Macro[[#This Row],[AUXILIAR 1]],Atualizações!$P$1:$P$1265,0)),"0")</f>
        <v>1</v>
      </c>
      <c r="F77" s="666" t="str">
        <f>$G$1&amp;Projeto_e_Macro[[#This Row],[SEI]]</f>
        <v>202506826/2024</v>
      </c>
      <c r="G77">
        <f>IFERROR(INDEX(Atualizações!$Q$1:$Q$1265,MATCH(Projeto_e_Macro[[#This Row],[Auxiliar 2]],Atualizações!$P$1:$P$1265,0)),"0")</f>
        <v>1</v>
      </c>
    </row>
    <row r="78" spans="1:7" ht="15.75">
      <c r="A78" s="149" t="s">
        <v>431</v>
      </c>
      <c r="B78" s="662" t="s">
        <v>432</v>
      </c>
      <c r="C78" s="112" t="s">
        <v>176</v>
      </c>
      <c r="D78" s="666" t="str">
        <f>$E$1&amp;Projeto_e_Macro[[#This Row],[SEI]]</f>
        <v>202406826/2024</v>
      </c>
      <c r="E78">
        <f>IFERROR(INDEX(Atualizações!$Q$1:$Q$1265,MATCH(Projeto_e_Macro[[#This Row],[AUXILIAR 1]],Atualizações!$P$1:$P$1265,0)),"0")</f>
        <v>1</v>
      </c>
      <c r="F78" s="666" t="str">
        <f>$G$1&amp;Projeto_e_Macro[[#This Row],[SEI]]</f>
        <v>202506826/2024</v>
      </c>
      <c r="G78">
        <f>IFERROR(INDEX(Atualizações!$Q$1:$Q$1265,MATCH(Projeto_e_Macro[[#This Row],[Auxiliar 2]],Atualizações!$P$1:$P$1265,0)),"0")</f>
        <v>1</v>
      </c>
    </row>
    <row r="79" spans="1:7" ht="15.75">
      <c r="A79" s="149" t="s">
        <v>172</v>
      </c>
      <c r="B79" s="662" t="s">
        <v>173</v>
      </c>
      <c r="C79" s="112" t="s">
        <v>176</v>
      </c>
      <c r="D79" s="666" t="str">
        <f>$E$1&amp;Projeto_e_Macro[[#This Row],[SEI]]</f>
        <v>202401703/2024</v>
      </c>
      <c r="E79">
        <f>IFERROR(INDEX(Atualizações!$Q$1:$Q$1265,MATCH(Projeto_e_Macro[[#This Row],[AUXILIAR 1]],Atualizações!$P$1:$P$1265,0)),"0")</f>
        <v>1</v>
      </c>
      <c r="F79" s="666" t="str">
        <f>$G$1&amp;Projeto_e_Macro[[#This Row],[SEI]]</f>
        <v>202501703/2024</v>
      </c>
      <c r="G79" t="str">
        <f>IFERROR(INDEX(Atualizações!$Q$1:$Q$1265,MATCH(Projeto_e_Macro[[#This Row],[Auxiliar 2]],Atualizações!$P$1:$P$1265,0)),"0")</f>
        <v>0</v>
      </c>
    </row>
    <row r="80" spans="1:7" ht="30">
      <c r="A80" s="149" t="s">
        <v>549</v>
      </c>
      <c r="B80" s="672" t="s">
        <v>1582</v>
      </c>
      <c r="C80" s="110" t="s">
        <v>105</v>
      </c>
      <c r="D80" s="666" t="str">
        <f>$E$1&amp;Projeto_e_Macro[[#This Row],[SEI]]</f>
        <v>202409796/2024</v>
      </c>
      <c r="E80">
        <f>IFERROR(INDEX(Atualizações!$Q$1:$Q$1265,MATCH(Projeto_e_Macro[[#This Row],[AUXILIAR 1]],Atualizações!$P$1:$P$1265,0)),"0")</f>
        <v>1</v>
      </c>
      <c r="F80" s="666" t="str">
        <f>$G$1&amp;Projeto_e_Macro[[#This Row],[SEI]]</f>
        <v>202509796/2024</v>
      </c>
      <c r="G80">
        <f>IFERROR(INDEX(Atualizações!$Q$1:$Q$1265,MATCH(Projeto_e_Macro[[#This Row],[Auxiliar 2]],Atualizações!$P$1:$P$1265,0)),"0")</f>
        <v>1</v>
      </c>
    </row>
    <row r="81" spans="1:7" ht="16.5">
      <c r="A81" s="149" t="s">
        <v>644</v>
      </c>
      <c r="B81" s="662" t="s">
        <v>645</v>
      </c>
      <c r="C81" s="3" t="s">
        <v>647</v>
      </c>
      <c r="D81" s="666" t="str">
        <f>$E$1&amp;Projeto_e_Macro[[#This Row],[SEI]]</f>
        <v>202411645/2022</v>
      </c>
      <c r="E81">
        <f>IFERROR(INDEX(Atualizações!$Q$1:$Q$1265,MATCH(Projeto_e_Macro[[#This Row],[AUXILIAR 1]],Atualizações!$P$1:$P$1265,0)),"0")</f>
        <v>1</v>
      </c>
      <c r="F81" s="666" t="str">
        <f>$G$1&amp;Projeto_e_Macro[[#This Row],[SEI]]</f>
        <v>202511645/2022</v>
      </c>
      <c r="G81">
        <f>IFERROR(INDEX(Atualizações!$Q$1:$Q$1265,MATCH(Projeto_e_Macro[[#This Row],[Auxiliar 2]],Atualizações!$P$1:$P$1265,0)),"0")</f>
        <v>1</v>
      </c>
    </row>
    <row r="82" spans="1:7" ht="15.75">
      <c r="A82" s="149" t="s">
        <v>644</v>
      </c>
      <c r="B82" s="672" t="s">
        <v>645</v>
      </c>
      <c r="C82" s="112" t="s">
        <v>105</v>
      </c>
      <c r="D82" s="666" t="str">
        <f>$E$1&amp;Projeto_e_Macro[[#This Row],[SEI]]</f>
        <v>202411645/2022</v>
      </c>
      <c r="E82">
        <f>IFERROR(INDEX(Atualizações!$Q$1:$Q$1265,MATCH(Projeto_e_Macro[[#This Row],[AUXILIAR 1]],Atualizações!$P$1:$P$1265,0)),"0")</f>
        <v>1</v>
      </c>
      <c r="F82" s="666" t="str">
        <f>$G$1&amp;Projeto_e_Macro[[#This Row],[SEI]]</f>
        <v>202511645/2022</v>
      </c>
      <c r="G82">
        <f>IFERROR(INDEX(Atualizações!$Q$1:$Q$1265,MATCH(Projeto_e_Macro[[#This Row],[Auxiliar 2]],Atualizações!$P$1:$P$1265,0)),"0")</f>
        <v>1</v>
      </c>
    </row>
    <row r="83" spans="1:7" ht="30">
      <c r="A83" s="149" t="s">
        <v>629</v>
      </c>
      <c r="B83" s="662" t="s">
        <v>630</v>
      </c>
      <c r="C83" s="112" t="s">
        <v>166</v>
      </c>
      <c r="D83" s="666" t="str">
        <f>$E$1&amp;Projeto_e_Macro[[#This Row],[SEI]]</f>
        <v>202411449/2024</v>
      </c>
      <c r="E83">
        <f>IFERROR(INDEX(Atualizações!$Q$1:$Q$1265,MATCH(Projeto_e_Macro[[#This Row],[AUXILIAR 1]],Atualizações!$P$1:$P$1265,0)),"0")</f>
        <v>1</v>
      </c>
      <c r="F83" s="666" t="str">
        <f>$G$1&amp;Projeto_e_Macro[[#This Row],[SEI]]</f>
        <v>202511449/2024</v>
      </c>
      <c r="G83">
        <f>IFERROR(INDEX(Atualizações!$Q$1:$Q$1265,MATCH(Projeto_e_Macro[[#This Row],[Auxiliar 2]],Atualizações!$P$1:$P$1265,0)),"0")</f>
        <v>1</v>
      </c>
    </row>
    <row r="84" spans="1:7" ht="30">
      <c r="A84" s="149" t="s">
        <v>629</v>
      </c>
      <c r="B84" s="181" t="s">
        <v>630</v>
      </c>
      <c r="C84" s="112" t="s">
        <v>146</v>
      </c>
      <c r="D84" s="666" t="str">
        <f>$E$1&amp;Projeto_e_Macro[[#This Row],[SEI]]</f>
        <v>202411449/2024</v>
      </c>
      <c r="E84">
        <f>IFERROR(INDEX(Atualizações!$Q$1:$Q$1265,MATCH(Projeto_e_Macro[[#This Row],[AUXILIAR 1]],Atualizações!$P$1:$P$1265,0)),"0")</f>
        <v>1</v>
      </c>
      <c r="F84" s="666" t="str">
        <f>$G$1&amp;Projeto_e_Macro[[#This Row],[SEI]]</f>
        <v>202511449/2024</v>
      </c>
      <c r="G84">
        <f>IFERROR(INDEX(Atualizações!$Q$1:$Q$1265,MATCH(Projeto_e_Macro[[#This Row],[Auxiliar 2]],Atualizações!$P$1:$P$1265,0)),"0")</f>
        <v>1</v>
      </c>
    </row>
    <row r="85" spans="1:7" ht="15.75">
      <c r="A85" s="149" t="s">
        <v>533</v>
      </c>
      <c r="B85" s="662" t="s">
        <v>534</v>
      </c>
      <c r="C85" s="107" t="s">
        <v>166</v>
      </c>
      <c r="D85" s="666" t="str">
        <f>$E$1&amp;Projeto_e_Macro[[#This Row],[SEI]]</f>
        <v>202409613/2024</v>
      </c>
      <c r="E85">
        <f>IFERROR(INDEX(Atualizações!$Q$1:$Q$1265,MATCH(Projeto_e_Macro[[#This Row],[AUXILIAR 1]],Atualizações!$P$1:$P$1265,0)),"0")</f>
        <v>1</v>
      </c>
      <c r="F85" s="666" t="str">
        <f>$G$1&amp;Projeto_e_Macro[[#This Row],[SEI]]</f>
        <v>202509613/2024</v>
      </c>
      <c r="G85">
        <f>IFERROR(INDEX(Atualizações!$Q$1:$Q$1265,MATCH(Projeto_e_Macro[[#This Row],[Auxiliar 2]],Atualizações!$P$1:$P$1265,0)),"0")</f>
        <v>1</v>
      </c>
    </row>
    <row r="86" spans="1:7" ht="15.75">
      <c r="A86" s="149" t="s">
        <v>533</v>
      </c>
      <c r="B86" s="181" t="s">
        <v>534</v>
      </c>
      <c r="C86" s="112" t="s">
        <v>146</v>
      </c>
      <c r="D86" s="666" t="str">
        <f>$E$1&amp;Projeto_e_Macro[[#This Row],[SEI]]</f>
        <v>202409613/2024</v>
      </c>
      <c r="E86">
        <f>IFERROR(INDEX(Atualizações!$Q$1:$Q$1265,MATCH(Projeto_e_Macro[[#This Row],[AUXILIAR 1]],Atualizações!$P$1:$P$1265,0)),"0")</f>
        <v>1</v>
      </c>
      <c r="F86" s="666" t="str">
        <f>$G$1&amp;Projeto_e_Macro[[#This Row],[SEI]]</f>
        <v>202509613/2024</v>
      </c>
      <c r="G86">
        <f>IFERROR(INDEX(Atualizações!$Q$1:$Q$1265,MATCH(Projeto_e_Macro[[#This Row],[Auxiliar 2]],Atualizações!$P$1:$P$1265,0)),"0")</f>
        <v>1</v>
      </c>
    </row>
    <row r="87" spans="1:7" ht="15.75">
      <c r="A87" s="149" t="s">
        <v>318</v>
      </c>
      <c r="B87" s="672" t="s">
        <v>319</v>
      </c>
      <c r="C87" s="112" t="s">
        <v>105</v>
      </c>
      <c r="D87" s="666" t="str">
        <f>$E$1&amp;Projeto_e_Macro[[#This Row],[SEI]]</f>
        <v>202402888/2024</v>
      </c>
      <c r="E87">
        <f>IFERROR(INDEX(Atualizações!$Q$1:$Q$1265,MATCH(Projeto_e_Macro[[#This Row],[AUXILIAR 1]],Atualizações!$P$1:$P$1265,0)),"0")</f>
        <v>1</v>
      </c>
      <c r="F87" s="666" t="str">
        <f>$G$1&amp;Projeto_e_Macro[[#This Row],[SEI]]</f>
        <v>202502888/2024</v>
      </c>
      <c r="G87" t="str">
        <f>IFERROR(INDEX(Atualizações!$Q$1:$Q$1265,MATCH(Projeto_e_Macro[[#This Row],[Auxiliar 2]],Atualizações!$P$1:$P$1265,0)),"0")</f>
        <v>0</v>
      </c>
    </row>
    <row r="88" spans="1:7" ht="16.5">
      <c r="A88" s="177" t="s">
        <v>698</v>
      </c>
      <c r="B88" s="662" t="s">
        <v>699</v>
      </c>
      <c r="C88" s="17" t="s">
        <v>214</v>
      </c>
      <c r="D88" s="666" t="str">
        <f>$E$1&amp;Projeto_e_Macro[[#This Row],[SEI]]</f>
        <v>202413898/2024</v>
      </c>
      <c r="E88">
        <f>IFERROR(INDEX(Atualizações!$Q$1:$Q$1265,MATCH(Projeto_e_Macro[[#This Row],[AUXILIAR 1]],Atualizações!$P$1:$P$1265,0)),"0")</f>
        <v>1</v>
      </c>
      <c r="F88" s="666" t="str">
        <f>$G$1&amp;Projeto_e_Macro[[#This Row],[SEI]]</f>
        <v>202513898/2024</v>
      </c>
      <c r="G88">
        <f>IFERROR(INDEX(Atualizações!$Q$1:$Q$1265,MATCH(Projeto_e_Macro[[#This Row],[Auxiliar 2]],Atualizações!$P$1:$P$1265,0)),"0")</f>
        <v>1</v>
      </c>
    </row>
    <row r="89" spans="1:7" ht="30">
      <c r="A89" s="149" t="s">
        <v>310</v>
      </c>
      <c r="B89" s="662" t="s">
        <v>311</v>
      </c>
      <c r="C89" s="112" t="s">
        <v>176</v>
      </c>
      <c r="D89" s="666" t="str">
        <f>$E$1&amp;Projeto_e_Macro[[#This Row],[SEI]]</f>
        <v>202402887/2024</v>
      </c>
      <c r="E89">
        <f>IFERROR(INDEX(Atualizações!$Q$1:$Q$1265,MATCH(Projeto_e_Macro[[#This Row],[AUXILIAR 1]],Atualizações!$P$1:$P$1265,0)),"0")</f>
        <v>1</v>
      </c>
      <c r="F89" s="666" t="str">
        <f>$G$1&amp;Projeto_e_Macro[[#This Row],[SEI]]</f>
        <v>202502887/2024</v>
      </c>
      <c r="G89">
        <f>IFERROR(INDEX(Atualizações!$Q$1:$Q$1265,MATCH(Projeto_e_Macro[[#This Row],[Auxiliar 2]],Atualizações!$P$1:$P$1265,0)),"0")</f>
        <v>1</v>
      </c>
    </row>
    <row r="90" spans="1:7" ht="30">
      <c r="A90" s="177" t="s">
        <v>690</v>
      </c>
      <c r="B90" s="313" t="str">
        <f>IFERROR(INDEX(Projetos!$B$3:$B$129,MATCH(Projeto_e_Macro[[#This Row],[SEI]],Projetos!$A$3:$A$129,0))," ")</f>
        <v>Painel “Justiça Criminal e Sistema Prisional”</v>
      </c>
      <c r="C90" s="17" t="s">
        <v>76</v>
      </c>
      <c r="D90" s="666" t="str">
        <f>$E$1&amp;Projeto_e_Macro[[#This Row],[SEI]]</f>
        <v>202412215/2023</v>
      </c>
      <c r="E90">
        <f>IFERROR(INDEX(Atualizações!$Q$1:$Q$1265,MATCH(Projeto_e_Macro[[#This Row],[AUXILIAR 1]],Atualizações!$P$1:$P$1265,0)),"0")</f>
        <v>1</v>
      </c>
      <c r="F90" s="666" t="str">
        <f>$G$1&amp;Projeto_e_Macro[[#This Row],[SEI]]</f>
        <v>202512215/2023</v>
      </c>
      <c r="G90">
        <f>IFERROR(INDEX(Atualizações!$Q$1:$Q$1265,MATCH(Projeto_e_Macro[[#This Row],[Auxiliar 2]],Atualizações!$P$1:$P$1265,0)),"0")</f>
        <v>1</v>
      </c>
    </row>
    <row r="91" spans="1:7" ht="30">
      <c r="A91" s="177" t="s">
        <v>690</v>
      </c>
      <c r="B91" s="313" t="str">
        <f>IFERROR(INDEX(Projetos!$B$3:$B$129,MATCH(Projeto_e_Macro[[#This Row],[SEI]],Projetos!$A$3:$A$129,0))," ")</f>
        <v>Painel “Justiça Criminal e Sistema Prisional”</v>
      </c>
      <c r="C91" s="107" t="s">
        <v>166</v>
      </c>
      <c r="D91" s="666" t="str">
        <f>$E$1&amp;Projeto_e_Macro[[#This Row],[SEI]]</f>
        <v>202412215/2023</v>
      </c>
      <c r="E91">
        <f>IFERROR(INDEX(Atualizações!$Q$1:$Q$1265,MATCH(Projeto_e_Macro[[#This Row],[AUXILIAR 1]],Atualizações!$P$1:$P$1265,0)),"0")</f>
        <v>1</v>
      </c>
      <c r="F91" s="666" t="str">
        <f>$G$1&amp;Projeto_e_Macro[[#This Row],[SEI]]</f>
        <v>202512215/2023</v>
      </c>
      <c r="G91">
        <f>IFERROR(INDEX(Atualizações!$Q$1:$Q$1265,MATCH(Projeto_e_Macro[[#This Row],[Auxiliar 2]],Atualizações!$P$1:$P$1265,0)),"0")</f>
        <v>1</v>
      </c>
    </row>
    <row r="92" spans="1:7" ht="15.75">
      <c r="A92" s="23" t="s">
        <v>458</v>
      </c>
      <c r="B92" s="313" t="str">
        <f>IFERROR(INDEX(Projetos!$B$3:$B$129,MATCH(Projeto_e_Macro[[#This Row],[SEI]],Projetos!$A$3:$A$129,0))," ")</f>
        <v>SNGB - Melhorias evolutivas</v>
      </c>
      <c r="C92" s="112" t="s">
        <v>176</v>
      </c>
      <c r="D92" s="666" t="str">
        <f>$E$1&amp;Projeto_e_Macro[[#This Row],[SEI]]</f>
        <v>202408370/2024</v>
      </c>
      <c r="E92">
        <f>IFERROR(INDEX(Atualizações!$Q$1:$Q$1265,MATCH(Projeto_e_Macro[[#This Row],[AUXILIAR 1]],Atualizações!$P$1:$P$1265,0)),"0")</f>
        <v>1</v>
      </c>
      <c r="F92" s="666" t="str">
        <f>$G$1&amp;Projeto_e_Macro[[#This Row],[SEI]]</f>
        <v>202508370/2024</v>
      </c>
      <c r="G92">
        <f>IFERROR(INDEX(Atualizações!$Q$1:$Q$1265,MATCH(Projeto_e_Macro[[#This Row],[Auxiliar 2]],Atualizações!$P$1:$P$1265,0)),"0")</f>
        <v>1</v>
      </c>
    </row>
    <row r="93" spans="1:7" ht="15.75">
      <c r="A93" s="23" t="s">
        <v>458</v>
      </c>
      <c r="B93" s="313" t="str">
        <f>IFERROR(INDEX(Projetos!$B$3:$B$129,MATCH(Projeto_e_Macro[[#This Row],[SEI]],Projetos!$A$3:$A$129,0))," ")</f>
        <v>SNGB - Melhorias evolutivas</v>
      </c>
      <c r="C93" s="112" t="s">
        <v>105</v>
      </c>
      <c r="D93" s="666" t="str">
        <f>$E$1&amp;Projeto_e_Macro[[#This Row],[SEI]]</f>
        <v>202408370/2024</v>
      </c>
      <c r="E93">
        <f>IFERROR(INDEX(Atualizações!$Q$1:$Q$1265,MATCH(Projeto_e_Macro[[#This Row],[AUXILIAR 1]],Atualizações!$P$1:$P$1265,0)),"0")</f>
        <v>1</v>
      </c>
      <c r="F93" s="666" t="str">
        <f>$G$1&amp;Projeto_e_Macro[[#This Row],[SEI]]</f>
        <v>202508370/2024</v>
      </c>
      <c r="G93">
        <f>IFERROR(INDEX(Atualizações!$Q$1:$Q$1265,MATCH(Projeto_e_Macro[[#This Row],[Auxiliar 2]],Atualizações!$P$1:$P$1265,0)),"0")</f>
        <v>1</v>
      </c>
    </row>
    <row r="94" spans="1:7" ht="31.5">
      <c r="A94" s="179" t="s">
        <v>83</v>
      </c>
      <c r="B94" s="313" t="str">
        <f>IFERROR(INDEX(Projetos!$B$3:$B$129,MATCH(Projeto_e_Macro[[#This Row],[SEI]],Projetos!$A$3:$A$129,0))," ")</f>
        <v>Painel do Programa Desjudicializa</v>
      </c>
      <c r="C94" s="112" t="s">
        <v>89</v>
      </c>
      <c r="D94" s="666" t="str">
        <f>$E$1&amp;Projeto_e_Macro[[#This Row],[SEI]]</f>
        <v>202400484/2024</v>
      </c>
      <c r="E94">
        <f>IFERROR(INDEX(Atualizações!$Q$1:$Q$1265,MATCH(Projeto_e_Macro[[#This Row],[AUXILIAR 1]],Atualizações!$P$1:$P$1265,0)),"0")</f>
        <v>1</v>
      </c>
      <c r="F94" s="666" t="str">
        <f>$G$1&amp;Projeto_e_Macro[[#This Row],[SEI]]</f>
        <v>202500484/2024</v>
      </c>
      <c r="G94">
        <f>IFERROR(INDEX(Atualizações!$Q$1:$Q$1265,MATCH(Projeto_e_Macro[[#This Row],[Auxiliar 2]],Atualizações!$P$1:$P$1265,0)),"0")</f>
        <v>1</v>
      </c>
    </row>
    <row r="95" spans="1:7" ht="15.75">
      <c r="A95" s="179" t="s">
        <v>83</v>
      </c>
      <c r="B95" s="313" t="str">
        <f>IFERROR(INDEX(Projetos!$B$3:$B$129,MATCH(Projeto_e_Macro[[#This Row],[SEI]],Projetos!$A$3:$A$129,0))," ")</f>
        <v>Painel do Programa Desjudicializa</v>
      </c>
      <c r="C95" s="112" t="s">
        <v>146</v>
      </c>
      <c r="D95" s="666" t="str">
        <f>$E$1&amp;Projeto_e_Macro[[#This Row],[SEI]]</f>
        <v>202400484/2024</v>
      </c>
      <c r="E95">
        <f>IFERROR(INDEX(Atualizações!$Q$1:$Q$1265,MATCH(Projeto_e_Macro[[#This Row],[AUXILIAR 1]],Atualizações!$P$1:$P$1265,0)),"0")</f>
        <v>1</v>
      </c>
      <c r="F95" s="666" t="str">
        <f>$G$1&amp;Projeto_e_Macro[[#This Row],[SEI]]</f>
        <v>202500484/2024</v>
      </c>
      <c r="G95">
        <f>IFERROR(INDEX(Atualizações!$Q$1:$Q$1265,MATCH(Projeto_e_Macro[[#This Row],[Auxiliar 2]],Atualizações!$P$1:$P$1265,0)),"0")</f>
        <v>1</v>
      </c>
    </row>
    <row r="96" spans="1:7" ht="16.5">
      <c r="A96" s="133" t="s">
        <v>523</v>
      </c>
      <c r="B96" s="313" t="str">
        <f>IFERROR(INDEX(Projetos!$B$3:$B$129,MATCH(Projeto_e_Macro[[#This Row],[SEI]],Projetos!$A$3:$A$129,0))," ")</f>
        <v>Portal Jus BR</v>
      </c>
      <c r="C96" s="3" t="s">
        <v>166</v>
      </c>
      <c r="D96" s="666" t="str">
        <f>$E$1&amp;Projeto_e_Macro[[#This Row],[SEI]]</f>
        <v>202409536/2024</v>
      </c>
      <c r="E96">
        <f>IFERROR(INDEX(Atualizações!$Q$1:$Q$1265,MATCH(Projeto_e_Macro[[#This Row],[AUXILIAR 1]],Atualizações!$P$1:$P$1265,0)),"0")</f>
        <v>1</v>
      </c>
      <c r="F96" s="666" t="str">
        <f>$G$1&amp;Projeto_e_Macro[[#This Row],[SEI]]</f>
        <v>202509536/2024</v>
      </c>
      <c r="G96">
        <f>IFERROR(INDEX(Atualizações!$Q$1:$Q$1265,MATCH(Projeto_e_Macro[[#This Row],[Auxiliar 2]],Atualizações!$P$1:$P$1265,0)),"0")</f>
        <v>1</v>
      </c>
    </row>
    <row r="97" spans="1:7" ht="16.5">
      <c r="A97" s="133" t="s">
        <v>523</v>
      </c>
      <c r="B97" s="313" t="str">
        <f>IFERROR(INDEX(Projetos!$B$3:$B$129,MATCH(Projeto_e_Macro[[#This Row],[SEI]],Projetos!$A$3:$A$129,0))," ")</f>
        <v>Portal Jus BR</v>
      </c>
      <c r="C97" s="3" t="s">
        <v>176</v>
      </c>
      <c r="D97" s="666" t="str">
        <f>$E$1&amp;Projeto_e_Macro[[#This Row],[SEI]]</f>
        <v>202409536/2024</v>
      </c>
      <c r="E97">
        <f>IFERROR(INDEX(Atualizações!$Q$1:$Q$1265,MATCH(Projeto_e_Macro[[#This Row],[AUXILIAR 1]],Atualizações!$P$1:$P$1265,0)),"0")</f>
        <v>1</v>
      </c>
      <c r="F97" s="666" t="str">
        <f>$G$1&amp;Projeto_e_Macro[[#This Row],[SEI]]</f>
        <v>202509536/2024</v>
      </c>
      <c r="G97">
        <f>IFERROR(INDEX(Atualizações!$Q$1:$Q$1265,MATCH(Projeto_e_Macro[[#This Row],[Auxiliar 2]],Atualizações!$P$1:$P$1265,0)),"0")</f>
        <v>1</v>
      </c>
    </row>
    <row r="98" spans="1:7" ht="15.75">
      <c r="A98" s="664" t="s">
        <v>638</v>
      </c>
      <c r="B98" s="313" t="str">
        <f>IFERROR(INDEX(Projetos!$B$3:$B$129,MATCH(Projeto_e_Macro[[#This Row],[SEI]],Projetos!$A$3:$A$129,0))," ")</f>
        <v>Sisperjud</v>
      </c>
      <c r="C98" s="112" t="s">
        <v>120</v>
      </c>
      <c r="D98" s="666" t="str">
        <f>$E$1&amp;Projeto_e_Macro[[#This Row],[SEI]]</f>
        <v>202411644/2022</v>
      </c>
      <c r="E98">
        <f>IFERROR(INDEX(Atualizações!$Q$1:$Q$1265,MATCH(Projeto_e_Macro[[#This Row],[AUXILIAR 1]],Atualizações!$P$1:$P$1265,0)),"0")</f>
        <v>1</v>
      </c>
      <c r="F98" s="666" t="str">
        <f>$G$1&amp;Projeto_e_Macro[[#This Row],[SEI]]</f>
        <v>202511644/2022</v>
      </c>
      <c r="G98">
        <f>IFERROR(INDEX(Atualizações!$Q$1:$Q$1265,MATCH(Projeto_e_Macro[[#This Row],[Auxiliar 2]],Atualizações!$P$1:$P$1265,0)),"0")</f>
        <v>1</v>
      </c>
    </row>
    <row r="99" spans="1:7" ht="15.75">
      <c r="A99" s="664" t="s">
        <v>638</v>
      </c>
      <c r="B99" s="313" t="str">
        <f>IFERROR(INDEX(Projetos!$B$3:$B$129,MATCH(Projeto_e_Macro[[#This Row],[SEI]],Projetos!$A$3:$A$129,0))," ")</f>
        <v>Sisperjud</v>
      </c>
      <c r="C99" s="112" t="s">
        <v>105</v>
      </c>
      <c r="D99" s="666" t="str">
        <f>$E$1&amp;Projeto_e_Macro[[#This Row],[SEI]]</f>
        <v>202411644/2022</v>
      </c>
      <c r="E99">
        <f>IFERROR(INDEX(Atualizações!$Q$1:$Q$1265,MATCH(Projeto_e_Macro[[#This Row],[AUXILIAR 1]],Atualizações!$P$1:$P$1265,0)),"0")</f>
        <v>1</v>
      </c>
      <c r="F99" s="666" t="str">
        <f>$G$1&amp;Projeto_e_Macro[[#This Row],[SEI]]</f>
        <v>202511644/2022</v>
      </c>
      <c r="G99">
        <f>IFERROR(INDEX(Atualizações!$Q$1:$Q$1265,MATCH(Projeto_e_Macro[[#This Row],[Auxiliar 2]],Atualizações!$P$1:$P$1265,0)),"0")</f>
        <v>1</v>
      </c>
    </row>
    <row r="100" spans="1:7" ht="16.5">
      <c r="A100" s="664" t="s">
        <v>638</v>
      </c>
      <c r="B100" s="313" t="str">
        <f>IFERROR(INDEX(Projetos!$B$3:$B$129,MATCH(Projeto_e_Macro[[#This Row],[SEI]],Projetos!$A$3:$A$129,0))," ")</f>
        <v>Sisperjud</v>
      </c>
      <c r="C100" s="3" t="s">
        <v>176</v>
      </c>
      <c r="D100" s="666" t="str">
        <f>$E$1&amp;Projeto_e_Macro[[#This Row],[SEI]]</f>
        <v>202411644/2022</v>
      </c>
      <c r="E100">
        <f>IFERROR(INDEX(Atualizações!$Q$1:$Q$1265,MATCH(Projeto_e_Macro[[#This Row],[AUXILIAR 1]],Atualizações!$P$1:$P$1265,0)),"0")</f>
        <v>1</v>
      </c>
      <c r="F100" s="666" t="str">
        <f>$G$1&amp;Projeto_e_Macro[[#This Row],[SEI]]</f>
        <v>202511644/2022</v>
      </c>
      <c r="G100">
        <f>IFERROR(INDEX(Atualizações!$Q$1:$Q$1265,MATCH(Projeto_e_Macro[[#This Row],[Auxiliar 2]],Atualizações!$P$1:$P$1265,0)),"0")</f>
        <v>1</v>
      </c>
    </row>
    <row r="101" spans="1:7" ht="15.75">
      <c r="A101" s="673" t="s">
        <v>247</v>
      </c>
      <c r="B101" s="313" t="str">
        <f>IFERROR(INDEX(Projetos!$B$3:$B$129,MATCH(Projeto_e_Macro[[#This Row],[SEI]],Projetos!$A$3:$A$129,0))," ")</f>
        <v>Portal de Serviços</v>
      </c>
      <c r="C101" s="112" t="s">
        <v>146</v>
      </c>
      <c r="D101" s="666" t="str">
        <f>$E$1&amp;Projeto_e_Macro[[#This Row],[SEI]]</f>
        <v>202402394/2024</v>
      </c>
      <c r="E101">
        <f>IFERROR(INDEX(Atualizações!$Q$1:$Q$1265,MATCH(Projeto_e_Macro[[#This Row],[AUXILIAR 1]],Atualizações!$P$1:$P$1265,0)),"0")</f>
        <v>1</v>
      </c>
      <c r="F101" s="666" t="str">
        <f>$G$1&amp;Projeto_e_Macro[[#This Row],[SEI]]</f>
        <v>202502394/2024</v>
      </c>
      <c r="G101">
        <f>IFERROR(INDEX(Atualizações!$Q$1:$Q$1265,MATCH(Projeto_e_Macro[[#This Row],[Auxiliar 2]],Atualizações!$P$1:$P$1265,0)),"0")</f>
        <v>1</v>
      </c>
    </row>
    <row r="102" spans="1:7" ht="15.75">
      <c r="A102" s="673" t="s">
        <v>247</v>
      </c>
      <c r="B102" s="313" t="str">
        <f>IFERROR(INDEX(Projetos!$B$3:$B$129,MATCH(Projeto_e_Macro[[#This Row],[SEI]],Projetos!$A$3:$A$129,0))," ")</f>
        <v>Portal de Serviços</v>
      </c>
      <c r="C102" s="112" t="s">
        <v>105</v>
      </c>
      <c r="D102" s="666" t="str">
        <f>$E$1&amp;Projeto_e_Macro[[#This Row],[SEI]]</f>
        <v>202402394/2024</v>
      </c>
      <c r="E102">
        <f>IFERROR(INDEX(Atualizações!$Q$1:$Q$1265,MATCH(Projeto_e_Macro[[#This Row],[AUXILIAR 1]],Atualizações!$P$1:$P$1265,0)),"0")</f>
        <v>1</v>
      </c>
      <c r="F102" s="666" t="str">
        <f>$G$1&amp;Projeto_e_Macro[[#This Row],[SEI]]</f>
        <v>202502394/2024</v>
      </c>
      <c r="G102">
        <f>IFERROR(INDEX(Atualizações!$Q$1:$Q$1265,MATCH(Projeto_e_Macro[[#This Row],[Auxiliar 2]],Atualizações!$P$1:$P$1265,0)),"0")</f>
        <v>1</v>
      </c>
    </row>
    <row r="103" spans="1:7" ht="30">
      <c r="A103" s="664" t="s">
        <v>539</v>
      </c>
      <c r="B103" s="313" t="str">
        <f>IFERROR(INDEX(Projetos!$B$3:$B$129,MATCH(Projeto_e_Macro[[#This Row],[SEI]],Projetos!$A$3:$A$129,0))," ")</f>
        <v>Desenvolvimento do módulo de Sessão de Julgamento (PDPJ-Br)</v>
      </c>
      <c r="C103" s="112" t="s">
        <v>146</v>
      </c>
      <c r="D103" s="666" t="str">
        <f>$E$1&amp;Projeto_e_Macro[[#This Row],[SEI]]</f>
        <v>202409630/2024</v>
      </c>
      <c r="E103">
        <f>IFERROR(INDEX(Atualizações!$Q$1:$Q$1265,MATCH(Projeto_e_Macro[[#This Row],[AUXILIAR 1]],Atualizações!$P$1:$P$1265,0)),"0")</f>
        <v>1</v>
      </c>
      <c r="F103" s="666" t="str">
        <f>$G$1&amp;Projeto_e_Macro[[#This Row],[SEI]]</f>
        <v>202509630/2024</v>
      </c>
      <c r="G103">
        <f>IFERROR(INDEX(Atualizações!$Q$1:$Q$1265,MATCH(Projeto_e_Macro[[#This Row],[Auxiliar 2]],Atualizações!$P$1:$P$1265,0)),"0")</f>
        <v>1</v>
      </c>
    </row>
    <row r="104" spans="1:7" ht="30">
      <c r="A104" s="664" t="s">
        <v>539</v>
      </c>
      <c r="B104" s="313" t="str">
        <f>IFERROR(INDEX(Projetos!$B$3:$B$129,MATCH(Projeto_e_Macro[[#This Row],[SEI]],Projetos!$A$3:$A$129,0))," ")</f>
        <v>Desenvolvimento do módulo de Sessão de Julgamento (PDPJ-Br)</v>
      </c>
      <c r="C104" s="3" t="s">
        <v>176</v>
      </c>
      <c r="D104" s="666" t="str">
        <f>$E$1&amp;Projeto_e_Macro[[#This Row],[SEI]]</f>
        <v>202409630/2024</v>
      </c>
      <c r="E104">
        <f>IFERROR(INDEX(Atualizações!$Q$1:$Q$1265,MATCH(Projeto_e_Macro[[#This Row],[AUXILIAR 1]],Atualizações!$P$1:$P$1265,0)),"0")</f>
        <v>1</v>
      </c>
      <c r="F104" s="666" t="str">
        <f>$G$1&amp;Projeto_e_Macro[[#This Row],[SEI]]</f>
        <v>202509630/2024</v>
      </c>
      <c r="G104">
        <f>IFERROR(INDEX(Atualizações!$Q$1:$Q$1265,MATCH(Projeto_e_Macro[[#This Row],[Auxiliar 2]],Atualizações!$P$1:$P$1265,0)),"0")</f>
        <v>1</v>
      </c>
    </row>
    <row r="105" spans="1:7" ht="30">
      <c r="A105" s="664" t="s">
        <v>599</v>
      </c>
      <c r="B105" s="313" t="str">
        <f>IFERROR(INDEX(Projetos!$B$3:$B$129,MATCH(Projeto_e_Macro[[#This Row],[SEI]],Projetos!$A$3:$A$129,0))," ")</f>
        <v>BNMP 3.0 – Banco Nacional de Medidas Penais e Prisões – Fase 2</v>
      </c>
      <c r="C105" s="17" t="s">
        <v>76</v>
      </c>
      <c r="D105" s="666" t="str">
        <f>$E$1&amp;Projeto_e_Macro[[#This Row],[SEI]]</f>
        <v>202410965/2023</v>
      </c>
      <c r="E105">
        <f>IFERROR(INDEX(Atualizações!$Q$1:$Q$1265,MATCH(Projeto_e_Macro[[#This Row],[AUXILIAR 1]],Atualizações!$P$1:$P$1265,0)),"0")</f>
        <v>1</v>
      </c>
      <c r="F105" s="666" t="str">
        <f>$G$1&amp;Projeto_e_Macro[[#This Row],[SEI]]</f>
        <v>202510965/2023</v>
      </c>
      <c r="G105" t="str">
        <f>IFERROR(INDEX(Atualizações!$Q$1:$Q$1265,MATCH(Projeto_e_Macro[[#This Row],[Auxiliar 2]],Atualizações!$P$1:$P$1265,0)),"0")</f>
        <v>0</v>
      </c>
    </row>
    <row r="106" spans="1:7" ht="16.5">
      <c r="A106" s="664" t="s">
        <v>781</v>
      </c>
      <c r="B106" s="313" t="str">
        <f>IFERROR(INDEX(Projetos!$B$3:$B$129,MATCH(Projeto_e_Macro[[#This Row],[SEI]],Projetos!$A$3:$A$129,0))," ")</f>
        <v>Audiência de Custódia (sistema penal)</v>
      </c>
      <c r="C106" s="17" t="s">
        <v>76</v>
      </c>
      <c r="D106" s="666" t="str">
        <f>$E$1&amp;Projeto_e_Macro[[#This Row],[SEI]]</f>
        <v>202417466/2024</v>
      </c>
      <c r="E106">
        <f>IFERROR(INDEX(Atualizações!$Q$1:$Q$1265,MATCH(Projeto_e_Macro[[#This Row],[AUXILIAR 1]],Atualizações!$P$1:$P$1265,0)),"0")</f>
        <v>1</v>
      </c>
      <c r="F106" s="666" t="str">
        <f>$G$1&amp;Projeto_e_Macro[[#This Row],[SEI]]</f>
        <v>202517466/2024</v>
      </c>
      <c r="G106" t="str">
        <f>IFERROR(INDEX(Atualizações!$Q$1:$Q$1265,MATCH(Projeto_e_Macro[[#This Row],[Auxiliar 2]],Atualizações!$P$1:$P$1265,0)),"0")</f>
        <v>0</v>
      </c>
    </row>
    <row r="107" spans="1:7" ht="15.75">
      <c r="A107" s="664" t="s">
        <v>781</v>
      </c>
      <c r="B107" s="313" t="str">
        <f>IFERROR(INDEX(Projetos!$B$3:$B$129,MATCH(Projeto_e_Macro[[#This Row],[SEI]],Projetos!$A$3:$A$129,0))," ")</f>
        <v>Audiência de Custódia (sistema penal)</v>
      </c>
      <c r="C107" s="112" t="s">
        <v>120</v>
      </c>
      <c r="D107" s="666" t="str">
        <f>$E$1&amp;Projeto_e_Macro[[#This Row],[SEI]]</f>
        <v>202417466/2024</v>
      </c>
      <c r="E107">
        <f>IFERROR(INDEX(Atualizações!$Q$1:$Q$1265,MATCH(Projeto_e_Macro[[#This Row],[AUXILIAR 1]],Atualizações!$P$1:$P$1265,0)),"0")</f>
        <v>1</v>
      </c>
      <c r="F107" s="666" t="str">
        <f>$G$1&amp;Projeto_e_Macro[[#This Row],[SEI]]</f>
        <v>202517466/2024</v>
      </c>
      <c r="G107" t="str">
        <f>IFERROR(INDEX(Atualizações!$Q$1:$Q$1265,MATCH(Projeto_e_Macro[[#This Row],[Auxiliar 2]],Atualizações!$P$1:$P$1265,0)),"0")</f>
        <v>0</v>
      </c>
    </row>
    <row r="108" spans="1:7" ht="16.5">
      <c r="A108" s="664" t="s">
        <v>792</v>
      </c>
      <c r="B108" s="313" t="str">
        <f>IFERROR(INDEX(Projetos!$B$3:$B$129,MATCH(Projeto_e_Macro[[#This Row],[SEI]],Projetos!$A$3:$A$129,0))," ")</f>
        <v>Alternativas Penais (sistema penal)</v>
      </c>
      <c r="C108" s="17" t="s">
        <v>76</v>
      </c>
      <c r="D108" s="666" t="str">
        <f>$E$1&amp;Projeto_e_Macro[[#This Row],[SEI]]</f>
        <v>2024174661/2024</v>
      </c>
      <c r="E108">
        <f>IFERROR(INDEX(Atualizações!$Q$1:$Q$1265,MATCH(Projeto_e_Macro[[#This Row],[AUXILIAR 1]],Atualizações!$P$1:$P$1265,0)),"0")</f>
        <v>1</v>
      </c>
      <c r="F108" s="666" t="str">
        <f>$G$1&amp;Projeto_e_Macro[[#This Row],[SEI]]</f>
        <v>2025174661/2024</v>
      </c>
      <c r="G108" t="str">
        <f>IFERROR(INDEX(Atualizações!$Q$1:$Q$1265,MATCH(Projeto_e_Macro[[#This Row],[Auxiliar 2]],Atualizações!$P$1:$P$1265,0)),"0")</f>
        <v>0</v>
      </c>
    </row>
    <row r="109" spans="1:7" ht="15.75">
      <c r="A109" s="664" t="s">
        <v>792</v>
      </c>
      <c r="B109" s="313" t="str">
        <f>IFERROR(INDEX(Projetos!$B$3:$B$129,MATCH(Projeto_e_Macro[[#This Row],[SEI]],Projetos!$A$3:$A$129,0))," ")</f>
        <v>Alternativas Penais (sistema penal)</v>
      </c>
      <c r="C109" s="112" t="s">
        <v>120</v>
      </c>
      <c r="D109" s="666" t="str">
        <f>$E$1&amp;Projeto_e_Macro[[#This Row],[SEI]]</f>
        <v>2024174661/2024</v>
      </c>
      <c r="E109">
        <f>IFERROR(INDEX(Atualizações!$Q$1:$Q$1265,MATCH(Projeto_e_Macro[[#This Row],[AUXILIAR 1]],Atualizações!$P$1:$P$1265,0)),"0")</f>
        <v>1</v>
      </c>
      <c r="F109" s="666" t="str">
        <f>$G$1&amp;Projeto_e_Macro[[#This Row],[SEI]]</f>
        <v>2025174661/2024</v>
      </c>
      <c r="G109" t="str">
        <f>IFERROR(INDEX(Atualizações!$Q$1:$Q$1265,MATCH(Projeto_e_Macro[[#This Row],[Auxiliar 2]],Atualizações!$P$1:$P$1265,0)),"0")</f>
        <v>0</v>
      </c>
    </row>
    <row r="110" spans="1:7" ht="16.5">
      <c r="A110" s="664" t="s">
        <v>839</v>
      </c>
      <c r="B110" s="313" t="str">
        <f>IFERROR(INDEX(Projetos!$B$3:$B$129,MATCH(Projeto_e_Macro[[#This Row],[SEI]],Projetos!$A$3:$A$129,0))," ")</f>
        <v>Monitoração Eletrônica (sistema penal)</v>
      </c>
      <c r="C110" s="17" t="s">
        <v>76</v>
      </c>
      <c r="D110" s="666" t="str">
        <f>$E$1&amp;Projeto_e_Macro[[#This Row],[SEI]]</f>
        <v>2024174662/2024</v>
      </c>
      <c r="E110">
        <f>IFERROR(INDEX(Atualizações!$Q$1:$Q$1265,MATCH(Projeto_e_Macro[[#This Row],[AUXILIAR 1]],Atualizações!$P$1:$P$1265,0)),"0")</f>
        <v>1</v>
      </c>
      <c r="F110" s="666" t="str">
        <f>$G$1&amp;Projeto_e_Macro[[#This Row],[SEI]]</f>
        <v>2025174662/2024</v>
      </c>
      <c r="G110" t="str">
        <f>IFERROR(INDEX(Atualizações!$Q$1:$Q$1265,MATCH(Projeto_e_Macro[[#This Row],[Auxiliar 2]],Atualizações!$P$1:$P$1265,0)),"0")</f>
        <v>0</v>
      </c>
    </row>
    <row r="111" spans="1:7" ht="15.75">
      <c r="A111" s="664" t="s">
        <v>839</v>
      </c>
      <c r="B111" s="313" t="str">
        <f>IFERROR(INDEX(Projetos!$B$3:$B$129,MATCH(Projeto_e_Macro[[#This Row],[SEI]],Projetos!$A$3:$A$129,0))," ")</f>
        <v>Monitoração Eletrônica (sistema penal)</v>
      </c>
      <c r="C111" s="112" t="s">
        <v>120</v>
      </c>
      <c r="D111" s="666" t="str">
        <f>$E$1&amp;Projeto_e_Macro[[#This Row],[SEI]]</f>
        <v>2024174662/2024</v>
      </c>
      <c r="E111">
        <f>IFERROR(INDEX(Atualizações!$Q$1:$Q$1265,MATCH(Projeto_e_Macro[[#This Row],[AUXILIAR 1]],Atualizações!$P$1:$P$1265,0)),"0")</f>
        <v>1</v>
      </c>
      <c r="F111" s="666" t="str">
        <f>$G$1&amp;Projeto_e_Macro[[#This Row],[SEI]]</f>
        <v>2025174662/2024</v>
      </c>
      <c r="G111" t="str">
        <f>IFERROR(INDEX(Atualizações!$Q$1:$Q$1265,MATCH(Projeto_e_Macro[[#This Row],[Auxiliar 2]],Atualizações!$P$1:$P$1265,0)),"0")</f>
        <v>0</v>
      </c>
    </row>
    <row r="112" spans="1:7" ht="30">
      <c r="A112" s="664" t="s">
        <v>888</v>
      </c>
      <c r="B112" s="313" t="str">
        <f>IFERROR(INDEX(Projetos!$B$3:$B$129,MATCH(Projeto_e_Macro[[#This Row],[SEI]],Projetos!$A$3:$A$129,0))," ")</f>
        <v>Central de Regulação de Vagas (sistema penal)</v>
      </c>
      <c r="C112" s="17" t="s">
        <v>76</v>
      </c>
      <c r="D112" s="666" t="str">
        <f>$E$1&amp;Projeto_e_Macro[[#This Row],[SEI]]</f>
        <v>2024174663/2024</v>
      </c>
      <c r="E112">
        <f>IFERROR(INDEX(Atualizações!$Q$1:$Q$1265,MATCH(Projeto_e_Macro[[#This Row],[AUXILIAR 1]],Atualizações!$P$1:$P$1265,0)),"0")</f>
        <v>1</v>
      </c>
      <c r="F112" s="666" t="str">
        <f>$G$1&amp;Projeto_e_Macro[[#This Row],[SEI]]</f>
        <v>2025174663/2024</v>
      </c>
      <c r="G112">
        <f>IFERROR(INDEX(Atualizações!$Q$1:$Q$1265,MATCH(Projeto_e_Macro[[#This Row],[Auxiliar 2]],Atualizações!$P$1:$P$1265,0)),"0")</f>
        <v>1</v>
      </c>
    </row>
    <row r="113" spans="1:7" ht="30">
      <c r="A113" s="664" t="s">
        <v>888</v>
      </c>
      <c r="B113" s="313" t="str">
        <f>IFERROR(INDEX(Projetos!$B$3:$B$129,MATCH(Projeto_e_Macro[[#This Row],[SEI]],Projetos!$A$3:$A$129,0))," ")</f>
        <v>Central de Regulação de Vagas (sistema penal)</v>
      </c>
      <c r="C113" s="112" t="s">
        <v>120</v>
      </c>
      <c r="D113" s="666" t="str">
        <f>$E$1&amp;Projeto_e_Macro[[#This Row],[SEI]]</f>
        <v>2024174663/2024</v>
      </c>
      <c r="E113">
        <f>IFERROR(INDEX(Atualizações!$Q$1:$Q$1265,MATCH(Projeto_e_Macro[[#This Row],[AUXILIAR 1]],Atualizações!$P$1:$P$1265,0)),"0")</f>
        <v>1</v>
      </c>
      <c r="F113" s="666" t="str">
        <f>$G$1&amp;Projeto_e_Macro[[#This Row],[SEI]]</f>
        <v>2025174663/2024</v>
      </c>
      <c r="G113">
        <f>IFERROR(INDEX(Atualizações!$Q$1:$Q$1265,MATCH(Projeto_e_Macro[[#This Row],[Auxiliar 2]],Atualizações!$P$1:$P$1265,0)),"0")</f>
        <v>1</v>
      </c>
    </row>
    <row r="114" spans="1:7" ht="30">
      <c r="A114" s="664" t="s">
        <v>893</v>
      </c>
      <c r="B114" s="313" t="str">
        <f>IFERROR(INDEX(Projetos!$B$3:$B$129,MATCH(Projeto_e_Macro[[#This Row],[SEI]],Projetos!$A$3:$A$129,0))," ")</f>
        <v>Ação Nacional de Trabalho e Renda (sistema penal)</v>
      </c>
      <c r="C114" s="17" t="s">
        <v>76</v>
      </c>
      <c r="D114" s="666" t="str">
        <f>$E$1&amp;Projeto_e_Macro[[#This Row],[SEI]]</f>
        <v>2024174664/2024</v>
      </c>
      <c r="E114">
        <f>IFERROR(INDEX(Atualizações!$Q$1:$Q$1265,MATCH(Projeto_e_Macro[[#This Row],[AUXILIAR 1]],Atualizações!$P$1:$P$1265,0)),"0")</f>
        <v>1</v>
      </c>
      <c r="F114" s="666" t="str">
        <f>$G$1&amp;Projeto_e_Macro[[#This Row],[SEI]]</f>
        <v>2025174664/2024</v>
      </c>
      <c r="G114">
        <f>IFERROR(INDEX(Atualizações!$Q$1:$Q$1265,MATCH(Projeto_e_Macro[[#This Row],[Auxiliar 2]],Atualizações!$P$1:$P$1265,0)),"0")</f>
        <v>1</v>
      </c>
    </row>
    <row r="115" spans="1:7" ht="30">
      <c r="A115" s="664" t="s">
        <v>893</v>
      </c>
      <c r="B115" s="313" t="str">
        <f>IFERROR(INDEX(Projetos!$B$3:$B$129,MATCH(Projeto_e_Macro[[#This Row],[SEI]],Projetos!$A$3:$A$129,0))," ")</f>
        <v>Ação Nacional de Trabalho e Renda (sistema penal)</v>
      </c>
      <c r="C115" s="112" t="s">
        <v>120</v>
      </c>
      <c r="D115" s="666" t="str">
        <f>$E$1&amp;Projeto_e_Macro[[#This Row],[SEI]]</f>
        <v>2024174664/2024</v>
      </c>
      <c r="E115">
        <f>IFERROR(INDEX(Atualizações!$Q$1:$Q$1265,MATCH(Projeto_e_Macro[[#This Row],[AUXILIAR 1]],Atualizações!$P$1:$P$1265,0)),"0")</f>
        <v>1</v>
      </c>
      <c r="F115" s="666" t="str">
        <f>$G$1&amp;Projeto_e_Macro[[#This Row],[SEI]]</f>
        <v>2025174664/2024</v>
      </c>
      <c r="G115">
        <f>IFERROR(INDEX(Atualizações!$Q$1:$Q$1265,MATCH(Projeto_e_Macro[[#This Row],[Auxiliar 2]],Atualizações!$P$1:$P$1265,0)),"0")</f>
        <v>1</v>
      </c>
    </row>
    <row r="116" spans="1:7" ht="30">
      <c r="A116" s="664" t="s">
        <v>897</v>
      </c>
      <c r="B116" s="313" t="str">
        <f>IFERROR(INDEX(Projetos!$B$3:$B$129,MATCH(Projeto_e_Macro[[#This Row],[SEI]],Projetos!$A$3:$A$129,0))," ")</f>
        <v>Plano Nacional de Fomento à Leitura (sistema penal)</v>
      </c>
      <c r="C116" s="17" t="s">
        <v>76</v>
      </c>
      <c r="D116" s="666" t="str">
        <f>$E$1&amp;Projeto_e_Macro[[#This Row],[SEI]]</f>
        <v>2024174665/2024</v>
      </c>
      <c r="E116">
        <f>IFERROR(INDEX(Atualizações!$Q$1:$Q$1265,MATCH(Projeto_e_Macro[[#This Row],[AUXILIAR 1]],Atualizações!$P$1:$P$1265,0)),"0")</f>
        <v>1</v>
      </c>
      <c r="F116" s="666" t="str">
        <f>$G$1&amp;Projeto_e_Macro[[#This Row],[SEI]]</f>
        <v>2025174665/2024</v>
      </c>
      <c r="G116" t="str">
        <f>IFERROR(INDEX(Atualizações!$Q$1:$Q$1265,MATCH(Projeto_e_Macro[[#This Row],[Auxiliar 2]],Atualizações!$P$1:$P$1265,0)),"0")</f>
        <v>0</v>
      </c>
    </row>
    <row r="117" spans="1:7" ht="30">
      <c r="A117" s="664" t="s">
        <v>897</v>
      </c>
      <c r="B117" s="313" t="str">
        <f>IFERROR(INDEX(Projetos!$B$3:$B$129,MATCH(Projeto_e_Macro[[#This Row],[SEI]],Projetos!$A$3:$A$129,0))," ")</f>
        <v>Plano Nacional de Fomento à Leitura (sistema penal)</v>
      </c>
      <c r="C117" s="112" t="s">
        <v>120</v>
      </c>
      <c r="D117" s="666" t="str">
        <f>$E$1&amp;Projeto_e_Macro[[#This Row],[SEI]]</f>
        <v>2024174665/2024</v>
      </c>
      <c r="E117">
        <f>IFERROR(INDEX(Atualizações!$Q$1:$Q$1265,MATCH(Projeto_e_Macro[[#This Row],[AUXILIAR 1]],Atualizações!$P$1:$P$1265,0)),"0")</f>
        <v>1</v>
      </c>
      <c r="F117" s="666" t="str">
        <f>$G$1&amp;Projeto_e_Macro[[#This Row],[SEI]]</f>
        <v>2025174665/2024</v>
      </c>
      <c r="G117" t="str">
        <f>IFERROR(INDEX(Atualizações!$Q$1:$Q$1265,MATCH(Projeto_e_Macro[[#This Row],[Auxiliar 2]],Atualizações!$P$1:$P$1265,0)),"0")</f>
        <v>0</v>
      </c>
    </row>
    <row r="118" spans="1:7" ht="30">
      <c r="A118" s="664" t="s">
        <v>901</v>
      </c>
      <c r="B118" s="313" t="str">
        <f>IFERROR(INDEX(Projetos!$B$3:$B$129,MATCH(Projeto_e_Macro[[#This Row],[SEI]],Projetos!$A$3:$A$129,0))," ")</f>
        <v>Plano Nacional de Fomento ao Esporte e Lazer (sistema penal)</v>
      </c>
      <c r="C118" s="17" t="s">
        <v>76</v>
      </c>
      <c r="D118" s="666" t="str">
        <f>$E$1&amp;Projeto_e_Macro[[#This Row],[SEI]]</f>
        <v>2024174666/2024</v>
      </c>
      <c r="E118">
        <f>IFERROR(INDEX(Atualizações!$Q$1:$Q$1265,MATCH(Projeto_e_Macro[[#This Row],[AUXILIAR 1]],Atualizações!$P$1:$P$1265,0)),"0")</f>
        <v>1</v>
      </c>
      <c r="F118" s="666" t="str">
        <f>$G$1&amp;Projeto_e_Macro[[#This Row],[SEI]]</f>
        <v>2025174666/2024</v>
      </c>
      <c r="G118">
        <f>IFERROR(INDEX(Atualizações!$Q$1:$Q$1265,MATCH(Projeto_e_Macro[[#This Row],[Auxiliar 2]],Atualizações!$P$1:$P$1265,0)),"0")</f>
        <v>1</v>
      </c>
    </row>
    <row r="119" spans="1:7" ht="30">
      <c r="A119" s="664" t="s">
        <v>901</v>
      </c>
      <c r="B119" s="313" t="str">
        <f>IFERROR(INDEX(Projetos!$B$3:$B$129,MATCH(Projeto_e_Macro[[#This Row],[SEI]],Projetos!$A$3:$A$129,0))," ")</f>
        <v>Plano Nacional de Fomento ao Esporte e Lazer (sistema penal)</v>
      </c>
      <c r="C119" s="112" t="s">
        <v>120</v>
      </c>
      <c r="D119" s="666" t="str">
        <f>$E$1&amp;Projeto_e_Macro[[#This Row],[SEI]]</f>
        <v>2024174666/2024</v>
      </c>
      <c r="E119">
        <f>IFERROR(INDEX(Atualizações!$Q$1:$Q$1265,MATCH(Projeto_e_Macro[[#This Row],[AUXILIAR 1]],Atualizações!$P$1:$P$1265,0)),"0")</f>
        <v>1</v>
      </c>
      <c r="F119" s="666" t="str">
        <f>$G$1&amp;Projeto_e_Macro[[#This Row],[SEI]]</f>
        <v>2025174666/2024</v>
      </c>
      <c r="G119">
        <f>IFERROR(INDEX(Atualizações!$Q$1:$Q$1265,MATCH(Projeto_e_Macro[[#This Row],[Auxiliar 2]],Atualizações!$P$1:$P$1265,0)),"0")</f>
        <v>1</v>
      </c>
    </row>
    <row r="120" spans="1:7" ht="30">
      <c r="A120" s="664" t="s">
        <v>905</v>
      </c>
      <c r="B120" s="313" t="str">
        <f>IFERROR(INDEX(Projetos!$B$3:$B$129,MATCH(Projeto_e_Macro[[#This Row],[SEI]],Projetos!$A$3:$A$129,0))," ")</f>
        <v>Atenção às Pessoas Egressas e Escritório Social (sistema penal)</v>
      </c>
      <c r="C120" s="17" t="s">
        <v>76</v>
      </c>
      <c r="D120" s="666" t="str">
        <f>$E$1&amp;Projeto_e_Macro[[#This Row],[SEI]]</f>
        <v>2024174667/2024</v>
      </c>
      <c r="E120">
        <f>IFERROR(INDEX(Atualizações!$Q$1:$Q$1265,MATCH(Projeto_e_Macro[[#This Row],[AUXILIAR 1]],Atualizações!$P$1:$P$1265,0)),"0")</f>
        <v>1</v>
      </c>
      <c r="F120" s="666" t="str">
        <f>$G$1&amp;Projeto_e_Macro[[#This Row],[SEI]]</f>
        <v>2025174667/2024</v>
      </c>
      <c r="G120" t="str">
        <f>IFERROR(INDEX(Atualizações!$Q$1:$Q$1265,MATCH(Projeto_e_Macro[[#This Row],[Auxiliar 2]],Atualizações!$P$1:$P$1265,0)),"0")</f>
        <v>0</v>
      </c>
    </row>
    <row r="121" spans="1:7" ht="30">
      <c r="A121" s="664" t="s">
        <v>905</v>
      </c>
      <c r="B121" s="313" t="str">
        <f>IFERROR(INDEX(Projetos!$B$3:$B$129,MATCH(Projeto_e_Macro[[#This Row],[SEI]],Projetos!$A$3:$A$129,0))," ")</f>
        <v>Atenção às Pessoas Egressas e Escritório Social (sistema penal)</v>
      </c>
      <c r="C121" s="112" t="s">
        <v>120</v>
      </c>
      <c r="D121" s="666" t="str">
        <f>$E$1&amp;Projeto_e_Macro[[#This Row],[SEI]]</f>
        <v>2024174667/2024</v>
      </c>
      <c r="E121">
        <f>IFERROR(INDEX(Atualizações!$Q$1:$Q$1265,MATCH(Projeto_e_Macro[[#This Row],[AUXILIAR 1]],Atualizações!$P$1:$P$1265,0)),"0")</f>
        <v>1</v>
      </c>
      <c r="F121" s="666" t="str">
        <f>$G$1&amp;Projeto_e_Macro[[#This Row],[SEI]]</f>
        <v>2025174667/2024</v>
      </c>
      <c r="G121" t="str">
        <f>IFERROR(INDEX(Atualizações!$Q$1:$Q$1265,MATCH(Projeto_e_Macro[[#This Row],[Auxiliar 2]],Atualizações!$P$1:$P$1265,0)),"0")</f>
        <v>0</v>
      </c>
    </row>
    <row r="122" spans="1:7" ht="30">
      <c r="A122" s="664" t="s">
        <v>909</v>
      </c>
      <c r="B122" s="313" t="str">
        <f>IFERROR(INDEX(Projetos!$B$3:$B$129,MATCH(Projeto_e_Macro[[#This Row],[SEI]],Projetos!$A$3:$A$129,0))," ")</f>
        <v>Fortalecimento da Participação Social (sistema penal)</v>
      </c>
      <c r="C122" s="17" t="s">
        <v>76</v>
      </c>
      <c r="D122" s="666" t="str">
        <f>$E$1&amp;Projeto_e_Macro[[#This Row],[SEI]]</f>
        <v>2024174668/2024</v>
      </c>
      <c r="E122">
        <f>IFERROR(INDEX(Atualizações!$Q$1:$Q$1265,MATCH(Projeto_e_Macro[[#This Row],[AUXILIAR 1]],Atualizações!$P$1:$P$1265,0)),"0")</f>
        <v>1</v>
      </c>
      <c r="F122" s="666" t="str">
        <f>$G$1&amp;Projeto_e_Macro[[#This Row],[SEI]]</f>
        <v>2025174668/2024</v>
      </c>
      <c r="G122" t="str">
        <f>IFERROR(INDEX(Atualizações!$Q$1:$Q$1265,MATCH(Projeto_e_Macro[[#This Row],[Auxiliar 2]],Atualizações!$P$1:$P$1265,0)),"0")</f>
        <v>0</v>
      </c>
    </row>
    <row r="123" spans="1:7" ht="30">
      <c r="A123" s="664" t="s">
        <v>909</v>
      </c>
      <c r="B123" s="313" t="str">
        <f>IFERROR(INDEX(Projetos!$B$3:$B$129,MATCH(Projeto_e_Macro[[#This Row],[SEI]],Projetos!$A$3:$A$129,0))," ")</f>
        <v>Fortalecimento da Participação Social (sistema penal)</v>
      </c>
      <c r="C123" s="112" t="s">
        <v>120</v>
      </c>
      <c r="D123" s="666" t="str">
        <f>$E$1&amp;Projeto_e_Macro[[#This Row],[SEI]]</f>
        <v>2024174668/2024</v>
      </c>
      <c r="E123">
        <f>IFERROR(INDEX(Atualizações!$Q$1:$Q$1265,MATCH(Projeto_e_Macro[[#This Row],[AUXILIAR 1]],Atualizações!$P$1:$P$1265,0)),"0")</f>
        <v>1</v>
      </c>
      <c r="F123" s="666" t="str">
        <f>$G$1&amp;Projeto_e_Macro[[#This Row],[SEI]]</f>
        <v>2025174668/2024</v>
      </c>
      <c r="G123" t="str">
        <f>IFERROR(INDEX(Atualizações!$Q$1:$Q$1265,MATCH(Projeto_e_Macro[[#This Row],[Auxiliar 2]],Atualizações!$P$1:$P$1265,0)),"0")</f>
        <v>0</v>
      </c>
    </row>
    <row r="124" spans="1:7" ht="16.5">
      <c r="A124" s="664" t="s">
        <v>913</v>
      </c>
      <c r="B124" s="313" t="str">
        <f>IFERROR(INDEX(Projetos!$B$3:$B$129,MATCH(Projeto_e_Macro[[#This Row],[SEI]],Projetos!$A$3:$A$129,0))," ")</f>
        <v>Comitê de Políticas Penais (sistema penal)</v>
      </c>
      <c r="C124" s="17" t="s">
        <v>76</v>
      </c>
      <c r="D124" s="666" t="str">
        <f>$E$1&amp;Projeto_e_Macro[[#This Row],[SEI]]</f>
        <v>2024174669/2024</v>
      </c>
      <c r="E124">
        <f>IFERROR(INDEX(Atualizações!$Q$1:$Q$1265,MATCH(Projeto_e_Macro[[#This Row],[AUXILIAR 1]],Atualizações!$P$1:$P$1265,0)),"0")</f>
        <v>1</v>
      </c>
      <c r="F124" s="666" t="str">
        <f>$G$1&amp;Projeto_e_Macro[[#This Row],[SEI]]</f>
        <v>2025174669/2024</v>
      </c>
      <c r="G124" t="str">
        <f>IFERROR(INDEX(Atualizações!$Q$1:$Q$1265,MATCH(Projeto_e_Macro[[#This Row],[Auxiliar 2]],Atualizações!$P$1:$P$1265,0)),"0")</f>
        <v>0</v>
      </c>
    </row>
    <row r="125" spans="1:7" ht="15.75">
      <c r="A125" s="664" t="s">
        <v>913</v>
      </c>
      <c r="B125" s="313" t="str">
        <f>IFERROR(INDEX(Projetos!$B$3:$B$129,MATCH(Projeto_e_Macro[[#This Row],[SEI]],Projetos!$A$3:$A$129,0))," ")</f>
        <v>Comitê de Políticas Penais (sistema penal)</v>
      </c>
      <c r="C125" s="112" t="s">
        <v>120</v>
      </c>
      <c r="D125" s="666" t="str">
        <f>$E$1&amp;Projeto_e_Macro[[#This Row],[SEI]]</f>
        <v>2024174669/2024</v>
      </c>
      <c r="E125">
        <f>IFERROR(INDEX(Atualizações!$Q$1:$Q$1265,MATCH(Projeto_e_Macro[[#This Row],[AUXILIAR 1]],Atualizações!$P$1:$P$1265,0)),"0")</f>
        <v>1</v>
      </c>
      <c r="F125" s="666" t="str">
        <f>$G$1&amp;Projeto_e_Macro[[#This Row],[SEI]]</f>
        <v>2025174669/2024</v>
      </c>
      <c r="G125" t="str">
        <f>IFERROR(INDEX(Atualizações!$Q$1:$Q$1265,MATCH(Projeto_e_Macro[[#This Row],[Auxiliar 2]],Atualizações!$P$1:$P$1265,0)),"0")</f>
        <v>0</v>
      </c>
    </row>
    <row r="126" spans="1:7" ht="16.5">
      <c r="A126" s="664" t="s">
        <v>796</v>
      </c>
      <c r="B126" s="313" t="str">
        <f>IFERROR(INDEX(Projetos!$B$3:$B$129,MATCH(Projeto_e_Macro[[#This Row],[SEI]],Projetos!$A$3:$A$129,0))," ")</f>
        <v>Mutirão Processual Penal (sistema penal)</v>
      </c>
      <c r="C126" s="17" t="s">
        <v>76</v>
      </c>
      <c r="D126" s="666" t="str">
        <f>$E$1&amp;Projeto_e_Macro[[#This Row],[SEI]]</f>
        <v>20241746610/2024</v>
      </c>
      <c r="E126">
        <f>IFERROR(INDEX(Atualizações!$Q$1:$Q$1265,MATCH(Projeto_e_Macro[[#This Row],[AUXILIAR 1]],Atualizações!$P$1:$P$1265,0)),"0")</f>
        <v>1</v>
      </c>
      <c r="F126" s="666" t="str">
        <f>$G$1&amp;Projeto_e_Macro[[#This Row],[SEI]]</f>
        <v>20251746610/2024</v>
      </c>
      <c r="G126" t="str">
        <f>IFERROR(INDEX(Atualizações!$Q$1:$Q$1265,MATCH(Projeto_e_Macro[[#This Row],[Auxiliar 2]],Atualizações!$P$1:$P$1265,0)),"0")</f>
        <v>0</v>
      </c>
    </row>
    <row r="127" spans="1:7" ht="15.75">
      <c r="A127" s="664" t="s">
        <v>796</v>
      </c>
      <c r="B127" s="313" t="str">
        <f>IFERROR(INDEX(Projetos!$B$3:$B$129,MATCH(Projeto_e_Macro[[#This Row],[SEI]],Projetos!$A$3:$A$129,0))," ")</f>
        <v>Mutirão Processual Penal (sistema penal)</v>
      </c>
      <c r="C127" s="112" t="s">
        <v>120</v>
      </c>
      <c r="D127" s="666" t="str">
        <f>$E$1&amp;Projeto_e_Macro[[#This Row],[SEI]]</f>
        <v>20241746610/2024</v>
      </c>
      <c r="E127">
        <f>IFERROR(INDEX(Atualizações!$Q$1:$Q$1265,MATCH(Projeto_e_Macro[[#This Row],[AUXILIAR 1]],Atualizações!$P$1:$P$1265,0)),"0")</f>
        <v>1</v>
      </c>
      <c r="F127" s="666" t="str">
        <f>$G$1&amp;Projeto_e_Macro[[#This Row],[SEI]]</f>
        <v>20251746610/2024</v>
      </c>
      <c r="G127" t="str">
        <f>IFERROR(INDEX(Atualizações!$Q$1:$Q$1265,MATCH(Projeto_e_Macro[[#This Row],[Auxiliar 2]],Atualizações!$P$1:$P$1265,0)),"0")</f>
        <v>0</v>
      </c>
    </row>
    <row r="128" spans="1:7" ht="30">
      <c r="A128" s="664" t="s">
        <v>800</v>
      </c>
      <c r="B128" s="313" t="str">
        <f>IFERROR(INDEX(Projetos!$B$3:$B$129,MATCH(Projeto_e_Macro[[#This Row],[SEI]],Projetos!$A$3:$A$129,0))," ")</f>
        <v>Sistema Eletrônico de Execução Unificado - SEEU (sistema penal)</v>
      </c>
      <c r="C128" s="17" t="s">
        <v>76</v>
      </c>
      <c r="D128" s="666" t="str">
        <f>$E$1&amp;Projeto_e_Macro[[#This Row],[SEI]]</f>
        <v>20241746611/2024</v>
      </c>
      <c r="E128">
        <f>IFERROR(INDEX(Atualizações!$Q$1:$Q$1265,MATCH(Projeto_e_Macro[[#This Row],[AUXILIAR 1]],Atualizações!$P$1:$P$1265,0)),"0")</f>
        <v>1</v>
      </c>
      <c r="F128" s="666" t="str">
        <f>$G$1&amp;Projeto_e_Macro[[#This Row],[SEI]]</f>
        <v>20251746611/2024</v>
      </c>
      <c r="G128" t="str">
        <f>IFERROR(INDEX(Atualizações!$Q$1:$Q$1265,MATCH(Projeto_e_Macro[[#This Row],[Auxiliar 2]],Atualizações!$P$1:$P$1265,0)),"0")</f>
        <v>0</v>
      </c>
    </row>
    <row r="129" spans="1:7" ht="30">
      <c r="A129" s="664" t="s">
        <v>800</v>
      </c>
      <c r="B129" s="313" t="str">
        <f>IFERROR(INDEX(Projetos!$B$3:$B$129,MATCH(Projeto_e_Macro[[#This Row],[SEI]],Projetos!$A$3:$A$129,0))," ")</f>
        <v>Sistema Eletrônico de Execução Unificado - SEEU (sistema penal)</v>
      </c>
      <c r="C129" s="112" t="s">
        <v>120</v>
      </c>
      <c r="D129" s="666" t="str">
        <f>$E$1&amp;Projeto_e_Macro[[#This Row],[SEI]]</f>
        <v>20241746611/2024</v>
      </c>
      <c r="E129">
        <f>IFERROR(INDEX(Atualizações!$Q$1:$Q$1265,MATCH(Projeto_e_Macro[[#This Row],[AUXILIAR 1]],Atualizações!$P$1:$P$1265,0)),"0")</f>
        <v>1</v>
      </c>
      <c r="F129" s="666" t="str">
        <f>$G$1&amp;Projeto_e_Macro[[#This Row],[SEI]]</f>
        <v>20251746611/2024</v>
      </c>
      <c r="G129" t="str">
        <f>IFERROR(INDEX(Atualizações!$Q$1:$Q$1265,MATCH(Projeto_e_Macro[[#This Row],[Auxiliar 2]],Atualizações!$P$1:$P$1265,0)),"0")</f>
        <v>0</v>
      </c>
    </row>
    <row r="130" spans="1:7" ht="45">
      <c r="A130" s="664" t="s">
        <v>805</v>
      </c>
      <c r="B130" s="313" t="str">
        <f>IFERROR(INDEX(Projetos!$B$3:$B$129,MATCH(Projeto_e_Macro[[#This Row],[SEI]],Projetos!$A$3:$A$129,0))," ")</f>
        <v>Atendimento Inicial e Núcleo de Atendimento Integrado (sistema socioeducativo)</v>
      </c>
      <c r="C130" s="17" t="s">
        <v>76</v>
      </c>
      <c r="D130" s="666" t="str">
        <f>$E$1&amp;Projeto_e_Macro[[#This Row],[SEI]]</f>
        <v>20241746612/2024</v>
      </c>
      <c r="E130">
        <f>IFERROR(INDEX(Atualizações!$Q$1:$Q$1265,MATCH(Projeto_e_Macro[[#This Row],[AUXILIAR 1]],Atualizações!$P$1:$P$1265,0)),"0")</f>
        <v>1</v>
      </c>
      <c r="F130" s="666" t="str">
        <f>$G$1&amp;Projeto_e_Macro[[#This Row],[SEI]]</f>
        <v>20251746612/2024</v>
      </c>
      <c r="G130" t="str">
        <f>IFERROR(INDEX(Atualizações!$Q$1:$Q$1265,MATCH(Projeto_e_Macro[[#This Row],[Auxiliar 2]],Atualizações!$P$1:$P$1265,0)),"0")</f>
        <v>0</v>
      </c>
    </row>
    <row r="131" spans="1:7" ht="45">
      <c r="A131" s="664" t="s">
        <v>805</v>
      </c>
      <c r="B131" s="313" t="str">
        <f>IFERROR(INDEX(Projetos!$B$3:$B$129,MATCH(Projeto_e_Macro[[#This Row],[SEI]],Projetos!$A$3:$A$129,0))," ")</f>
        <v>Atendimento Inicial e Núcleo de Atendimento Integrado (sistema socioeducativo)</v>
      </c>
      <c r="C131" s="112" t="s">
        <v>120</v>
      </c>
      <c r="D131" s="666" t="str">
        <f>$E$1&amp;Projeto_e_Macro[[#This Row],[SEI]]</f>
        <v>20241746612/2024</v>
      </c>
      <c r="E131">
        <f>IFERROR(INDEX(Atualizações!$Q$1:$Q$1265,MATCH(Projeto_e_Macro[[#This Row],[AUXILIAR 1]],Atualizações!$P$1:$P$1265,0)),"0")</f>
        <v>1</v>
      </c>
      <c r="F131" s="666" t="str">
        <f>$G$1&amp;Projeto_e_Macro[[#This Row],[SEI]]</f>
        <v>20251746612/2024</v>
      </c>
      <c r="G131" t="str">
        <f>IFERROR(INDEX(Atualizações!$Q$1:$Q$1265,MATCH(Projeto_e_Macro[[#This Row],[Auxiliar 2]],Atualizações!$P$1:$P$1265,0)),"0")</f>
        <v>0</v>
      </c>
    </row>
    <row r="132" spans="1:7" ht="16.5">
      <c r="A132" s="664" t="s">
        <v>810</v>
      </c>
      <c r="B132" s="313" t="str">
        <f>IFERROR(INDEX(Projetos!$B$3:$B$129,MATCH(Projeto_e_Macro[[#This Row],[SEI]],Projetos!$A$3:$A$129,0))," ")</f>
        <v>Central de Vagas (sistema socioeducativo)</v>
      </c>
      <c r="C132" s="17" t="s">
        <v>76</v>
      </c>
      <c r="D132" s="666" t="str">
        <f>$E$1&amp;Projeto_e_Macro[[#This Row],[SEI]]</f>
        <v>20241746613/2024</v>
      </c>
      <c r="E132">
        <f>IFERROR(INDEX(Atualizações!$Q$1:$Q$1265,MATCH(Projeto_e_Macro[[#This Row],[AUXILIAR 1]],Atualizações!$P$1:$P$1265,0)),"0")</f>
        <v>1</v>
      </c>
      <c r="F132" s="666" t="str">
        <f>$G$1&amp;Projeto_e_Macro[[#This Row],[SEI]]</f>
        <v>20251746613/2024</v>
      </c>
      <c r="G132" t="str">
        <f>IFERROR(INDEX(Atualizações!$Q$1:$Q$1265,MATCH(Projeto_e_Macro[[#This Row],[Auxiliar 2]],Atualizações!$P$1:$P$1265,0)),"0")</f>
        <v>0</v>
      </c>
    </row>
    <row r="133" spans="1:7" ht="15.75">
      <c r="A133" s="664" t="s">
        <v>810</v>
      </c>
      <c r="B133" s="313" t="str">
        <f>IFERROR(INDEX(Projetos!$B$3:$B$129,MATCH(Projeto_e_Macro[[#This Row],[SEI]],Projetos!$A$3:$A$129,0))," ")</f>
        <v>Central de Vagas (sistema socioeducativo)</v>
      </c>
      <c r="C133" s="112" t="s">
        <v>120</v>
      </c>
      <c r="D133" s="666" t="str">
        <f>$E$1&amp;Projeto_e_Macro[[#This Row],[SEI]]</f>
        <v>20241746613/2024</v>
      </c>
      <c r="E133">
        <f>IFERROR(INDEX(Atualizações!$Q$1:$Q$1265,MATCH(Projeto_e_Macro[[#This Row],[AUXILIAR 1]],Atualizações!$P$1:$P$1265,0)),"0")</f>
        <v>1</v>
      </c>
      <c r="F133" s="666" t="str">
        <f>$G$1&amp;Projeto_e_Macro[[#This Row],[SEI]]</f>
        <v>20251746613/2024</v>
      </c>
      <c r="G133" t="str">
        <f>IFERROR(INDEX(Atualizações!$Q$1:$Q$1265,MATCH(Projeto_e_Macro[[#This Row],[Auxiliar 2]],Atualizações!$P$1:$P$1265,0)),"0")</f>
        <v>0</v>
      </c>
    </row>
    <row r="134" spans="1:7" ht="30">
      <c r="A134" s="664" t="s">
        <v>814</v>
      </c>
      <c r="B134" s="313" t="str">
        <f>IFERROR(INDEX(Projetos!$B$3:$B$129,MATCH(Projeto_e_Macro[[#This Row],[SEI]],Projetos!$A$3:$A$129,0))," ")</f>
        <v>Audiência Concentrada (sistema socioeducativo)</v>
      </c>
      <c r="C134" s="17" t="s">
        <v>76</v>
      </c>
      <c r="D134" s="666" t="str">
        <f>$E$1&amp;Projeto_e_Macro[[#This Row],[SEI]]</f>
        <v>20241746614/2024</v>
      </c>
      <c r="E134">
        <f>IFERROR(INDEX(Atualizações!$Q$1:$Q$1265,MATCH(Projeto_e_Macro[[#This Row],[AUXILIAR 1]],Atualizações!$P$1:$P$1265,0)),"0")</f>
        <v>1</v>
      </c>
      <c r="F134" s="666" t="str">
        <f>$G$1&amp;Projeto_e_Macro[[#This Row],[SEI]]</f>
        <v>20251746614/2024</v>
      </c>
      <c r="G134" t="str">
        <f>IFERROR(INDEX(Atualizações!$Q$1:$Q$1265,MATCH(Projeto_e_Macro[[#This Row],[Auxiliar 2]],Atualizações!$P$1:$P$1265,0)),"0")</f>
        <v>0</v>
      </c>
    </row>
    <row r="135" spans="1:7" ht="30">
      <c r="A135" s="664" t="s">
        <v>814</v>
      </c>
      <c r="B135" s="313" t="str">
        <f>IFERROR(INDEX(Projetos!$B$3:$B$129,MATCH(Projeto_e_Macro[[#This Row],[SEI]],Projetos!$A$3:$A$129,0))," ")</f>
        <v>Audiência Concentrada (sistema socioeducativo)</v>
      </c>
      <c r="C135" s="112" t="s">
        <v>120</v>
      </c>
      <c r="D135" s="666" t="str">
        <f>$E$1&amp;Projeto_e_Macro[[#This Row],[SEI]]</f>
        <v>20241746614/2024</v>
      </c>
      <c r="E135">
        <f>IFERROR(INDEX(Atualizações!$Q$1:$Q$1265,MATCH(Projeto_e_Macro[[#This Row],[AUXILIAR 1]],Atualizações!$P$1:$P$1265,0)),"0")</f>
        <v>1</v>
      </c>
      <c r="F135" s="666" t="str">
        <f>$G$1&amp;Projeto_e_Macro[[#This Row],[SEI]]</f>
        <v>20251746614/2024</v>
      </c>
      <c r="G135" t="str">
        <f>IFERROR(INDEX(Atualizações!$Q$1:$Q$1265,MATCH(Projeto_e_Macro[[#This Row],[Auxiliar 2]],Atualizações!$P$1:$P$1265,0)),"0")</f>
        <v>0</v>
      </c>
    </row>
    <row r="136" spans="1:7" ht="30">
      <c r="A136" s="664" t="s">
        <v>818</v>
      </c>
      <c r="B136" s="313" t="str">
        <f>IFERROR(INDEX(Projetos!$B$3:$B$129,MATCH(Projeto_e_Macro[[#This Row],[SEI]],Projetos!$A$3:$A$129,0))," ")</f>
        <v>Programa Pós-medida (sistema socioeducativo)</v>
      </c>
      <c r="C136" s="17" t="s">
        <v>76</v>
      </c>
      <c r="D136" s="666" t="str">
        <f>$E$1&amp;Projeto_e_Macro[[#This Row],[SEI]]</f>
        <v>20241746615/2024</v>
      </c>
      <c r="E136">
        <f>IFERROR(INDEX(Atualizações!$Q$1:$Q$1265,MATCH(Projeto_e_Macro[[#This Row],[AUXILIAR 1]],Atualizações!$P$1:$P$1265,0)),"0")</f>
        <v>1</v>
      </c>
      <c r="F136" s="666" t="str">
        <f>$G$1&amp;Projeto_e_Macro[[#This Row],[SEI]]</f>
        <v>20251746615/2024</v>
      </c>
      <c r="G136" t="str">
        <f>IFERROR(INDEX(Atualizações!$Q$1:$Q$1265,MATCH(Projeto_e_Macro[[#This Row],[Auxiliar 2]],Atualizações!$P$1:$P$1265,0)),"0")</f>
        <v>0</v>
      </c>
    </row>
    <row r="137" spans="1:7" ht="30">
      <c r="A137" s="664" t="s">
        <v>818</v>
      </c>
      <c r="B137" s="313" t="str">
        <f>IFERROR(INDEX(Projetos!$B$3:$B$129,MATCH(Projeto_e_Macro[[#This Row],[SEI]],Projetos!$A$3:$A$129,0))," ")</f>
        <v>Programa Pós-medida (sistema socioeducativo)</v>
      </c>
      <c r="C137" s="112" t="s">
        <v>120</v>
      </c>
      <c r="D137" s="666" t="str">
        <f>$E$1&amp;Projeto_e_Macro[[#This Row],[SEI]]</f>
        <v>20241746615/2024</v>
      </c>
      <c r="E137">
        <f>IFERROR(INDEX(Atualizações!$Q$1:$Q$1265,MATCH(Projeto_e_Macro[[#This Row],[AUXILIAR 1]],Atualizações!$P$1:$P$1265,0)),"0")</f>
        <v>1</v>
      </c>
      <c r="F137" s="666" t="str">
        <f>$G$1&amp;Projeto_e_Macro[[#This Row],[SEI]]</f>
        <v>20251746615/2024</v>
      </c>
      <c r="G137" t="str">
        <f>IFERROR(INDEX(Atualizações!$Q$1:$Q$1265,MATCH(Projeto_e_Macro[[#This Row],[Auxiliar 2]],Atualizações!$P$1:$P$1265,0)),"0")</f>
        <v>0</v>
      </c>
    </row>
    <row r="138" spans="1:7" ht="30">
      <c r="A138" s="664" t="s">
        <v>822</v>
      </c>
      <c r="B138" s="313" t="str">
        <f>IFERROR(INDEX(Projetos!$B$3:$B$129,MATCH(Projeto_e_Macro[[#This Row],[SEI]],Projetos!$A$3:$A$129,0))," ")</f>
        <v>Ação Nacional de Cultura (sistema socioeducativo)</v>
      </c>
      <c r="C138" s="17" t="s">
        <v>76</v>
      </c>
      <c r="D138" s="666" t="str">
        <f>$E$1&amp;Projeto_e_Macro[[#This Row],[SEI]]</f>
        <v>20241746616/2024</v>
      </c>
      <c r="E138">
        <f>IFERROR(INDEX(Atualizações!$Q$1:$Q$1265,MATCH(Projeto_e_Macro[[#This Row],[AUXILIAR 1]],Atualizações!$P$1:$P$1265,0)),"0")</f>
        <v>1</v>
      </c>
      <c r="F138" s="666" t="str">
        <f>$G$1&amp;Projeto_e_Macro[[#This Row],[SEI]]</f>
        <v>20251746616/2024</v>
      </c>
      <c r="G138" t="str">
        <f>IFERROR(INDEX(Atualizações!$Q$1:$Q$1265,MATCH(Projeto_e_Macro[[#This Row],[Auxiliar 2]],Atualizações!$P$1:$P$1265,0)),"0")</f>
        <v>0</v>
      </c>
    </row>
    <row r="139" spans="1:7" ht="30">
      <c r="A139" s="664" t="s">
        <v>822</v>
      </c>
      <c r="B139" s="313" t="str">
        <f>IFERROR(INDEX(Projetos!$B$3:$B$129,MATCH(Projeto_e_Macro[[#This Row],[SEI]],Projetos!$A$3:$A$129,0))," ")</f>
        <v>Ação Nacional de Cultura (sistema socioeducativo)</v>
      </c>
      <c r="C139" s="112" t="s">
        <v>120</v>
      </c>
      <c r="D139" s="666" t="str">
        <f>$E$1&amp;Projeto_e_Macro[[#This Row],[SEI]]</f>
        <v>20241746616/2024</v>
      </c>
      <c r="E139">
        <f>IFERROR(INDEX(Atualizações!$Q$1:$Q$1265,MATCH(Projeto_e_Macro[[#This Row],[AUXILIAR 1]],Atualizações!$P$1:$P$1265,0)),"0")</f>
        <v>1</v>
      </c>
      <c r="F139" s="666" t="str">
        <f>$G$1&amp;Projeto_e_Macro[[#This Row],[SEI]]</f>
        <v>20251746616/2024</v>
      </c>
      <c r="G139" t="str">
        <f>IFERROR(INDEX(Atualizações!$Q$1:$Q$1265,MATCH(Projeto_e_Macro[[#This Row],[Auxiliar 2]],Atualizações!$P$1:$P$1265,0)),"0")</f>
        <v>0</v>
      </c>
    </row>
    <row r="140" spans="1:7" ht="16.5">
      <c r="A140" s="664" t="s">
        <v>826</v>
      </c>
      <c r="B140" s="313" t="str">
        <f>IFERROR(INDEX(Projetos!$B$3:$B$129,MATCH(Projeto_e_Macro[[#This Row],[SEI]],Projetos!$A$3:$A$129,0))," ")</f>
        <v>Aprendizagem (sistema socioeducativo)</v>
      </c>
      <c r="C140" s="17" t="s">
        <v>76</v>
      </c>
      <c r="D140" s="666" t="str">
        <f>$E$1&amp;Projeto_e_Macro[[#This Row],[SEI]]</f>
        <v>20241746617/2024</v>
      </c>
      <c r="E140">
        <f>IFERROR(INDEX(Atualizações!$Q$1:$Q$1265,MATCH(Projeto_e_Macro[[#This Row],[AUXILIAR 1]],Atualizações!$P$1:$P$1265,0)),"0")</f>
        <v>1</v>
      </c>
      <c r="F140" s="666" t="str">
        <f>$G$1&amp;Projeto_e_Macro[[#This Row],[SEI]]</f>
        <v>20251746617/2024</v>
      </c>
      <c r="G140" t="str">
        <f>IFERROR(INDEX(Atualizações!$Q$1:$Q$1265,MATCH(Projeto_e_Macro[[#This Row],[Auxiliar 2]],Atualizações!$P$1:$P$1265,0)),"0")</f>
        <v>0</v>
      </c>
    </row>
    <row r="141" spans="1:7" ht="15.75">
      <c r="A141" s="664" t="s">
        <v>826</v>
      </c>
      <c r="B141" s="313" t="str">
        <f>IFERROR(INDEX(Projetos!$B$3:$B$129,MATCH(Projeto_e_Macro[[#This Row],[SEI]],Projetos!$A$3:$A$129,0))," ")</f>
        <v>Aprendizagem (sistema socioeducativo)</v>
      </c>
      <c r="C141" s="112" t="s">
        <v>120</v>
      </c>
      <c r="D141" s="666" t="str">
        <f>$E$1&amp;Projeto_e_Macro[[#This Row],[SEI]]</f>
        <v>20241746617/2024</v>
      </c>
      <c r="E141">
        <f>IFERROR(INDEX(Atualizações!$Q$1:$Q$1265,MATCH(Projeto_e_Macro[[#This Row],[AUXILIAR 1]],Atualizações!$P$1:$P$1265,0)),"0")</f>
        <v>1</v>
      </c>
      <c r="F141" s="666" t="str">
        <f>$G$1&amp;Projeto_e_Macro[[#This Row],[SEI]]</f>
        <v>20251746617/2024</v>
      </c>
      <c r="G141" t="str">
        <f>IFERROR(INDEX(Atualizações!$Q$1:$Q$1265,MATCH(Projeto_e_Macro[[#This Row],[Auxiliar 2]],Atualizações!$P$1:$P$1265,0)),"0")</f>
        <v>0</v>
      </c>
    </row>
    <row r="142" spans="1:7" ht="30">
      <c r="A142" s="664" t="s">
        <v>830</v>
      </c>
      <c r="B142" s="313" t="str">
        <f>IFERROR(INDEX(Projetos!$B$3:$B$129,MATCH(Projeto_e_Macro[[#This Row],[SEI]],Projetos!$A$3:$A$129,0))," ")</f>
        <v>Plataforma Socioeducativa (sistema socioeducativo)</v>
      </c>
      <c r="C142" s="17" t="s">
        <v>76</v>
      </c>
      <c r="D142" s="666" t="str">
        <f>$E$1&amp;Projeto_e_Macro[[#This Row],[SEI]]</f>
        <v>20241746618/2024</v>
      </c>
      <c r="E142">
        <f>IFERROR(INDEX(Atualizações!$Q$1:$Q$1265,MATCH(Projeto_e_Macro[[#This Row],[AUXILIAR 1]],Atualizações!$P$1:$P$1265,0)),"0")</f>
        <v>1</v>
      </c>
      <c r="F142" s="666" t="str">
        <f>$G$1&amp;Projeto_e_Macro[[#This Row],[SEI]]</f>
        <v>20251746618/2024</v>
      </c>
      <c r="G142" t="str">
        <f>IFERROR(INDEX(Atualizações!$Q$1:$Q$1265,MATCH(Projeto_e_Macro[[#This Row],[Auxiliar 2]],Atualizações!$P$1:$P$1265,0)),"0")</f>
        <v>0</v>
      </c>
    </row>
    <row r="143" spans="1:7" ht="30">
      <c r="A143" s="664" t="s">
        <v>830</v>
      </c>
      <c r="B143" s="313" t="str">
        <f>IFERROR(INDEX(Projetos!$B$3:$B$129,MATCH(Projeto_e_Macro[[#This Row],[SEI]],Projetos!$A$3:$A$129,0))," ")</f>
        <v>Plataforma Socioeducativa (sistema socioeducativo)</v>
      </c>
      <c r="C143" s="112" t="s">
        <v>120</v>
      </c>
      <c r="D143" s="666" t="str">
        <f>$E$1&amp;Projeto_e_Macro[[#This Row],[SEI]]</f>
        <v>20241746618/2024</v>
      </c>
      <c r="E143">
        <f>IFERROR(INDEX(Atualizações!$Q$1:$Q$1265,MATCH(Projeto_e_Macro[[#This Row],[AUXILIAR 1]],Atualizações!$P$1:$P$1265,0)),"0")</f>
        <v>1</v>
      </c>
      <c r="F143" s="666" t="str">
        <f>$G$1&amp;Projeto_e_Macro[[#This Row],[SEI]]</f>
        <v>20251746618/2024</v>
      </c>
      <c r="G143" t="str">
        <f>IFERROR(INDEX(Atualizações!$Q$1:$Q$1265,MATCH(Projeto_e_Macro[[#This Row],[Auxiliar 2]],Atualizações!$P$1:$P$1265,0)),"0")</f>
        <v>0</v>
      </c>
    </row>
    <row r="144" spans="1:7" ht="16.5">
      <c r="A144" s="664" t="s">
        <v>834</v>
      </c>
      <c r="B144" s="313" t="str">
        <f>IFERROR(INDEX(Projetos!$B$3:$B$129,MATCH(Projeto_e_Macro[[#This Row],[SEI]],Projetos!$A$3:$A$129,0))," ")</f>
        <v>Inspeção Judicial</v>
      </c>
      <c r="C144" s="17" t="s">
        <v>76</v>
      </c>
      <c r="D144" s="666" t="str">
        <f>$E$1&amp;Projeto_e_Macro[[#This Row],[SEI]]</f>
        <v>20241746619/2024</v>
      </c>
      <c r="E144">
        <f>IFERROR(INDEX(Atualizações!$Q$1:$Q$1265,MATCH(Projeto_e_Macro[[#This Row],[AUXILIAR 1]],Atualizações!$P$1:$P$1265,0)),"0")</f>
        <v>1</v>
      </c>
      <c r="F144" s="666" t="str">
        <f>$G$1&amp;Projeto_e_Macro[[#This Row],[SEI]]</f>
        <v>20251746619/2024</v>
      </c>
      <c r="G144">
        <f>IFERROR(INDEX(Atualizações!$Q$1:$Q$1265,MATCH(Projeto_e_Macro[[#This Row],[Auxiliar 2]],Atualizações!$P$1:$P$1265,0)),"0")</f>
        <v>1</v>
      </c>
    </row>
    <row r="145" spans="1:7" ht="15.75">
      <c r="A145" s="664" t="s">
        <v>834</v>
      </c>
      <c r="B145" s="313" t="str">
        <f>IFERROR(INDEX(Projetos!$B$3:$B$129,MATCH(Projeto_e_Macro[[#This Row],[SEI]],Projetos!$A$3:$A$129,0))," ")</f>
        <v>Inspeção Judicial</v>
      </c>
      <c r="C145" s="112" t="s">
        <v>120</v>
      </c>
      <c r="D145" s="666" t="str">
        <f>$E$1&amp;Projeto_e_Macro[[#This Row],[SEI]]</f>
        <v>20241746619/2024</v>
      </c>
      <c r="E145">
        <f>IFERROR(INDEX(Atualizações!$Q$1:$Q$1265,MATCH(Projeto_e_Macro[[#This Row],[AUXILIAR 1]],Atualizações!$P$1:$P$1265,0)),"0")</f>
        <v>1</v>
      </c>
      <c r="F145" s="666" t="str">
        <f>$G$1&amp;Projeto_e_Macro[[#This Row],[SEI]]</f>
        <v>20251746619/2024</v>
      </c>
      <c r="G145">
        <f>IFERROR(INDEX(Atualizações!$Q$1:$Q$1265,MATCH(Projeto_e_Macro[[#This Row],[Auxiliar 2]],Atualizações!$P$1:$P$1265,0)),"0")</f>
        <v>1</v>
      </c>
    </row>
    <row r="146" spans="1:7" ht="16.5">
      <c r="A146" s="664" t="s">
        <v>844</v>
      </c>
      <c r="B146" s="313" t="str">
        <f>IFERROR(INDEX(Projetos!$B$3:$B$129,MATCH(Projeto_e_Macro[[#This Row],[SEI]],Projetos!$A$3:$A$129,0))," ")</f>
        <v>Enfrentamento da Tortura</v>
      </c>
      <c r="C146" s="17" t="s">
        <v>76</v>
      </c>
      <c r="D146" s="666" t="str">
        <f>$E$1&amp;Projeto_e_Macro[[#This Row],[SEI]]</f>
        <v>20241746620/2024</v>
      </c>
      <c r="E146">
        <f>IFERROR(INDEX(Atualizações!$Q$1:$Q$1265,MATCH(Projeto_e_Macro[[#This Row],[AUXILIAR 1]],Atualizações!$P$1:$P$1265,0)),"0")</f>
        <v>1</v>
      </c>
      <c r="F146" s="666" t="str">
        <f>$G$1&amp;Projeto_e_Macro[[#This Row],[SEI]]</f>
        <v>20251746620/2024</v>
      </c>
      <c r="G146">
        <f>IFERROR(INDEX(Atualizações!$Q$1:$Q$1265,MATCH(Projeto_e_Macro[[#This Row],[Auxiliar 2]],Atualizações!$P$1:$P$1265,0)),"0")</f>
        <v>1</v>
      </c>
    </row>
    <row r="147" spans="1:7" ht="15.75">
      <c r="A147" s="664" t="s">
        <v>844</v>
      </c>
      <c r="B147" s="313" t="str">
        <f>IFERROR(INDEX(Projetos!$B$3:$B$129,MATCH(Projeto_e_Macro[[#This Row],[SEI]],Projetos!$A$3:$A$129,0))," ")</f>
        <v>Enfrentamento da Tortura</v>
      </c>
      <c r="C147" s="112" t="s">
        <v>120</v>
      </c>
      <c r="D147" s="666" t="str">
        <f>$E$1&amp;Projeto_e_Macro[[#This Row],[SEI]]</f>
        <v>20241746620/2024</v>
      </c>
      <c r="E147">
        <f>IFERROR(INDEX(Atualizações!$Q$1:$Q$1265,MATCH(Projeto_e_Macro[[#This Row],[AUXILIAR 1]],Atualizações!$P$1:$P$1265,0)),"0")</f>
        <v>1</v>
      </c>
      <c r="F147" s="666" t="str">
        <f>$G$1&amp;Projeto_e_Macro[[#This Row],[SEI]]</f>
        <v>20251746620/2024</v>
      </c>
      <c r="G147">
        <f>IFERROR(INDEX(Atualizações!$Q$1:$Q$1265,MATCH(Projeto_e_Macro[[#This Row],[Auxiliar 2]],Atualizações!$P$1:$P$1265,0)),"0")</f>
        <v>1</v>
      </c>
    </row>
    <row r="148" spans="1:7" ht="16.5">
      <c r="A148" s="664" t="s">
        <v>849</v>
      </c>
      <c r="B148" s="313" t="str">
        <f>IFERROR(INDEX(Projetos!$B$3:$B$129,MATCH(Projeto_e_Macro[[#This Row],[SEI]],Projetos!$A$3:$A$129,0))," ")</f>
        <v>Populações com Vulnerabilidade Acrescida</v>
      </c>
      <c r="C148" s="17" t="s">
        <v>76</v>
      </c>
      <c r="D148" s="666" t="str">
        <f>$E$1&amp;Projeto_e_Macro[[#This Row],[SEI]]</f>
        <v>20241746621/2024</v>
      </c>
      <c r="E148">
        <f>IFERROR(INDEX(Atualizações!$Q$1:$Q$1265,MATCH(Projeto_e_Macro[[#This Row],[AUXILIAR 1]],Atualizações!$P$1:$P$1265,0)),"0")</f>
        <v>1</v>
      </c>
      <c r="F148" s="666" t="str">
        <f>$G$1&amp;Projeto_e_Macro[[#This Row],[SEI]]</f>
        <v>20251746621/2024</v>
      </c>
      <c r="G148" t="str">
        <f>IFERROR(INDEX(Atualizações!$Q$1:$Q$1265,MATCH(Projeto_e_Macro[[#This Row],[Auxiliar 2]],Atualizações!$P$1:$P$1265,0)),"0")</f>
        <v>0</v>
      </c>
    </row>
    <row r="149" spans="1:7" ht="15.75">
      <c r="A149" s="664" t="s">
        <v>849</v>
      </c>
      <c r="B149" s="313" t="str">
        <f>IFERROR(INDEX(Projetos!$B$3:$B$129,MATCH(Projeto_e_Macro[[#This Row],[SEI]],Projetos!$A$3:$A$129,0))," ")</f>
        <v>Populações com Vulnerabilidade Acrescida</v>
      </c>
      <c r="C149" s="112" t="s">
        <v>120</v>
      </c>
      <c r="D149" s="666" t="str">
        <f>$E$1&amp;Projeto_e_Macro[[#This Row],[SEI]]</f>
        <v>20241746621/2024</v>
      </c>
      <c r="E149">
        <f>IFERROR(INDEX(Atualizações!$Q$1:$Q$1265,MATCH(Projeto_e_Macro[[#This Row],[AUXILIAR 1]],Atualizações!$P$1:$P$1265,0)),"0")</f>
        <v>1</v>
      </c>
      <c r="F149" s="666" t="str">
        <f>$G$1&amp;Projeto_e_Macro[[#This Row],[SEI]]</f>
        <v>20251746621/2024</v>
      </c>
      <c r="G149" t="str">
        <f>IFERROR(INDEX(Atualizações!$Q$1:$Q$1265,MATCH(Projeto_e_Macro[[#This Row],[Auxiliar 2]],Atualizações!$P$1:$P$1265,0)),"0")</f>
        <v>0</v>
      </c>
    </row>
    <row r="150" spans="1:7" ht="16.5">
      <c r="A150" s="664" t="s">
        <v>853</v>
      </c>
      <c r="B150" s="313" t="str">
        <f>IFERROR(INDEX(Projetos!$B$3:$B$129,MATCH(Projeto_e_Macro[[#This Row],[SEI]],Projetos!$A$3:$A$129,0))," ")</f>
        <v>Saúde Mental</v>
      </c>
      <c r="C150" s="17" t="s">
        <v>76</v>
      </c>
      <c r="D150" s="666" t="str">
        <f>$E$1&amp;Projeto_e_Macro[[#This Row],[SEI]]</f>
        <v>20241746622/2024</v>
      </c>
      <c r="E150">
        <f>IFERROR(INDEX(Atualizações!$Q$1:$Q$1265,MATCH(Projeto_e_Macro[[#This Row],[AUXILIAR 1]],Atualizações!$P$1:$P$1265,0)),"0")</f>
        <v>1</v>
      </c>
      <c r="F150" s="666" t="str">
        <f>$G$1&amp;Projeto_e_Macro[[#This Row],[SEI]]</f>
        <v>20251746622/2024</v>
      </c>
      <c r="G150" t="str">
        <f>IFERROR(INDEX(Atualizações!$Q$1:$Q$1265,MATCH(Projeto_e_Macro[[#This Row],[Auxiliar 2]],Atualizações!$P$1:$P$1265,0)),"0")</f>
        <v>0</v>
      </c>
    </row>
    <row r="151" spans="1:7" ht="15.75">
      <c r="A151" s="664" t="s">
        <v>853</v>
      </c>
      <c r="B151" s="313" t="str">
        <f>IFERROR(INDEX(Projetos!$B$3:$B$129,MATCH(Projeto_e_Macro[[#This Row],[SEI]],Projetos!$A$3:$A$129,0))," ")</f>
        <v>Saúde Mental</v>
      </c>
      <c r="C151" s="112" t="s">
        <v>120</v>
      </c>
      <c r="D151" s="666" t="str">
        <f>$E$1&amp;Projeto_e_Macro[[#This Row],[SEI]]</f>
        <v>20241746622/2024</v>
      </c>
      <c r="E151">
        <f>IFERROR(INDEX(Atualizações!$Q$1:$Q$1265,MATCH(Projeto_e_Macro[[#This Row],[AUXILIAR 1]],Atualizações!$P$1:$P$1265,0)),"0")</f>
        <v>1</v>
      </c>
      <c r="F151" s="666" t="str">
        <f>$G$1&amp;Projeto_e_Macro[[#This Row],[SEI]]</f>
        <v>20251746622/2024</v>
      </c>
      <c r="G151" t="str">
        <f>IFERROR(INDEX(Atualizações!$Q$1:$Q$1265,MATCH(Projeto_e_Macro[[#This Row],[Auxiliar 2]],Atualizações!$P$1:$P$1265,0)),"0")</f>
        <v>0</v>
      </c>
    </row>
    <row r="152" spans="1:7" ht="16.5">
      <c r="A152" s="664" t="s">
        <v>857</v>
      </c>
      <c r="B152" s="313" t="str">
        <f>IFERROR(INDEX(Projetos!$B$3:$B$129,MATCH(Projeto_e_Macro[[#This Row],[SEI]],Projetos!$A$3:$A$129,0))," ")</f>
        <v>Políticas de Drogas</v>
      </c>
      <c r="C152" s="17" t="s">
        <v>76</v>
      </c>
      <c r="D152" s="666" t="str">
        <f>$E$1&amp;Projeto_e_Macro[[#This Row],[SEI]]</f>
        <v>20241746623/2024</v>
      </c>
      <c r="E152">
        <f>IFERROR(INDEX(Atualizações!$Q$1:$Q$1265,MATCH(Projeto_e_Macro[[#This Row],[AUXILIAR 1]],Atualizações!$P$1:$P$1265,0)),"0")</f>
        <v>1</v>
      </c>
      <c r="F152" s="666" t="str">
        <f>$G$1&amp;Projeto_e_Macro[[#This Row],[SEI]]</f>
        <v>20251746623/2024</v>
      </c>
      <c r="G152" t="str">
        <f>IFERROR(INDEX(Atualizações!$Q$1:$Q$1265,MATCH(Projeto_e_Macro[[#This Row],[Auxiliar 2]],Atualizações!$P$1:$P$1265,0)),"0")</f>
        <v>0</v>
      </c>
    </row>
    <row r="153" spans="1:7" ht="15.75">
      <c r="A153" s="664" t="s">
        <v>857</v>
      </c>
      <c r="B153" s="313" t="str">
        <f>IFERROR(INDEX(Projetos!$B$3:$B$129,MATCH(Projeto_e_Macro[[#This Row],[SEI]],Projetos!$A$3:$A$129,0))," ")</f>
        <v>Políticas de Drogas</v>
      </c>
      <c r="C153" s="112" t="s">
        <v>120</v>
      </c>
      <c r="D153" s="666" t="str">
        <f>$E$1&amp;Projeto_e_Macro[[#This Row],[SEI]]</f>
        <v>20241746623/2024</v>
      </c>
      <c r="E153">
        <f>IFERROR(INDEX(Atualizações!$Q$1:$Q$1265,MATCH(Projeto_e_Macro[[#This Row],[AUXILIAR 1]],Atualizações!$P$1:$P$1265,0)),"0")</f>
        <v>1</v>
      </c>
      <c r="F153" s="666" t="str">
        <f>$G$1&amp;Projeto_e_Macro[[#This Row],[SEI]]</f>
        <v>20251746623/2024</v>
      </c>
      <c r="G153" t="str">
        <f>IFERROR(INDEX(Atualizações!$Q$1:$Q$1265,MATCH(Projeto_e_Macro[[#This Row],[Auxiliar 2]],Atualizações!$P$1:$P$1265,0)),"0")</f>
        <v>0</v>
      </c>
    </row>
    <row r="154" spans="1:7" ht="16.5">
      <c r="A154" s="664" t="s">
        <v>861</v>
      </c>
      <c r="B154" s="313" t="str">
        <f>IFERROR(INDEX(Projetos!$B$3:$B$129,MATCH(Projeto_e_Macro[[#This Row],[SEI]],Projetos!$A$3:$A$129,0))," ")</f>
        <v>Documentação Civil</v>
      </c>
      <c r="C154" s="17" t="s">
        <v>76</v>
      </c>
      <c r="D154" s="666" t="str">
        <f>$E$1&amp;Projeto_e_Macro[[#This Row],[SEI]]</f>
        <v>20241746624/2024</v>
      </c>
      <c r="E154">
        <f>IFERROR(INDEX(Atualizações!$Q$1:$Q$1265,MATCH(Projeto_e_Macro[[#This Row],[AUXILIAR 1]],Atualizações!$P$1:$P$1265,0)),"0")</f>
        <v>1</v>
      </c>
      <c r="F154" s="666" t="str">
        <f>$G$1&amp;Projeto_e_Macro[[#This Row],[SEI]]</f>
        <v>20251746624/2024</v>
      </c>
      <c r="G154" t="str">
        <f>IFERROR(INDEX(Atualizações!$Q$1:$Q$1265,MATCH(Projeto_e_Macro[[#This Row],[Auxiliar 2]],Atualizações!$P$1:$P$1265,0)),"0")</f>
        <v>0</v>
      </c>
    </row>
    <row r="155" spans="1:7" ht="15.75">
      <c r="A155" s="664" t="s">
        <v>861</v>
      </c>
      <c r="B155" s="313" t="str">
        <f>IFERROR(INDEX(Projetos!$B$3:$B$129,MATCH(Projeto_e_Macro[[#This Row],[SEI]],Projetos!$A$3:$A$129,0))," ")</f>
        <v>Documentação Civil</v>
      </c>
      <c r="C155" s="112" t="s">
        <v>120</v>
      </c>
      <c r="D155" s="666" t="str">
        <f>$E$1&amp;Projeto_e_Macro[[#This Row],[SEI]]</f>
        <v>20241746624/2024</v>
      </c>
      <c r="E155">
        <f>IFERROR(INDEX(Atualizações!$Q$1:$Q$1265,MATCH(Projeto_e_Macro[[#This Row],[AUXILIAR 1]],Atualizações!$P$1:$P$1265,0)),"0")</f>
        <v>1</v>
      </c>
      <c r="F155" s="666" t="str">
        <f>$G$1&amp;Projeto_e_Macro[[#This Row],[SEI]]</f>
        <v>20251746624/2024</v>
      </c>
      <c r="G155" t="str">
        <f>IFERROR(INDEX(Atualizações!$Q$1:$Q$1265,MATCH(Projeto_e_Macro[[#This Row],[Auxiliar 2]],Atualizações!$P$1:$P$1265,0)),"0")</f>
        <v>0</v>
      </c>
    </row>
    <row r="156" spans="1:7" ht="30">
      <c r="A156" s="664" t="s">
        <v>865</v>
      </c>
      <c r="B156" s="313" t="str">
        <f>IFERROR(INDEX(Projetos!$B$3:$B$129,MATCH(Projeto_e_Macro[[#This Row],[SEI]],Projetos!$A$3:$A$129,0))," ")</f>
        <v>Articulação Internacional e Proteção dos Direitos Humanos</v>
      </c>
      <c r="C156" s="17" t="s">
        <v>76</v>
      </c>
      <c r="D156" s="666" t="str">
        <f>$E$1&amp;Projeto_e_Macro[[#This Row],[SEI]]</f>
        <v>20241746625/2024</v>
      </c>
      <c r="E156">
        <f>IFERROR(INDEX(Atualizações!$Q$1:$Q$1265,MATCH(Projeto_e_Macro[[#This Row],[AUXILIAR 1]],Atualizações!$P$1:$P$1265,0)),"0")</f>
        <v>1</v>
      </c>
      <c r="F156" s="666" t="str">
        <f>$G$1&amp;Projeto_e_Macro[[#This Row],[SEI]]</f>
        <v>20251746625/2024</v>
      </c>
      <c r="G156">
        <f>IFERROR(INDEX(Atualizações!$Q$1:$Q$1265,MATCH(Projeto_e_Macro[[#This Row],[Auxiliar 2]],Atualizações!$P$1:$P$1265,0)),"0")</f>
        <v>1</v>
      </c>
    </row>
    <row r="157" spans="1:7" ht="30">
      <c r="A157" s="664" t="s">
        <v>865</v>
      </c>
      <c r="B157" s="313" t="str">
        <f>IFERROR(INDEX(Projetos!$B$3:$B$129,MATCH(Projeto_e_Macro[[#This Row],[SEI]],Projetos!$A$3:$A$129,0))," ")</f>
        <v>Articulação Internacional e Proteção dos Direitos Humanos</v>
      </c>
      <c r="C157" s="112" t="s">
        <v>120</v>
      </c>
      <c r="D157" s="666" t="str">
        <f>$E$1&amp;Projeto_e_Macro[[#This Row],[SEI]]</f>
        <v>20241746625/2024</v>
      </c>
      <c r="E157">
        <f>IFERROR(INDEX(Atualizações!$Q$1:$Q$1265,MATCH(Projeto_e_Macro[[#This Row],[AUXILIAR 1]],Atualizações!$P$1:$P$1265,0)),"0")</f>
        <v>1</v>
      </c>
      <c r="F157" s="666" t="str">
        <f>$G$1&amp;Projeto_e_Macro[[#This Row],[SEI]]</f>
        <v>20251746625/2024</v>
      </c>
      <c r="G157">
        <f>IFERROR(INDEX(Atualizações!$Q$1:$Q$1265,MATCH(Projeto_e_Macro[[#This Row],[Auxiliar 2]],Atualizações!$P$1:$P$1265,0)),"0")</f>
        <v>1</v>
      </c>
    </row>
    <row r="158" spans="1:7" ht="30">
      <c r="A158" s="664" t="s">
        <v>870</v>
      </c>
      <c r="B158" s="313" t="str">
        <f>IFERROR(INDEX(Projetos!$B$3:$B$129,MATCH(Projeto_e_Macro[[#This Row],[SEI]],Projetos!$A$3:$A$129,0))," ")</f>
        <v>Grupo de Monitoramento e Fiscalização - GMF</v>
      </c>
      <c r="C158" s="17" t="s">
        <v>76</v>
      </c>
      <c r="D158" s="666" t="str">
        <f>$E$1&amp;Projeto_e_Macro[[#This Row],[SEI]]</f>
        <v>20241746626/2024</v>
      </c>
      <c r="E158">
        <f>IFERROR(INDEX(Atualizações!$Q$1:$Q$1265,MATCH(Projeto_e_Macro[[#This Row],[AUXILIAR 1]],Atualizações!$P$1:$P$1265,0)),"0")</f>
        <v>1</v>
      </c>
      <c r="F158" s="666" t="str">
        <f>$G$1&amp;Projeto_e_Macro[[#This Row],[SEI]]</f>
        <v>20251746626/2024</v>
      </c>
      <c r="G158" t="str">
        <f>IFERROR(INDEX(Atualizações!$Q$1:$Q$1265,MATCH(Projeto_e_Macro[[#This Row],[Auxiliar 2]],Atualizações!$P$1:$P$1265,0)),"0")</f>
        <v>0</v>
      </c>
    </row>
    <row r="159" spans="1:7" ht="30">
      <c r="A159" s="664" t="s">
        <v>870</v>
      </c>
      <c r="B159" s="313" t="str">
        <f>IFERROR(INDEX(Projetos!$B$3:$B$129,MATCH(Projeto_e_Macro[[#This Row],[SEI]],Projetos!$A$3:$A$129,0))," ")</f>
        <v>Grupo de Monitoramento e Fiscalização - GMF</v>
      </c>
      <c r="C159" s="112" t="s">
        <v>120</v>
      </c>
      <c r="D159" s="666" t="str">
        <f>$E$1&amp;Projeto_e_Macro[[#This Row],[SEI]]</f>
        <v>20241746626/2024</v>
      </c>
      <c r="E159">
        <f>IFERROR(INDEX(Atualizações!$Q$1:$Q$1265,MATCH(Projeto_e_Macro[[#This Row],[AUXILIAR 1]],Atualizações!$P$1:$P$1265,0)),"0")</f>
        <v>1</v>
      </c>
      <c r="F159" s="666" t="str">
        <f>$G$1&amp;Projeto_e_Macro[[#This Row],[SEI]]</f>
        <v>20251746626/2024</v>
      </c>
      <c r="G159" t="str">
        <f>IFERROR(INDEX(Atualizações!$Q$1:$Q$1265,MATCH(Projeto_e_Macro[[#This Row],[Auxiliar 2]],Atualizações!$P$1:$P$1265,0)),"0")</f>
        <v>0</v>
      </c>
    </row>
    <row r="160" spans="1:7" ht="16.5">
      <c r="A160" s="664" t="s">
        <v>874</v>
      </c>
      <c r="B160" s="313" t="str">
        <f>IFERROR(INDEX(Projetos!$B$3:$B$129,MATCH(Projeto_e_Macro[[#This Row],[SEI]],Projetos!$A$3:$A$129,0))," ")</f>
        <v>Formação e Cultura Institucional</v>
      </c>
      <c r="C160" s="17" t="s">
        <v>76</v>
      </c>
      <c r="D160" s="666" t="str">
        <f>$E$1&amp;Projeto_e_Macro[[#This Row],[SEI]]</f>
        <v>20241746627/2024</v>
      </c>
      <c r="E160">
        <f>IFERROR(INDEX(Atualizações!$Q$1:$Q$1265,MATCH(Projeto_e_Macro[[#This Row],[AUXILIAR 1]],Atualizações!$P$1:$P$1265,0)),"0")</f>
        <v>1</v>
      </c>
      <c r="F160" s="666" t="str">
        <f>$G$1&amp;Projeto_e_Macro[[#This Row],[SEI]]</f>
        <v>20251746627/2024</v>
      </c>
      <c r="G160" t="str">
        <f>IFERROR(INDEX(Atualizações!$Q$1:$Q$1265,MATCH(Projeto_e_Macro[[#This Row],[Auxiliar 2]],Atualizações!$P$1:$P$1265,0)),"0")</f>
        <v>0</v>
      </c>
    </row>
    <row r="161" spans="1:7" ht="15.75">
      <c r="A161" s="664" t="s">
        <v>874</v>
      </c>
      <c r="B161" s="313" t="str">
        <f>IFERROR(INDEX(Projetos!$B$3:$B$129,MATCH(Projeto_e_Macro[[#This Row],[SEI]],Projetos!$A$3:$A$129,0))," ")</f>
        <v>Formação e Cultura Institucional</v>
      </c>
      <c r="C161" s="112" t="s">
        <v>120</v>
      </c>
      <c r="D161" s="666" t="str">
        <f>$E$1&amp;Projeto_e_Macro[[#This Row],[SEI]]</f>
        <v>20241746627/2024</v>
      </c>
      <c r="E161">
        <f>IFERROR(INDEX(Atualizações!$Q$1:$Q$1265,MATCH(Projeto_e_Macro[[#This Row],[AUXILIAR 1]],Atualizações!$P$1:$P$1265,0)),"0")</f>
        <v>1</v>
      </c>
      <c r="F161" s="666" t="str">
        <f>$G$1&amp;Projeto_e_Macro[[#This Row],[SEI]]</f>
        <v>20251746627/2024</v>
      </c>
      <c r="G161" t="str">
        <f>IFERROR(INDEX(Atualizações!$Q$1:$Q$1265,MATCH(Projeto_e_Macro[[#This Row],[Auxiliar 2]],Atualizações!$P$1:$P$1265,0)),"0")</f>
        <v>0</v>
      </c>
    </row>
    <row r="162" spans="1:7" ht="30">
      <c r="A162" s="664" t="s">
        <v>878</v>
      </c>
      <c r="B162" s="313" t="str">
        <f>IFERROR(INDEX(Projetos!$B$3:$B$129,MATCH(Projeto_e_Macro[[#This Row],[SEI]],Projetos!$A$3:$A$129,0))," ")</f>
        <v>Adequação à Lei Geral de Proteção de Dados Pessoais</v>
      </c>
      <c r="C162" s="17" t="s">
        <v>76</v>
      </c>
      <c r="D162" s="666" t="str">
        <f>$E$1&amp;Projeto_e_Macro[[#This Row],[SEI]]</f>
        <v>20241746628/2024</v>
      </c>
      <c r="E162">
        <f>IFERROR(INDEX(Atualizações!$Q$1:$Q$1265,MATCH(Projeto_e_Macro[[#This Row],[AUXILIAR 1]],Atualizações!$P$1:$P$1265,0)),"0")</f>
        <v>1</v>
      </c>
      <c r="F162" s="666" t="str">
        <f>$G$1&amp;Projeto_e_Macro[[#This Row],[SEI]]</f>
        <v>20251746628/2024</v>
      </c>
      <c r="G162">
        <f>IFERROR(INDEX(Atualizações!$Q$1:$Q$1265,MATCH(Projeto_e_Macro[[#This Row],[Auxiliar 2]],Atualizações!$P$1:$P$1265,0)),"0")</f>
        <v>1</v>
      </c>
    </row>
    <row r="163" spans="1:7" ht="30">
      <c r="A163" s="664" t="s">
        <v>878</v>
      </c>
      <c r="B163" s="313" t="str">
        <f>IFERROR(INDEX(Projetos!$B$3:$B$129,MATCH(Projeto_e_Macro[[#This Row],[SEI]],Projetos!$A$3:$A$129,0))," ")</f>
        <v>Adequação à Lei Geral de Proteção de Dados Pessoais</v>
      </c>
      <c r="C163" s="112" t="s">
        <v>120</v>
      </c>
      <c r="D163" s="666" t="str">
        <f>$E$1&amp;Projeto_e_Macro[[#This Row],[SEI]]</f>
        <v>20241746628/2024</v>
      </c>
      <c r="E163">
        <f>IFERROR(INDEX(Atualizações!$Q$1:$Q$1265,MATCH(Projeto_e_Macro[[#This Row],[AUXILIAR 1]],Atualizações!$P$1:$P$1265,0)),"0")</f>
        <v>1</v>
      </c>
      <c r="F163" s="666" t="str">
        <f>$G$1&amp;Projeto_e_Macro[[#This Row],[SEI]]</f>
        <v>20251746628/2024</v>
      </c>
      <c r="G163">
        <f>IFERROR(INDEX(Atualizações!$Q$1:$Q$1265,MATCH(Projeto_e_Macro[[#This Row],[Auxiliar 2]],Atualizações!$P$1:$P$1265,0)),"0")</f>
        <v>1</v>
      </c>
    </row>
    <row r="164" spans="1:7" ht="30">
      <c r="A164" s="192" t="s">
        <v>728</v>
      </c>
      <c r="B164" s="313" t="str">
        <f>IFERROR(INDEX(Projetos!$B$3:$B$129,MATCH(Projeto_e_Macro[[#This Row],[SEI]],Projetos!$A$3:$A$129,0))," ")</f>
        <v>Programa de Acessibilidade e Inclusão do Conselho Nacional de Justiça (CNJ)</v>
      </c>
      <c r="C164" s="112" t="s">
        <v>120</v>
      </c>
      <c r="D164" t="str">
        <f>$E$1&amp;Projeto_e_Macro[[#This Row],[SEI]]</f>
        <v>202415844/2024</v>
      </c>
      <c r="E164" t="str">
        <f>IFERROR(INDEX(Atualizações!$Q$1:$Q$1265,MATCH(Projeto_e_Macro[[#This Row],[AUXILIAR 1]],Atualizações!$P$1:$P$1265,0)),"0")</f>
        <v>0</v>
      </c>
      <c r="F164" t="str">
        <f>$G$1&amp;Projeto_e_Macro[[#This Row],[SEI]]</f>
        <v>202515844/2024</v>
      </c>
      <c r="G164">
        <f>IFERROR(INDEX(Atualizações!$Q$1:$Q$1265,MATCH(Projeto_e_Macro[[#This Row],[Auxiliar 2]],Atualizações!$P$1:$P$1265,0)),"0")</f>
        <v>1</v>
      </c>
    </row>
    <row r="165" spans="1:7" ht="15.75">
      <c r="A165" s="23" t="s">
        <v>714</v>
      </c>
      <c r="B165" s="313" t="str">
        <f>IFERROR(INDEX(Projetos!$B$3:$B$129,MATCH(Projeto_e_Macro[[#This Row],[SEI]],Projetos!$A$3:$A$129,0))," ")</f>
        <v>Programa Novos Caminhos</v>
      </c>
      <c r="C165" s="112" t="s">
        <v>120</v>
      </c>
      <c r="D165" t="str">
        <f>$E$1&amp;Projeto_e_Macro[[#This Row],[SEI]]</f>
        <v>202414204/2024</v>
      </c>
      <c r="E165">
        <f>IFERROR(INDEX(Atualizações!$Q$1:$Q$1265,MATCH(Projeto_e_Macro[[#This Row],[AUXILIAR 1]],Atualizações!$P$1:$P$1265,0)),"0")</f>
        <v>1</v>
      </c>
      <c r="F165" t="str">
        <f>$G$1&amp;Projeto_e_Macro[[#This Row],[SEI]]</f>
        <v>202514204/2024</v>
      </c>
      <c r="G165">
        <f>IFERROR(INDEX(Atualizações!$Q$1:$Q$1265,MATCH(Projeto_e_Macro[[#This Row],[Auxiliar 2]],Atualizações!$P$1:$P$1265,0)),"0")</f>
        <v>1</v>
      </c>
    </row>
    <row r="166" spans="1:7" ht="16.5">
      <c r="A166" s="23" t="s">
        <v>714</v>
      </c>
      <c r="B166" s="313" t="str">
        <f>IFERROR(INDEX(Projetos!$B$3:$B$129,MATCH(Projeto_e_Macro[[#This Row],[SEI]],Projetos!$A$3:$A$129,0))," ")</f>
        <v>Programa Novos Caminhos</v>
      </c>
      <c r="C166" s="3" t="s">
        <v>166</v>
      </c>
      <c r="D166" t="str">
        <f>$E$1&amp;Projeto_e_Macro[[#This Row],[SEI]]</f>
        <v>202414204/2024</v>
      </c>
      <c r="E166">
        <f>IFERROR(INDEX(Atualizações!$Q$1:$Q$1265,MATCH(Projeto_e_Macro[[#This Row],[AUXILIAR 1]],Atualizações!$P$1:$P$1265,0)),"0")</f>
        <v>1</v>
      </c>
      <c r="F166" t="str">
        <f>$G$1&amp;Projeto_e_Macro[[#This Row],[SEI]]</f>
        <v>202514204/2024</v>
      </c>
      <c r="G166">
        <f>IFERROR(INDEX(Atualizações!$Q$1:$Q$1265,MATCH(Projeto_e_Macro[[#This Row],[Auxiliar 2]],Atualizações!$P$1:$P$1265,0)),"0")</f>
        <v>1</v>
      </c>
    </row>
  </sheetData>
  <conditionalFormatting sqref="A94">
    <cfRule type="duplicateValues" dxfId="25" priority="2"/>
  </conditionalFormatting>
  <conditionalFormatting sqref="A95">
    <cfRule type="duplicateValues" dxfId="24" priority="1"/>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F1:G13"/>
  <sheetViews>
    <sheetView workbookViewId="0"/>
  </sheetViews>
  <sheetFormatPr defaultRowHeight="15"/>
  <cols>
    <col min="6" max="6" width="58.5703125" customWidth="1"/>
    <col min="7" max="7" width="13.140625" bestFit="1" customWidth="1"/>
  </cols>
  <sheetData>
    <row r="1" spans="6:7">
      <c r="F1" t="s">
        <v>2258</v>
      </c>
      <c r="G1" t="s">
        <v>1636</v>
      </c>
    </row>
    <row r="2" spans="6:7">
      <c r="F2" t="s">
        <v>120</v>
      </c>
      <c r="G2" t="s">
        <v>2259</v>
      </c>
    </row>
    <row r="3" spans="6:7" ht="33">
      <c r="F3" s="3" t="s">
        <v>166</v>
      </c>
      <c r="G3" t="s">
        <v>2259</v>
      </c>
    </row>
    <row r="4" spans="6:7" ht="16.5">
      <c r="F4" s="3" t="s">
        <v>105</v>
      </c>
      <c r="G4" t="s">
        <v>2259</v>
      </c>
    </row>
    <row r="5" spans="6:7" ht="33">
      <c r="F5" s="3" t="s">
        <v>575</v>
      </c>
      <c r="G5" t="s">
        <v>2259</v>
      </c>
    </row>
    <row r="6" spans="6:7" ht="33">
      <c r="F6" s="3" t="s">
        <v>89</v>
      </c>
      <c r="G6" t="s">
        <v>2259</v>
      </c>
    </row>
    <row r="7" spans="6:7" ht="16.5">
      <c r="F7" s="3" t="s">
        <v>647</v>
      </c>
      <c r="G7" t="s">
        <v>2259</v>
      </c>
    </row>
    <row r="8" spans="6:7" ht="16.5">
      <c r="F8" s="3" t="s">
        <v>1624</v>
      </c>
      <c r="G8" t="s">
        <v>2259</v>
      </c>
    </row>
    <row r="9" spans="6:7" ht="16.5">
      <c r="F9" s="3" t="s">
        <v>76</v>
      </c>
      <c r="G9" t="s">
        <v>2259</v>
      </c>
    </row>
    <row r="10" spans="6:7" ht="33">
      <c r="F10" s="3" t="s">
        <v>146</v>
      </c>
      <c r="G10" t="s">
        <v>2259</v>
      </c>
    </row>
    <row r="11" spans="6:7" ht="16.5">
      <c r="F11" s="3" t="s">
        <v>214</v>
      </c>
      <c r="G11" t="s">
        <v>2259</v>
      </c>
    </row>
    <row r="12" spans="6:7" ht="16.5">
      <c r="F12" s="3" t="s">
        <v>1625</v>
      </c>
      <c r="G12" t="s">
        <v>2259</v>
      </c>
    </row>
    <row r="13" spans="6:7" ht="33">
      <c r="F13" s="3" t="s">
        <v>176</v>
      </c>
      <c r="G13" t="s">
        <v>2259</v>
      </c>
    </row>
  </sheetData>
  <pageMargins left="0.511811024" right="0.511811024" top="0.78740157499999996" bottom="0.78740157499999996" header="0.31496062000000002" footer="0.31496062000000002"/>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1"/>
  <sheetViews>
    <sheetView workbookViewId="0"/>
  </sheetViews>
  <sheetFormatPr defaultRowHeight="15"/>
  <cols>
    <col min="1" max="1" width="15.85546875" customWidth="1"/>
    <col min="2" max="2" width="45.42578125" customWidth="1"/>
  </cols>
  <sheetData>
    <row r="1" spans="1:2">
      <c r="A1" t="s">
        <v>2260</v>
      </c>
      <c r="B1" t="s">
        <v>2261</v>
      </c>
    </row>
    <row r="2" spans="1:2" ht="75">
      <c r="A2" t="s">
        <v>2257</v>
      </c>
      <c r="B2" s="5" t="s">
        <v>75</v>
      </c>
    </row>
    <row r="3" spans="1:2" ht="30">
      <c r="A3" t="s">
        <v>2257</v>
      </c>
      <c r="B3" s="5" t="s">
        <v>2262</v>
      </c>
    </row>
    <row r="4" spans="1:2" ht="30">
      <c r="A4" t="s">
        <v>2257</v>
      </c>
      <c r="B4" s="5" t="s">
        <v>88</v>
      </c>
    </row>
    <row r="5" spans="1:2" ht="30">
      <c r="A5" t="s">
        <v>2257</v>
      </c>
      <c r="B5" s="5" t="s">
        <v>672</v>
      </c>
    </row>
    <row r="6" spans="1:2">
      <c r="A6" t="s">
        <v>2257</v>
      </c>
      <c r="B6" s="5" t="s">
        <v>204</v>
      </c>
    </row>
    <row r="7" spans="1:2" ht="30">
      <c r="A7" t="s">
        <v>2257</v>
      </c>
      <c r="B7" s="5" t="s">
        <v>448</v>
      </c>
    </row>
    <row r="8" spans="1:2" ht="45">
      <c r="A8" t="s">
        <v>2257</v>
      </c>
      <c r="B8" s="5" t="s">
        <v>240</v>
      </c>
    </row>
    <row r="9" spans="1:2" ht="30">
      <c r="A9" t="s">
        <v>2257</v>
      </c>
      <c r="B9" s="5" t="s">
        <v>455</v>
      </c>
    </row>
    <row r="10" spans="1:2" ht="45">
      <c r="A10" t="s">
        <v>2257</v>
      </c>
      <c r="B10" s="5" t="s">
        <v>165</v>
      </c>
    </row>
    <row r="11" spans="1:2" ht="45">
      <c r="A11" t="s">
        <v>2257</v>
      </c>
      <c r="B11" s="5" t="s">
        <v>62</v>
      </c>
    </row>
    <row r="12" spans="1:2" ht="30">
      <c r="A12" t="s">
        <v>2257</v>
      </c>
      <c r="B12" s="5" t="s">
        <v>1619</v>
      </c>
    </row>
    <row r="13" spans="1:2" ht="30">
      <c r="A13" t="s">
        <v>2257</v>
      </c>
      <c r="B13" s="5" t="s">
        <v>346</v>
      </c>
    </row>
    <row r="14" spans="1:2" ht="30">
      <c r="A14" t="s">
        <v>2257</v>
      </c>
      <c r="B14" s="5" t="s">
        <v>104</v>
      </c>
    </row>
    <row r="15" spans="1:2" ht="30">
      <c r="A15" t="s">
        <v>2257</v>
      </c>
      <c r="B15" s="5" t="s">
        <v>305</v>
      </c>
    </row>
    <row r="16" spans="1:2" ht="45">
      <c r="A16" t="s">
        <v>2257</v>
      </c>
      <c r="B16" s="5" t="s">
        <v>1620</v>
      </c>
    </row>
    <row r="17" spans="1:2" ht="30">
      <c r="A17" t="s">
        <v>2257</v>
      </c>
      <c r="B17" s="5" t="s">
        <v>213</v>
      </c>
    </row>
    <row r="18" spans="1:2" ht="30">
      <c r="A18" t="s">
        <v>2257</v>
      </c>
      <c r="B18" s="5" t="s">
        <v>1621</v>
      </c>
    </row>
    <row r="19" spans="1:2" ht="45">
      <c r="A19" t="s">
        <v>2257</v>
      </c>
      <c r="B19" s="5" t="s">
        <v>1622</v>
      </c>
    </row>
    <row r="20" spans="1:2">
      <c r="A20" t="s">
        <v>2259</v>
      </c>
      <c r="B20" t="s">
        <v>120</v>
      </c>
    </row>
    <row r="21" spans="1:2" ht="33">
      <c r="A21" t="s">
        <v>2259</v>
      </c>
      <c r="B21" s="3" t="s">
        <v>166</v>
      </c>
    </row>
    <row r="22" spans="1:2" ht="33">
      <c r="A22" t="s">
        <v>2259</v>
      </c>
      <c r="B22" s="3" t="s">
        <v>105</v>
      </c>
    </row>
    <row r="23" spans="1:2" ht="49.5">
      <c r="A23" t="s">
        <v>2259</v>
      </c>
      <c r="B23" s="3" t="s">
        <v>575</v>
      </c>
    </row>
    <row r="24" spans="1:2" ht="33">
      <c r="A24" t="s">
        <v>2259</v>
      </c>
      <c r="B24" s="3" t="s">
        <v>89</v>
      </c>
    </row>
    <row r="25" spans="1:2" ht="33">
      <c r="A25" t="s">
        <v>2259</v>
      </c>
      <c r="B25" s="3" t="s">
        <v>647</v>
      </c>
    </row>
    <row r="26" spans="1:2" ht="16.5">
      <c r="A26" t="s">
        <v>2259</v>
      </c>
      <c r="B26" s="3" t="s">
        <v>1624</v>
      </c>
    </row>
    <row r="27" spans="1:2" ht="33">
      <c r="A27" t="s">
        <v>2259</v>
      </c>
      <c r="B27" s="3" t="s">
        <v>76</v>
      </c>
    </row>
    <row r="28" spans="1:2" ht="33">
      <c r="A28" t="s">
        <v>2259</v>
      </c>
      <c r="B28" s="3" t="s">
        <v>146</v>
      </c>
    </row>
    <row r="29" spans="1:2" ht="16.5">
      <c r="A29" t="s">
        <v>2259</v>
      </c>
      <c r="B29" s="3" t="s">
        <v>214</v>
      </c>
    </row>
    <row r="30" spans="1:2" ht="33">
      <c r="A30" t="s">
        <v>2259</v>
      </c>
      <c r="B30" s="3" t="s">
        <v>1625</v>
      </c>
    </row>
    <row r="31" spans="1:2" ht="33">
      <c r="A31" t="s">
        <v>2259</v>
      </c>
      <c r="B31" s="3" t="s">
        <v>176</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9A80-60DB-447D-8731-82AB3B1D3367}">
  <dimension ref="B2:W543"/>
  <sheetViews>
    <sheetView workbookViewId="0"/>
  </sheetViews>
  <sheetFormatPr defaultRowHeight="15"/>
  <cols>
    <col min="8" max="8" width="11.42578125" bestFit="1" customWidth="1"/>
    <col min="11" max="11" width="9.42578125" bestFit="1" customWidth="1"/>
  </cols>
  <sheetData>
    <row r="2" spans="2:23">
      <c r="B2" s="194" t="s">
        <v>2263</v>
      </c>
    </row>
    <row r="3" spans="2:23">
      <c r="B3" s="195" t="s">
        <v>2264</v>
      </c>
    </row>
    <row r="4" spans="2:23">
      <c r="B4" s="195"/>
    </row>
    <row r="5" spans="2:23">
      <c r="W5" s="206"/>
    </row>
    <row r="6" spans="2:23">
      <c r="C6" t="s">
        <v>1040</v>
      </c>
      <c r="D6" t="s">
        <v>2</v>
      </c>
      <c r="E6" t="s">
        <v>1228</v>
      </c>
      <c r="F6" t="s">
        <v>14</v>
      </c>
      <c r="G6" t="s">
        <v>15</v>
      </c>
      <c r="H6" t="s">
        <v>17</v>
      </c>
      <c r="I6" t="s">
        <v>1229</v>
      </c>
      <c r="J6" t="s">
        <v>1230</v>
      </c>
      <c r="K6" t="s">
        <v>1231</v>
      </c>
    </row>
    <row r="7" spans="2:23">
      <c r="C7" t="s">
        <v>1240</v>
      </c>
      <c r="D7" t="s">
        <v>1241</v>
      </c>
      <c r="E7" t="s">
        <v>1241</v>
      </c>
      <c r="F7" s="196">
        <v>0.53</v>
      </c>
      <c r="G7" s="196">
        <v>0.49</v>
      </c>
      <c r="H7" s="193">
        <v>44593</v>
      </c>
      <c r="I7" s="197">
        <v>44562</v>
      </c>
      <c r="J7" s="198" t="s">
        <v>2265</v>
      </c>
      <c r="K7" s="199" t="s">
        <v>1724</v>
      </c>
    </row>
    <row r="8" spans="2:23">
      <c r="C8" t="s">
        <v>1240</v>
      </c>
      <c r="D8" t="s">
        <v>1241</v>
      </c>
      <c r="E8" t="s">
        <v>1241</v>
      </c>
      <c r="F8" s="196">
        <v>0.96</v>
      </c>
      <c r="G8" s="196">
        <v>0.5</v>
      </c>
      <c r="H8" s="193">
        <v>44630</v>
      </c>
      <c r="I8" s="197">
        <v>44593</v>
      </c>
      <c r="J8" s="198" t="s">
        <v>2266</v>
      </c>
      <c r="K8" s="199" t="s">
        <v>1724</v>
      </c>
    </row>
    <row r="9" spans="2:23">
      <c r="C9" t="s">
        <v>1240</v>
      </c>
      <c r="D9" t="s">
        <v>1241</v>
      </c>
      <c r="E9" t="s">
        <v>1241</v>
      </c>
      <c r="F9" s="196">
        <v>0.96</v>
      </c>
      <c r="G9" s="196">
        <v>0.51</v>
      </c>
      <c r="H9" s="193">
        <v>44661</v>
      </c>
      <c r="I9" s="197">
        <v>44621</v>
      </c>
      <c r="J9" s="198" t="s">
        <v>2267</v>
      </c>
      <c r="K9" s="199" t="s">
        <v>1724</v>
      </c>
    </row>
    <row r="10" spans="2:23">
      <c r="C10" t="s">
        <v>1240</v>
      </c>
      <c r="D10" t="s">
        <v>1241</v>
      </c>
      <c r="E10" t="s">
        <v>1241</v>
      </c>
      <c r="F10" s="196">
        <v>0.67</v>
      </c>
      <c r="G10" s="196">
        <v>0.53</v>
      </c>
      <c r="H10" s="193">
        <v>44691</v>
      </c>
      <c r="I10" s="197">
        <v>44652</v>
      </c>
      <c r="J10" s="198" t="s">
        <v>2268</v>
      </c>
      <c r="K10" s="199" t="s">
        <v>1724</v>
      </c>
    </row>
    <row r="11" spans="2:23">
      <c r="C11" t="s">
        <v>1240</v>
      </c>
      <c r="D11" t="s">
        <v>1241</v>
      </c>
      <c r="E11" t="s">
        <v>1241</v>
      </c>
      <c r="F11" s="196">
        <v>0.68</v>
      </c>
      <c r="G11" s="196">
        <v>0.64</v>
      </c>
      <c r="H11" s="193">
        <v>44711</v>
      </c>
      <c r="I11" s="197">
        <v>44682</v>
      </c>
      <c r="J11" s="198" t="s">
        <v>2269</v>
      </c>
      <c r="K11" s="199" t="s">
        <v>1724</v>
      </c>
    </row>
    <row r="12" spans="2:23">
      <c r="C12" t="s">
        <v>1240</v>
      </c>
      <c r="D12" t="s">
        <v>1241</v>
      </c>
      <c r="E12" t="s">
        <v>1241</v>
      </c>
      <c r="F12" s="196">
        <v>0.8</v>
      </c>
      <c r="G12" s="196">
        <v>0.64</v>
      </c>
      <c r="H12" s="193">
        <v>44749</v>
      </c>
      <c r="I12" s="197">
        <v>44713</v>
      </c>
      <c r="J12" s="198" t="s">
        <v>2270</v>
      </c>
      <c r="K12" s="199" t="s">
        <v>1724</v>
      </c>
    </row>
    <row r="13" spans="2:23">
      <c r="C13" t="s">
        <v>1240</v>
      </c>
      <c r="D13" t="s">
        <v>1241</v>
      </c>
      <c r="E13" t="s">
        <v>1241</v>
      </c>
      <c r="F13" s="196">
        <v>0.87</v>
      </c>
      <c r="G13" s="196">
        <v>0.76</v>
      </c>
      <c r="H13" s="193">
        <v>44804</v>
      </c>
      <c r="I13" s="197">
        <v>44774</v>
      </c>
      <c r="J13" s="198" t="s">
        <v>2271</v>
      </c>
      <c r="K13" s="199" t="s">
        <v>1724</v>
      </c>
    </row>
    <row r="14" spans="2:23">
      <c r="C14" t="s">
        <v>1240</v>
      </c>
      <c r="D14" t="s">
        <v>1241</v>
      </c>
      <c r="E14" t="s">
        <v>1241</v>
      </c>
      <c r="F14" s="196">
        <v>0.92</v>
      </c>
      <c r="G14" s="196">
        <v>0.85</v>
      </c>
      <c r="H14" s="193">
        <v>44838</v>
      </c>
      <c r="I14" s="197">
        <v>44805</v>
      </c>
      <c r="J14" s="198" t="s">
        <v>2272</v>
      </c>
      <c r="K14" s="199" t="s">
        <v>1724</v>
      </c>
    </row>
    <row r="15" spans="2:23">
      <c r="C15" t="s">
        <v>1240</v>
      </c>
      <c r="D15" t="s">
        <v>1241</v>
      </c>
      <c r="E15" t="s">
        <v>1241</v>
      </c>
      <c r="F15" s="196">
        <v>1</v>
      </c>
      <c r="G15" s="196">
        <v>0.88</v>
      </c>
      <c r="H15" s="193">
        <v>44869</v>
      </c>
      <c r="I15" s="197">
        <v>44835</v>
      </c>
      <c r="J15" s="198" t="s">
        <v>2273</v>
      </c>
      <c r="K15" s="199" t="s">
        <v>1724</v>
      </c>
    </row>
    <row r="16" spans="2:23">
      <c r="C16" t="s">
        <v>1240</v>
      </c>
      <c r="D16" t="s">
        <v>1241</v>
      </c>
      <c r="E16" t="s">
        <v>1241</v>
      </c>
      <c r="F16" s="196">
        <v>1</v>
      </c>
      <c r="G16" s="196">
        <v>0.9</v>
      </c>
      <c r="H16" s="193">
        <v>44926</v>
      </c>
      <c r="I16" s="197">
        <v>44896</v>
      </c>
      <c r="J16" s="198" t="s">
        <v>2274</v>
      </c>
      <c r="K16" s="199" t="s">
        <v>1724</v>
      </c>
    </row>
    <row r="17" spans="3:11">
      <c r="C17" t="s">
        <v>1240</v>
      </c>
      <c r="D17" t="s">
        <v>1241</v>
      </c>
      <c r="E17" t="s">
        <v>1241</v>
      </c>
      <c r="F17" s="196">
        <v>1</v>
      </c>
      <c r="G17" s="196">
        <v>1</v>
      </c>
      <c r="H17" s="193">
        <v>44984</v>
      </c>
      <c r="I17" s="197">
        <v>44958</v>
      </c>
      <c r="J17" s="198" t="s">
        <v>2275</v>
      </c>
      <c r="K17" s="199" t="s">
        <v>1724</v>
      </c>
    </row>
    <row r="18" spans="3:11">
      <c r="C18" t="s">
        <v>1242</v>
      </c>
      <c r="D18" t="s">
        <v>1724</v>
      </c>
      <c r="E18" t="s">
        <v>1243</v>
      </c>
      <c r="F18" s="196">
        <v>0</v>
      </c>
      <c r="G18" s="196">
        <v>0</v>
      </c>
      <c r="H18" s="193">
        <v>44607</v>
      </c>
      <c r="I18" s="197">
        <v>44927</v>
      </c>
      <c r="J18" s="198" t="s">
        <v>2276</v>
      </c>
      <c r="K18" s="199" t="s">
        <v>1724</v>
      </c>
    </row>
    <row r="19" spans="3:11">
      <c r="C19" t="s">
        <v>141</v>
      </c>
      <c r="D19" t="s">
        <v>142</v>
      </c>
      <c r="E19" t="s">
        <v>142</v>
      </c>
      <c r="F19" s="196">
        <v>0.187</v>
      </c>
      <c r="G19" s="196">
        <v>0.187</v>
      </c>
      <c r="H19" s="193">
        <v>45047</v>
      </c>
      <c r="I19" s="197">
        <v>45017</v>
      </c>
      <c r="J19" s="198" t="s">
        <v>2277</v>
      </c>
      <c r="K19" s="199">
        <v>45597</v>
      </c>
    </row>
    <row r="20" spans="3:11">
      <c r="C20" t="s">
        <v>141</v>
      </c>
      <c r="D20" t="s">
        <v>142</v>
      </c>
      <c r="E20" t="s">
        <v>142</v>
      </c>
      <c r="F20" s="196">
        <v>0.2</v>
      </c>
      <c r="G20" s="196">
        <v>0.2</v>
      </c>
      <c r="H20" s="193">
        <v>45103</v>
      </c>
      <c r="I20" s="197">
        <v>45078</v>
      </c>
      <c r="J20" s="198" t="s">
        <v>2278</v>
      </c>
      <c r="K20" s="199">
        <v>45597</v>
      </c>
    </row>
    <row r="21" spans="3:11">
      <c r="C21" t="s">
        <v>141</v>
      </c>
      <c r="D21" t="s">
        <v>142</v>
      </c>
      <c r="E21" t="s">
        <v>142</v>
      </c>
      <c r="F21" s="196">
        <v>0.05</v>
      </c>
      <c r="G21" s="196">
        <v>0.05</v>
      </c>
      <c r="H21" s="193">
        <v>45174</v>
      </c>
      <c r="I21" s="197">
        <v>45108</v>
      </c>
      <c r="J21" s="198" t="s">
        <v>2279</v>
      </c>
      <c r="K21" s="199">
        <v>45597</v>
      </c>
    </row>
    <row r="22" spans="3:11">
      <c r="C22" t="s">
        <v>141</v>
      </c>
      <c r="D22" t="s">
        <v>142</v>
      </c>
      <c r="E22" t="s">
        <v>142</v>
      </c>
      <c r="F22" s="196">
        <v>0.2</v>
      </c>
      <c r="G22" s="196">
        <v>0.24</v>
      </c>
      <c r="H22" s="193">
        <v>45229</v>
      </c>
      <c r="I22" s="197">
        <v>45200</v>
      </c>
      <c r="J22" s="198" t="s">
        <v>2280</v>
      </c>
      <c r="K22" s="199">
        <v>45597</v>
      </c>
    </row>
    <row r="23" spans="3:11">
      <c r="C23" t="s">
        <v>369</v>
      </c>
      <c r="D23" t="s">
        <v>370</v>
      </c>
      <c r="E23" t="s">
        <v>370</v>
      </c>
      <c r="F23" s="196">
        <v>0.69699999999999995</v>
      </c>
      <c r="G23" s="196">
        <v>0.70399999999999996</v>
      </c>
      <c r="H23" s="193">
        <v>44926</v>
      </c>
      <c r="I23" s="197">
        <v>44896</v>
      </c>
      <c r="J23" s="198" t="s">
        <v>2281</v>
      </c>
      <c r="K23" s="199">
        <v>45351</v>
      </c>
    </row>
    <row r="24" spans="3:11">
      <c r="C24" t="s">
        <v>369</v>
      </c>
      <c r="D24" t="s">
        <v>370</v>
      </c>
      <c r="E24" t="s">
        <v>370</v>
      </c>
      <c r="F24" s="196">
        <v>0.73799999999999999</v>
      </c>
      <c r="G24" s="196">
        <v>0.749</v>
      </c>
      <c r="H24" s="193">
        <v>44956</v>
      </c>
      <c r="I24" s="197">
        <v>44927</v>
      </c>
      <c r="J24" s="198" t="s">
        <v>2282</v>
      </c>
      <c r="K24" s="199">
        <v>45351</v>
      </c>
    </row>
    <row r="25" spans="3:11">
      <c r="C25" t="s">
        <v>369</v>
      </c>
      <c r="D25" t="s">
        <v>370</v>
      </c>
      <c r="E25" t="s">
        <v>370</v>
      </c>
      <c r="F25" s="196">
        <v>0.77400000000000002</v>
      </c>
      <c r="G25" s="196">
        <v>0.76600000000000001</v>
      </c>
      <c r="H25" s="193">
        <v>44985</v>
      </c>
      <c r="I25" s="197">
        <v>44958</v>
      </c>
      <c r="J25" s="198" t="s">
        <v>2283</v>
      </c>
      <c r="K25" s="199">
        <v>45351</v>
      </c>
    </row>
    <row r="26" spans="3:11">
      <c r="C26" t="s">
        <v>369</v>
      </c>
      <c r="D26" t="s">
        <v>370</v>
      </c>
      <c r="E26" t="s">
        <v>370</v>
      </c>
      <c r="F26" s="196">
        <v>0.82799999999999996</v>
      </c>
      <c r="G26" s="196">
        <v>0.82799999999999996</v>
      </c>
      <c r="H26" s="193">
        <v>45020</v>
      </c>
      <c r="I26" s="197">
        <v>44986</v>
      </c>
      <c r="J26" s="198" t="s">
        <v>2284</v>
      </c>
      <c r="K26" s="199">
        <v>45351</v>
      </c>
    </row>
    <row r="27" spans="3:11">
      <c r="C27" t="s">
        <v>369</v>
      </c>
      <c r="D27" t="s">
        <v>370</v>
      </c>
      <c r="E27" t="s">
        <v>370</v>
      </c>
      <c r="F27" s="196">
        <v>0.89600000000000002</v>
      </c>
      <c r="G27" s="196">
        <v>0.876</v>
      </c>
      <c r="H27" s="193">
        <v>45050</v>
      </c>
      <c r="I27" s="197">
        <v>45017</v>
      </c>
      <c r="J27" s="198" t="s">
        <v>2285</v>
      </c>
      <c r="K27" s="199">
        <v>45351</v>
      </c>
    </row>
    <row r="28" spans="3:11">
      <c r="C28" t="s">
        <v>369</v>
      </c>
      <c r="D28" t="s">
        <v>370</v>
      </c>
      <c r="E28" t="s">
        <v>370</v>
      </c>
      <c r="F28" s="196">
        <v>0.95099999999999996</v>
      </c>
      <c r="G28" s="196">
        <v>0.92800000000000005</v>
      </c>
      <c r="H28" s="193">
        <v>45082</v>
      </c>
      <c r="I28" s="197">
        <v>45047</v>
      </c>
      <c r="J28" s="198" t="s">
        <v>2286</v>
      </c>
      <c r="K28" s="199">
        <v>45351</v>
      </c>
    </row>
    <row r="29" spans="3:11">
      <c r="C29" t="s">
        <v>369</v>
      </c>
      <c r="D29" t="s">
        <v>370</v>
      </c>
      <c r="E29" t="s">
        <v>370</v>
      </c>
      <c r="F29" s="196">
        <v>0.997</v>
      </c>
      <c r="G29" s="196">
        <v>0.98799999999999999</v>
      </c>
      <c r="H29" s="193">
        <v>45111</v>
      </c>
      <c r="I29" s="197">
        <v>45078</v>
      </c>
      <c r="J29" s="198" t="s">
        <v>2287</v>
      </c>
      <c r="K29" s="199">
        <v>45351</v>
      </c>
    </row>
    <row r="30" spans="3:11">
      <c r="C30" t="s">
        <v>369</v>
      </c>
      <c r="D30" t="s">
        <v>370</v>
      </c>
      <c r="E30" t="s">
        <v>370</v>
      </c>
      <c r="F30" s="196">
        <v>0.92</v>
      </c>
      <c r="G30" s="196">
        <v>0.92</v>
      </c>
      <c r="H30" s="193">
        <v>45140</v>
      </c>
      <c r="I30" s="197">
        <v>45108</v>
      </c>
      <c r="J30" s="198" t="s">
        <v>2288</v>
      </c>
      <c r="K30" s="199">
        <v>45351</v>
      </c>
    </row>
    <row r="31" spans="3:11">
      <c r="C31" t="s">
        <v>369</v>
      </c>
      <c r="D31" t="s">
        <v>370</v>
      </c>
      <c r="E31" t="s">
        <v>370</v>
      </c>
      <c r="F31" s="196">
        <v>0.91300000000000003</v>
      </c>
      <c r="G31" s="196">
        <v>0.90700000000000003</v>
      </c>
      <c r="H31" s="193">
        <v>45166</v>
      </c>
      <c r="I31" s="197">
        <v>45139</v>
      </c>
      <c r="J31" s="198" t="s">
        <v>2289</v>
      </c>
      <c r="K31" s="199">
        <v>45351</v>
      </c>
    </row>
    <row r="32" spans="3:11">
      <c r="C32" t="s">
        <v>369</v>
      </c>
      <c r="D32" t="s">
        <v>370</v>
      </c>
      <c r="E32" t="s">
        <v>370</v>
      </c>
      <c r="F32" s="196">
        <v>0.97499999999999998</v>
      </c>
      <c r="G32" s="196">
        <v>0.95499999999999996</v>
      </c>
      <c r="H32" s="193">
        <v>45201</v>
      </c>
      <c r="I32" s="197">
        <v>45170</v>
      </c>
      <c r="J32" s="198" t="s">
        <v>2290</v>
      </c>
      <c r="K32" s="199">
        <v>45351</v>
      </c>
    </row>
    <row r="33" spans="3:11">
      <c r="C33" t="s">
        <v>369</v>
      </c>
      <c r="D33" t="s">
        <v>370</v>
      </c>
      <c r="E33" t="s">
        <v>370</v>
      </c>
      <c r="F33" s="196">
        <v>0.98699999999999999</v>
      </c>
      <c r="G33" s="196">
        <v>0.97499999999999998</v>
      </c>
      <c r="H33" s="193">
        <v>45229</v>
      </c>
      <c r="I33" s="197">
        <v>45200</v>
      </c>
      <c r="J33" s="198" t="s">
        <v>2291</v>
      </c>
      <c r="K33" s="199">
        <v>45351</v>
      </c>
    </row>
    <row r="34" spans="3:11">
      <c r="C34" t="s">
        <v>369</v>
      </c>
      <c r="D34" t="s">
        <v>370</v>
      </c>
      <c r="E34" t="s">
        <v>370</v>
      </c>
      <c r="F34" s="196">
        <v>0.99099999999999999</v>
      </c>
      <c r="G34" s="196">
        <v>0.98899999999999999</v>
      </c>
      <c r="H34" s="193">
        <v>45265</v>
      </c>
      <c r="I34" s="197">
        <v>45231</v>
      </c>
      <c r="J34" s="198" t="s">
        <v>2292</v>
      </c>
      <c r="K34" s="199">
        <v>45351</v>
      </c>
    </row>
    <row r="35" spans="3:11">
      <c r="D35" t="s">
        <v>1282</v>
      </c>
      <c r="E35" t="s">
        <v>1282</v>
      </c>
      <c r="F35" s="196">
        <v>0.33329999999999999</v>
      </c>
      <c r="G35" s="196">
        <v>0.33329999999999999</v>
      </c>
      <c r="H35" s="193" t="s">
        <v>1974</v>
      </c>
      <c r="I35" s="197">
        <v>45017</v>
      </c>
      <c r="J35" s="198">
        <v>45017</v>
      </c>
      <c r="K35" s="199" t="s">
        <v>1724</v>
      </c>
    </row>
    <row r="36" spans="3:11">
      <c r="D36" t="s">
        <v>1282</v>
      </c>
      <c r="E36" t="s">
        <v>1282</v>
      </c>
      <c r="F36" s="196">
        <v>1</v>
      </c>
      <c r="G36" s="196">
        <v>1</v>
      </c>
      <c r="H36" s="193">
        <v>45180</v>
      </c>
      <c r="I36" s="197">
        <v>45139</v>
      </c>
      <c r="J36" s="198">
        <v>45139</v>
      </c>
      <c r="K36" s="199" t="s">
        <v>1724</v>
      </c>
    </row>
    <row r="37" spans="3:11">
      <c r="D37" t="s">
        <v>1268</v>
      </c>
      <c r="E37" t="s">
        <v>1268</v>
      </c>
      <c r="F37" s="196">
        <v>0.93200000000000005</v>
      </c>
      <c r="G37" s="196">
        <v>0.60099999999999998</v>
      </c>
      <c r="H37" s="193">
        <v>44967</v>
      </c>
      <c r="I37" s="197">
        <v>44958</v>
      </c>
      <c r="J37" s="198">
        <v>44958</v>
      </c>
      <c r="K37" s="199" t="s">
        <v>1724</v>
      </c>
    </row>
    <row r="38" spans="3:11">
      <c r="D38" t="s">
        <v>1268</v>
      </c>
      <c r="E38" t="s">
        <v>1268</v>
      </c>
      <c r="F38" s="196">
        <v>0.96199999999999997</v>
      </c>
      <c r="G38" s="196">
        <v>0.60499999999999998</v>
      </c>
      <c r="H38" s="193">
        <v>45016</v>
      </c>
      <c r="I38" s="197">
        <v>44986</v>
      </c>
      <c r="J38" s="198">
        <v>44986</v>
      </c>
      <c r="K38" s="199" t="s">
        <v>1724</v>
      </c>
    </row>
    <row r="39" spans="3:11">
      <c r="D39" t="s">
        <v>1268</v>
      </c>
      <c r="E39" t="s">
        <v>1268</v>
      </c>
      <c r="F39" s="196">
        <v>0.95599999999999996</v>
      </c>
      <c r="G39" s="196">
        <v>0.61699999999999999</v>
      </c>
      <c r="H39" s="193">
        <v>45042</v>
      </c>
      <c r="I39" s="197">
        <v>45017</v>
      </c>
      <c r="J39" s="198">
        <v>45017</v>
      </c>
      <c r="K39" s="199" t="s">
        <v>1724</v>
      </c>
    </row>
    <row r="40" spans="3:11">
      <c r="D40" t="s">
        <v>1268</v>
      </c>
      <c r="E40" t="s">
        <v>1268</v>
      </c>
      <c r="F40" s="196">
        <v>0.98899999999999999</v>
      </c>
      <c r="G40" s="196">
        <v>0.61899999999999999</v>
      </c>
      <c r="H40" s="197">
        <v>45047</v>
      </c>
      <c r="I40" s="197">
        <v>45047</v>
      </c>
      <c r="J40" s="198">
        <v>45047</v>
      </c>
      <c r="K40" s="199" t="s">
        <v>1724</v>
      </c>
    </row>
    <row r="41" spans="3:11">
      <c r="D41" t="s">
        <v>1268</v>
      </c>
      <c r="E41" t="s">
        <v>1268</v>
      </c>
      <c r="F41" s="196">
        <v>0.99</v>
      </c>
      <c r="G41" s="196">
        <v>0.63</v>
      </c>
      <c r="H41" s="193">
        <v>45111</v>
      </c>
      <c r="I41" s="197">
        <v>45078</v>
      </c>
      <c r="J41" s="198">
        <v>45078</v>
      </c>
      <c r="K41" s="199" t="s">
        <v>1724</v>
      </c>
    </row>
    <row r="42" spans="3:11">
      <c r="D42" t="s">
        <v>1268</v>
      </c>
      <c r="E42" t="s">
        <v>1268</v>
      </c>
      <c r="F42" s="196">
        <v>1</v>
      </c>
      <c r="G42" s="196">
        <v>0.72699999999999998</v>
      </c>
      <c r="H42" s="193">
        <v>45166</v>
      </c>
      <c r="I42" s="197">
        <v>45108</v>
      </c>
      <c r="J42" s="198">
        <v>45108</v>
      </c>
      <c r="K42" s="199" t="s">
        <v>1724</v>
      </c>
    </row>
    <row r="43" spans="3:11">
      <c r="D43" t="s">
        <v>1268</v>
      </c>
      <c r="E43" t="s">
        <v>1268</v>
      </c>
      <c r="F43" s="196">
        <v>0.89400000000000002</v>
      </c>
      <c r="G43" s="196">
        <v>0.83199999999999996</v>
      </c>
      <c r="H43" s="193">
        <v>45188</v>
      </c>
      <c r="I43" s="197">
        <v>45139</v>
      </c>
      <c r="J43" s="198">
        <v>45139</v>
      </c>
      <c r="K43" s="199" t="s">
        <v>1724</v>
      </c>
    </row>
    <row r="44" spans="3:11">
      <c r="D44" t="s">
        <v>1268</v>
      </c>
      <c r="E44" t="s">
        <v>1268</v>
      </c>
      <c r="F44" s="196">
        <v>1</v>
      </c>
      <c r="G44" s="196">
        <v>1</v>
      </c>
      <c r="H44" s="193">
        <v>45244</v>
      </c>
      <c r="I44" s="197">
        <v>45200</v>
      </c>
      <c r="J44" s="198">
        <v>45200</v>
      </c>
      <c r="K44" s="199" t="s">
        <v>1724</v>
      </c>
    </row>
    <row r="45" spans="3:11">
      <c r="C45" t="s">
        <v>209</v>
      </c>
      <c r="D45" t="s">
        <v>210</v>
      </c>
      <c r="E45" t="s">
        <v>1272</v>
      </c>
      <c r="F45" s="196">
        <v>0</v>
      </c>
      <c r="G45" s="196">
        <v>0</v>
      </c>
      <c r="H45" s="193">
        <v>45047</v>
      </c>
      <c r="I45" s="197">
        <v>45047</v>
      </c>
      <c r="J45" s="198" t="s">
        <v>2293</v>
      </c>
      <c r="K45" s="199" t="s">
        <v>2294</v>
      </c>
    </row>
    <row r="46" spans="3:11">
      <c r="C46" t="s">
        <v>209</v>
      </c>
      <c r="D46" t="s">
        <v>210</v>
      </c>
      <c r="E46" t="s">
        <v>1272</v>
      </c>
      <c r="F46" s="196">
        <v>0.1</v>
      </c>
      <c r="G46" s="196">
        <v>0.1</v>
      </c>
      <c r="H46" s="193">
        <v>45111</v>
      </c>
      <c r="I46" s="197">
        <v>45078</v>
      </c>
      <c r="J46" s="198" t="s">
        <v>2295</v>
      </c>
      <c r="K46" s="199" t="s">
        <v>2294</v>
      </c>
    </row>
    <row r="47" spans="3:11">
      <c r="C47" t="s">
        <v>209</v>
      </c>
      <c r="D47" t="s">
        <v>210</v>
      </c>
      <c r="E47" t="s">
        <v>1272</v>
      </c>
      <c r="F47" s="196">
        <v>0.13400000000000001</v>
      </c>
      <c r="G47" s="196">
        <v>0.115</v>
      </c>
      <c r="H47" s="193">
        <v>45108</v>
      </c>
      <c r="I47" s="197">
        <v>45108</v>
      </c>
      <c r="J47" s="198" t="s">
        <v>2296</v>
      </c>
      <c r="K47" s="199" t="s">
        <v>2294</v>
      </c>
    </row>
    <row r="48" spans="3:11">
      <c r="C48" t="s">
        <v>209</v>
      </c>
      <c r="D48" t="s">
        <v>210</v>
      </c>
      <c r="E48" t="s">
        <v>1272</v>
      </c>
      <c r="F48" s="196">
        <v>0.22700000000000001</v>
      </c>
      <c r="G48" s="196">
        <v>0.14000000000000001</v>
      </c>
      <c r="H48" s="193">
        <v>45160</v>
      </c>
      <c r="I48" s="197">
        <v>45139</v>
      </c>
      <c r="J48" s="198" t="s">
        <v>2297</v>
      </c>
      <c r="K48" s="199" t="s">
        <v>2294</v>
      </c>
    </row>
    <row r="49" spans="3:11">
      <c r="C49" t="s">
        <v>209</v>
      </c>
      <c r="D49" t="s">
        <v>210</v>
      </c>
      <c r="E49" t="s">
        <v>1272</v>
      </c>
      <c r="F49" s="196">
        <v>0.16700000000000001</v>
      </c>
      <c r="G49" s="196">
        <v>0.16800000000000001</v>
      </c>
      <c r="H49" s="193">
        <v>45201</v>
      </c>
      <c r="I49" s="197">
        <v>45170</v>
      </c>
      <c r="J49" s="198" t="s">
        <v>2298</v>
      </c>
      <c r="K49" s="199" t="s">
        <v>2294</v>
      </c>
    </row>
    <row r="50" spans="3:11">
      <c r="C50" t="s">
        <v>209</v>
      </c>
      <c r="D50" t="s">
        <v>210</v>
      </c>
      <c r="E50" t="s">
        <v>1272</v>
      </c>
      <c r="F50" s="196">
        <v>0.183</v>
      </c>
      <c r="G50" s="196">
        <v>0.17799999999999999</v>
      </c>
      <c r="H50" s="193">
        <v>45229</v>
      </c>
      <c r="I50" s="197">
        <v>45200</v>
      </c>
      <c r="J50" s="198" t="s">
        <v>2299</v>
      </c>
      <c r="K50" s="199" t="s">
        <v>2294</v>
      </c>
    </row>
    <row r="51" spans="3:11">
      <c r="C51" t="s">
        <v>209</v>
      </c>
      <c r="D51" t="s">
        <v>210</v>
      </c>
      <c r="E51" t="s">
        <v>1272</v>
      </c>
      <c r="F51" s="196">
        <v>0.253</v>
      </c>
      <c r="G51" s="196">
        <v>0.22600000000000001</v>
      </c>
      <c r="H51" s="193">
        <v>45271</v>
      </c>
      <c r="I51" s="197">
        <v>45231</v>
      </c>
      <c r="J51" s="198" t="s">
        <v>2300</v>
      </c>
      <c r="K51" s="199" t="s">
        <v>2294</v>
      </c>
    </row>
    <row r="52" spans="3:11">
      <c r="D52" t="s">
        <v>1251</v>
      </c>
      <c r="E52" t="s">
        <v>1251</v>
      </c>
      <c r="F52" s="196">
        <v>0.98</v>
      </c>
      <c r="G52" s="196">
        <v>0.98</v>
      </c>
      <c r="H52" s="193">
        <v>44926</v>
      </c>
      <c r="I52" s="197">
        <v>44896</v>
      </c>
      <c r="J52" s="198">
        <v>44896</v>
      </c>
      <c r="K52" s="199" t="s">
        <v>1724</v>
      </c>
    </row>
    <row r="53" spans="3:11">
      <c r="D53" t="s">
        <v>1251</v>
      </c>
      <c r="E53" t="s">
        <v>1251</v>
      </c>
      <c r="F53" s="196">
        <v>1</v>
      </c>
      <c r="G53" s="196">
        <v>1</v>
      </c>
      <c r="H53" s="193">
        <v>44984</v>
      </c>
      <c r="I53" s="197">
        <v>44958</v>
      </c>
      <c r="J53" s="198">
        <v>44958</v>
      </c>
      <c r="K53" s="199" t="s">
        <v>1724</v>
      </c>
    </row>
    <row r="54" spans="3:11">
      <c r="D54" t="s">
        <v>1253</v>
      </c>
      <c r="E54" t="s">
        <v>1253</v>
      </c>
      <c r="F54" s="196">
        <v>0.98899999999999999</v>
      </c>
      <c r="G54" s="196">
        <v>0.97899999999999998</v>
      </c>
      <c r="H54" s="193">
        <v>44926</v>
      </c>
      <c r="I54" s="197">
        <v>44896</v>
      </c>
      <c r="J54" s="198">
        <v>44896</v>
      </c>
      <c r="K54" s="199" t="s">
        <v>1724</v>
      </c>
    </row>
    <row r="55" spans="3:11">
      <c r="D55" t="s">
        <v>1253</v>
      </c>
      <c r="E55" t="s">
        <v>1253</v>
      </c>
      <c r="F55" s="196">
        <v>0.998</v>
      </c>
      <c r="G55" s="196">
        <v>0.97899999999999998</v>
      </c>
      <c r="H55" s="193">
        <v>45000</v>
      </c>
      <c r="I55" s="197">
        <v>44958</v>
      </c>
      <c r="J55" s="198">
        <v>44958</v>
      </c>
      <c r="K55" s="199" t="s">
        <v>1724</v>
      </c>
    </row>
    <row r="56" spans="3:11">
      <c r="D56" t="s">
        <v>1253</v>
      </c>
      <c r="E56" t="s">
        <v>1253</v>
      </c>
      <c r="F56" s="196">
        <v>1</v>
      </c>
      <c r="G56" s="196">
        <v>0.98099999999999998</v>
      </c>
      <c r="H56" s="193">
        <v>45050</v>
      </c>
      <c r="I56" s="197">
        <v>44986</v>
      </c>
      <c r="J56" s="198">
        <v>44986</v>
      </c>
      <c r="K56" s="199" t="s">
        <v>1724</v>
      </c>
    </row>
    <row r="57" spans="3:11">
      <c r="D57" t="s">
        <v>1253</v>
      </c>
      <c r="E57" t="s">
        <v>1253</v>
      </c>
      <c r="F57" s="196">
        <v>1</v>
      </c>
      <c r="G57" s="196">
        <v>1</v>
      </c>
      <c r="H57" s="193">
        <v>45138</v>
      </c>
      <c r="I57" s="197">
        <v>45017</v>
      </c>
      <c r="J57" s="198">
        <v>45017</v>
      </c>
      <c r="K57" s="199" t="s">
        <v>1724</v>
      </c>
    </row>
    <row r="58" spans="3:11">
      <c r="D58" t="s">
        <v>1253</v>
      </c>
      <c r="E58" t="s">
        <v>1253</v>
      </c>
      <c r="F58" s="196">
        <v>1</v>
      </c>
      <c r="G58" s="196">
        <v>1</v>
      </c>
      <c r="H58" s="193">
        <v>45138</v>
      </c>
      <c r="I58" s="197">
        <v>45139</v>
      </c>
      <c r="J58" s="198">
        <v>45139</v>
      </c>
      <c r="K58" s="199" t="s">
        <v>1724</v>
      </c>
    </row>
    <row r="59" spans="3:11">
      <c r="C59" t="s">
        <v>451</v>
      </c>
      <c r="D59" t="s">
        <v>452</v>
      </c>
      <c r="E59" t="s">
        <v>452</v>
      </c>
      <c r="F59" s="196">
        <v>0</v>
      </c>
      <c r="G59" s="196">
        <v>0</v>
      </c>
      <c r="H59" s="193">
        <v>44935</v>
      </c>
      <c r="I59" s="197">
        <v>44896</v>
      </c>
      <c r="J59" s="198" t="s">
        <v>2301</v>
      </c>
      <c r="K59" s="199">
        <v>45199</v>
      </c>
    </row>
    <row r="60" spans="3:11">
      <c r="C60" t="s">
        <v>451</v>
      </c>
      <c r="D60" t="s">
        <v>452</v>
      </c>
      <c r="E60" t="s">
        <v>452</v>
      </c>
      <c r="F60" s="196">
        <v>5.5500000000000001E-2</v>
      </c>
      <c r="G60" s="196">
        <v>1.0999999999999999E-2</v>
      </c>
      <c r="H60" s="193">
        <v>45040</v>
      </c>
      <c r="I60" s="197">
        <v>45017</v>
      </c>
      <c r="J60" s="198" t="s">
        <v>2302</v>
      </c>
      <c r="K60" s="199">
        <v>45199</v>
      </c>
    </row>
    <row r="61" spans="3:11">
      <c r="C61" t="s">
        <v>570</v>
      </c>
      <c r="D61" t="s">
        <v>571</v>
      </c>
      <c r="E61" t="s">
        <v>1267</v>
      </c>
      <c r="F61" s="196">
        <v>0</v>
      </c>
      <c r="G61" s="196">
        <v>0</v>
      </c>
      <c r="H61" s="193">
        <v>44953</v>
      </c>
      <c r="I61" s="197">
        <v>44896</v>
      </c>
      <c r="J61" s="198" t="s">
        <v>2303</v>
      </c>
      <c r="K61" s="199">
        <v>45565</v>
      </c>
    </row>
    <row r="62" spans="3:11">
      <c r="C62" t="s">
        <v>570</v>
      </c>
      <c r="D62" t="s">
        <v>571</v>
      </c>
      <c r="E62" t="s">
        <v>1267</v>
      </c>
      <c r="F62" s="196">
        <v>0.7</v>
      </c>
      <c r="G62" s="196">
        <v>0.7</v>
      </c>
      <c r="H62" s="193">
        <v>45077</v>
      </c>
      <c r="I62" s="197">
        <v>45047</v>
      </c>
      <c r="J62" s="198" t="s">
        <v>2304</v>
      </c>
      <c r="K62" s="199">
        <v>45565</v>
      </c>
    </row>
    <row r="63" spans="3:11">
      <c r="C63" t="s">
        <v>570</v>
      </c>
      <c r="D63" t="s">
        <v>571</v>
      </c>
      <c r="E63" t="s">
        <v>1267</v>
      </c>
      <c r="F63" s="196">
        <v>1</v>
      </c>
      <c r="G63" s="196">
        <v>0.71199999999999997</v>
      </c>
      <c r="H63" s="193">
        <v>45113</v>
      </c>
      <c r="I63" s="197">
        <v>45078</v>
      </c>
      <c r="J63" s="198" t="s">
        <v>2305</v>
      </c>
      <c r="K63" s="199">
        <v>45565</v>
      </c>
    </row>
    <row r="64" spans="3:11">
      <c r="C64" t="s">
        <v>570</v>
      </c>
      <c r="D64" t="s">
        <v>571</v>
      </c>
      <c r="E64" t="s">
        <v>1267</v>
      </c>
      <c r="F64" s="196">
        <v>0.98399999999999999</v>
      </c>
      <c r="G64" s="196">
        <v>0.93</v>
      </c>
      <c r="H64" s="193">
        <v>45240</v>
      </c>
      <c r="I64" s="197">
        <v>45200</v>
      </c>
      <c r="J64" s="198" t="s">
        <v>2306</v>
      </c>
      <c r="K64" s="199">
        <v>45565</v>
      </c>
    </row>
    <row r="65" spans="3:11">
      <c r="C65" t="s">
        <v>570</v>
      </c>
      <c r="D65" t="s">
        <v>571</v>
      </c>
      <c r="E65" t="s">
        <v>1267</v>
      </c>
      <c r="F65" s="196">
        <v>0.86799999999999999</v>
      </c>
      <c r="G65" s="196">
        <v>0.88500000000000001</v>
      </c>
      <c r="H65" s="193">
        <v>45274</v>
      </c>
      <c r="I65" s="197">
        <v>45231</v>
      </c>
      <c r="J65" s="198" t="s">
        <v>2307</v>
      </c>
      <c r="K65" s="199">
        <v>45565</v>
      </c>
    </row>
    <row r="66" spans="3:11">
      <c r="C66" t="s">
        <v>487</v>
      </c>
      <c r="D66" t="s">
        <v>488</v>
      </c>
      <c r="E66" t="s">
        <v>488</v>
      </c>
      <c r="F66" s="196">
        <v>3.85E-2</v>
      </c>
      <c r="G66" s="196">
        <v>3.85E-2</v>
      </c>
      <c r="H66" s="193">
        <v>44926</v>
      </c>
      <c r="I66" s="197">
        <v>44896</v>
      </c>
      <c r="J66" s="198" t="s">
        <v>2308</v>
      </c>
      <c r="K66" s="199">
        <v>45913</v>
      </c>
    </row>
    <row r="67" spans="3:11">
      <c r="C67" t="s">
        <v>487</v>
      </c>
      <c r="D67" t="s">
        <v>488</v>
      </c>
      <c r="E67" t="s">
        <v>488</v>
      </c>
      <c r="F67" s="196">
        <v>4.3999999999999997E-2</v>
      </c>
      <c r="G67" s="196">
        <v>3.85E-2</v>
      </c>
      <c r="H67" s="193">
        <v>44995</v>
      </c>
      <c r="I67" s="197">
        <v>44958</v>
      </c>
      <c r="J67" s="198" t="s">
        <v>2309</v>
      </c>
      <c r="K67" s="199">
        <v>45913</v>
      </c>
    </row>
    <row r="68" spans="3:11">
      <c r="C68" t="s">
        <v>487</v>
      </c>
      <c r="D68" t="s">
        <v>488</v>
      </c>
      <c r="E68" t="s">
        <v>488</v>
      </c>
      <c r="F68" s="196">
        <v>5.8799999999999998E-2</v>
      </c>
      <c r="G68" s="196">
        <v>5.8799999999999998E-2</v>
      </c>
      <c r="H68" s="193">
        <v>45050</v>
      </c>
      <c r="I68" s="197">
        <v>45017</v>
      </c>
      <c r="J68" s="198" t="s">
        <v>2310</v>
      </c>
      <c r="K68" s="199">
        <v>45913</v>
      </c>
    </row>
    <row r="69" spans="3:11">
      <c r="C69" t="s">
        <v>487</v>
      </c>
      <c r="D69" t="s">
        <v>488</v>
      </c>
      <c r="E69" t="s">
        <v>488</v>
      </c>
      <c r="F69" s="196">
        <v>7.8399999999999997E-2</v>
      </c>
      <c r="G69" s="196">
        <v>7.3499999999999996E-2</v>
      </c>
      <c r="H69" s="193">
        <v>45180</v>
      </c>
      <c r="I69" s="197">
        <v>45139</v>
      </c>
      <c r="J69" s="198" t="s">
        <v>2311</v>
      </c>
      <c r="K69" s="199">
        <v>45913</v>
      </c>
    </row>
    <row r="70" spans="3:11">
      <c r="D70" t="s">
        <v>1247</v>
      </c>
      <c r="E70" t="s">
        <v>1247</v>
      </c>
      <c r="F70" s="196">
        <v>0</v>
      </c>
      <c r="G70" s="196">
        <v>0</v>
      </c>
      <c r="H70" s="193">
        <v>44926</v>
      </c>
      <c r="I70" s="197">
        <v>44896</v>
      </c>
      <c r="J70" s="198">
        <v>44896</v>
      </c>
      <c r="K70" s="199" t="s">
        <v>1724</v>
      </c>
    </row>
    <row r="71" spans="3:11">
      <c r="D71" t="s">
        <v>1247</v>
      </c>
      <c r="E71" t="s">
        <v>1247</v>
      </c>
      <c r="F71" s="196">
        <v>0</v>
      </c>
      <c r="G71" s="196">
        <v>0</v>
      </c>
      <c r="H71" s="193">
        <v>44813</v>
      </c>
      <c r="I71" s="197">
        <v>44927</v>
      </c>
      <c r="J71" s="198">
        <v>44927</v>
      </c>
      <c r="K71" s="199" t="s">
        <v>1724</v>
      </c>
    </row>
    <row r="72" spans="3:11">
      <c r="D72" t="s">
        <v>1247</v>
      </c>
      <c r="E72" t="s">
        <v>1247</v>
      </c>
      <c r="F72" s="196">
        <v>0</v>
      </c>
      <c r="G72" s="196">
        <v>0</v>
      </c>
      <c r="H72" s="193">
        <v>44926</v>
      </c>
      <c r="I72" s="197">
        <v>44986</v>
      </c>
      <c r="J72" s="198">
        <v>44986</v>
      </c>
      <c r="K72" s="199" t="s">
        <v>1724</v>
      </c>
    </row>
    <row r="73" spans="3:11">
      <c r="C73" t="s">
        <v>425</v>
      </c>
      <c r="D73" t="s">
        <v>426</v>
      </c>
      <c r="E73" t="s">
        <v>426</v>
      </c>
      <c r="F73" s="196">
        <v>0</v>
      </c>
      <c r="G73" s="196">
        <v>0</v>
      </c>
      <c r="H73" s="193">
        <v>44935</v>
      </c>
      <c r="I73" s="197">
        <v>44896</v>
      </c>
      <c r="J73" s="198" t="s">
        <v>2312</v>
      </c>
      <c r="K73" s="199">
        <v>45605</v>
      </c>
    </row>
    <row r="74" spans="3:11">
      <c r="C74" t="s">
        <v>425</v>
      </c>
      <c r="D74" t="s">
        <v>426</v>
      </c>
      <c r="E74" t="s">
        <v>426</v>
      </c>
      <c r="F74" s="196">
        <v>0.39400000000000002</v>
      </c>
      <c r="G74" s="196">
        <v>0.35499999999999998</v>
      </c>
      <c r="H74" s="193">
        <v>44988</v>
      </c>
      <c r="I74" s="197">
        <v>44958</v>
      </c>
      <c r="J74" s="198" t="s">
        <v>2313</v>
      </c>
      <c r="K74" s="199">
        <v>45605</v>
      </c>
    </row>
    <row r="75" spans="3:11">
      <c r="C75" t="s">
        <v>425</v>
      </c>
      <c r="D75" t="s">
        <v>426</v>
      </c>
      <c r="E75" t="s">
        <v>426</v>
      </c>
      <c r="F75" s="196">
        <v>0.50700000000000001</v>
      </c>
      <c r="G75" s="196">
        <v>0.42099999999999999</v>
      </c>
      <c r="H75" s="193">
        <v>45016</v>
      </c>
      <c r="I75" s="197">
        <v>44986</v>
      </c>
      <c r="J75" s="198" t="s">
        <v>2314</v>
      </c>
      <c r="K75" s="199">
        <v>45605</v>
      </c>
    </row>
    <row r="76" spans="3:11">
      <c r="C76" t="s">
        <v>425</v>
      </c>
      <c r="D76" t="s">
        <v>426</v>
      </c>
      <c r="E76" t="s">
        <v>426</v>
      </c>
      <c r="F76" s="196">
        <v>0.64500000000000002</v>
      </c>
      <c r="G76" s="196">
        <v>0.505</v>
      </c>
      <c r="H76" s="193">
        <v>45077</v>
      </c>
      <c r="I76" s="197">
        <v>45047</v>
      </c>
      <c r="J76" s="198" t="s">
        <v>2315</v>
      </c>
      <c r="K76" s="199">
        <v>45605</v>
      </c>
    </row>
    <row r="77" spans="3:11">
      <c r="C77" t="s">
        <v>425</v>
      </c>
      <c r="D77" t="s">
        <v>426</v>
      </c>
      <c r="E77" t="s">
        <v>426</v>
      </c>
      <c r="F77" s="196">
        <v>0.69799999999999995</v>
      </c>
      <c r="G77" s="196">
        <v>0.65600000000000003</v>
      </c>
      <c r="H77" s="193">
        <v>45111</v>
      </c>
      <c r="I77" s="197">
        <v>45078</v>
      </c>
      <c r="J77" s="198" t="s">
        <v>2316</v>
      </c>
      <c r="K77" s="199">
        <v>45605</v>
      </c>
    </row>
    <row r="78" spans="3:11">
      <c r="C78" t="s">
        <v>425</v>
      </c>
      <c r="D78" t="s">
        <v>426</v>
      </c>
      <c r="E78" t="s">
        <v>426</v>
      </c>
      <c r="F78" s="196">
        <v>0.747</v>
      </c>
      <c r="G78" s="196">
        <v>0.68799999999999994</v>
      </c>
      <c r="H78" s="193">
        <v>45133</v>
      </c>
      <c r="I78" s="197">
        <v>45108</v>
      </c>
      <c r="J78" s="198" t="s">
        <v>2317</v>
      </c>
      <c r="K78" s="199">
        <v>45605</v>
      </c>
    </row>
    <row r="79" spans="3:11">
      <c r="C79" t="s">
        <v>425</v>
      </c>
      <c r="D79" t="s">
        <v>426</v>
      </c>
      <c r="E79" t="s">
        <v>426</v>
      </c>
      <c r="F79" s="196">
        <v>0.81299999999999994</v>
      </c>
      <c r="G79" s="196">
        <v>0.73799999999999999</v>
      </c>
      <c r="H79" s="193">
        <v>45169</v>
      </c>
      <c r="I79" s="197">
        <v>45139</v>
      </c>
      <c r="J79" s="198" t="s">
        <v>2318</v>
      </c>
      <c r="K79" s="199">
        <v>45605</v>
      </c>
    </row>
    <row r="80" spans="3:11">
      <c r="C80" t="s">
        <v>425</v>
      </c>
      <c r="D80" t="s">
        <v>426</v>
      </c>
      <c r="E80" t="s">
        <v>426</v>
      </c>
      <c r="F80" s="196">
        <v>0.91400000000000003</v>
      </c>
      <c r="G80" s="196">
        <v>0.68</v>
      </c>
      <c r="H80" s="193">
        <v>45244</v>
      </c>
      <c r="I80" s="197">
        <v>45200</v>
      </c>
      <c r="J80" s="198" t="s">
        <v>2319</v>
      </c>
      <c r="K80" s="199">
        <v>45605</v>
      </c>
    </row>
    <row r="81" spans="3:11">
      <c r="C81" t="s">
        <v>425</v>
      </c>
      <c r="D81" t="s">
        <v>426</v>
      </c>
      <c r="E81" t="s">
        <v>426</v>
      </c>
      <c r="F81" s="196">
        <v>0.99299999999999999</v>
      </c>
      <c r="G81" s="196">
        <v>0.76900000000000002</v>
      </c>
      <c r="H81" s="193">
        <v>45275</v>
      </c>
      <c r="I81" s="197">
        <v>45231</v>
      </c>
      <c r="J81" s="198" t="s">
        <v>2320</v>
      </c>
      <c r="K81" s="199">
        <v>45605</v>
      </c>
    </row>
    <row r="82" spans="3:11">
      <c r="C82" t="s">
        <v>97</v>
      </c>
      <c r="D82" t="s">
        <v>98</v>
      </c>
      <c r="E82" t="s">
        <v>98</v>
      </c>
      <c r="F82" s="196">
        <v>0.94</v>
      </c>
      <c r="G82" s="196">
        <v>0.94</v>
      </c>
      <c r="H82" s="193">
        <v>44926</v>
      </c>
      <c r="I82" s="197">
        <v>44896</v>
      </c>
      <c r="J82" s="198" t="s">
        <v>2321</v>
      </c>
      <c r="K82" s="199">
        <v>45930</v>
      </c>
    </row>
    <row r="83" spans="3:11">
      <c r="C83" t="s">
        <v>97</v>
      </c>
      <c r="D83" t="s">
        <v>98</v>
      </c>
      <c r="E83" t="s">
        <v>98</v>
      </c>
      <c r="F83" s="196">
        <v>0.94</v>
      </c>
      <c r="G83" s="196">
        <v>0.94</v>
      </c>
      <c r="H83" s="193">
        <v>44945</v>
      </c>
      <c r="I83" s="197">
        <v>44927</v>
      </c>
      <c r="J83" s="198" t="s">
        <v>2322</v>
      </c>
      <c r="K83" s="199">
        <v>45930</v>
      </c>
    </row>
    <row r="84" spans="3:11">
      <c r="C84" t="s">
        <v>97</v>
      </c>
      <c r="D84" t="s">
        <v>98</v>
      </c>
      <c r="E84" t="s">
        <v>98</v>
      </c>
      <c r="F84" s="196">
        <v>0.94</v>
      </c>
      <c r="G84" s="196">
        <v>0.94</v>
      </c>
      <c r="H84" s="193">
        <v>45015</v>
      </c>
      <c r="I84" s="197">
        <v>44986</v>
      </c>
      <c r="J84" s="198" t="s">
        <v>2323</v>
      </c>
      <c r="K84" s="199">
        <v>45930</v>
      </c>
    </row>
    <row r="85" spans="3:11">
      <c r="C85" t="s">
        <v>97</v>
      </c>
      <c r="D85" t="s">
        <v>98</v>
      </c>
      <c r="E85" t="s">
        <v>98</v>
      </c>
      <c r="F85" s="196">
        <v>0.95</v>
      </c>
      <c r="G85" s="196">
        <v>0.95</v>
      </c>
      <c r="H85" s="193">
        <v>45055</v>
      </c>
      <c r="I85" s="197">
        <v>45017</v>
      </c>
      <c r="J85" s="198" t="s">
        <v>2324</v>
      </c>
      <c r="K85" s="199">
        <v>45930</v>
      </c>
    </row>
    <row r="86" spans="3:11">
      <c r="C86" t="s">
        <v>97</v>
      </c>
      <c r="D86" t="s">
        <v>98</v>
      </c>
      <c r="E86" t="s">
        <v>98</v>
      </c>
      <c r="F86" s="196">
        <v>0.96</v>
      </c>
      <c r="G86" s="196">
        <v>0.96</v>
      </c>
      <c r="H86" s="193">
        <v>45117</v>
      </c>
      <c r="I86" s="197">
        <v>45078</v>
      </c>
      <c r="J86" s="198" t="s">
        <v>2325</v>
      </c>
      <c r="K86" s="199">
        <v>45930</v>
      </c>
    </row>
    <row r="87" spans="3:11">
      <c r="C87" t="s">
        <v>97</v>
      </c>
      <c r="D87" t="s">
        <v>98</v>
      </c>
      <c r="E87" t="s">
        <v>98</v>
      </c>
      <c r="F87" s="196">
        <v>0.97</v>
      </c>
      <c r="G87" s="196">
        <v>0.97</v>
      </c>
      <c r="H87" s="193">
        <v>45168</v>
      </c>
      <c r="I87" s="197">
        <v>45139</v>
      </c>
      <c r="J87" s="198" t="s">
        <v>2326</v>
      </c>
      <c r="K87" s="199">
        <v>45930</v>
      </c>
    </row>
    <row r="88" spans="3:11">
      <c r="C88" t="s">
        <v>97</v>
      </c>
      <c r="D88" t="s">
        <v>98</v>
      </c>
      <c r="E88" t="s">
        <v>98</v>
      </c>
      <c r="F88" s="196">
        <v>0.97</v>
      </c>
      <c r="G88" s="196">
        <v>0.97</v>
      </c>
      <c r="H88" s="193">
        <v>45201</v>
      </c>
      <c r="I88" s="197">
        <v>45170</v>
      </c>
      <c r="J88" s="198" t="s">
        <v>2327</v>
      </c>
      <c r="K88" s="199">
        <v>45930</v>
      </c>
    </row>
    <row r="89" spans="3:11">
      <c r="C89" t="s">
        <v>97</v>
      </c>
      <c r="D89" t="s">
        <v>98</v>
      </c>
      <c r="E89" t="s">
        <v>98</v>
      </c>
      <c r="F89" s="196">
        <v>0.98</v>
      </c>
      <c r="G89" s="196">
        <v>0.98</v>
      </c>
      <c r="H89" s="193">
        <v>45238</v>
      </c>
      <c r="I89" s="197">
        <v>45200</v>
      </c>
      <c r="J89" s="198" t="s">
        <v>2328</v>
      </c>
      <c r="K89" s="199">
        <v>45930</v>
      </c>
    </row>
    <row r="90" spans="3:11">
      <c r="C90" t="s">
        <v>229</v>
      </c>
      <c r="D90" t="s">
        <v>230</v>
      </c>
      <c r="E90" t="s">
        <v>1274</v>
      </c>
      <c r="F90" s="196">
        <v>0.61199999999999999</v>
      </c>
      <c r="G90" s="196">
        <v>0.57999999999999996</v>
      </c>
      <c r="H90" s="193">
        <v>45110</v>
      </c>
      <c r="I90" s="197">
        <v>45108</v>
      </c>
      <c r="J90" s="198" t="s">
        <v>2329</v>
      </c>
      <c r="K90" s="199">
        <v>45869</v>
      </c>
    </row>
    <row r="91" spans="3:11">
      <c r="C91" t="s">
        <v>229</v>
      </c>
      <c r="D91" t="s">
        <v>230</v>
      </c>
      <c r="E91" t="s">
        <v>1274</v>
      </c>
      <c r="F91" s="196">
        <v>0.77600000000000002</v>
      </c>
      <c r="G91" s="196">
        <v>0.71399999999999997</v>
      </c>
      <c r="H91" s="193">
        <v>45184</v>
      </c>
      <c r="I91" s="197">
        <v>45139</v>
      </c>
      <c r="J91" s="198" t="s">
        <v>2330</v>
      </c>
      <c r="K91" s="199">
        <v>45869</v>
      </c>
    </row>
    <row r="92" spans="3:11">
      <c r="C92" t="s">
        <v>229</v>
      </c>
      <c r="D92" t="s">
        <v>230</v>
      </c>
      <c r="E92" t="s">
        <v>1274</v>
      </c>
      <c r="F92" s="196">
        <v>0.80200000000000005</v>
      </c>
      <c r="G92" s="196">
        <v>0.82799999999999996</v>
      </c>
      <c r="H92" s="193">
        <v>45203</v>
      </c>
      <c r="I92" s="197">
        <v>45170</v>
      </c>
      <c r="J92" s="198" t="s">
        <v>2331</v>
      </c>
      <c r="K92" s="199">
        <v>45869</v>
      </c>
    </row>
    <row r="93" spans="3:11">
      <c r="C93" t="s">
        <v>229</v>
      </c>
      <c r="D93" t="s">
        <v>230</v>
      </c>
      <c r="E93" t="s">
        <v>1274</v>
      </c>
      <c r="F93" s="196">
        <v>0.98599999999999999</v>
      </c>
      <c r="G93" s="196">
        <v>0.82799999999999996</v>
      </c>
      <c r="H93" s="193">
        <v>45238</v>
      </c>
      <c r="I93" s="197">
        <v>45200</v>
      </c>
      <c r="J93" s="198" t="s">
        <v>2332</v>
      </c>
      <c r="K93" s="199">
        <v>45869</v>
      </c>
    </row>
    <row r="94" spans="3:11">
      <c r="C94" t="s">
        <v>229</v>
      </c>
      <c r="D94" t="s">
        <v>230</v>
      </c>
      <c r="E94" t="s">
        <v>1274</v>
      </c>
      <c r="F94" s="196">
        <v>0.99199999999999999</v>
      </c>
      <c r="G94" s="196">
        <v>0.93100000000000005</v>
      </c>
      <c r="H94" s="193">
        <v>45275</v>
      </c>
      <c r="I94" s="197">
        <v>45231</v>
      </c>
      <c r="J94" s="198" t="s">
        <v>2333</v>
      </c>
      <c r="K94" s="199">
        <v>45869</v>
      </c>
    </row>
    <row r="95" spans="3:11">
      <c r="D95" t="s">
        <v>1252</v>
      </c>
      <c r="E95" t="s">
        <v>1252</v>
      </c>
      <c r="F95" s="196">
        <v>0.8</v>
      </c>
      <c r="G95" s="196">
        <v>0.79</v>
      </c>
      <c r="H95" s="193">
        <v>44926</v>
      </c>
      <c r="I95" s="197">
        <v>44896</v>
      </c>
      <c r="J95" s="198">
        <v>44896</v>
      </c>
      <c r="K95" s="199" t="s">
        <v>1724</v>
      </c>
    </row>
    <row r="96" spans="3:11">
      <c r="D96" t="s">
        <v>1252</v>
      </c>
      <c r="E96" t="s">
        <v>1252</v>
      </c>
      <c r="F96" s="196">
        <v>0.99</v>
      </c>
      <c r="G96" s="196">
        <v>0.9</v>
      </c>
      <c r="H96" s="193">
        <v>44984</v>
      </c>
      <c r="I96" s="197">
        <v>44958</v>
      </c>
      <c r="J96" s="198">
        <v>44958</v>
      </c>
      <c r="K96" s="199" t="s">
        <v>1724</v>
      </c>
    </row>
    <row r="97" spans="3:11">
      <c r="D97" t="s">
        <v>1252</v>
      </c>
      <c r="E97" t="s">
        <v>1252</v>
      </c>
      <c r="F97" s="196">
        <v>1</v>
      </c>
      <c r="G97" s="196">
        <v>1</v>
      </c>
      <c r="H97" s="193">
        <v>45046</v>
      </c>
      <c r="I97" s="197">
        <v>44986</v>
      </c>
      <c r="J97" s="198">
        <v>44986</v>
      </c>
      <c r="K97" s="199" t="s">
        <v>1724</v>
      </c>
    </row>
    <row r="98" spans="3:11">
      <c r="C98" t="s">
        <v>443</v>
      </c>
      <c r="D98" t="s">
        <v>444</v>
      </c>
      <c r="E98" t="s">
        <v>444</v>
      </c>
      <c r="F98" s="196">
        <v>0</v>
      </c>
      <c r="G98" s="196">
        <v>0</v>
      </c>
      <c r="H98" s="193">
        <v>44935</v>
      </c>
      <c r="I98" s="197">
        <v>44896</v>
      </c>
      <c r="J98" s="198" t="s">
        <v>2334</v>
      </c>
      <c r="K98" s="199">
        <v>45688</v>
      </c>
    </row>
    <row r="99" spans="3:11">
      <c r="C99" t="s">
        <v>443</v>
      </c>
      <c r="D99" t="s">
        <v>444</v>
      </c>
      <c r="E99" t="s">
        <v>444</v>
      </c>
      <c r="F99" s="196">
        <v>0.33</v>
      </c>
      <c r="G99" s="196">
        <v>0.33</v>
      </c>
      <c r="H99" s="193">
        <v>45040</v>
      </c>
      <c r="I99" s="197">
        <v>45017</v>
      </c>
      <c r="J99" s="198" t="s">
        <v>2335</v>
      </c>
      <c r="K99" s="199">
        <v>45688</v>
      </c>
    </row>
    <row r="100" spans="3:11">
      <c r="C100" t="s">
        <v>443</v>
      </c>
      <c r="D100" t="s">
        <v>444</v>
      </c>
      <c r="E100" t="s">
        <v>444</v>
      </c>
      <c r="F100" s="196">
        <v>0.41699999999999998</v>
      </c>
      <c r="G100" s="196">
        <v>0.41699999999999998</v>
      </c>
      <c r="H100" s="193">
        <v>45111</v>
      </c>
      <c r="I100" s="197">
        <v>45047</v>
      </c>
      <c r="J100" s="198" t="s">
        <v>2336</v>
      </c>
      <c r="K100" s="199">
        <v>45688</v>
      </c>
    </row>
    <row r="101" spans="3:11">
      <c r="C101" t="s">
        <v>443</v>
      </c>
      <c r="D101" t="s">
        <v>444</v>
      </c>
      <c r="E101" t="s">
        <v>444</v>
      </c>
      <c r="F101" s="196">
        <v>0.42</v>
      </c>
      <c r="G101" s="196">
        <v>0.42</v>
      </c>
      <c r="H101" s="193">
        <v>45231</v>
      </c>
      <c r="I101" s="197">
        <v>45200</v>
      </c>
      <c r="J101" s="198" t="s">
        <v>2337</v>
      </c>
      <c r="K101" s="199">
        <v>45688</v>
      </c>
    </row>
    <row r="102" spans="3:11">
      <c r="C102" t="s">
        <v>1249</v>
      </c>
      <c r="D102" t="s">
        <v>1724</v>
      </c>
      <c r="E102" t="s">
        <v>1250</v>
      </c>
      <c r="F102" s="196">
        <v>0.45700000000000002</v>
      </c>
      <c r="G102" s="196">
        <v>0.45</v>
      </c>
      <c r="H102" s="193">
        <v>44926</v>
      </c>
      <c r="I102" s="197">
        <v>44896</v>
      </c>
      <c r="J102" s="198" t="s">
        <v>2338</v>
      </c>
      <c r="K102" s="199" t="s">
        <v>1724</v>
      </c>
    </row>
    <row r="103" spans="3:11">
      <c r="C103" t="s">
        <v>1249</v>
      </c>
      <c r="D103" t="s">
        <v>1724</v>
      </c>
      <c r="E103" t="s">
        <v>1250</v>
      </c>
      <c r="F103" s="196">
        <v>0.51900000000000002</v>
      </c>
      <c r="G103" s="196">
        <v>0.501</v>
      </c>
      <c r="H103" s="193">
        <v>44959</v>
      </c>
      <c r="I103" s="197">
        <v>44927</v>
      </c>
      <c r="J103" s="198" t="s">
        <v>2339</v>
      </c>
      <c r="K103" s="199" t="s">
        <v>1724</v>
      </c>
    </row>
    <row r="104" spans="3:11">
      <c r="C104" t="s">
        <v>1249</v>
      </c>
      <c r="D104" t="s">
        <v>1724</v>
      </c>
      <c r="E104" t="s">
        <v>1250</v>
      </c>
      <c r="F104" s="196">
        <v>0.61799999999999999</v>
      </c>
      <c r="G104" s="196">
        <v>0.60699999999999998</v>
      </c>
      <c r="H104" s="193">
        <v>44988</v>
      </c>
      <c r="I104" s="197">
        <v>44958</v>
      </c>
      <c r="J104" s="198" t="s">
        <v>2340</v>
      </c>
      <c r="K104" s="199" t="s">
        <v>1724</v>
      </c>
    </row>
    <row r="105" spans="3:11">
      <c r="C105" t="s">
        <v>1249</v>
      </c>
      <c r="D105" t="s">
        <v>1724</v>
      </c>
      <c r="E105" t="s">
        <v>1250</v>
      </c>
      <c r="F105" s="196">
        <v>0.82899999999999996</v>
      </c>
      <c r="G105" s="196">
        <v>0.79200000000000004</v>
      </c>
      <c r="H105" s="193">
        <v>45049</v>
      </c>
      <c r="I105" s="197">
        <v>44986</v>
      </c>
      <c r="J105" s="198" t="s">
        <v>2341</v>
      </c>
      <c r="K105" s="199" t="s">
        <v>1724</v>
      </c>
    </row>
    <row r="106" spans="3:11">
      <c r="C106" t="s">
        <v>1249</v>
      </c>
      <c r="D106" t="s">
        <v>1724</v>
      </c>
      <c r="E106" t="s">
        <v>1250</v>
      </c>
      <c r="F106" s="196">
        <v>1</v>
      </c>
      <c r="G106" s="196">
        <v>0.99099999999999999</v>
      </c>
      <c r="H106" s="193">
        <v>45111</v>
      </c>
      <c r="I106" s="197">
        <v>45017</v>
      </c>
      <c r="J106" s="198" t="s">
        <v>2342</v>
      </c>
      <c r="K106" s="199" t="s">
        <v>1724</v>
      </c>
    </row>
    <row r="107" spans="3:11">
      <c r="C107" t="s">
        <v>1249</v>
      </c>
      <c r="D107" t="s">
        <v>1724</v>
      </c>
      <c r="E107" t="s">
        <v>1250</v>
      </c>
      <c r="F107" s="196">
        <v>0.64700000000000002</v>
      </c>
      <c r="G107" s="196">
        <v>0.64700000000000002</v>
      </c>
      <c r="H107" s="193">
        <v>45133</v>
      </c>
      <c r="I107" s="197">
        <v>45047</v>
      </c>
      <c r="J107" s="198" t="s">
        <v>2343</v>
      </c>
      <c r="K107" s="199" t="s">
        <v>1724</v>
      </c>
    </row>
    <row r="108" spans="3:11">
      <c r="C108" t="s">
        <v>1249</v>
      </c>
      <c r="D108" t="s">
        <v>1724</v>
      </c>
      <c r="E108" t="s">
        <v>1250</v>
      </c>
      <c r="F108" s="196">
        <v>0.754</v>
      </c>
      <c r="G108" s="196">
        <v>0.74099999999999999</v>
      </c>
      <c r="H108" s="193">
        <v>45168</v>
      </c>
      <c r="I108" s="197">
        <v>45139</v>
      </c>
      <c r="J108" s="198" t="s">
        <v>2344</v>
      </c>
      <c r="K108" s="199" t="s">
        <v>1724</v>
      </c>
    </row>
    <row r="109" spans="3:11">
      <c r="C109" t="s">
        <v>1249</v>
      </c>
      <c r="D109" t="s">
        <v>1724</v>
      </c>
      <c r="E109" t="s">
        <v>1250</v>
      </c>
      <c r="F109" s="196">
        <v>0.874</v>
      </c>
      <c r="G109" s="196">
        <v>0.86899999999999999</v>
      </c>
      <c r="H109" s="193">
        <v>45243</v>
      </c>
      <c r="I109" s="197">
        <v>45200</v>
      </c>
      <c r="J109" s="198" t="s">
        <v>2345</v>
      </c>
      <c r="K109" s="199" t="s">
        <v>1724</v>
      </c>
    </row>
    <row r="110" spans="3:11">
      <c r="C110" t="s">
        <v>1249</v>
      </c>
      <c r="D110" t="s">
        <v>1724</v>
      </c>
      <c r="E110" t="s">
        <v>1250</v>
      </c>
      <c r="F110" s="196">
        <v>0.96399999999999997</v>
      </c>
      <c r="G110" s="196">
        <v>0.97699999999999998</v>
      </c>
      <c r="H110" s="193">
        <v>45279</v>
      </c>
      <c r="I110" s="197">
        <v>45231</v>
      </c>
      <c r="J110" s="198" t="s">
        <v>2346</v>
      </c>
      <c r="K110" s="199" t="s">
        <v>1724</v>
      </c>
    </row>
    <row r="111" spans="3:11">
      <c r="D111" t="s">
        <v>1273</v>
      </c>
      <c r="E111" t="s">
        <v>1273</v>
      </c>
      <c r="F111" s="196">
        <v>0</v>
      </c>
      <c r="G111" s="196">
        <v>0</v>
      </c>
      <c r="H111" s="193">
        <v>45080</v>
      </c>
      <c r="I111" s="197">
        <v>45078</v>
      </c>
      <c r="J111" s="198">
        <v>45078</v>
      </c>
      <c r="K111" s="199" t="s">
        <v>1724</v>
      </c>
    </row>
    <row r="112" spans="3:11">
      <c r="D112" t="s">
        <v>1273</v>
      </c>
      <c r="E112" t="s">
        <v>1273</v>
      </c>
      <c r="F112" s="196">
        <v>0.5</v>
      </c>
      <c r="G112" s="196">
        <v>0.5</v>
      </c>
      <c r="H112" s="193">
        <v>45122</v>
      </c>
      <c r="I112" s="197">
        <v>45108</v>
      </c>
      <c r="J112" s="198">
        <v>45108</v>
      </c>
      <c r="K112" s="199" t="s">
        <v>1724</v>
      </c>
    </row>
    <row r="113" spans="3:11">
      <c r="D113" t="s">
        <v>1273</v>
      </c>
      <c r="E113" t="s">
        <v>1273</v>
      </c>
      <c r="F113" s="196">
        <v>1</v>
      </c>
      <c r="G113" s="196">
        <v>1</v>
      </c>
      <c r="H113" s="193">
        <v>45148</v>
      </c>
      <c r="I113" s="197">
        <v>45139</v>
      </c>
      <c r="J113" s="198">
        <v>45139</v>
      </c>
      <c r="K113" s="199" t="s">
        <v>1724</v>
      </c>
    </row>
    <row r="114" spans="3:11">
      <c r="C114" t="s">
        <v>182</v>
      </c>
      <c r="D114" t="s">
        <v>183</v>
      </c>
      <c r="E114" t="s">
        <v>1254</v>
      </c>
      <c r="F114" s="196">
        <v>0.98</v>
      </c>
      <c r="G114" s="196">
        <v>0.96</v>
      </c>
      <c r="H114" s="193">
        <v>44926</v>
      </c>
      <c r="I114" s="197">
        <v>44896</v>
      </c>
      <c r="J114" s="198" t="s">
        <v>2347</v>
      </c>
      <c r="K114" s="199">
        <v>45869</v>
      </c>
    </row>
    <row r="115" spans="3:11">
      <c r="C115" t="s">
        <v>182</v>
      </c>
      <c r="D115" t="s">
        <v>183</v>
      </c>
      <c r="E115" t="s">
        <v>1254</v>
      </c>
      <c r="F115" s="196">
        <v>0.98</v>
      </c>
      <c r="G115" s="196">
        <v>0.98</v>
      </c>
      <c r="H115" s="193">
        <v>45125</v>
      </c>
      <c r="I115" s="197">
        <v>45078</v>
      </c>
      <c r="J115" s="198" t="s">
        <v>2348</v>
      </c>
      <c r="K115" s="199">
        <v>45869</v>
      </c>
    </row>
    <row r="116" spans="3:11">
      <c r="C116" t="s">
        <v>182</v>
      </c>
      <c r="D116" t="s">
        <v>183</v>
      </c>
      <c r="E116" t="s">
        <v>1254</v>
      </c>
      <c r="F116" s="196">
        <v>0.98</v>
      </c>
      <c r="G116" s="196">
        <v>0.98</v>
      </c>
      <c r="H116" s="193">
        <v>45229</v>
      </c>
      <c r="I116" s="197">
        <v>45170</v>
      </c>
      <c r="J116" s="198" t="s">
        <v>2349</v>
      </c>
      <c r="K116" s="199">
        <v>45869</v>
      </c>
    </row>
    <row r="117" spans="3:11">
      <c r="D117" t="s">
        <v>1244</v>
      </c>
      <c r="E117" t="s">
        <v>1244</v>
      </c>
      <c r="F117" s="196">
        <v>0.32</v>
      </c>
      <c r="G117" s="196">
        <v>0.25</v>
      </c>
      <c r="H117" s="193">
        <v>44658</v>
      </c>
      <c r="I117" s="197">
        <v>44562</v>
      </c>
      <c r="J117" s="198">
        <v>44562</v>
      </c>
      <c r="K117" s="199" t="s">
        <v>1724</v>
      </c>
    </row>
    <row r="118" spans="3:11">
      <c r="D118" t="s">
        <v>1264</v>
      </c>
      <c r="E118" t="s">
        <v>1264</v>
      </c>
      <c r="F118" s="196">
        <v>0.97</v>
      </c>
      <c r="G118" s="196">
        <v>0.97</v>
      </c>
      <c r="H118" s="193">
        <v>44939</v>
      </c>
      <c r="I118" s="197">
        <v>44896</v>
      </c>
      <c r="J118" s="198">
        <v>44896</v>
      </c>
      <c r="K118" s="199" t="s">
        <v>1724</v>
      </c>
    </row>
    <row r="119" spans="3:11">
      <c r="D119" t="s">
        <v>1264</v>
      </c>
      <c r="E119" t="s">
        <v>1264</v>
      </c>
      <c r="F119" s="196">
        <v>0.97</v>
      </c>
      <c r="G119" s="196">
        <v>0.95</v>
      </c>
      <c r="H119" s="193">
        <v>44981</v>
      </c>
      <c r="I119" s="197">
        <v>44958</v>
      </c>
      <c r="J119" s="198">
        <v>44958</v>
      </c>
      <c r="K119" s="199" t="s">
        <v>1724</v>
      </c>
    </row>
    <row r="120" spans="3:11">
      <c r="D120" t="s">
        <v>1264</v>
      </c>
      <c r="E120" t="s">
        <v>1264</v>
      </c>
      <c r="F120" s="196">
        <v>0.98</v>
      </c>
      <c r="G120" s="196">
        <v>0.98</v>
      </c>
      <c r="H120" s="193">
        <v>45009</v>
      </c>
      <c r="I120" s="197">
        <v>44986</v>
      </c>
      <c r="J120" s="198">
        <v>44986</v>
      </c>
      <c r="K120" s="199" t="s">
        <v>1724</v>
      </c>
    </row>
    <row r="121" spans="3:11">
      <c r="D121" t="s">
        <v>1264</v>
      </c>
      <c r="E121" t="s">
        <v>1264</v>
      </c>
      <c r="F121" s="196">
        <v>1</v>
      </c>
      <c r="G121" s="196">
        <v>1</v>
      </c>
      <c r="H121" s="193">
        <v>45107</v>
      </c>
      <c r="I121" s="197">
        <v>45078</v>
      </c>
      <c r="J121" s="198">
        <v>45078</v>
      </c>
      <c r="K121" s="199" t="s">
        <v>1724</v>
      </c>
    </row>
    <row r="122" spans="3:11">
      <c r="C122" t="s">
        <v>350</v>
      </c>
      <c r="D122" t="s">
        <v>351</v>
      </c>
      <c r="E122" t="s">
        <v>351</v>
      </c>
      <c r="F122" s="196">
        <v>0.94</v>
      </c>
      <c r="G122" s="196">
        <v>0.87</v>
      </c>
      <c r="H122" s="193">
        <v>44926</v>
      </c>
      <c r="I122" s="197">
        <v>44896</v>
      </c>
      <c r="J122" s="198" t="s">
        <v>2350</v>
      </c>
      <c r="K122" s="199">
        <v>46022</v>
      </c>
    </row>
    <row r="123" spans="3:11">
      <c r="C123" t="s">
        <v>350</v>
      </c>
      <c r="D123" t="s">
        <v>351</v>
      </c>
      <c r="E123" t="s">
        <v>351</v>
      </c>
      <c r="F123" s="196">
        <v>1</v>
      </c>
      <c r="G123" s="196">
        <v>0.89100000000000001</v>
      </c>
      <c r="H123" s="193">
        <v>44987</v>
      </c>
      <c r="I123" s="197">
        <v>44958</v>
      </c>
      <c r="J123" s="198" t="s">
        <v>2351</v>
      </c>
      <c r="K123" s="199">
        <v>46022</v>
      </c>
    </row>
    <row r="124" spans="3:11">
      <c r="C124" t="s">
        <v>350</v>
      </c>
      <c r="D124" t="s">
        <v>351</v>
      </c>
      <c r="E124" t="s">
        <v>351</v>
      </c>
      <c r="F124" s="196">
        <v>1</v>
      </c>
      <c r="G124" s="196">
        <v>0.89100000000000001</v>
      </c>
      <c r="H124" s="193">
        <v>45048</v>
      </c>
      <c r="I124" s="197">
        <v>45017</v>
      </c>
      <c r="J124" s="198" t="s">
        <v>2352</v>
      </c>
      <c r="K124" s="199">
        <v>46022</v>
      </c>
    </row>
    <row r="125" spans="3:11">
      <c r="C125" t="s">
        <v>350</v>
      </c>
      <c r="D125" t="s">
        <v>351</v>
      </c>
      <c r="E125" t="s">
        <v>351</v>
      </c>
      <c r="F125" s="196">
        <v>0.72199999999999998</v>
      </c>
      <c r="G125" s="196">
        <v>0.89100000000000001</v>
      </c>
      <c r="H125" s="193">
        <v>45117</v>
      </c>
      <c r="I125" s="197">
        <v>45078</v>
      </c>
      <c r="J125" s="198" t="s">
        <v>2353</v>
      </c>
      <c r="K125" s="199">
        <v>46022</v>
      </c>
    </row>
    <row r="126" spans="3:11">
      <c r="C126" t="s">
        <v>350</v>
      </c>
      <c r="D126" t="s">
        <v>351</v>
      </c>
      <c r="E126" t="s">
        <v>351</v>
      </c>
      <c r="F126" s="196">
        <v>0.72699999999999998</v>
      </c>
      <c r="G126" s="196">
        <v>0.89100000000000001</v>
      </c>
      <c r="H126" s="193">
        <v>45160</v>
      </c>
      <c r="I126" s="197">
        <v>45108</v>
      </c>
      <c r="J126" s="198" t="s">
        <v>2354</v>
      </c>
      <c r="K126" s="199">
        <v>46022</v>
      </c>
    </row>
    <row r="127" spans="3:11">
      <c r="C127" t="s">
        <v>350</v>
      </c>
      <c r="D127" t="s">
        <v>351</v>
      </c>
      <c r="E127" t="s">
        <v>351</v>
      </c>
      <c r="F127" s="196">
        <v>0.97799999999999998</v>
      </c>
      <c r="G127" s="196">
        <v>0.89100000000000001</v>
      </c>
      <c r="H127" s="193">
        <v>45210</v>
      </c>
      <c r="I127" s="197">
        <v>45139</v>
      </c>
      <c r="J127" s="198" t="s">
        <v>2355</v>
      </c>
      <c r="K127" s="199">
        <v>46022</v>
      </c>
    </row>
    <row r="128" spans="3:11">
      <c r="C128" t="s">
        <v>350</v>
      </c>
      <c r="D128" t="s">
        <v>351</v>
      </c>
      <c r="E128" t="s">
        <v>351</v>
      </c>
      <c r="F128" s="196">
        <v>1</v>
      </c>
      <c r="G128" s="196">
        <v>0.94499999999999995</v>
      </c>
      <c r="H128" s="193">
        <v>45274</v>
      </c>
      <c r="I128" s="197">
        <v>45231</v>
      </c>
      <c r="J128" s="198" t="s">
        <v>2356</v>
      </c>
      <c r="K128" s="199">
        <v>46022</v>
      </c>
    </row>
    <row r="129" spans="3:11">
      <c r="D129" t="s">
        <v>1256</v>
      </c>
      <c r="E129" t="s">
        <v>1256</v>
      </c>
      <c r="F129" s="196">
        <v>0.69</v>
      </c>
      <c r="G129" s="196">
        <v>0.69</v>
      </c>
      <c r="H129" s="193">
        <v>44926</v>
      </c>
      <c r="I129" s="197">
        <v>44896</v>
      </c>
      <c r="J129" s="198">
        <v>44896</v>
      </c>
      <c r="K129" s="199" t="s">
        <v>1724</v>
      </c>
    </row>
    <row r="130" spans="3:11">
      <c r="D130" t="s">
        <v>1256</v>
      </c>
      <c r="E130" t="s">
        <v>1256</v>
      </c>
      <c r="F130" s="196">
        <v>0.72</v>
      </c>
      <c r="G130" s="196">
        <v>0.69</v>
      </c>
      <c r="H130" s="193">
        <v>44986</v>
      </c>
      <c r="I130" s="197">
        <v>44958</v>
      </c>
      <c r="J130" s="198">
        <v>44958</v>
      </c>
      <c r="K130" s="199" t="s">
        <v>1724</v>
      </c>
    </row>
    <row r="131" spans="3:11">
      <c r="D131" t="s">
        <v>1256</v>
      </c>
      <c r="E131" t="s">
        <v>1256</v>
      </c>
      <c r="F131" s="196">
        <v>1</v>
      </c>
      <c r="G131" s="196">
        <v>1</v>
      </c>
      <c r="H131" s="193">
        <v>45029</v>
      </c>
      <c r="I131" s="197">
        <v>44986</v>
      </c>
      <c r="J131" s="198">
        <v>44986</v>
      </c>
      <c r="K131" s="199" t="s">
        <v>1724</v>
      </c>
    </row>
    <row r="132" spans="3:11">
      <c r="C132" t="s">
        <v>502</v>
      </c>
      <c r="D132" t="s">
        <v>503</v>
      </c>
      <c r="E132" t="s">
        <v>503</v>
      </c>
      <c r="F132" s="196">
        <v>0.41899999999999998</v>
      </c>
      <c r="G132" s="196">
        <v>0.43099999999999999</v>
      </c>
      <c r="H132" s="193">
        <v>44926</v>
      </c>
      <c r="I132" s="197">
        <v>44896</v>
      </c>
      <c r="J132" s="198" t="s">
        <v>2357</v>
      </c>
      <c r="K132" s="199">
        <v>45321</v>
      </c>
    </row>
    <row r="133" spans="3:11">
      <c r="C133" t="s">
        <v>502</v>
      </c>
      <c r="D133" t="s">
        <v>503</v>
      </c>
      <c r="E133" t="s">
        <v>503</v>
      </c>
      <c r="F133" s="196">
        <v>0.61299999999999999</v>
      </c>
      <c r="G133" s="196">
        <v>0.54600000000000004</v>
      </c>
      <c r="H133" s="193">
        <v>44956</v>
      </c>
      <c r="I133" s="197">
        <v>44927</v>
      </c>
      <c r="J133" s="198" t="s">
        <v>2358</v>
      </c>
      <c r="K133" s="199">
        <v>45321</v>
      </c>
    </row>
    <row r="134" spans="3:11">
      <c r="C134" t="s">
        <v>502</v>
      </c>
      <c r="D134" t="s">
        <v>503</v>
      </c>
      <c r="E134" t="s">
        <v>503</v>
      </c>
      <c r="F134" s="196">
        <v>0.69899999999999995</v>
      </c>
      <c r="G134" s="196">
        <v>0.60499999999999998</v>
      </c>
      <c r="H134" s="193">
        <v>44991</v>
      </c>
      <c r="I134" s="197">
        <v>44958</v>
      </c>
      <c r="J134" s="198" t="s">
        <v>2359</v>
      </c>
      <c r="K134" s="199">
        <v>45321</v>
      </c>
    </row>
    <row r="135" spans="3:11">
      <c r="C135" t="s">
        <v>502</v>
      </c>
      <c r="D135" t="s">
        <v>503</v>
      </c>
      <c r="E135" t="s">
        <v>503</v>
      </c>
      <c r="F135" s="196">
        <v>0.74099999999999999</v>
      </c>
      <c r="G135" s="196">
        <v>0.65200000000000002</v>
      </c>
      <c r="H135" s="193">
        <v>45019</v>
      </c>
      <c r="I135" s="197">
        <v>44986</v>
      </c>
      <c r="J135" s="198" t="s">
        <v>2360</v>
      </c>
      <c r="K135" s="199">
        <v>45321</v>
      </c>
    </row>
    <row r="136" spans="3:11">
      <c r="C136" t="s">
        <v>502</v>
      </c>
      <c r="D136" t="s">
        <v>503</v>
      </c>
      <c r="E136" t="s">
        <v>503</v>
      </c>
      <c r="F136" s="196">
        <v>0.79100000000000004</v>
      </c>
      <c r="G136" s="196">
        <v>0.74</v>
      </c>
      <c r="H136" s="193">
        <v>45048</v>
      </c>
      <c r="I136" s="197">
        <v>45017</v>
      </c>
      <c r="J136" s="198" t="s">
        <v>2361</v>
      </c>
      <c r="K136" s="199">
        <v>45321</v>
      </c>
    </row>
    <row r="137" spans="3:11">
      <c r="C137" t="s">
        <v>502</v>
      </c>
      <c r="D137" t="s">
        <v>503</v>
      </c>
      <c r="E137" t="s">
        <v>503</v>
      </c>
      <c r="F137" s="196">
        <v>0.84199999999999997</v>
      </c>
      <c r="G137" s="196">
        <v>0.81699999999999995</v>
      </c>
      <c r="H137" s="193">
        <v>45080</v>
      </c>
      <c r="I137" s="197">
        <v>45047</v>
      </c>
      <c r="J137" s="198" t="s">
        <v>2362</v>
      </c>
      <c r="K137" s="199">
        <v>45321</v>
      </c>
    </row>
    <row r="138" spans="3:11">
      <c r="C138" t="s">
        <v>502</v>
      </c>
      <c r="D138" t="s">
        <v>503</v>
      </c>
      <c r="E138" t="s">
        <v>503</v>
      </c>
      <c r="F138" s="196">
        <v>0.873</v>
      </c>
      <c r="G138" s="196">
        <v>0.85</v>
      </c>
      <c r="H138" s="193">
        <v>45111</v>
      </c>
      <c r="I138" s="197">
        <v>45078</v>
      </c>
      <c r="J138" s="198" t="s">
        <v>2363</v>
      </c>
      <c r="K138" s="199">
        <v>45321</v>
      </c>
    </row>
    <row r="139" spans="3:11">
      <c r="C139" t="s">
        <v>502</v>
      </c>
      <c r="D139" t="s">
        <v>503</v>
      </c>
      <c r="E139" t="s">
        <v>503</v>
      </c>
      <c r="F139" s="196">
        <v>0.88100000000000001</v>
      </c>
      <c r="G139" s="196">
        <v>0.89300000000000002</v>
      </c>
      <c r="H139" s="193">
        <v>45138</v>
      </c>
      <c r="I139" s="197">
        <v>45108</v>
      </c>
      <c r="J139" s="198" t="s">
        <v>2364</v>
      </c>
      <c r="K139" s="199">
        <v>45321</v>
      </c>
    </row>
    <row r="140" spans="3:11">
      <c r="C140" t="s">
        <v>502</v>
      </c>
      <c r="D140" t="s">
        <v>503</v>
      </c>
      <c r="E140" t="s">
        <v>503</v>
      </c>
      <c r="F140" s="196">
        <v>0.97199999999999998</v>
      </c>
      <c r="G140" s="196">
        <v>0.93600000000000005</v>
      </c>
      <c r="H140" s="193">
        <v>45183</v>
      </c>
      <c r="I140" s="197">
        <v>45139</v>
      </c>
      <c r="J140" s="198" t="s">
        <v>2365</v>
      </c>
      <c r="K140" s="199">
        <v>45321</v>
      </c>
    </row>
    <row r="141" spans="3:11">
      <c r="C141" t="s">
        <v>502</v>
      </c>
      <c r="D141" t="s">
        <v>503</v>
      </c>
      <c r="E141" t="s">
        <v>503</v>
      </c>
      <c r="F141" s="196">
        <v>1</v>
      </c>
      <c r="G141" s="196">
        <v>0.94899999999999995</v>
      </c>
      <c r="H141" s="193">
        <v>45201</v>
      </c>
      <c r="I141" s="197">
        <v>45170</v>
      </c>
      <c r="J141" s="198" t="s">
        <v>2366</v>
      </c>
      <c r="K141" s="199">
        <v>45321</v>
      </c>
    </row>
    <row r="142" spans="3:11">
      <c r="C142" t="s">
        <v>502</v>
      </c>
      <c r="D142" t="s">
        <v>503</v>
      </c>
      <c r="E142" t="s">
        <v>503</v>
      </c>
      <c r="F142" s="196">
        <v>0.90600000000000003</v>
      </c>
      <c r="G142" s="196">
        <v>0.91</v>
      </c>
      <c r="H142" s="193">
        <v>45217</v>
      </c>
      <c r="I142" s="197">
        <v>45200</v>
      </c>
      <c r="J142" s="198" t="s">
        <v>2367</v>
      </c>
      <c r="K142" s="199">
        <v>45321</v>
      </c>
    </row>
    <row r="143" spans="3:11">
      <c r="C143" t="s">
        <v>502</v>
      </c>
      <c r="D143" t="s">
        <v>503</v>
      </c>
      <c r="E143" t="s">
        <v>503</v>
      </c>
      <c r="F143" s="196">
        <v>0.93300000000000005</v>
      </c>
      <c r="G143" s="196">
        <v>0.93799999999999994</v>
      </c>
      <c r="H143" s="193">
        <v>45266</v>
      </c>
      <c r="I143" s="197">
        <v>45231</v>
      </c>
      <c r="J143" s="198" t="s">
        <v>2368</v>
      </c>
      <c r="K143" s="199">
        <v>45321</v>
      </c>
    </row>
    <row r="144" spans="3:11">
      <c r="C144" t="s">
        <v>341</v>
      </c>
      <c r="D144" t="s">
        <v>342</v>
      </c>
      <c r="E144" t="s">
        <v>1257</v>
      </c>
      <c r="F144" s="196">
        <v>0.94</v>
      </c>
      <c r="G144" s="196">
        <v>0.93600000000000005</v>
      </c>
      <c r="H144" s="193">
        <v>44926</v>
      </c>
      <c r="I144" s="197">
        <v>44896</v>
      </c>
      <c r="J144" s="198" t="s">
        <v>2369</v>
      </c>
      <c r="K144" s="199">
        <v>45291</v>
      </c>
    </row>
    <row r="145" spans="3:11">
      <c r="C145" t="s">
        <v>341</v>
      </c>
      <c r="D145" t="s">
        <v>342</v>
      </c>
      <c r="E145" t="s">
        <v>1257</v>
      </c>
      <c r="F145" s="196">
        <v>0.94</v>
      </c>
      <c r="G145" s="196">
        <v>0.93899999999999995</v>
      </c>
      <c r="H145" s="193">
        <v>44958</v>
      </c>
      <c r="I145" s="197">
        <v>44927</v>
      </c>
      <c r="J145" s="198" t="s">
        <v>2370</v>
      </c>
      <c r="K145" s="199">
        <v>45291</v>
      </c>
    </row>
    <row r="146" spans="3:11">
      <c r="C146" t="s">
        <v>341</v>
      </c>
      <c r="D146" t="s">
        <v>342</v>
      </c>
      <c r="E146" t="s">
        <v>1257</v>
      </c>
      <c r="F146" s="196">
        <v>0.94</v>
      </c>
      <c r="G146" s="196">
        <v>0.94</v>
      </c>
      <c r="H146" s="193">
        <v>44991</v>
      </c>
      <c r="I146" s="197">
        <v>44958</v>
      </c>
      <c r="J146" s="198" t="s">
        <v>2371</v>
      </c>
      <c r="K146" s="199">
        <v>45291</v>
      </c>
    </row>
    <row r="147" spans="3:11">
      <c r="C147" t="s">
        <v>341</v>
      </c>
      <c r="D147" t="s">
        <v>342</v>
      </c>
      <c r="E147" t="s">
        <v>1257</v>
      </c>
      <c r="F147" s="196">
        <v>0.94</v>
      </c>
      <c r="G147" s="196">
        <v>0.94599999999999995</v>
      </c>
      <c r="H147" s="193">
        <v>45019</v>
      </c>
      <c r="I147" s="197">
        <v>44986</v>
      </c>
      <c r="J147" s="198" t="s">
        <v>2372</v>
      </c>
      <c r="K147" s="199">
        <v>45291</v>
      </c>
    </row>
    <row r="148" spans="3:11">
      <c r="C148" t="s">
        <v>341</v>
      </c>
      <c r="D148" t="s">
        <v>342</v>
      </c>
      <c r="E148" t="s">
        <v>1257</v>
      </c>
      <c r="F148" s="196">
        <v>0.97099999999999997</v>
      </c>
      <c r="G148" s="196">
        <v>0.95099999999999996</v>
      </c>
      <c r="H148" s="193">
        <v>45048</v>
      </c>
      <c r="I148" s="197">
        <v>45017</v>
      </c>
      <c r="J148" s="198" t="s">
        <v>2373</v>
      </c>
      <c r="K148" s="199">
        <v>45291</v>
      </c>
    </row>
    <row r="149" spans="3:11">
      <c r="C149" t="s">
        <v>341</v>
      </c>
      <c r="D149" t="s">
        <v>342</v>
      </c>
      <c r="E149" t="s">
        <v>1257</v>
      </c>
      <c r="F149" s="196">
        <v>1</v>
      </c>
      <c r="G149" s="196">
        <v>0.95899999999999996</v>
      </c>
      <c r="H149" s="193">
        <v>45083</v>
      </c>
      <c r="I149" s="197">
        <v>45047</v>
      </c>
      <c r="J149" s="198" t="s">
        <v>2374</v>
      </c>
      <c r="K149" s="199">
        <v>45291</v>
      </c>
    </row>
    <row r="150" spans="3:11">
      <c r="C150" t="s">
        <v>341</v>
      </c>
      <c r="D150" t="s">
        <v>342</v>
      </c>
      <c r="E150" t="s">
        <v>1257</v>
      </c>
      <c r="F150" s="196">
        <v>1</v>
      </c>
      <c r="G150" s="196">
        <v>0.97899999999999998</v>
      </c>
      <c r="H150" s="193">
        <v>45111</v>
      </c>
      <c r="I150" s="197">
        <v>45078</v>
      </c>
      <c r="J150" s="198" t="s">
        <v>2375</v>
      </c>
      <c r="K150" s="199">
        <v>45291</v>
      </c>
    </row>
    <row r="151" spans="3:11">
      <c r="C151" t="s">
        <v>341</v>
      </c>
      <c r="D151" t="s">
        <v>342</v>
      </c>
      <c r="E151" t="s">
        <v>1257</v>
      </c>
      <c r="F151" s="196">
        <v>1</v>
      </c>
      <c r="G151" s="196">
        <v>0.99</v>
      </c>
      <c r="H151" s="193">
        <v>45138</v>
      </c>
      <c r="I151" s="197">
        <v>45108</v>
      </c>
      <c r="J151" s="198" t="s">
        <v>2376</v>
      </c>
      <c r="K151" s="199">
        <v>45291</v>
      </c>
    </row>
    <row r="152" spans="3:11">
      <c r="C152" t="s">
        <v>341</v>
      </c>
      <c r="D152" t="s">
        <v>342</v>
      </c>
      <c r="E152" t="s">
        <v>1257</v>
      </c>
      <c r="F152" s="196">
        <v>1</v>
      </c>
      <c r="G152" s="196">
        <v>0.96</v>
      </c>
      <c r="H152" s="193">
        <v>45173</v>
      </c>
      <c r="I152" s="197">
        <v>45139</v>
      </c>
      <c r="J152" s="198" t="s">
        <v>2377</v>
      </c>
      <c r="K152" s="199">
        <v>45291</v>
      </c>
    </row>
    <row r="153" spans="3:11">
      <c r="C153" t="s">
        <v>341</v>
      </c>
      <c r="D153" t="s">
        <v>342</v>
      </c>
      <c r="E153" t="s">
        <v>1257</v>
      </c>
      <c r="F153" s="196">
        <v>0.99</v>
      </c>
      <c r="G153" s="196">
        <v>0.98299999999999998</v>
      </c>
      <c r="H153" s="193">
        <v>45266</v>
      </c>
      <c r="I153" s="197">
        <v>45231</v>
      </c>
      <c r="J153" s="198" t="s">
        <v>2378</v>
      </c>
      <c r="K153" s="199">
        <v>45291</v>
      </c>
    </row>
    <row r="154" spans="3:11">
      <c r="C154" t="s">
        <v>358</v>
      </c>
      <c r="D154" t="s">
        <v>359</v>
      </c>
      <c r="E154" t="s">
        <v>359</v>
      </c>
      <c r="F154" s="196">
        <v>0.93899999999999995</v>
      </c>
      <c r="G154" s="196">
        <v>0.86399999999999999</v>
      </c>
      <c r="H154" s="193">
        <v>44926</v>
      </c>
      <c r="I154" s="197">
        <v>44896</v>
      </c>
      <c r="J154" s="198" t="s">
        <v>2379</v>
      </c>
      <c r="K154" s="199">
        <v>45745</v>
      </c>
    </row>
    <row r="155" spans="3:11">
      <c r="C155" t="s">
        <v>358</v>
      </c>
      <c r="D155" t="s">
        <v>359</v>
      </c>
      <c r="E155" t="s">
        <v>359</v>
      </c>
      <c r="F155" s="196">
        <v>0.98099999999999998</v>
      </c>
      <c r="G155" s="196">
        <v>0.871</v>
      </c>
      <c r="H155" s="193">
        <v>44970</v>
      </c>
      <c r="I155" s="197">
        <v>44927</v>
      </c>
      <c r="J155" s="198" t="s">
        <v>2380</v>
      </c>
      <c r="K155" s="199">
        <v>45745</v>
      </c>
    </row>
    <row r="156" spans="3:11">
      <c r="C156" t="s">
        <v>358</v>
      </c>
      <c r="D156" t="s">
        <v>359</v>
      </c>
      <c r="E156" t="s">
        <v>359</v>
      </c>
      <c r="F156" s="196">
        <v>0.99199999999999999</v>
      </c>
      <c r="G156" s="196">
        <v>0.88</v>
      </c>
      <c r="H156" s="193">
        <v>44995</v>
      </c>
      <c r="I156" s="197">
        <v>44986</v>
      </c>
      <c r="J156" s="198" t="s">
        <v>2381</v>
      </c>
      <c r="K156" s="199">
        <v>45745</v>
      </c>
    </row>
    <row r="157" spans="3:11">
      <c r="C157" t="s">
        <v>358</v>
      </c>
      <c r="D157" t="s">
        <v>359</v>
      </c>
      <c r="E157" t="s">
        <v>359</v>
      </c>
      <c r="F157" s="196">
        <v>0.998</v>
      </c>
      <c r="G157" s="196">
        <v>0.89600000000000002</v>
      </c>
      <c r="H157" s="193">
        <v>45048</v>
      </c>
      <c r="I157" s="197">
        <v>45017</v>
      </c>
      <c r="J157" s="198" t="s">
        <v>2382</v>
      </c>
      <c r="K157" s="199">
        <v>45745</v>
      </c>
    </row>
    <row r="158" spans="3:11">
      <c r="C158" t="s">
        <v>358</v>
      </c>
      <c r="D158" t="s">
        <v>359</v>
      </c>
      <c r="E158" t="s">
        <v>359</v>
      </c>
      <c r="F158" s="196">
        <v>0.997</v>
      </c>
      <c r="G158" s="196">
        <v>0.92700000000000005</v>
      </c>
      <c r="H158" s="193">
        <v>45078</v>
      </c>
      <c r="I158" s="197">
        <v>45047</v>
      </c>
      <c r="J158" s="198" t="s">
        <v>2383</v>
      </c>
      <c r="K158" s="199">
        <v>45745</v>
      </c>
    </row>
    <row r="159" spans="3:11">
      <c r="C159" t="s">
        <v>358</v>
      </c>
      <c r="D159" t="s">
        <v>359</v>
      </c>
      <c r="E159" t="s">
        <v>359</v>
      </c>
      <c r="F159" s="196">
        <v>1</v>
      </c>
      <c r="G159" s="196">
        <v>0.94</v>
      </c>
      <c r="H159" s="193">
        <v>45111</v>
      </c>
      <c r="I159" s="197">
        <v>45078</v>
      </c>
      <c r="J159" s="198" t="s">
        <v>2384</v>
      </c>
      <c r="K159" s="199">
        <v>45745</v>
      </c>
    </row>
    <row r="160" spans="3:11">
      <c r="C160" t="s">
        <v>358</v>
      </c>
      <c r="D160" t="s">
        <v>359</v>
      </c>
      <c r="E160" t="s">
        <v>359</v>
      </c>
      <c r="F160" s="196">
        <v>0.98599999999999999</v>
      </c>
      <c r="G160" s="196">
        <v>0.96799999999999997</v>
      </c>
      <c r="H160" s="193">
        <v>45140</v>
      </c>
      <c r="I160" s="197">
        <v>45108</v>
      </c>
      <c r="J160" s="198" t="s">
        <v>2385</v>
      </c>
      <c r="K160" s="199">
        <v>45745</v>
      </c>
    </row>
    <row r="161" spans="3:11">
      <c r="C161" t="s">
        <v>358</v>
      </c>
      <c r="D161" t="s">
        <v>359</v>
      </c>
      <c r="E161" t="s">
        <v>359</v>
      </c>
      <c r="F161" s="196">
        <v>0.996</v>
      </c>
      <c r="G161" s="196">
        <v>0.96799999999999997</v>
      </c>
      <c r="H161" s="193">
        <v>45173</v>
      </c>
      <c r="I161" s="197">
        <v>45139</v>
      </c>
      <c r="J161" s="198" t="s">
        <v>2386</v>
      </c>
      <c r="K161" s="199">
        <v>45745</v>
      </c>
    </row>
    <row r="162" spans="3:11">
      <c r="C162" t="s">
        <v>358</v>
      </c>
      <c r="D162" t="s">
        <v>359</v>
      </c>
      <c r="E162" t="s">
        <v>359</v>
      </c>
      <c r="F162" s="196">
        <v>0.92400000000000004</v>
      </c>
      <c r="G162" s="196">
        <v>0.90700000000000003</v>
      </c>
      <c r="H162" s="193">
        <v>45236</v>
      </c>
      <c r="I162" s="197">
        <v>45200</v>
      </c>
      <c r="J162" s="198" t="s">
        <v>2387</v>
      </c>
      <c r="K162" s="199">
        <v>45745</v>
      </c>
    </row>
    <row r="163" spans="3:11">
      <c r="C163" t="s">
        <v>358</v>
      </c>
      <c r="D163" t="s">
        <v>359</v>
      </c>
      <c r="E163" t="s">
        <v>359</v>
      </c>
      <c r="F163" s="196">
        <v>0.92700000000000005</v>
      </c>
      <c r="G163" s="196">
        <v>0.90700000000000003</v>
      </c>
      <c r="H163" s="193">
        <v>45260</v>
      </c>
      <c r="I163" s="197">
        <v>45231</v>
      </c>
      <c r="J163" s="198" t="s">
        <v>2388</v>
      </c>
      <c r="K163" s="199">
        <v>45745</v>
      </c>
    </row>
    <row r="164" spans="3:11">
      <c r="D164" t="s">
        <v>1239</v>
      </c>
      <c r="E164" t="s">
        <v>1239</v>
      </c>
      <c r="F164" s="196">
        <v>1</v>
      </c>
      <c r="G164" s="196">
        <v>0.87</v>
      </c>
      <c r="H164" s="193">
        <v>44545</v>
      </c>
      <c r="I164" s="197">
        <v>44896</v>
      </c>
      <c r="J164" s="198">
        <v>44896</v>
      </c>
      <c r="K164" s="199" t="s">
        <v>1724</v>
      </c>
    </row>
    <row r="165" spans="3:11">
      <c r="D165" t="s">
        <v>1239</v>
      </c>
      <c r="E165" t="s">
        <v>1239</v>
      </c>
      <c r="F165" s="196">
        <v>0.83</v>
      </c>
      <c r="G165" s="196">
        <v>0.83</v>
      </c>
      <c r="H165" s="193">
        <v>44995</v>
      </c>
      <c r="I165" s="197">
        <v>44958</v>
      </c>
      <c r="J165" s="198">
        <v>44958</v>
      </c>
      <c r="K165" s="199" t="s">
        <v>1724</v>
      </c>
    </row>
    <row r="166" spans="3:11">
      <c r="D166" t="s">
        <v>1239</v>
      </c>
      <c r="E166" t="s">
        <v>1239</v>
      </c>
      <c r="F166" s="196">
        <v>1</v>
      </c>
      <c r="G166" s="196">
        <v>1</v>
      </c>
      <c r="H166" s="193">
        <v>45219</v>
      </c>
      <c r="I166" s="197">
        <v>45200</v>
      </c>
      <c r="J166" s="198">
        <v>45200</v>
      </c>
      <c r="K166" s="199" t="s">
        <v>1724</v>
      </c>
    </row>
    <row r="167" spans="3:11">
      <c r="C167" t="s">
        <v>298</v>
      </c>
      <c r="D167" t="s">
        <v>299</v>
      </c>
      <c r="E167" t="s">
        <v>299</v>
      </c>
      <c r="F167" s="196">
        <v>0</v>
      </c>
      <c r="G167" s="196">
        <v>0</v>
      </c>
      <c r="H167" s="193">
        <v>45017</v>
      </c>
      <c r="I167" s="197">
        <v>45017</v>
      </c>
      <c r="J167" s="198" t="s">
        <v>2389</v>
      </c>
      <c r="K167" s="199">
        <v>45485</v>
      </c>
    </row>
    <row r="168" spans="3:11">
      <c r="C168" t="s">
        <v>298</v>
      </c>
      <c r="D168" t="s">
        <v>299</v>
      </c>
      <c r="E168" t="s">
        <v>299</v>
      </c>
      <c r="F168" s="196">
        <v>0.11</v>
      </c>
      <c r="G168" s="196">
        <v>0.11</v>
      </c>
      <c r="H168" s="193">
        <v>45084</v>
      </c>
      <c r="I168" s="197">
        <v>45047</v>
      </c>
      <c r="J168" s="198" t="s">
        <v>2390</v>
      </c>
      <c r="K168" s="199">
        <v>45485</v>
      </c>
    </row>
    <row r="169" spans="3:11">
      <c r="C169" t="s">
        <v>298</v>
      </c>
      <c r="D169" t="s">
        <v>299</v>
      </c>
      <c r="E169" t="s">
        <v>299</v>
      </c>
      <c r="F169" s="196">
        <v>0.16250000000000001</v>
      </c>
      <c r="G169" s="196">
        <v>0.16250000000000001</v>
      </c>
      <c r="H169" s="193">
        <v>45160</v>
      </c>
      <c r="I169" s="197">
        <v>45139</v>
      </c>
      <c r="J169" s="198" t="s">
        <v>2391</v>
      </c>
      <c r="K169" s="199">
        <v>45485</v>
      </c>
    </row>
    <row r="170" spans="3:11">
      <c r="C170" t="s">
        <v>298</v>
      </c>
      <c r="D170" t="s">
        <v>299</v>
      </c>
      <c r="E170" t="s">
        <v>299</v>
      </c>
      <c r="F170" s="196">
        <v>0.4</v>
      </c>
      <c r="G170" s="196">
        <v>0.2</v>
      </c>
      <c r="H170" s="193">
        <v>45237</v>
      </c>
      <c r="I170" s="197">
        <v>45200</v>
      </c>
      <c r="J170" s="198" t="s">
        <v>2392</v>
      </c>
      <c r="K170" s="199">
        <v>45485</v>
      </c>
    </row>
    <row r="171" spans="3:11">
      <c r="C171" t="s">
        <v>1262</v>
      </c>
      <c r="D171" t="s">
        <v>1263</v>
      </c>
      <c r="E171" t="s">
        <v>1263</v>
      </c>
      <c r="F171" s="196">
        <v>0</v>
      </c>
      <c r="G171" s="196">
        <v>0</v>
      </c>
      <c r="H171" s="193">
        <v>44935</v>
      </c>
      <c r="I171" s="197">
        <v>44896</v>
      </c>
      <c r="J171" s="198" t="s">
        <v>2393</v>
      </c>
      <c r="K171" s="199" t="s">
        <v>1724</v>
      </c>
    </row>
    <row r="172" spans="3:11">
      <c r="C172" t="s">
        <v>1262</v>
      </c>
      <c r="D172" t="s">
        <v>1263</v>
      </c>
      <c r="E172" t="s">
        <v>1263</v>
      </c>
      <c r="F172" s="196">
        <v>0.01</v>
      </c>
      <c r="G172" s="196">
        <v>0.01</v>
      </c>
      <c r="H172" s="193">
        <v>45148</v>
      </c>
      <c r="I172" s="197">
        <v>45139</v>
      </c>
      <c r="J172" s="198" t="s">
        <v>2394</v>
      </c>
      <c r="K172" s="199" t="s">
        <v>1724</v>
      </c>
    </row>
    <row r="173" spans="3:11">
      <c r="E173" t="s">
        <v>1266</v>
      </c>
      <c r="F173" s="196">
        <v>1</v>
      </c>
      <c r="G173" s="196">
        <v>1</v>
      </c>
      <c r="H173" s="193">
        <v>44952</v>
      </c>
      <c r="I173" s="197">
        <v>44927</v>
      </c>
      <c r="J173" s="198">
        <v>44927</v>
      </c>
      <c r="K173" s="199" t="s">
        <v>1724</v>
      </c>
    </row>
    <row r="174" spans="3:11">
      <c r="C174" t="s">
        <v>436</v>
      </c>
      <c r="D174" t="s">
        <v>437</v>
      </c>
      <c r="E174" t="s">
        <v>437</v>
      </c>
      <c r="F174" s="196">
        <v>0.313</v>
      </c>
      <c r="G174" s="196">
        <v>0.33300000000000002</v>
      </c>
      <c r="H174" s="193">
        <v>44926</v>
      </c>
      <c r="I174" s="197">
        <v>44896</v>
      </c>
      <c r="J174" s="198" t="s">
        <v>2395</v>
      </c>
      <c r="K174" s="199">
        <v>45412</v>
      </c>
    </row>
    <row r="175" spans="3:11">
      <c r="C175" t="s">
        <v>436</v>
      </c>
      <c r="D175" t="s">
        <v>437</v>
      </c>
      <c r="E175" t="s">
        <v>437</v>
      </c>
      <c r="F175" s="196">
        <v>0.33</v>
      </c>
      <c r="G175" s="196">
        <v>0.35499999999999998</v>
      </c>
      <c r="H175" s="193">
        <v>44959</v>
      </c>
      <c r="I175" s="197">
        <v>44927</v>
      </c>
      <c r="J175" s="198" t="s">
        <v>2396</v>
      </c>
      <c r="K175" s="199">
        <v>45412</v>
      </c>
    </row>
    <row r="176" spans="3:11">
      <c r="C176" t="s">
        <v>436</v>
      </c>
      <c r="D176" t="s">
        <v>437</v>
      </c>
      <c r="E176" t="s">
        <v>437</v>
      </c>
      <c r="F176" s="196">
        <v>0.35099999999999998</v>
      </c>
      <c r="G176" s="196">
        <v>0.39600000000000002</v>
      </c>
      <c r="H176" s="193">
        <v>44991</v>
      </c>
      <c r="I176" s="197">
        <v>44958</v>
      </c>
      <c r="J176" s="198" t="s">
        <v>2397</v>
      </c>
      <c r="K176" s="199">
        <v>45412</v>
      </c>
    </row>
    <row r="177" spans="3:11">
      <c r="C177" t="s">
        <v>436</v>
      </c>
      <c r="D177" t="s">
        <v>437</v>
      </c>
      <c r="E177" t="s">
        <v>437</v>
      </c>
      <c r="F177" s="196">
        <v>0.38400000000000001</v>
      </c>
      <c r="G177" s="196">
        <v>0.46800000000000003</v>
      </c>
      <c r="H177" s="193">
        <v>45019</v>
      </c>
      <c r="I177" s="197">
        <v>44986</v>
      </c>
      <c r="J177" s="198" t="s">
        <v>2398</v>
      </c>
      <c r="K177" s="199">
        <v>45412</v>
      </c>
    </row>
    <row r="178" spans="3:11">
      <c r="C178" t="s">
        <v>436</v>
      </c>
      <c r="D178" t="s">
        <v>437</v>
      </c>
      <c r="E178" t="s">
        <v>437</v>
      </c>
      <c r="F178" s="196">
        <v>0.40699999999999997</v>
      </c>
      <c r="G178" s="196">
        <v>0.57499999999999996</v>
      </c>
      <c r="H178" s="193">
        <v>45048</v>
      </c>
      <c r="I178" s="197">
        <v>45017</v>
      </c>
      <c r="J178" s="198" t="s">
        <v>2399</v>
      </c>
      <c r="K178" s="199">
        <v>45412</v>
      </c>
    </row>
    <row r="179" spans="3:11">
      <c r="C179" t="s">
        <v>436</v>
      </c>
      <c r="D179" t="s">
        <v>437</v>
      </c>
      <c r="E179" t="s">
        <v>437</v>
      </c>
      <c r="F179" s="196">
        <v>0.42899999999999999</v>
      </c>
      <c r="G179" s="196">
        <v>0.68799999999999994</v>
      </c>
      <c r="H179" s="193">
        <v>45111</v>
      </c>
      <c r="I179" s="197">
        <v>45047</v>
      </c>
      <c r="J179" s="198" t="s">
        <v>2400</v>
      </c>
      <c r="K179" s="199">
        <v>45412</v>
      </c>
    </row>
    <row r="180" spans="3:11">
      <c r="C180" t="s">
        <v>436</v>
      </c>
      <c r="D180" t="s">
        <v>437</v>
      </c>
      <c r="E180" t="s">
        <v>437</v>
      </c>
      <c r="F180" s="196">
        <v>0.42899999999999999</v>
      </c>
      <c r="G180" s="196">
        <v>0.97399999999999998</v>
      </c>
      <c r="H180" s="193">
        <v>45182</v>
      </c>
      <c r="I180" s="197">
        <v>45139</v>
      </c>
      <c r="J180" s="198" t="s">
        <v>2401</v>
      </c>
      <c r="K180" s="199">
        <v>45412</v>
      </c>
    </row>
    <row r="181" spans="3:11">
      <c r="C181" t="s">
        <v>436</v>
      </c>
      <c r="D181" t="s">
        <v>437</v>
      </c>
      <c r="E181" t="s">
        <v>437</v>
      </c>
      <c r="F181" s="196">
        <v>0.38600000000000001</v>
      </c>
      <c r="G181" s="196">
        <v>0.85199999999999998</v>
      </c>
      <c r="H181" s="193">
        <v>45205</v>
      </c>
      <c r="I181" s="197">
        <v>45170</v>
      </c>
      <c r="J181" s="198" t="s">
        <v>2402</v>
      </c>
      <c r="K181" s="199">
        <v>45412</v>
      </c>
    </row>
    <row r="182" spans="3:11">
      <c r="C182" t="s">
        <v>436</v>
      </c>
      <c r="D182" t="s">
        <v>437</v>
      </c>
      <c r="E182" t="s">
        <v>437</v>
      </c>
      <c r="F182" s="196">
        <v>0.441</v>
      </c>
      <c r="G182" s="196">
        <v>0.85199999999999998</v>
      </c>
      <c r="H182" s="193">
        <v>45243</v>
      </c>
      <c r="I182" s="197">
        <v>45200</v>
      </c>
      <c r="J182" s="198" t="s">
        <v>2403</v>
      </c>
      <c r="K182" s="199">
        <v>45412</v>
      </c>
    </row>
    <row r="183" spans="3:11">
      <c r="C183" t="s">
        <v>436</v>
      </c>
      <c r="D183" t="s">
        <v>437</v>
      </c>
      <c r="E183" t="s">
        <v>437</v>
      </c>
      <c r="F183" s="196">
        <v>0.42699999999999999</v>
      </c>
      <c r="G183" s="196">
        <v>0.85199999999999998</v>
      </c>
      <c r="H183" s="193">
        <v>45265</v>
      </c>
      <c r="I183" s="197">
        <v>45231</v>
      </c>
      <c r="J183" s="198" t="s">
        <v>2404</v>
      </c>
      <c r="K183" s="199">
        <v>45412</v>
      </c>
    </row>
    <row r="184" spans="3:11">
      <c r="D184" t="s">
        <v>1258</v>
      </c>
      <c r="E184" t="s">
        <v>1258</v>
      </c>
      <c r="F184" s="196">
        <v>0.94399999999999995</v>
      </c>
      <c r="G184" s="196">
        <v>0.92</v>
      </c>
      <c r="H184" s="193">
        <v>44926</v>
      </c>
      <c r="I184" s="197">
        <v>44896</v>
      </c>
      <c r="J184" s="198">
        <v>44896</v>
      </c>
      <c r="K184" s="199" t="s">
        <v>1724</v>
      </c>
    </row>
    <row r="185" spans="3:11">
      <c r="D185" t="s">
        <v>1258</v>
      </c>
      <c r="E185" t="s">
        <v>1258</v>
      </c>
      <c r="F185" s="196">
        <v>1</v>
      </c>
      <c r="G185" s="196">
        <v>1</v>
      </c>
      <c r="H185" s="193">
        <v>45000</v>
      </c>
      <c r="I185" s="197">
        <v>44958</v>
      </c>
      <c r="J185" s="198">
        <v>44958</v>
      </c>
      <c r="K185" s="199" t="s">
        <v>1724</v>
      </c>
    </row>
    <row r="186" spans="3:11">
      <c r="D186" t="s">
        <v>1259</v>
      </c>
      <c r="E186" t="s">
        <v>1259</v>
      </c>
      <c r="F186" s="196">
        <v>0.82599999999999996</v>
      </c>
      <c r="G186" s="196">
        <v>0.69199999999999995</v>
      </c>
      <c r="H186" s="193">
        <v>44926</v>
      </c>
      <c r="I186" s="197">
        <v>44896</v>
      </c>
      <c r="J186" s="198">
        <v>44896</v>
      </c>
      <c r="K186" s="199" t="s">
        <v>1724</v>
      </c>
    </row>
    <row r="187" spans="3:11">
      <c r="D187" t="s">
        <v>1259</v>
      </c>
      <c r="E187" t="s">
        <v>1259</v>
      </c>
      <c r="F187" s="196">
        <v>0.84399999999999997</v>
      </c>
      <c r="G187" s="196">
        <v>0.76400000000000001</v>
      </c>
      <c r="H187" s="193">
        <v>45000</v>
      </c>
      <c r="I187" s="197">
        <v>44958</v>
      </c>
      <c r="J187" s="198">
        <v>44958</v>
      </c>
      <c r="K187" s="199" t="s">
        <v>1724</v>
      </c>
    </row>
    <row r="188" spans="3:11">
      <c r="D188" t="s">
        <v>1259</v>
      </c>
      <c r="E188" t="s">
        <v>1259</v>
      </c>
      <c r="F188" s="196">
        <v>0.97699999999999998</v>
      </c>
      <c r="G188" s="196">
        <v>0.84499999999999997</v>
      </c>
      <c r="H188" s="193">
        <v>45016</v>
      </c>
      <c r="I188" s="197">
        <v>44986</v>
      </c>
      <c r="J188" s="198">
        <v>44986</v>
      </c>
      <c r="K188" s="199" t="s">
        <v>1724</v>
      </c>
    </row>
    <row r="189" spans="3:11">
      <c r="D189" t="s">
        <v>1259</v>
      </c>
      <c r="E189" t="s">
        <v>1259</v>
      </c>
      <c r="F189" s="196">
        <v>0.97899999999999998</v>
      </c>
      <c r="G189" s="196">
        <v>0.96499999999999997</v>
      </c>
      <c r="H189" s="193">
        <v>45050</v>
      </c>
      <c r="I189" s="197">
        <v>45017</v>
      </c>
      <c r="J189" s="198">
        <v>45017</v>
      </c>
      <c r="K189" s="199" t="s">
        <v>1724</v>
      </c>
    </row>
    <row r="190" spans="3:11">
      <c r="D190" t="s">
        <v>1259</v>
      </c>
      <c r="E190" t="s">
        <v>1259</v>
      </c>
      <c r="F190" s="196">
        <v>0.98299999999999998</v>
      </c>
      <c r="G190" s="196">
        <v>0.97899999999999998</v>
      </c>
      <c r="H190" s="193">
        <v>45111</v>
      </c>
      <c r="I190" s="197">
        <v>45047</v>
      </c>
      <c r="J190" s="198">
        <v>45047</v>
      </c>
      <c r="K190" s="199" t="s">
        <v>1724</v>
      </c>
    </row>
    <row r="191" spans="3:11">
      <c r="D191" t="s">
        <v>1259</v>
      </c>
      <c r="E191" t="s">
        <v>1259</v>
      </c>
      <c r="F191" s="196">
        <v>1</v>
      </c>
      <c r="G191" s="196">
        <v>1</v>
      </c>
      <c r="H191" s="193">
        <v>45166</v>
      </c>
      <c r="I191" s="197">
        <v>45078</v>
      </c>
      <c r="J191" s="198">
        <v>45078</v>
      </c>
      <c r="K191" s="199" t="s">
        <v>1724</v>
      </c>
    </row>
    <row r="192" spans="3:11">
      <c r="D192" t="s">
        <v>1260</v>
      </c>
      <c r="E192" t="s">
        <v>1260</v>
      </c>
      <c r="F192" s="196">
        <v>0.84499999999999997</v>
      </c>
      <c r="G192" s="196">
        <v>0.80700000000000005</v>
      </c>
      <c r="H192" s="193">
        <v>44926</v>
      </c>
      <c r="I192" s="197">
        <v>44896</v>
      </c>
      <c r="J192" s="198">
        <v>44896</v>
      </c>
      <c r="K192" s="199" t="s">
        <v>1724</v>
      </c>
    </row>
    <row r="193" spans="3:11">
      <c r="D193" t="s">
        <v>1260</v>
      </c>
      <c r="E193" t="s">
        <v>1260</v>
      </c>
      <c r="F193" s="196">
        <v>0.93300000000000005</v>
      </c>
      <c r="G193" s="196">
        <v>0.81599999999999995</v>
      </c>
      <c r="H193" s="193">
        <v>44963</v>
      </c>
      <c r="I193" s="197">
        <v>44927</v>
      </c>
      <c r="J193" s="198">
        <v>44927</v>
      </c>
      <c r="K193" s="199" t="s">
        <v>1724</v>
      </c>
    </row>
    <row r="194" spans="3:11">
      <c r="D194" t="s">
        <v>1260</v>
      </c>
      <c r="E194" t="s">
        <v>1260</v>
      </c>
      <c r="F194" s="196">
        <v>0.93300000000000005</v>
      </c>
      <c r="G194" s="196">
        <v>0.89500000000000002</v>
      </c>
      <c r="H194" s="193">
        <v>44999</v>
      </c>
      <c r="I194" s="197">
        <v>44958</v>
      </c>
      <c r="J194" s="198">
        <v>44958</v>
      </c>
      <c r="K194" s="199" t="s">
        <v>1724</v>
      </c>
    </row>
    <row r="195" spans="3:11">
      <c r="D195" t="s">
        <v>1260</v>
      </c>
      <c r="E195" t="s">
        <v>1260</v>
      </c>
      <c r="F195" s="196">
        <v>1</v>
      </c>
      <c r="G195" s="196">
        <v>0.94899999999999995</v>
      </c>
      <c r="H195" s="193">
        <v>45050</v>
      </c>
      <c r="I195" s="197">
        <v>44986</v>
      </c>
      <c r="J195" s="198">
        <v>44986</v>
      </c>
      <c r="K195" s="199" t="s">
        <v>1724</v>
      </c>
    </row>
    <row r="196" spans="3:11">
      <c r="D196" t="s">
        <v>1260</v>
      </c>
      <c r="E196" t="s">
        <v>1260</v>
      </c>
      <c r="F196" s="196">
        <v>1</v>
      </c>
      <c r="G196" s="196">
        <v>1</v>
      </c>
      <c r="H196" s="193">
        <v>45063</v>
      </c>
      <c r="I196" s="197">
        <v>45078</v>
      </c>
      <c r="J196" s="198">
        <v>45078</v>
      </c>
      <c r="K196" s="199" t="s">
        <v>1724</v>
      </c>
    </row>
    <row r="197" spans="3:11">
      <c r="C197" t="s">
        <v>464</v>
      </c>
      <c r="D197" t="s">
        <v>465</v>
      </c>
      <c r="E197" t="s">
        <v>465</v>
      </c>
      <c r="F197" s="196">
        <v>0.36</v>
      </c>
      <c r="G197" s="196">
        <v>0.35</v>
      </c>
      <c r="H197" s="193">
        <v>44926</v>
      </c>
      <c r="I197" s="197">
        <v>44896</v>
      </c>
      <c r="J197" s="198" t="s">
        <v>2405</v>
      </c>
      <c r="K197" s="199">
        <v>45433</v>
      </c>
    </row>
    <row r="198" spans="3:11">
      <c r="C198" t="s">
        <v>464</v>
      </c>
      <c r="D198" t="s">
        <v>465</v>
      </c>
      <c r="E198" t="s">
        <v>465</v>
      </c>
      <c r="F198" s="196">
        <v>0.7</v>
      </c>
      <c r="G198" s="196">
        <v>0.7</v>
      </c>
      <c r="H198" s="193">
        <v>45184</v>
      </c>
      <c r="I198" s="197">
        <v>45139</v>
      </c>
      <c r="J198" s="198" t="s">
        <v>2406</v>
      </c>
      <c r="K198" s="199">
        <v>45433</v>
      </c>
    </row>
    <row r="199" spans="3:11">
      <c r="C199" t="s">
        <v>464</v>
      </c>
      <c r="D199" t="s">
        <v>465</v>
      </c>
      <c r="E199" t="s">
        <v>465</v>
      </c>
      <c r="F199" s="196">
        <v>0.8</v>
      </c>
      <c r="G199" s="196">
        <v>0.79</v>
      </c>
      <c r="H199" s="193">
        <v>45239</v>
      </c>
      <c r="I199" s="197">
        <v>45200</v>
      </c>
      <c r="J199" s="198" t="s">
        <v>2407</v>
      </c>
      <c r="K199" s="199">
        <v>45433</v>
      </c>
    </row>
    <row r="200" spans="3:11">
      <c r="C200" t="s">
        <v>464</v>
      </c>
      <c r="D200" t="s">
        <v>465</v>
      </c>
      <c r="E200" t="s">
        <v>465</v>
      </c>
      <c r="F200" s="196">
        <v>0.84</v>
      </c>
      <c r="G200" s="196">
        <v>0.84</v>
      </c>
      <c r="H200" s="197">
        <v>45231</v>
      </c>
      <c r="I200" s="197">
        <v>45231</v>
      </c>
      <c r="J200" s="198" t="s">
        <v>2408</v>
      </c>
      <c r="K200" s="199">
        <v>45433</v>
      </c>
    </row>
    <row r="201" spans="3:11">
      <c r="C201" t="s">
        <v>322</v>
      </c>
      <c r="D201" t="s">
        <v>323</v>
      </c>
      <c r="E201" t="s">
        <v>1261</v>
      </c>
      <c r="F201" s="196">
        <v>0.96</v>
      </c>
      <c r="G201" s="196">
        <v>0.96199999999999997</v>
      </c>
      <c r="H201" s="193">
        <v>44926</v>
      </c>
      <c r="I201" s="197">
        <v>44896</v>
      </c>
      <c r="J201" s="198" t="s">
        <v>2409</v>
      </c>
      <c r="K201" s="199">
        <v>45519</v>
      </c>
    </row>
    <row r="202" spans="3:11">
      <c r="C202" t="s">
        <v>322</v>
      </c>
      <c r="D202" t="s">
        <v>323</v>
      </c>
      <c r="E202" t="s">
        <v>1261</v>
      </c>
      <c r="F202" s="196">
        <v>0.999</v>
      </c>
      <c r="G202" s="196">
        <v>0.96499999999999997</v>
      </c>
      <c r="H202" s="193">
        <v>44995</v>
      </c>
      <c r="I202" s="197">
        <v>44958</v>
      </c>
      <c r="J202" s="198" t="s">
        <v>2410</v>
      </c>
      <c r="K202" s="199">
        <v>45519</v>
      </c>
    </row>
    <row r="203" spans="3:11">
      <c r="C203" t="s">
        <v>322</v>
      </c>
      <c r="D203" t="s">
        <v>323</v>
      </c>
      <c r="E203" t="s">
        <v>1261</v>
      </c>
      <c r="F203" s="196">
        <v>1</v>
      </c>
      <c r="G203" s="196">
        <v>0.98</v>
      </c>
      <c r="H203" s="193">
        <v>45009</v>
      </c>
      <c r="I203" s="197">
        <v>44986</v>
      </c>
      <c r="J203" s="198" t="s">
        <v>2411</v>
      </c>
      <c r="K203" s="199">
        <v>45519</v>
      </c>
    </row>
    <row r="204" spans="3:11">
      <c r="C204" t="s">
        <v>322</v>
      </c>
      <c r="D204" t="s">
        <v>323</v>
      </c>
      <c r="E204" t="s">
        <v>1261</v>
      </c>
      <c r="F204" s="196">
        <v>1</v>
      </c>
      <c r="G204" s="196">
        <v>0.98</v>
      </c>
      <c r="H204" s="193">
        <v>45048</v>
      </c>
      <c r="I204" s="197">
        <v>45017</v>
      </c>
      <c r="J204" s="198" t="s">
        <v>2412</v>
      </c>
      <c r="K204" s="199">
        <v>45519</v>
      </c>
    </row>
    <row r="205" spans="3:11">
      <c r="C205" t="s">
        <v>322</v>
      </c>
      <c r="D205" t="s">
        <v>323</v>
      </c>
      <c r="E205" t="s">
        <v>1261</v>
      </c>
      <c r="F205" s="196">
        <v>0.94699999999999995</v>
      </c>
      <c r="G205" s="196">
        <v>0.873</v>
      </c>
      <c r="H205" s="193">
        <v>45148</v>
      </c>
      <c r="I205" s="197">
        <v>45108</v>
      </c>
      <c r="J205" s="198" t="s">
        <v>2413</v>
      </c>
      <c r="K205" s="199">
        <v>45519</v>
      </c>
    </row>
    <row r="206" spans="3:11">
      <c r="C206" t="s">
        <v>322</v>
      </c>
      <c r="D206" t="s">
        <v>323</v>
      </c>
      <c r="E206" t="s">
        <v>1261</v>
      </c>
      <c r="F206" s="196">
        <v>0.97199999999999998</v>
      </c>
      <c r="G206" s="196">
        <v>0.88</v>
      </c>
      <c r="H206" s="193">
        <v>45187</v>
      </c>
      <c r="I206" s="197">
        <v>45139</v>
      </c>
      <c r="J206" s="198" t="s">
        <v>2414</v>
      </c>
      <c r="K206" s="199">
        <v>45519</v>
      </c>
    </row>
    <row r="207" spans="3:11">
      <c r="C207" t="s">
        <v>322</v>
      </c>
      <c r="D207" t="s">
        <v>323</v>
      </c>
      <c r="E207" t="s">
        <v>1261</v>
      </c>
      <c r="F207" s="196">
        <v>0.995</v>
      </c>
      <c r="G207" s="196">
        <v>0.89800000000000002</v>
      </c>
      <c r="H207" s="193">
        <v>45230</v>
      </c>
      <c r="I207" s="197">
        <v>45200</v>
      </c>
      <c r="J207" s="198" t="s">
        <v>2415</v>
      </c>
      <c r="K207" s="199">
        <v>45519</v>
      </c>
    </row>
    <row r="208" spans="3:11">
      <c r="C208" t="s">
        <v>322</v>
      </c>
      <c r="D208" t="s">
        <v>323</v>
      </c>
      <c r="E208" t="s">
        <v>1261</v>
      </c>
      <c r="F208" s="196">
        <v>1</v>
      </c>
      <c r="G208" s="196">
        <v>0.93200000000000005</v>
      </c>
      <c r="H208" s="193">
        <v>45261</v>
      </c>
      <c r="I208" s="197">
        <v>45231</v>
      </c>
      <c r="J208" s="198" t="s">
        <v>2416</v>
      </c>
      <c r="K208" s="199">
        <v>45519</v>
      </c>
    </row>
    <row r="209" spans="3:11">
      <c r="C209" t="s">
        <v>322</v>
      </c>
      <c r="D209" t="s">
        <v>323</v>
      </c>
      <c r="E209" t="s">
        <v>1261</v>
      </c>
      <c r="F209" s="196">
        <v>1</v>
      </c>
      <c r="G209" s="196">
        <v>0.93899999999999995</v>
      </c>
      <c r="H209" s="197">
        <v>45261</v>
      </c>
      <c r="I209" s="197">
        <v>45261</v>
      </c>
      <c r="J209" s="198" t="s">
        <v>2417</v>
      </c>
      <c r="K209" s="199">
        <v>45519</v>
      </c>
    </row>
    <row r="210" spans="3:11">
      <c r="C210" t="s">
        <v>331</v>
      </c>
      <c r="D210" t="s">
        <v>332</v>
      </c>
      <c r="E210" t="s">
        <v>332</v>
      </c>
      <c r="F210" s="196">
        <v>0.97</v>
      </c>
      <c r="G210" s="196">
        <v>0.94499999999999995</v>
      </c>
      <c r="H210" s="193">
        <v>44926</v>
      </c>
      <c r="I210" s="197">
        <v>44896</v>
      </c>
      <c r="J210" s="198" t="s">
        <v>2418</v>
      </c>
      <c r="K210" s="199">
        <v>45442</v>
      </c>
    </row>
    <row r="211" spans="3:11">
      <c r="C211" t="s">
        <v>331</v>
      </c>
      <c r="D211" t="s">
        <v>332</v>
      </c>
      <c r="E211" t="s">
        <v>332</v>
      </c>
      <c r="F211" s="196">
        <v>0.995</v>
      </c>
      <c r="G211" s="196">
        <v>0.95399999999999996</v>
      </c>
      <c r="H211" s="193">
        <v>44963</v>
      </c>
      <c r="I211" s="197">
        <v>44927</v>
      </c>
      <c r="J211" s="198" t="s">
        <v>2419</v>
      </c>
      <c r="K211" s="199">
        <v>45442</v>
      </c>
    </row>
    <row r="212" spans="3:11">
      <c r="C212" t="s">
        <v>331</v>
      </c>
      <c r="D212" t="s">
        <v>332</v>
      </c>
      <c r="E212" t="s">
        <v>332</v>
      </c>
      <c r="F212" s="196">
        <v>1</v>
      </c>
      <c r="G212" s="196">
        <v>0.96199999999999997</v>
      </c>
      <c r="H212" s="193">
        <v>44995</v>
      </c>
      <c r="I212" s="197">
        <v>44958</v>
      </c>
      <c r="J212" s="198" t="s">
        <v>2420</v>
      </c>
      <c r="K212" s="199">
        <v>45442</v>
      </c>
    </row>
    <row r="213" spans="3:11">
      <c r="C213" t="s">
        <v>331</v>
      </c>
      <c r="D213" t="s">
        <v>332</v>
      </c>
      <c r="E213" t="s">
        <v>332</v>
      </c>
      <c r="F213" s="196">
        <v>1</v>
      </c>
      <c r="G213" s="196">
        <v>0.96199999999999997</v>
      </c>
      <c r="H213" s="193">
        <v>45019</v>
      </c>
      <c r="I213" s="197">
        <v>44986</v>
      </c>
      <c r="J213" s="198" t="s">
        <v>2421</v>
      </c>
      <c r="K213" s="199">
        <v>45442</v>
      </c>
    </row>
    <row r="214" spans="3:11">
      <c r="C214" t="s">
        <v>331</v>
      </c>
      <c r="D214" t="s">
        <v>332</v>
      </c>
      <c r="E214" t="s">
        <v>332</v>
      </c>
      <c r="F214" s="196">
        <v>1</v>
      </c>
      <c r="G214" s="196">
        <v>0.96599999999999997</v>
      </c>
      <c r="H214" s="193">
        <v>45048</v>
      </c>
      <c r="I214" s="197">
        <v>45017</v>
      </c>
      <c r="J214" s="198" t="s">
        <v>2422</v>
      </c>
      <c r="K214" s="199">
        <v>45442</v>
      </c>
    </row>
    <row r="215" spans="3:11">
      <c r="C215" t="s">
        <v>331</v>
      </c>
      <c r="D215" t="s">
        <v>332</v>
      </c>
      <c r="E215" t="s">
        <v>332</v>
      </c>
      <c r="F215" s="196">
        <v>0.996</v>
      </c>
      <c r="G215" s="196">
        <v>0.96599999999999997</v>
      </c>
      <c r="H215" s="193">
        <v>45079</v>
      </c>
      <c r="I215" s="197">
        <v>45047</v>
      </c>
      <c r="J215" s="198" t="s">
        <v>2423</v>
      </c>
      <c r="K215" s="199">
        <v>45442</v>
      </c>
    </row>
    <row r="216" spans="3:11">
      <c r="C216" t="s">
        <v>331</v>
      </c>
      <c r="D216" t="s">
        <v>332</v>
      </c>
      <c r="E216" t="s">
        <v>332</v>
      </c>
      <c r="F216" s="196">
        <v>1</v>
      </c>
      <c r="G216" s="196">
        <v>0.96599999999999997</v>
      </c>
      <c r="H216" s="193">
        <v>45111</v>
      </c>
      <c r="I216" s="197">
        <v>45078</v>
      </c>
      <c r="J216" s="198" t="s">
        <v>2424</v>
      </c>
      <c r="K216" s="199">
        <v>45442</v>
      </c>
    </row>
    <row r="217" spans="3:11">
      <c r="C217" t="s">
        <v>331</v>
      </c>
      <c r="D217" t="s">
        <v>332</v>
      </c>
      <c r="E217" t="s">
        <v>332</v>
      </c>
      <c r="F217" s="196">
        <v>0.98</v>
      </c>
      <c r="G217" s="196">
        <v>0.98799999999999999</v>
      </c>
      <c r="H217" s="193">
        <v>45140</v>
      </c>
      <c r="I217" s="197">
        <v>45108</v>
      </c>
      <c r="J217" s="198" t="s">
        <v>2425</v>
      </c>
      <c r="K217" s="199">
        <v>45442</v>
      </c>
    </row>
    <row r="218" spans="3:11">
      <c r="C218" t="s">
        <v>331</v>
      </c>
      <c r="D218" t="s">
        <v>332</v>
      </c>
      <c r="E218" t="s">
        <v>332</v>
      </c>
      <c r="F218" s="196">
        <v>0.99099999999999999</v>
      </c>
      <c r="G218" s="196">
        <v>0.98</v>
      </c>
      <c r="H218" s="193">
        <v>45174</v>
      </c>
      <c r="I218" s="197">
        <v>45139</v>
      </c>
      <c r="J218" s="198" t="s">
        <v>2426</v>
      </c>
      <c r="K218" s="199">
        <v>45442</v>
      </c>
    </row>
    <row r="219" spans="3:11">
      <c r="C219" t="s">
        <v>331</v>
      </c>
      <c r="D219" t="s">
        <v>332</v>
      </c>
      <c r="E219" t="s">
        <v>332</v>
      </c>
      <c r="F219" s="196">
        <v>0.996</v>
      </c>
      <c r="G219" s="196">
        <v>0.99199999999999999</v>
      </c>
      <c r="H219" s="193">
        <v>45236</v>
      </c>
      <c r="I219" s="197">
        <v>45200</v>
      </c>
      <c r="J219" s="198" t="s">
        <v>2427</v>
      </c>
      <c r="K219" s="199">
        <v>45442</v>
      </c>
    </row>
    <row r="220" spans="3:11">
      <c r="C220" t="s">
        <v>331</v>
      </c>
      <c r="D220" t="s">
        <v>332</v>
      </c>
      <c r="E220" t="s">
        <v>332</v>
      </c>
      <c r="F220" s="196">
        <v>0.998</v>
      </c>
      <c r="G220" s="196">
        <v>0.996</v>
      </c>
      <c r="H220" s="193">
        <v>45260</v>
      </c>
      <c r="I220" s="197">
        <v>45231</v>
      </c>
      <c r="J220" s="198" t="s">
        <v>2428</v>
      </c>
      <c r="K220" s="199">
        <v>45442</v>
      </c>
    </row>
    <row r="221" spans="3:11">
      <c r="D221" t="s">
        <v>1248</v>
      </c>
      <c r="E221" t="s">
        <v>1248</v>
      </c>
      <c r="F221" s="196">
        <v>0.91</v>
      </c>
      <c r="G221" s="196">
        <v>0.91</v>
      </c>
      <c r="H221" s="193">
        <v>44868</v>
      </c>
      <c r="I221" s="197">
        <v>44896</v>
      </c>
      <c r="J221" s="198">
        <v>44896</v>
      </c>
      <c r="K221" s="199" t="s">
        <v>1724</v>
      </c>
    </row>
    <row r="222" spans="3:11">
      <c r="D222" t="s">
        <v>1248</v>
      </c>
      <c r="E222" t="s">
        <v>1248</v>
      </c>
      <c r="F222" s="196">
        <v>1</v>
      </c>
      <c r="G222" s="196">
        <v>1</v>
      </c>
      <c r="H222" s="193">
        <v>45076</v>
      </c>
      <c r="I222" s="197">
        <v>45047</v>
      </c>
      <c r="J222" s="198">
        <v>45047</v>
      </c>
      <c r="K222" s="199" t="s">
        <v>1724</v>
      </c>
    </row>
    <row r="223" spans="3:11">
      <c r="C223" t="s">
        <v>609</v>
      </c>
      <c r="D223" t="s">
        <v>610</v>
      </c>
      <c r="E223" t="s">
        <v>1278</v>
      </c>
      <c r="F223" s="196">
        <v>0.47099999999999997</v>
      </c>
      <c r="G223" s="196">
        <v>0.30299999999999999</v>
      </c>
      <c r="H223" s="193">
        <v>45140</v>
      </c>
      <c r="I223" s="197">
        <v>45108</v>
      </c>
      <c r="J223" s="198" t="s">
        <v>2429</v>
      </c>
      <c r="K223" s="199">
        <v>45716</v>
      </c>
    </row>
    <row r="224" spans="3:11">
      <c r="C224" t="s">
        <v>609</v>
      </c>
      <c r="D224" t="s">
        <v>610</v>
      </c>
      <c r="E224" t="s">
        <v>1278</v>
      </c>
      <c r="F224" s="196">
        <v>0.503</v>
      </c>
      <c r="G224" s="196">
        <v>0.443</v>
      </c>
      <c r="H224" s="193">
        <v>45174</v>
      </c>
      <c r="I224" s="197">
        <v>45139</v>
      </c>
      <c r="J224" s="198" t="s">
        <v>2430</v>
      </c>
      <c r="K224" s="199">
        <v>45716</v>
      </c>
    </row>
    <row r="225" spans="3:11">
      <c r="C225" t="s">
        <v>609</v>
      </c>
      <c r="D225" t="s">
        <v>610</v>
      </c>
      <c r="E225" t="s">
        <v>1278</v>
      </c>
      <c r="F225" s="196">
        <v>0.56000000000000005</v>
      </c>
      <c r="G225" s="196">
        <v>0.505</v>
      </c>
      <c r="H225" s="193">
        <v>45204</v>
      </c>
      <c r="I225" s="197">
        <v>45170</v>
      </c>
      <c r="J225" s="198" t="s">
        <v>2431</v>
      </c>
      <c r="K225" s="199">
        <v>45716</v>
      </c>
    </row>
    <row r="226" spans="3:11">
      <c r="C226" t="s">
        <v>609</v>
      </c>
      <c r="D226" t="s">
        <v>610</v>
      </c>
      <c r="E226" t="s">
        <v>1278</v>
      </c>
      <c r="F226" s="196">
        <v>0.65600000000000003</v>
      </c>
      <c r="G226" s="196">
        <v>0.58799999999999997</v>
      </c>
      <c r="H226" s="193">
        <v>45236</v>
      </c>
      <c r="I226" s="197">
        <v>45200</v>
      </c>
      <c r="J226" s="198" t="s">
        <v>2432</v>
      </c>
      <c r="K226" s="199">
        <v>45716</v>
      </c>
    </row>
    <row r="227" spans="3:11">
      <c r="C227" t="s">
        <v>609</v>
      </c>
      <c r="D227" t="s">
        <v>610</v>
      </c>
      <c r="E227" t="s">
        <v>1278</v>
      </c>
      <c r="F227" s="196">
        <v>0.77</v>
      </c>
      <c r="G227" s="196">
        <v>0.68799999999999994</v>
      </c>
      <c r="H227" s="193">
        <v>45260</v>
      </c>
      <c r="I227" s="197">
        <v>45231</v>
      </c>
      <c r="J227" s="198" t="s">
        <v>2433</v>
      </c>
      <c r="K227" s="199">
        <v>45716</v>
      </c>
    </row>
    <row r="228" spans="3:11">
      <c r="C228" t="s">
        <v>160</v>
      </c>
      <c r="D228" t="s">
        <v>161</v>
      </c>
      <c r="E228" t="s">
        <v>161</v>
      </c>
      <c r="F228" s="196">
        <v>0.99199999999999999</v>
      </c>
      <c r="G228" s="196">
        <v>0.95299999999999996</v>
      </c>
      <c r="H228" s="193">
        <v>45113</v>
      </c>
      <c r="I228" s="197">
        <v>45108</v>
      </c>
      <c r="J228" s="198" t="s">
        <v>2434</v>
      </c>
      <c r="K228" s="199">
        <v>45566</v>
      </c>
    </row>
    <row r="229" spans="3:11">
      <c r="C229" t="s">
        <v>160</v>
      </c>
      <c r="D229" t="s">
        <v>161</v>
      </c>
      <c r="E229" t="s">
        <v>161</v>
      </c>
      <c r="F229" s="196">
        <v>0.84499999999999997</v>
      </c>
      <c r="G229" s="196">
        <v>0.81699999999999995</v>
      </c>
      <c r="H229" s="193">
        <v>45183</v>
      </c>
      <c r="I229" s="197">
        <v>45139</v>
      </c>
      <c r="J229" s="198" t="s">
        <v>2435</v>
      </c>
      <c r="K229" s="199">
        <v>45566</v>
      </c>
    </row>
    <row r="230" spans="3:11">
      <c r="C230" t="s">
        <v>160</v>
      </c>
      <c r="D230" t="s">
        <v>161</v>
      </c>
      <c r="E230" t="s">
        <v>161</v>
      </c>
      <c r="F230" s="196">
        <v>0.95599999999999996</v>
      </c>
      <c r="G230" s="196">
        <v>0.89800000000000002</v>
      </c>
      <c r="H230" s="193">
        <v>45259</v>
      </c>
      <c r="I230" s="197">
        <v>45231</v>
      </c>
      <c r="J230" s="198" t="s">
        <v>2436</v>
      </c>
      <c r="K230" s="199">
        <v>45566</v>
      </c>
    </row>
    <row r="231" spans="3:11">
      <c r="C231" t="s">
        <v>471</v>
      </c>
      <c r="D231" t="s">
        <v>472</v>
      </c>
      <c r="E231" t="s">
        <v>1280</v>
      </c>
      <c r="F231" s="196">
        <v>0.78200000000000003</v>
      </c>
      <c r="G231" s="196">
        <v>0.75800000000000001</v>
      </c>
      <c r="H231" s="193">
        <v>45166</v>
      </c>
      <c r="I231" s="197">
        <v>45139</v>
      </c>
      <c r="J231" s="198" t="s">
        <v>2437</v>
      </c>
      <c r="K231" s="199">
        <v>45716</v>
      </c>
    </row>
    <row r="232" spans="3:11">
      <c r="C232" t="s">
        <v>471</v>
      </c>
      <c r="D232" t="s">
        <v>472</v>
      </c>
      <c r="E232" t="s">
        <v>1280</v>
      </c>
      <c r="F232" s="196">
        <v>0.81299999999999994</v>
      </c>
      <c r="G232" s="196">
        <v>0.77900000000000003</v>
      </c>
      <c r="H232" s="193">
        <v>45201</v>
      </c>
      <c r="I232" s="197">
        <v>45170</v>
      </c>
      <c r="J232" s="198" t="s">
        <v>2438</v>
      </c>
      <c r="K232" s="199">
        <v>45716</v>
      </c>
    </row>
    <row r="233" spans="3:11">
      <c r="C233" t="s">
        <v>471</v>
      </c>
      <c r="D233" t="s">
        <v>472</v>
      </c>
      <c r="E233" t="s">
        <v>1280</v>
      </c>
      <c r="F233" s="196">
        <v>0.83699999999999997</v>
      </c>
      <c r="G233" s="196">
        <v>0.81799999999999995</v>
      </c>
      <c r="H233" s="193">
        <v>45265</v>
      </c>
      <c r="I233" s="197">
        <v>45231</v>
      </c>
      <c r="J233" s="198" t="s">
        <v>2439</v>
      </c>
      <c r="K233" s="199">
        <v>45716</v>
      </c>
    </row>
    <row r="234" spans="3:11">
      <c r="C234" t="s">
        <v>479</v>
      </c>
      <c r="D234" t="s">
        <v>480</v>
      </c>
      <c r="E234" t="s">
        <v>480</v>
      </c>
      <c r="F234" s="196">
        <v>0.95699999999999996</v>
      </c>
      <c r="G234" s="196">
        <v>0.42599999999999999</v>
      </c>
      <c r="H234" s="193">
        <v>45184</v>
      </c>
      <c r="I234" s="197">
        <v>45139</v>
      </c>
      <c r="J234" s="198" t="s">
        <v>2440</v>
      </c>
      <c r="K234" s="199" t="s">
        <v>483</v>
      </c>
    </row>
    <row r="235" spans="3:11">
      <c r="C235" t="s">
        <v>479</v>
      </c>
      <c r="D235" t="s">
        <v>480</v>
      </c>
      <c r="E235" t="s">
        <v>480</v>
      </c>
      <c r="F235" s="196">
        <v>0.56599999999999995</v>
      </c>
      <c r="G235" s="196">
        <v>0.56999999999999995</v>
      </c>
      <c r="H235" s="193">
        <v>45220</v>
      </c>
      <c r="I235" s="197">
        <v>45170</v>
      </c>
      <c r="J235" s="198" t="s">
        <v>2441</v>
      </c>
      <c r="K235" s="199" t="s">
        <v>483</v>
      </c>
    </row>
    <row r="236" spans="3:11">
      <c r="C236" t="s">
        <v>479</v>
      </c>
      <c r="D236" t="s">
        <v>480</v>
      </c>
      <c r="E236" t="s">
        <v>480</v>
      </c>
      <c r="F236" s="196">
        <v>0.52900000000000003</v>
      </c>
      <c r="G236" s="196">
        <v>0.46500000000000002</v>
      </c>
      <c r="H236" s="193">
        <v>45235</v>
      </c>
      <c r="I236" s="197">
        <v>45200</v>
      </c>
      <c r="J236" s="198" t="s">
        <v>2442</v>
      </c>
      <c r="K236" s="199" t="s">
        <v>483</v>
      </c>
    </row>
    <row r="237" spans="3:11">
      <c r="C237" t="s">
        <v>479</v>
      </c>
      <c r="D237" t="s">
        <v>480</v>
      </c>
      <c r="E237" t="s">
        <v>480</v>
      </c>
      <c r="F237" s="196">
        <v>0.495</v>
      </c>
      <c r="G237" s="196">
        <v>0.502</v>
      </c>
      <c r="H237" s="193">
        <v>45274</v>
      </c>
      <c r="I237" s="197">
        <v>45231</v>
      </c>
      <c r="J237" s="198" t="s">
        <v>2443</v>
      </c>
      <c r="K237" s="199" t="s">
        <v>483</v>
      </c>
    </row>
    <row r="238" spans="3:11">
      <c r="C238" t="s">
        <v>1283</v>
      </c>
      <c r="D238" t="s">
        <v>1284</v>
      </c>
      <c r="E238" t="s">
        <v>1284</v>
      </c>
      <c r="F238" s="196">
        <v>1</v>
      </c>
      <c r="G238" s="196">
        <v>0.56100000000000005</v>
      </c>
      <c r="H238" s="193">
        <v>45203</v>
      </c>
      <c r="I238" s="197">
        <v>45170</v>
      </c>
      <c r="J238" s="198" t="s">
        <v>2444</v>
      </c>
      <c r="K238" s="199" t="s">
        <v>1724</v>
      </c>
    </row>
    <row r="239" spans="3:11">
      <c r="C239" t="s">
        <v>1283</v>
      </c>
      <c r="D239" t="s">
        <v>1284</v>
      </c>
      <c r="E239" t="s">
        <v>1284</v>
      </c>
      <c r="F239" s="196">
        <v>1</v>
      </c>
      <c r="G239" s="196">
        <v>0.56100000000000005</v>
      </c>
      <c r="H239" s="193">
        <v>45235</v>
      </c>
      <c r="I239" s="197">
        <v>45200</v>
      </c>
      <c r="J239" s="198" t="s">
        <v>2445</v>
      </c>
      <c r="K239" s="199" t="s">
        <v>1724</v>
      </c>
    </row>
    <row r="240" spans="3:11">
      <c r="C240" t="s">
        <v>1283</v>
      </c>
      <c r="D240" t="s">
        <v>1284</v>
      </c>
      <c r="E240" t="s">
        <v>1284</v>
      </c>
      <c r="F240" s="196">
        <v>1</v>
      </c>
      <c r="G240" s="196">
        <v>0.9</v>
      </c>
      <c r="H240" s="193">
        <v>45274</v>
      </c>
      <c r="I240" s="197">
        <v>45231</v>
      </c>
      <c r="J240" s="198" t="s">
        <v>2446</v>
      </c>
      <c r="K240" s="199" t="s">
        <v>1724</v>
      </c>
    </row>
    <row r="241" spans="3:11">
      <c r="C241" t="s">
        <v>322</v>
      </c>
      <c r="D241" t="s">
        <v>323</v>
      </c>
      <c r="F241" s="196">
        <v>1</v>
      </c>
      <c r="G241" s="196">
        <v>0.94299999999999995</v>
      </c>
      <c r="H241" s="193">
        <v>45287</v>
      </c>
      <c r="I241" s="197">
        <v>45261</v>
      </c>
      <c r="J241" s="198" t="s">
        <v>2417</v>
      </c>
      <c r="K241" s="199">
        <v>45519</v>
      </c>
    </row>
    <row r="242" spans="3:11">
      <c r="C242" t="s">
        <v>331</v>
      </c>
      <c r="D242" t="s">
        <v>332</v>
      </c>
      <c r="F242" s="196">
        <v>0.998</v>
      </c>
      <c r="G242" s="196">
        <v>0.996</v>
      </c>
      <c r="H242" s="193">
        <v>45293</v>
      </c>
      <c r="I242" s="197">
        <v>45261</v>
      </c>
      <c r="J242" s="198" t="s">
        <v>2447</v>
      </c>
      <c r="K242" s="199">
        <v>45442</v>
      </c>
    </row>
    <row r="243" spans="3:11">
      <c r="C243" t="s">
        <v>341</v>
      </c>
      <c r="D243" t="s">
        <v>342</v>
      </c>
      <c r="F243" s="196">
        <v>1</v>
      </c>
      <c r="G243" s="196">
        <v>0.99</v>
      </c>
      <c r="H243" s="193">
        <v>45294</v>
      </c>
      <c r="I243" s="197">
        <v>45261</v>
      </c>
      <c r="J243" s="198" t="s">
        <v>2448</v>
      </c>
      <c r="K243" s="199">
        <v>45291</v>
      </c>
    </row>
    <row r="244" spans="3:11">
      <c r="C244" t="s">
        <v>350</v>
      </c>
      <c r="D244" t="s">
        <v>351</v>
      </c>
      <c r="F244" s="196">
        <v>0.95599999999999996</v>
      </c>
      <c r="G244" s="196">
        <v>0.90500000000000003</v>
      </c>
      <c r="H244" s="193">
        <v>45294</v>
      </c>
      <c r="I244" s="197">
        <v>45261</v>
      </c>
      <c r="J244" s="198" t="s">
        <v>2449</v>
      </c>
      <c r="K244" s="199">
        <v>46022</v>
      </c>
    </row>
    <row r="245" spans="3:11">
      <c r="C245" t="s">
        <v>358</v>
      </c>
      <c r="D245" t="s">
        <v>359</v>
      </c>
      <c r="F245" s="196">
        <v>0.92700000000000005</v>
      </c>
      <c r="G245" s="196">
        <v>0.91200000000000003</v>
      </c>
      <c r="H245" s="193">
        <v>45289</v>
      </c>
      <c r="I245" s="197">
        <v>45261</v>
      </c>
      <c r="J245" s="198" t="s">
        <v>2450</v>
      </c>
      <c r="K245" s="199">
        <v>45745</v>
      </c>
    </row>
    <row r="246" spans="3:11">
      <c r="C246" t="s">
        <v>471</v>
      </c>
      <c r="D246" t="s">
        <v>472</v>
      </c>
      <c r="F246" s="196">
        <v>0.83699999999999997</v>
      </c>
      <c r="G246" s="196">
        <v>0.83099999999999996</v>
      </c>
      <c r="H246" s="193">
        <v>45293</v>
      </c>
      <c r="I246" s="197">
        <v>45261</v>
      </c>
      <c r="J246" s="198" t="s">
        <v>2451</v>
      </c>
      <c r="K246" s="199">
        <v>45716</v>
      </c>
    </row>
    <row r="247" spans="3:11">
      <c r="C247" t="s">
        <v>479</v>
      </c>
      <c r="D247" t="s">
        <v>480</v>
      </c>
      <c r="F247" s="196">
        <v>0.55500000000000005</v>
      </c>
      <c r="G247" s="196">
        <v>0.52500000000000002</v>
      </c>
      <c r="H247" s="193">
        <v>45289</v>
      </c>
      <c r="I247" s="197">
        <v>45261</v>
      </c>
      <c r="J247" s="198" t="s">
        <v>2452</v>
      </c>
      <c r="K247" s="199" t="s">
        <v>483</v>
      </c>
    </row>
    <row r="248" spans="3:11">
      <c r="C248" t="s">
        <v>160</v>
      </c>
      <c r="D248" t="s">
        <v>161</v>
      </c>
      <c r="F248" s="196">
        <v>0.96</v>
      </c>
      <c r="G248" s="196">
        <v>0.89800000000000002</v>
      </c>
      <c r="H248" s="193">
        <v>45280</v>
      </c>
      <c r="I248" s="197">
        <v>45261</v>
      </c>
      <c r="J248" s="198" t="s">
        <v>2453</v>
      </c>
      <c r="K248" s="199">
        <v>45566</v>
      </c>
    </row>
    <row r="249" spans="3:11">
      <c r="C249" t="s">
        <v>209</v>
      </c>
      <c r="D249" t="s">
        <v>210</v>
      </c>
      <c r="F249" s="196">
        <v>0.32500000000000001</v>
      </c>
      <c r="G249" s="196">
        <v>0.29499999999999998</v>
      </c>
      <c r="H249" s="193">
        <v>45293</v>
      </c>
      <c r="I249" s="197">
        <v>45261</v>
      </c>
      <c r="J249" s="198" t="s">
        <v>2454</v>
      </c>
      <c r="K249" s="199" t="s">
        <v>2294</v>
      </c>
    </row>
    <row r="250" spans="3:11">
      <c r="C250" t="s">
        <v>502</v>
      </c>
      <c r="D250" t="s">
        <v>503</v>
      </c>
      <c r="F250" s="196">
        <v>0.96299999999999997</v>
      </c>
      <c r="G250" s="196">
        <v>0.94599999999999995</v>
      </c>
      <c r="H250" s="193">
        <v>45293</v>
      </c>
      <c r="I250" s="197">
        <v>45261</v>
      </c>
      <c r="J250" s="198" t="s">
        <v>2455</v>
      </c>
      <c r="K250" s="199">
        <v>45321</v>
      </c>
    </row>
    <row r="251" spans="3:11">
      <c r="C251" t="s">
        <v>369</v>
      </c>
      <c r="D251" t="s">
        <v>370</v>
      </c>
      <c r="F251" s="196">
        <v>0.996</v>
      </c>
      <c r="G251" s="196">
        <v>0.996</v>
      </c>
      <c r="H251" s="193">
        <v>45293</v>
      </c>
      <c r="I251" s="197">
        <v>45261</v>
      </c>
      <c r="J251" s="198" t="s">
        <v>2456</v>
      </c>
      <c r="K251" s="199">
        <v>45351</v>
      </c>
    </row>
    <row r="252" spans="3:11">
      <c r="C252" t="s">
        <v>609</v>
      </c>
      <c r="D252" t="s">
        <v>610</v>
      </c>
      <c r="F252" s="196">
        <v>0.79800000000000004</v>
      </c>
      <c r="G252" s="196">
        <v>0.79</v>
      </c>
      <c r="H252" s="193">
        <v>45289</v>
      </c>
      <c r="I252" s="197">
        <v>45261</v>
      </c>
      <c r="J252" s="198" t="s">
        <v>2457</v>
      </c>
      <c r="K252" s="199">
        <v>45716</v>
      </c>
    </row>
    <row r="253" spans="3:11">
      <c r="C253" t="s">
        <v>160</v>
      </c>
      <c r="D253" t="s">
        <v>161</v>
      </c>
      <c r="F253" s="196">
        <v>0.96</v>
      </c>
      <c r="G253" s="196">
        <v>0.89800000000000002</v>
      </c>
      <c r="H253" s="193">
        <v>45280</v>
      </c>
      <c r="I253" s="197">
        <v>45261</v>
      </c>
      <c r="J253" s="198" t="s">
        <v>2453</v>
      </c>
      <c r="K253" s="199">
        <v>45566</v>
      </c>
    </row>
    <row r="254" spans="3:11">
      <c r="C254" t="s">
        <v>298</v>
      </c>
      <c r="D254" t="s">
        <v>299</v>
      </c>
      <c r="F254" s="196">
        <v>0.4</v>
      </c>
      <c r="G254" s="196">
        <v>0.2</v>
      </c>
      <c r="H254" s="193">
        <v>45237</v>
      </c>
      <c r="I254" s="197">
        <v>45231</v>
      </c>
      <c r="J254" s="198" t="s">
        <v>2458</v>
      </c>
      <c r="K254" s="199">
        <v>45485</v>
      </c>
    </row>
    <row r="255" spans="3:11">
      <c r="C255" t="s">
        <v>502</v>
      </c>
      <c r="D255" t="s">
        <v>503</v>
      </c>
      <c r="F255" s="196">
        <v>0.96299999999999997</v>
      </c>
      <c r="G255" s="196">
        <v>0.94599999999999995</v>
      </c>
      <c r="H255" s="193">
        <v>45294</v>
      </c>
      <c r="I255" s="197">
        <v>45261</v>
      </c>
      <c r="J255" s="198" t="s">
        <v>2455</v>
      </c>
      <c r="K255" s="199">
        <v>45321</v>
      </c>
    </row>
    <row r="256" spans="3:11">
      <c r="C256" t="s">
        <v>436</v>
      </c>
      <c r="D256" t="s">
        <v>437</v>
      </c>
      <c r="F256" s="196">
        <v>0.45500000000000002</v>
      </c>
      <c r="G256" s="196">
        <v>0.88300000000000001</v>
      </c>
      <c r="H256" s="193">
        <v>45302</v>
      </c>
      <c r="I256" s="197">
        <v>45261</v>
      </c>
      <c r="J256" s="198" t="s">
        <v>2459</v>
      </c>
      <c r="K256" s="199">
        <v>45412</v>
      </c>
    </row>
    <row r="257" spans="3:11">
      <c r="C257" t="s">
        <v>1249</v>
      </c>
      <c r="D257" t="s">
        <v>1724</v>
      </c>
      <c r="F257" s="196">
        <v>0.97699999999999998</v>
      </c>
      <c r="G257" s="196">
        <v>0.96399999999999997</v>
      </c>
      <c r="H257" s="193">
        <v>45266</v>
      </c>
      <c r="I257" s="197">
        <v>45261</v>
      </c>
      <c r="J257" s="198" t="s">
        <v>2460</v>
      </c>
      <c r="K257" s="199" t="s">
        <v>1724</v>
      </c>
    </row>
    <row r="258" spans="3:11">
      <c r="C258" t="s">
        <v>570</v>
      </c>
      <c r="D258" t="s">
        <v>571</v>
      </c>
      <c r="F258" s="196">
        <v>0.89800000000000002</v>
      </c>
      <c r="G258" s="196">
        <v>0.88500000000000001</v>
      </c>
      <c r="H258" s="193">
        <v>45302</v>
      </c>
      <c r="I258" s="197">
        <v>45261</v>
      </c>
      <c r="J258" s="198" t="s">
        <v>2461</v>
      </c>
      <c r="K258" s="199">
        <v>45565</v>
      </c>
    </row>
    <row r="259" spans="3:11">
      <c r="C259" t="s">
        <v>464</v>
      </c>
      <c r="D259" t="s">
        <v>465</v>
      </c>
      <c r="F259" s="196">
        <v>0.68</v>
      </c>
      <c r="G259" s="196">
        <v>0.68</v>
      </c>
      <c r="H259" s="193">
        <v>45303</v>
      </c>
      <c r="I259" s="197">
        <v>45261</v>
      </c>
      <c r="J259" s="198" t="s">
        <v>2462</v>
      </c>
      <c r="K259" s="199">
        <v>45433</v>
      </c>
    </row>
    <row r="260" spans="3:11">
      <c r="C260" t="s">
        <v>97</v>
      </c>
      <c r="D260" t="s">
        <v>98</v>
      </c>
      <c r="F260" s="196">
        <v>0.98</v>
      </c>
      <c r="G260" s="196">
        <v>0.98</v>
      </c>
      <c r="H260" s="193">
        <v>45265</v>
      </c>
      <c r="I260" s="197">
        <v>45261</v>
      </c>
      <c r="J260" s="198" t="s">
        <v>2463</v>
      </c>
      <c r="K260" s="199">
        <v>45930</v>
      </c>
    </row>
    <row r="261" spans="3:11">
      <c r="C261" t="s">
        <v>229</v>
      </c>
      <c r="D261" t="s">
        <v>230</v>
      </c>
      <c r="F261" s="196">
        <v>1</v>
      </c>
      <c r="G261" s="196">
        <v>0.93300000000000005</v>
      </c>
      <c r="H261" s="193">
        <v>45303</v>
      </c>
      <c r="I261" s="197">
        <v>45261</v>
      </c>
      <c r="J261" s="198" t="s">
        <v>2464</v>
      </c>
      <c r="K261" s="199">
        <v>45869</v>
      </c>
    </row>
    <row r="262" spans="3:11">
      <c r="C262" t="s">
        <v>1249</v>
      </c>
      <c r="D262" t="s">
        <v>1724</v>
      </c>
      <c r="F262" s="196">
        <v>0.98199999999999998</v>
      </c>
      <c r="G262" s="196">
        <v>1</v>
      </c>
      <c r="H262" s="193">
        <v>45273</v>
      </c>
      <c r="I262" s="197">
        <v>45261</v>
      </c>
      <c r="J262" s="198" t="s">
        <v>2460</v>
      </c>
      <c r="K262" s="199" t="s">
        <v>1724</v>
      </c>
    </row>
    <row r="263" spans="3:11">
      <c r="C263" t="s">
        <v>425</v>
      </c>
      <c r="D263" t="s">
        <v>426</v>
      </c>
      <c r="F263" s="196">
        <v>0.72699999999999998</v>
      </c>
      <c r="G263" s="196">
        <v>0.67300000000000004</v>
      </c>
      <c r="H263" s="193">
        <v>45288</v>
      </c>
      <c r="I263" s="197">
        <v>45261</v>
      </c>
      <c r="J263" s="198" t="s">
        <v>2465</v>
      </c>
      <c r="K263" s="199">
        <v>45605</v>
      </c>
    </row>
    <row r="264" spans="3:11">
      <c r="C264" t="s">
        <v>479</v>
      </c>
      <c r="D264" t="s">
        <v>480</v>
      </c>
      <c r="F264" s="196">
        <v>0.57899999999999996</v>
      </c>
      <c r="G264" s="196">
        <v>0.60599999999999998</v>
      </c>
      <c r="H264" s="193">
        <v>45315</v>
      </c>
      <c r="I264" s="197">
        <v>45292</v>
      </c>
      <c r="J264" s="198" t="s">
        <v>2466</v>
      </c>
      <c r="K264" s="199" t="s">
        <v>483</v>
      </c>
    </row>
    <row r="265" spans="3:11">
      <c r="C265" t="s">
        <v>141</v>
      </c>
      <c r="D265" t="s">
        <v>142</v>
      </c>
      <c r="F265" s="196">
        <v>0.48</v>
      </c>
      <c r="G265" s="196">
        <v>0.48</v>
      </c>
      <c r="H265" s="193">
        <v>45313</v>
      </c>
      <c r="I265" s="197">
        <v>45261</v>
      </c>
      <c r="J265" s="198" t="s">
        <v>2467</v>
      </c>
      <c r="K265" s="199">
        <v>45597</v>
      </c>
    </row>
    <row r="266" spans="3:11">
      <c r="C266" t="s">
        <v>182</v>
      </c>
      <c r="D266" t="s">
        <v>183</v>
      </c>
      <c r="F266" s="196">
        <v>0.98</v>
      </c>
      <c r="G266" s="196">
        <v>0.98</v>
      </c>
      <c r="H266" s="193">
        <v>45313</v>
      </c>
      <c r="I266" s="197">
        <v>45292</v>
      </c>
      <c r="J266" s="198" t="s">
        <v>2468</v>
      </c>
      <c r="K266" s="199">
        <v>45869</v>
      </c>
    </row>
    <row r="267" spans="3:11">
      <c r="C267" t="s">
        <v>322</v>
      </c>
      <c r="D267" t="s">
        <v>323</v>
      </c>
      <c r="F267" s="196">
        <v>1</v>
      </c>
      <c r="G267" s="196">
        <v>0.95199999999999996</v>
      </c>
      <c r="H267" s="193">
        <v>45322</v>
      </c>
      <c r="I267" s="197">
        <v>45292</v>
      </c>
      <c r="J267" s="198" t="s">
        <v>2469</v>
      </c>
      <c r="K267" s="199">
        <v>45519</v>
      </c>
    </row>
    <row r="268" spans="3:11">
      <c r="C268" t="s">
        <v>479</v>
      </c>
      <c r="D268" t="s">
        <v>480</v>
      </c>
      <c r="F268" s="196">
        <v>0.59299999999999997</v>
      </c>
      <c r="G268" s="196">
        <v>0.61399999999999999</v>
      </c>
      <c r="H268" s="193">
        <v>45321</v>
      </c>
      <c r="I268" s="197">
        <v>45292</v>
      </c>
      <c r="J268" s="198" t="s">
        <v>2466</v>
      </c>
      <c r="K268" s="199" t="s">
        <v>483</v>
      </c>
    </row>
    <row r="269" spans="3:11">
      <c r="C269" t="s">
        <v>209</v>
      </c>
      <c r="D269" t="s">
        <v>210</v>
      </c>
      <c r="F269" s="196">
        <v>0.35299999999999998</v>
      </c>
      <c r="G269" s="196">
        <v>0.35199999999999998</v>
      </c>
      <c r="H269" s="193">
        <v>45326</v>
      </c>
      <c r="I269" s="197">
        <v>45292</v>
      </c>
      <c r="J269" s="198" t="s">
        <v>2470</v>
      </c>
      <c r="K269" s="199" t="s">
        <v>2294</v>
      </c>
    </row>
    <row r="270" spans="3:11">
      <c r="C270" t="s">
        <v>425</v>
      </c>
      <c r="D270" t="s">
        <v>426</v>
      </c>
      <c r="F270" s="196">
        <v>0.78600000000000003</v>
      </c>
      <c r="G270" s="196">
        <v>0.68799999999999994</v>
      </c>
      <c r="H270" s="193">
        <v>45322</v>
      </c>
      <c r="I270" s="197">
        <v>45292</v>
      </c>
      <c r="J270" s="198" t="s">
        <v>2471</v>
      </c>
      <c r="K270" s="199">
        <v>45605</v>
      </c>
    </row>
    <row r="271" spans="3:11">
      <c r="C271" t="s">
        <v>609</v>
      </c>
      <c r="D271" t="s">
        <v>610</v>
      </c>
      <c r="F271" s="196">
        <v>0.88100000000000001</v>
      </c>
      <c r="G271" s="196">
        <v>0.85299999999999998</v>
      </c>
      <c r="H271" s="193">
        <v>45322</v>
      </c>
      <c r="I271" s="197">
        <v>45292</v>
      </c>
      <c r="J271" s="198" t="s">
        <v>2472</v>
      </c>
      <c r="K271" s="199">
        <v>45716</v>
      </c>
    </row>
    <row r="272" spans="3:11">
      <c r="C272" t="s">
        <v>358</v>
      </c>
      <c r="D272" t="s">
        <v>359</v>
      </c>
      <c r="F272" s="196">
        <v>0.92700000000000005</v>
      </c>
      <c r="G272" s="196">
        <v>0.92300000000000004</v>
      </c>
      <c r="H272" s="193">
        <v>45322</v>
      </c>
      <c r="I272" s="197">
        <v>45292</v>
      </c>
      <c r="J272" s="198" t="s">
        <v>2473</v>
      </c>
      <c r="K272" s="199">
        <v>45745</v>
      </c>
    </row>
    <row r="273" spans="3:11">
      <c r="C273" t="s">
        <v>436</v>
      </c>
      <c r="D273" t="s">
        <v>437</v>
      </c>
      <c r="F273" s="196">
        <v>0.47299999999999998</v>
      </c>
      <c r="G273" s="196">
        <v>0.91400000000000003</v>
      </c>
      <c r="H273" s="193">
        <v>45327</v>
      </c>
      <c r="I273" s="197">
        <v>45292</v>
      </c>
      <c r="J273" s="198" t="s">
        <v>2474</v>
      </c>
      <c r="K273" s="199">
        <v>45412</v>
      </c>
    </row>
    <row r="274" spans="3:11">
      <c r="C274" t="s">
        <v>471</v>
      </c>
      <c r="D274" t="s">
        <v>472</v>
      </c>
      <c r="F274" s="196">
        <v>0.84599999999999997</v>
      </c>
      <c r="G274" s="196">
        <v>0.85399999999999998</v>
      </c>
      <c r="H274" s="193">
        <v>45327</v>
      </c>
      <c r="I274" s="197">
        <v>45292</v>
      </c>
      <c r="J274" s="198" t="s">
        <v>2475</v>
      </c>
      <c r="K274" s="199">
        <v>45716</v>
      </c>
    </row>
    <row r="275" spans="3:11">
      <c r="C275" t="s">
        <v>322</v>
      </c>
      <c r="D275" t="s">
        <v>323</v>
      </c>
      <c r="F275" s="196">
        <v>1</v>
      </c>
      <c r="G275" s="196">
        <v>0.95199999999999996</v>
      </c>
      <c r="H275" s="193">
        <v>45322</v>
      </c>
      <c r="I275" s="197">
        <v>45292</v>
      </c>
      <c r="J275" s="198" t="s">
        <v>2469</v>
      </c>
      <c r="K275" s="199">
        <v>45519</v>
      </c>
    </row>
    <row r="276" spans="3:11">
      <c r="C276" t="s">
        <v>331</v>
      </c>
      <c r="D276" t="s">
        <v>332</v>
      </c>
      <c r="F276" s="196">
        <v>0.998</v>
      </c>
      <c r="G276" s="196">
        <v>0.995</v>
      </c>
      <c r="H276" s="193">
        <v>45327</v>
      </c>
      <c r="I276" s="197">
        <v>45292</v>
      </c>
      <c r="J276" s="198" t="s">
        <v>2476</v>
      </c>
      <c r="K276" s="199">
        <v>45442</v>
      </c>
    </row>
    <row r="277" spans="3:11">
      <c r="C277" t="s">
        <v>369</v>
      </c>
      <c r="D277" t="s">
        <v>370</v>
      </c>
      <c r="F277" s="196">
        <v>0.998</v>
      </c>
      <c r="G277" s="196">
        <v>0.998</v>
      </c>
      <c r="H277" s="193">
        <v>45327</v>
      </c>
      <c r="I277" s="197">
        <v>45292</v>
      </c>
      <c r="J277" s="198" t="s">
        <v>2477</v>
      </c>
      <c r="K277" s="199">
        <v>45351</v>
      </c>
    </row>
    <row r="278" spans="3:11">
      <c r="C278" t="s">
        <v>229</v>
      </c>
      <c r="D278" t="s">
        <v>230</v>
      </c>
      <c r="F278" s="196">
        <v>1</v>
      </c>
      <c r="G278" s="196">
        <v>0.93300000000000005</v>
      </c>
      <c r="H278" s="193">
        <v>45328</v>
      </c>
      <c r="I278" s="197">
        <v>45292</v>
      </c>
      <c r="J278" s="198" t="s">
        <v>2478</v>
      </c>
      <c r="K278" s="199">
        <v>45869</v>
      </c>
    </row>
    <row r="279" spans="3:11">
      <c r="C279" t="s">
        <v>70</v>
      </c>
      <c r="D279" t="s">
        <v>71</v>
      </c>
      <c r="F279" s="196">
        <v>0</v>
      </c>
      <c r="G279" s="196">
        <v>0</v>
      </c>
      <c r="H279" s="193">
        <v>45328</v>
      </c>
      <c r="I279" s="197">
        <v>45292</v>
      </c>
      <c r="J279" s="198" t="s">
        <v>2479</v>
      </c>
      <c r="K279" s="199">
        <v>45928</v>
      </c>
    </row>
    <row r="280" spans="3:11">
      <c r="C280" t="s">
        <v>615</v>
      </c>
      <c r="D280" t="s">
        <v>616</v>
      </c>
      <c r="F280" s="196">
        <v>0</v>
      </c>
      <c r="G280" s="196">
        <v>0</v>
      </c>
      <c r="H280" s="193">
        <v>45341</v>
      </c>
      <c r="I280" s="197">
        <v>45292</v>
      </c>
      <c r="J280" s="198" t="s">
        <v>2480</v>
      </c>
      <c r="K280" s="199">
        <v>45645</v>
      </c>
    </row>
    <row r="281" spans="3:11">
      <c r="C281" t="s">
        <v>141</v>
      </c>
      <c r="D281" t="s">
        <v>142</v>
      </c>
      <c r="F281" s="196">
        <v>0.48</v>
      </c>
      <c r="G281" s="196">
        <v>0.48</v>
      </c>
      <c r="H281" s="193">
        <v>45313</v>
      </c>
      <c r="I281" s="197">
        <v>45292</v>
      </c>
      <c r="J281" s="198" t="s">
        <v>2481</v>
      </c>
      <c r="K281" s="199">
        <v>45597</v>
      </c>
    </row>
    <row r="282" spans="3:11">
      <c r="C282" t="s">
        <v>425</v>
      </c>
      <c r="D282" t="s">
        <v>426</v>
      </c>
      <c r="F282" s="196">
        <v>0.78600000000000003</v>
      </c>
      <c r="G282" s="196">
        <v>0.68799999999999994</v>
      </c>
      <c r="H282" s="193">
        <v>45321</v>
      </c>
      <c r="I282" s="197">
        <v>45292</v>
      </c>
      <c r="J282" s="198" t="s">
        <v>2471</v>
      </c>
      <c r="K282" s="199">
        <v>45605</v>
      </c>
    </row>
    <row r="283" spans="3:11">
      <c r="C283" t="s">
        <v>160</v>
      </c>
      <c r="D283" t="s">
        <v>161</v>
      </c>
      <c r="F283" s="196">
        <v>0.96699999999999997</v>
      </c>
      <c r="G283" s="196">
        <v>0.9</v>
      </c>
      <c r="H283" s="193">
        <v>45330</v>
      </c>
      <c r="I283" s="197">
        <v>45292</v>
      </c>
      <c r="J283" s="198" t="s">
        <v>2482</v>
      </c>
      <c r="K283" s="199">
        <v>45566</v>
      </c>
    </row>
    <row r="284" spans="3:11">
      <c r="C284" t="s">
        <v>502</v>
      </c>
      <c r="D284" t="s">
        <v>503</v>
      </c>
      <c r="F284" s="196">
        <v>0.96299999999999997</v>
      </c>
      <c r="G284" s="196">
        <v>0.94599999999999995</v>
      </c>
      <c r="H284" s="193">
        <v>45294</v>
      </c>
      <c r="I284" s="197">
        <v>45261</v>
      </c>
      <c r="J284" s="198" t="s">
        <v>2455</v>
      </c>
      <c r="K284" s="199">
        <v>45321</v>
      </c>
    </row>
    <row r="285" spans="3:11">
      <c r="C285" t="s">
        <v>436</v>
      </c>
      <c r="D285" t="s">
        <v>437</v>
      </c>
      <c r="F285" s="196">
        <v>0.47299999999999998</v>
      </c>
      <c r="G285" s="196">
        <v>0.91400000000000003</v>
      </c>
      <c r="H285" s="193">
        <v>45328</v>
      </c>
      <c r="I285" s="197">
        <v>45292</v>
      </c>
      <c r="J285" s="198" t="s">
        <v>2474</v>
      </c>
      <c r="K285" s="199">
        <v>45412</v>
      </c>
    </row>
    <row r="286" spans="3:11">
      <c r="C286" t="s">
        <v>464</v>
      </c>
      <c r="D286" t="s">
        <v>465</v>
      </c>
      <c r="F286" s="196">
        <v>0.75</v>
      </c>
      <c r="G286" s="196">
        <v>0.75</v>
      </c>
      <c r="H286" s="193">
        <v>45327</v>
      </c>
      <c r="I286" s="197">
        <v>45292</v>
      </c>
      <c r="J286" s="198" t="s">
        <v>2483</v>
      </c>
      <c r="K286" s="199">
        <v>45433</v>
      </c>
    </row>
    <row r="287" spans="3:11">
      <c r="C287" t="s">
        <v>160</v>
      </c>
      <c r="D287" t="s">
        <v>161</v>
      </c>
      <c r="F287" s="196">
        <v>0.97</v>
      </c>
      <c r="G287" s="196">
        <v>0.9</v>
      </c>
      <c r="H287" s="193">
        <v>45358</v>
      </c>
      <c r="I287" s="197">
        <v>45323</v>
      </c>
      <c r="J287" s="198" t="s">
        <v>2484</v>
      </c>
      <c r="K287" s="199">
        <v>45566</v>
      </c>
    </row>
    <row r="288" spans="3:11">
      <c r="C288" t="s">
        <v>570</v>
      </c>
      <c r="D288" t="s">
        <v>571</v>
      </c>
      <c r="F288" s="196">
        <v>0.89800000000000002</v>
      </c>
      <c r="G288" s="196">
        <v>0.88500000000000001</v>
      </c>
      <c r="H288" s="193">
        <v>45358</v>
      </c>
      <c r="I288" s="197">
        <v>45323</v>
      </c>
      <c r="J288" s="198" t="s">
        <v>2485</v>
      </c>
      <c r="K288" s="199">
        <v>45565</v>
      </c>
    </row>
    <row r="289" spans="3:11">
      <c r="C289" t="s">
        <v>369</v>
      </c>
      <c r="D289" t="s">
        <v>370</v>
      </c>
      <c r="F289" s="196">
        <v>1</v>
      </c>
      <c r="G289" s="196">
        <v>1</v>
      </c>
      <c r="H289" s="193">
        <v>45358</v>
      </c>
      <c r="I289" s="197">
        <v>45323</v>
      </c>
      <c r="J289" s="198" t="s">
        <v>2486</v>
      </c>
      <c r="K289" s="199">
        <v>45351</v>
      </c>
    </row>
    <row r="290" spans="3:11">
      <c r="C290" t="s">
        <v>209</v>
      </c>
      <c r="D290" t="s">
        <v>210</v>
      </c>
      <c r="F290" s="196">
        <v>0.375</v>
      </c>
      <c r="G290" s="196">
        <v>0.375</v>
      </c>
      <c r="H290" s="193">
        <v>45358</v>
      </c>
      <c r="I290" s="197">
        <v>45323</v>
      </c>
      <c r="J290" s="198" t="s">
        <v>2487</v>
      </c>
      <c r="K290" s="199" t="s">
        <v>2294</v>
      </c>
    </row>
    <row r="291" spans="3:11">
      <c r="C291" t="s">
        <v>609</v>
      </c>
      <c r="D291" t="s">
        <v>610</v>
      </c>
      <c r="F291" s="196">
        <v>0.87</v>
      </c>
      <c r="G291" s="196">
        <v>0.873</v>
      </c>
      <c r="H291" s="193">
        <v>45355</v>
      </c>
      <c r="I291" s="197">
        <v>45323</v>
      </c>
      <c r="J291" s="198" t="s">
        <v>2488</v>
      </c>
      <c r="K291" s="199">
        <v>45716</v>
      </c>
    </row>
    <row r="292" spans="3:11">
      <c r="C292" t="s">
        <v>229</v>
      </c>
      <c r="D292" t="s">
        <v>230</v>
      </c>
      <c r="F292" s="196">
        <v>1</v>
      </c>
      <c r="G292" s="196">
        <v>0.93300000000000005</v>
      </c>
      <c r="H292" s="193">
        <v>45348</v>
      </c>
      <c r="I292" s="197">
        <v>45323</v>
      </c>
      <c r="J292" s="198" t="s">
        <v>2489</v>
      </c>
      <c r="K292" s="199">
        <v>45869</v>
      </c>
    </row>
    <row r="293" spans="3:11">
      <c r="C293" t="s">
        <v>358</v>
      </c>
      <c r="D293" t="s">
        <v>359</v>
      </c>
      <c r="F293" s="196">
        <v>0.93</v>
      </c>
      <c r="G293" s="196">
        <v>0.92200000000000004</v>
      </c>
      <c r="H293" s="193">
        <v>45355</v>
      </c>
      <c r="I293" s="197">
        <v>45323</v>
      </c>
      <c r="J293" s="198" t="s">
        <v>2490</v>
      </c>
      <c r="K293" s="199">
        <v>45745</v>
      </c>
    </row>
    <row r="294" spans="3:11">
      <c r="C294" t="s">
        <v>436</v>
      </c>
      <c r="D294" t="s">
        <v>437</v>
      </c>
      <c r="F294" s="196">
        <v>0.48499999999999999</v>
      </c>
      <c r="G294" s="196">
        <v>0.95199999999999996</v>
      </c>
      <c r="H294" s="193">
        <v>45357</v>
      </c>
      <c r="I294" s="197">
        <v>45323</v>
      </c>
      <c r="J294" s="198" t="s">
        <v>2491</v>
      </c>
      <c r="K294" s="199">
        <v>45412</v>
      </c>
    </row>
    <row r="295" spans="3:11">
      <c r="C295" t="s">
        <v>471</v>
      </c>
      <c r="D295" t="s">
        <v>472</v>
      </c>
      <c r="F295" s="196">
        <v>0.872</v>
      </c>
      <c r="G295" s="196">
        <v>0.89200000000000002</v>
      </c>
      <c r="H295" s="193">
        <v>45355</v>
      </c>
      <c r="I295" s="197">
        <v>45323</v>
      </c>
      <c r="J295" s="198" t="s">
        <v>2492</v>
      </c>
      <c r="K295" s="199">
        <v>45716</v>
      </c>
    </row>
    <row r="296" spans="3:11">
      <c r="C296" t="s">
        <v>322</v>
      </c>
      <c r="D296" t="s">
        <v>323</v>
      </c>
      <c r="F296" s="196">
        <v>1</v>
      </c>
      <c r="G296" s="196">
        <v>0.96699999999999997</v>
      </c>
      <c r="H296" s="193">
        <v>45351</v>
      </c>
      <c r="I296" s="197">
        <v>45323</v>
      </c>
      <c r="J296" s="198" t="s">
        <v>2493</v>
      </c>
      <c r="K296" s="199">
        <v>45519</v>
      </c>
    </row>
    <row r="297" spans="3:11">
      <c r="C297" t="s">
        <v>331</v>
      </c>
      <c r="D297" t="s">
        <v>332</v>
      </c>
      <c r="F297" s="196">
        <v>1</v>
      </c>
      <c r="G297" s="196">
        <v>0.999</v>
      </c>
      <c r="H297" s="193">
        <v>45355</v>
      </c>
      <c r="I297" s="197">
        <v>45323</v>
      </c>
      <c r="J297" s="198" t="s">
        <v>2494</v>
      </c>
      <c r="K297" s="199">
        <v>45442</v>
      </c>
    </row>
    <row r="298" spans="3:11">
      <c r="C298" t="s">
        <v>479</v>
      </c>
      <c r="D298" t="s">
        <v>480</v>
      </c>
      <c r="F298" s="196">
        <v>0.749</v>
      </c>
      <c r="G298" s="196">
        <v>0.63</v>
      </c>
      <c r="H298" s="193">
        <v>45351</v>
      </c>
      <c r="I298" s="197">
        <v>45323</v>
      </c>
      <c r="J298" s="198" t="s">
        <v>2495</v>
      </c>
      <c r="K298" s="199" t="s">
        <v>483</v>
      </c>
    </row>
    <row r="299" spans="3:11">
      <c r="C299" t="s">
        <v>425</v>
      </c>
      <c r="D299" t="s">
        <v>426</v>
      </c>
      <c r="F299" s="196">
        <v>0.72199999999999998</v>
      </c>
      <c r="G299" s="196">
        <v>0.69499999999999995</v>
      </c>
      <c r="H299" s="193">
        <v>45357</v>
      </c>
      <c r="I299" s="197">
        <v>45323</v>
      </c>
      <c r="J299" s="198" t="s">
        <v>2496</v>
      </c>
      <c r="K299" s="199">
        <v>45605</v>
      </c>
    </row>
    <row r="300" spans="3:11">
      <c r="C300" t="s">
        <v>350</v>
      </c>
      <c r="D300" t="s">
        <v>351</v>
      </c>
      <c r="F300" s="196">
        <v>0.95799999999999996</v>
      </c>
      <c r="G300" s="196">
        <v>0.90500000000000003</v>
      </c>
      <c r="H300" s="193">
        <v>45357</v>
      </c>
      <c r="I300" s="197">
        <v>45323</v>
      </c>
      <c r="J300" s="198" t="s">
        <v>2497</v>
      </c>
      <c r="K300" s="199">
        <v>46022</v>
      </c>
    </row>
    <row r="301" spans="3:11">
      <c r="C301" t="s">
        <v>341</v>
      </c>
      <c r="D301" t="s">
        <v>342</v>
      </c>
      <c r="F301" s="196">
        <v>0.98</v>
      </c>
      <c r="G301" s="196">
        <v>0.99</v>
      </c>
      <c r="H301" s="193">
        <v>45358</v>
      </c>
      <c r="I301" s="197">
        <v>45323</v>
      </c>
      <c r="J301" s="198" t="s">
        <v>2498</v>
      </c>
      <c r="K301" s="199">
        <v>45291</v>
      </c>
    </row>
    <row r="302" spans="3:11">
      <c r="C302" t="s">
        <v>502</v>
      </c>
      <c r="D302" t="s">
        <v>503</v>
      </c>
      <c r="F302" s="196">
        <v>0.76</v>
      </c>
      <c r="G302" s="196">
        <v>0.98799999999999999</v>
      </c>
      <c r="H302" s="193">
        <v>45359</v>
      </c>
      <c r="I302" s="197">
        <v>45323</v>
      </c>
      <c r="J302" s="198" t="s">
        <v>2499</v>
      </c>
      <c r="K302" s="199">
        <v>45321</v>
      </c>
    </row>
    <row r="303" spans="3:11">
      <c r="C303" t="s">
        <v>1283</v>
      </c>
      <c r="D303" t="s">
        <v>1284</v>
      </c>
      <c r="F303" s="196">
        <v>1</v>
      </c>
      <c r="G303" s="196">
        <v>1</v>
      </c>
      <c r="H303" s="193">
        <v>45280</v>
      </c>
      <c r="I303" s="197">
        <v>45261</v>
      </c>
      <c r="J303" s="198" t="s">
        <v>2500</v>
      </c>
      <c r="K303" s="199" t="s">
        <v>1724</v>
      </c>
    </row>
    <row r="304" spans="3:11">
      <c r="C304" t="s">
        <v>471</v>
      </c>
      <c r="D304" t="s">
        <v>472</v>
      </c>
      <c r="F304" s="196">
        <v>0.89900000000000002</v>
      </c>
      <c r="G304" s="196">
        <v>0.90200000000000002</v>
      </c>
      <c r="H304" s="193">
        <v>45385</v>
      </c>
      <c r="I304" s="197">
        <v>45352</v>
      </c>
      <c r="J304" s="198" t="s">
        <v>2501</v>
      </c>
      <c r="K304" s="199">
        <v>45716</v>
      </c>
    </row>
    <row r="305" spans="3:11">
      <c r="C305" t="s">
        <v>160</v>
      </c>
      <c r="D305" t="s">
        <v>161</v>
      </c>
      <c r="F305" s="196">
        <v>0.97399999999999998</v>
      </c>
      <c r="G305" s="196">
        <v>0.92</v>
      </c>
      <c r="H305" s="193">
        <v>45385</v>
      </c>
      <c r="I305" s="197">
        <v>45352</v>
      </c>
      <c r="J305" s="198" t="s">
        <v>2502</v>
      </c>
      <c r="K305" s="199">
        <v>45566</v>
      </c>
    </row>
    <row r="306" spans="3:11">
      <c r="C306" t="s">
        <v>209</v>
      </c>
      <c r="D306" t="s">
        <v>210</v>
      </c>
      <c r="F306" s="196">
        <v>0.41099999999999998</v>
      </c>
      <c r="G306" s="196">
        <v>0.38500000000000001</v>
      </c>
      <c r="H306" s="193">
        <v>45385</v>
      </c>
      <c r="I306" s="197">
        <v>45352</v>
      </c>
      <c r="J306" s="198" t="s">
        <v>2503</v>
      </c>
      <c r="K306" s="199" t="s">
        <v>2294</v>
      </c>
    </row>
    <row r="307" spans="3:11">
      <c r="C307" t="s">
        <v>425</v>
      </c>
      <c r="D307" t="s">
        <v>426</v>
      </c>
      <c r="F307" s="196">
        <v>0.72699999999999998</v>
      </c>
      <c r="G307" s="196">
        <v>0.69799999999999995</v>
      </c>
      <c r="H307" s="193">
        <v>45371</v>
      </c>
      <c r="I307" s="197">
        <v>45352</v>
      </c>
      <c r="J307" s="198" t="s">
        <v>2504</v>
      </c>
      <c r="K307" s="199">
        <v>45605</v>
      </c>
    </row>
    <row r="308" spans="3:11">
      <c r="C308" t="s">
        <v>464</v>
      </c>
      <c r="D308" t="s">
        <v>465</v>
      </c>
      <c r="F308" s="196">
        <v>0.86</v>
      </c>
      <c r="G308" s="196">
        <v>0.86</v>
      </c>
      <c r="H308" s="193">
        <v>45351</v>
      </c>
      <c r="I308" s="197">
        <v>45323</v>
      </c>
      <c r="J308" s="198" t="s">
        <v>2505</v>
      </c>
      <c r="K308" s="199">
        <v>45433</v>
      </c>
    </row>
    <row r="309" spans="3:11">
      <c r="C309" t="s">
        <v>464</v>
      </c>
      <c r="D309" t="s">
        <v>465</v>
      </c>
      <c r="F309" s="196">
        <v>0.88</v>
      </c>
      <c r="G309" s="196">
        <v>0.88</v>
      </c>
      <c r="H309" s="193">
        <v>45384</v>
      </c>
      <c r="I309" s="197">
        <v>45352</v>
      </c>
      <c r="J309" s="198" t="s">
        <v>2506</v>
      </c>
      <c r="K309" s="199">
        <v>45433</v>
      </c>
    </row>
    <row r="310" spans="3:11">
      <c r="C310" t="s">
        <v>425</v>
      </c>
      <c r="D310" t="s">
        <v>426</v>
      </c>
      <c r="F310" s="196">
        <v>0.72699999999999998</v>
      </c>
      <c r="G310" s="196">
        <v>0.69799999999999995</v>
      </c>
      <c r="H310" s="193">
        <v>45371</v>
      </c>
      <c r="I310" s="197">
        <v>45352</v>
      </c>
      <c r="J310" s="198" t="s">
        <v>2504</v>
      </c>
      <c r="K310" s="199">
        <v>45605</v>
      </c>
    </row>
    <row r="311" spans="3:11">
      <c r="C311" t="s">
        <v>502</v>
      </c>
      <c r="D311" t="s">
        <v>503</v>
      </c>
      <c r="F311" s="196">
        <v>1</v>
      </c>
      <c r="G311" s="196">
        <v>1</v>
      </c>
      <c r="H311" s="193">
        <v>45376</v>
      </c>
      <c r="I311" s="197">
        <v>45352</v>
      </c>
      <c r="J311" s="198" t="s">
        <v>2507</v>
      </c>
      <c r="K311" s="199">
        <v>45321</v>
      </c>
    </row>
    <row r="312" spans="3:11">
      <c r="C312" t="s">
        <v>298</v>
      </c>
      <c r="D312" t="s">
        <v>299</v>
      </c>
      <c r="F312" s="196">
        <v>0.9375</v>
      </c>
      <c r="G312" s="196">
        <v>0.9375</v>
      </c>
      <c r="H312" s="193">
        <v>45390</v>
      </c>
      <c r="I312" s="197">
        <v>45352</v>
      </c>
      <c r="J312" s="198" t="s">
        <v>2508</v>
      </c>
      <c r="K312" s="199">
        <v>45485</v>
      </c>
    </row>
    <row r="313" spans="3:11">
      <c r="C313" t="s">
        <v>436</v>
      </c>
      <c r="D313" t="s">
        <v>437</v>
      </c>
      <c r="F313" s="196">
        <v>0.5</v>
      </c>
      <c r="G313" s="196">
        <v>0.95199999999999996</v>
      </c>
      <c r="H313" s="193">
        <v>45391</v>
      </c>
      <c r="I313" s="197">
        <v>45352</v>
      </c>
      <c r="J313" s="198" t="s">
        <v>2509</v>
      </c>
      <c r="K313" s="199">
        <v>45412</v>
      </c>
    </row>
    <row r="314" spans="3:11">
      <c r="C314" t="s">
        <v>479</v>
      </c>
      <c r="D314" t="s">
        <v>480</v>
      </c>
      <c r="F314" s="196">
        <v>0.72</v>
      </c>
      <c r="G314" s="196">
        <v>0.63200000000000001</v>
      </c>
      <c r="H314" s="193">
        <v>45391</v>
      </c>
      <c r="I314" s="197">
        <v>45352</v>
      </c>
      <c r="J314" s="198" t="s">
        <v>2510</v>
      </c>
      <c r="K314" s="199" t="s">
        <v>483</v>
      </c>
    </row>
    <row r="315" spans="3:11">
      <c r="C315" t="s">
        <v>570</v>
      </c>
      <c r="D315" t="s">
        <v>571</v>
      </c>
      <c r="F315" s="196">
        <v>1</v>
      </c>
      <c r="G315" s="196">
        <v>0.94199999999999995</v>
      </c>
      <c r="H315" s="193">
        <v>45391</v>
      </c>
      <c r="I315" s="197">
        <v>45352</v>
      </c>
      <c r="J315" s="198" t="s">
        <v>2511</v>
      </c>
      <c r="K315" s="199">
        <v>45565</v>
      </c>
    </row>
    <row r="316" spans="3:11">
      <c r="C316" t="s">
        <v>358</v>
      </c>
      <c r="D316" t="s">
        <v>359</v>
      </c>
      <c r="F316" s="196">
        <v>0.93600000000000005</v>
      </c>
      <c r="G316" s="196">
        <v>0.92200000000000004</v>
      </c>
      <c r="H316" s="193">
        <v>45392</v>
      </c>
      <c r="I316" s="197">
        <v>45352</v>
      </c>
      <c r="J316" s="198" t="s">
        <v>2512</v>
      </c>
      <c r="K316" s="199">
        <v>45745</v>
      </c>
    </row>
    <row r="317" spans="3:11">
      <c r="C317" t="s">
        <v>331</v>
      </c>
      <c r="D317" t="s">
        <v>332</v>
      </c>
      <c r="F317" s="196">
        <v>1</v>
      </c>
      <c r="G317" s="196">
        <v>1</v>
      </c>
      <c r="H317" s="193">
        <v>45392</v>
      </c>
      <c r="I317" s="197">
        <v>45352</v>
      </c>
      <c r="J317" s="198" t="s">
        <v>2513</v>
      </c>
      <c r="K317" s="199">
        <v>45442</v>
      </c>
    </row>
    <row r="318" spans="3:11">
      <c r="C318" t="s">
        <v>609</v>
      </c>
      <c r="D318" t="s">
        <v>610</v>
      </c>
      <c r="F318" s="196">
        <v>0.90100000000000002</v>
      </c>
      <c r="G318" s="196">
        <v>0.89</v>
      </c>
      <c r="H318" s="193">
        <v>45392</v>
      </c>
      <c r="I318" s="197">
        <v>45352</v>
      </c>
      <c r="J318" s="198" t="s">
        <v>2514</v>
      </c>
      <c r="K318" s="199">
        <v>45716</v>
      </c>
    </row>
    <row r="319" spans="3:11">
      <c r="C319" t="s">
        <v>404</v>
      </c>
      <c r="D319" t="s">
        <v>405</v>
      </c>
      <c r="F319" s="196">
        <v>0</v>
      </c>
      <c r="G319" s="196">
        <v>0</v>
      </c>
      <c r="H319" s="193">
        <v>45408</v>
      </c>
      <c r="I319" s="197">
        <v>45352</v>
      </c>
      <c r="J319" s="198" t="s">
        <v>2515</v>
      </c>
      <c r="K319" s="199">
        <v>45688</v>
      </c>
    </row>
    <row r="320" spans="3:11">
      <c r="C320" t="s">
        <v>376</v>
      </c>
      <c r="D320" t="s">
        <v>377</v>
      </c>
      <c r="F320" s="196">
        <v>0</v>
      </c>
      <c r="G320" s="196">
        <v>0</v>
      </c>
      <c r="H320" s="193">
        <v>45408</v>
      </c>
      <c r="I320" s="197">
        <v>45352</v>
      </c>
      <c r="J320" s="198" t="s">
        <v>2516</v>
      </c>
      <c r="K320" s="199">
        <v>45565</v>
      </c>
    </row>
    <row r="321" spans="3:11">
      <c r="C321" t="s">
        <v>384</v>
      </c>
      <c r="D321" t="s">
        <v>385</v>
      </c>
      <c r="F321" s="196">
        <v>0</v>
      </c>
      <c r="G321" s="196">
        <v>0</v>
      </c>
      <c r="H321" s="193">
        <v>45408</v>
      </c>
      <c r="I321" s="197">
        <v>45352</v>
      </c>
      <c r="J321" s="198" t="s">
        <v>2517</v>
      </c>
      <c r="K321" s="199">
        <v>46022</v>
      </c>
    </row>
    <row r="322" spans="3:11">
      <c r="C322" t="s">
        <v>615</v>
      </c>
      <c r="D322" t="s">
        <v>616</v>
      </c>
      <c r="F322" s="196">
        <v>0.59499999999999997</v>
      </c>
      <c r="G322" s="196">
        <v>0.59499999999999997</v>
      </c>
      <c r="H322" s="193">
        <v>45437</v>
      </c>
      <c r="I322" s="197">
        <v>45383</v>
      </c>
      <c r="J322" s="198" t="s">
        <v>2518</v>
      </c>
      <c r="K322" s="199">
        <v>45645</v>
      </c>
    </row>
    <row r="323" spans="3:11">
      <c r="C323" t="s">
        <v>70</v>
      </c>
      <c r="D323" t="s">
        <v>71</v>
      </c>
      <c r="F323" s="196">
        <v>0.41</v>
      </c>
      <c r="G323" s="196">
        <v>0.41</v>
      </c>
      <c r="H323" s="193">
        <v>45411</v>
      </c>
      <c r="I323" s="197">
        <v>45383</v>
      </c>
      <c r="J323" s="198" t="s">
        <v>2519</v>
      </c>
      <c r="K323" s="199">
        <v>45928</v>
      </c>
    </row>
    <row r="324" spans="3:11">
      <c r="C324" t="s">
        <v>609</v>
      </c>
      <c r="D324" t="s">
        <v>610</v>
      </c>
      <c r="F324" s="196">
        <v>0.94899999999999995</v>
      </c>
      <c r="G324" s="196">
        <v>0.89800000000000002</v>
      </c>
      <c r="H324" s="193">
        <v>45408</v>
      </c>
      <c r="I324" s="197">
        <v>45383</v>
      </c>
      <c r="J324" s="198" t="s">
        <v>2520</v>
      </c>
      <c r="K324" s="199">
        <v>45716</v>
      </c>
    </row>
    <row r="325" spans="3:11">
      <c r="C325" t="s">
        <v>436</v>
      </c>
      <c r="D325" t="s">
        <v>437</v>
      </c>
      <c r="F325" s="196">
        <v>0.5</v>
      </c>
      <c r="G325" s="196">
        <v>1</v>
      </c>
      <c r="H325" s="193">
        <v>45412</v>
      </c>
      <c r="I325" s="197">
        <v>45383</v>
      </c>
      <c r="J325" s="198" t="s">
        <v>2521</v>
      </c>
      <c r="K325" s="199">
        <v>45412</v>
      </c>
    </row>
    <row r="326" spans="3:11">
      <c r="C326" t="s">
        <v>570</v>
      </c>
      <c r="D326" t="s">
        <v>571</v>
      </c>
      <c r="F326" s="196">
        <v>1</v>
      </c>
      <c r="G326" s="196">
        <v>0.96299999999999997</v>
      </c>
      <c r="H326" s="193">
        <v>45412</v>
      </c>
      <c r="I326" s="197">
        <v>45383</v>
      </c>
      <c r="J326" s="198" t="s">
        <v>2522</v>
      </c>
      <c r="K326" s="199">
        <v>45565</v>
      </c>
    </row>
    <row r="327" spans="3:11">
      <c r="C327" t="s">
        <v>479</v>
      </c>
      <c r="D327" t="s">
        <v>480</v>
      </c>
      <c r="F327" s="196">
        <v>0.88100000000000001</v>
      </c>
      <c r="G327" s="196">
        <v>0.76200000000000001</v>
      </c>
      <c r="H327" s="193">
        <v>45407</v>
      </c>
      <c r="I327" s="197">
        <v>45383</v>
      </c>
      <c r="J327" s="198" t="s">
        <v>2523</v>
      </c>
      <c r="K327" s="199" t="s">
        <v>483</v>
      </c>
    </row>
    <row r="328" spans="3:11">
      <c r="C328" t="s">
        <v>471</v>
      </c>
      <c r="D328" t="s">
        <v>472</v>
      </c>
      <c r="F328" s="196">
        <v>0.92300000000000004</v>
      </c>
      <c r="G328" s="196">
        <v>0.91900000000000004</v>
      </c>
      <c r="H328" s="193">
        <v>45411</v>
      </c>
      <c r="I328" s="197">
        <v>45383</v>
      </c>
      <c r="J328" s="198" t="s">
        <v>2524</v>
      </c>
      <c r="K328" s="199">
        <v>45716</v>
      </c>
    </row>
    <row r="329" spans="3:11">
      <c r="C329" t="s">
        <v>358</v>
      </c>
      <c r="D329" t="s">
        <v>359</v>
      </c>
      <c r="F329" s="196">
        <v>0.94199999999999995</v>
      </c>
      <c r="G329" s="196">
        <v>0.92800000000000005</v>
      </c>
      <c r="H329" s="193">
        <v>45408</v>
      </c>
      <c r="I329" s="197">
        <v>45383</v>
      </c>
      <c r="J329" s="198" t="s">
        <v>2525</v>
      </c>
      <c r="K329" s="199">
        <v>45745</v>
      </c>
    </row>
    <row r="330" spans="3:11">
      <c r="C330" t="s">
        <v>209</v>
      </c>
      <c r="D330" t="s">
        <v>210</v>
      </c>
      <c r="F330" s="196">
        <v>0.48</v>
      </c>
      <c r="G330" s="196">
        <v>0.47</v>
      </c>
      <c r="H330" s="193">
        <v>45411</v>
      </c>
      <c r="I330" s="197">
        <v>45383</v>
      </c>
      <c r="J330" s="198" t="s">
        <v>2526</v>
      </c>
      <c r="K330" s="199" t="s">
        <v>2294</v>
      </c>
    </row>
    <row r="331" spans="3:11">
      <c r="C331" t="s">
        <v>376</v>
      </c>
      <c r="D331" t="s">
        <v>377</v>
      </c>
      <c r="F331" s="196">
        <v>0.79200000000000004</v>
      </c>
      <c r="G331" s="196">
        <v>0.48</v>
      </c>
      <c r="H331" s="193">
        <v>45414</v>
      </c>
      <c r="I331" s="197">
        <v>45383</v>
      </c>
      <c r="J331" s="198" t="s">
        <v>2527</v>
      </c>
      <c r="K331" s="199">
        <v>45565</v>
      </c>
    </row>
    <row r="332" spans="3:11">
      <c r="C332" t="s">
        <v>229</v>
      </c>
      <c r="D332" t="s">
        <v>230</v>
      </c>
      <c r="F332" s="196">
        <v>1</v>
      </c>
      <c r="G332" s="196">
        <v>0.93300000000000005</v>
      </c>
      <c r="H332" s="193">
        <v>45414</v>
      </c>
      <c r="I332" s="197">
        <v>45383</v>
      </c>
      <c r="J332" s="198" t="s">
        <v>2528</v>
      </c>
      <c r="K332" s="199">
        <v>45869</v>
      </c>
    </row>
    <row r="333" spans="3:11">
      <c r="C333" t="s">
        <v>425</v>
      </c>
      <c r="D333" t="s">
        <v>426</v>
      </c>
      <c r="F333" s="196">
        <v>0.755</v>
      </c>
      <c r="G333" s="196">
        <v>0.70399999999999996</v>
      </c>
      <c r="H333" s="193">
        <v>45414</v>
      </c>
      <c r="I333" s="197">
        <v>45383</v>
      </c>
      <c r="J333" s="198" t="s">
        <v>2529</v>
      </c>
      <c r="K333" s="199">
        <v>45605</v>
      </c>
    </row>
    <row r="334" spans="3:11">
      <c r="C334" t="s">
        <v>350</v>
      </c>
      <c r="D334" t="s">
        <v>351</v>
      </c>
      <c r="F334" s="196">
        <v>0.96</v>
      </c>
      <c r="G334" s="196">
        <v>0.90500000000000003</v>
      </c>
      <c r="H334" s="193">
        <v>45406</v>
      </c>
      <c r="I334" s="197">
        <v>45383</v>
      </c>
      <c r="J334" s="198" t="s">
        <v>2530</v>
      </c>
      <c r="K334" s="199">
        <v>46022</v>
      </c>
    </row>
    <row r="335" spans="3:11">
      <c r="C335" t="s">
        <v>322</v>
      </c>
      <c r="D335" t="s">
        <v>323</v>
      </c>
      <c r="F335" s="196">
        <v>1</v>
      </c>
      <c r="G335" s="196">
        <v>0.98699999999999999</v>
      </c>
      <c r="H335" s="193">
        <v>45414</v>
      </c>
      <c r="I335" s="197">
        <v>45383</v>
      </c>
      <c r="J335" s="198" t="s">
        <v>2531</v>
      </c>
      <c r="K335" s="199">
        <v>45519</v>
      </c>
    </row>
    <row r="336" spans="3:11">
      <c r="C336" t="s">
        <v>160</v>
      </c>
      <c r="D336" t="s">
        <v>161</v>
      </c>
      <c r="F336" s="196">
        <v>0.97899999999999998</v>
      </c>
      <c r="G336" s="196">
        <v>0.92100000000000004</v>
      </c>
      <c r="H336" s="193">
        <v>45419</v>
      </c>
      <c r="I336" s="197">
        <v>45383</v>
      </c>
      <c r="J336" s="198" t="s">
        <v>2532</v>
      </c>
      <c r="K336" s="199">
        <v>45566</v>
      </c>
    </row>
    <row r="337" spans="3:11">
      <c r="C337" t="s">
        <v>464</v>
      </c>
      <c r="D337" t="s">
        <v>465</v>
      </c>
      <c r="F337" s="196">
        <v>1</v>
      </c>
      <c r="G337" s="196">
        <v>1</v>
      </c>
      <c r="H337" s="193">
        <v>45419</v>
      </c>
      <c r="I337" s="197">
        <v>45383</v>
      </c>
      <c r="J337" s="198" t="s">
        <v>2533</v>
      </c>
      <c r="K337" s="199">
        <v>45433</v>
      </c>
    </row>
    <row r="338" spans="3:11">
      <c r="C338" t="s">
        <v>495</v>
      </c>
      <c r="D338" t="s">
        <v>496</v>
      </c>
      <c r="F338" s="196">
        <v>0</v>
      </c>
      <c r="G338" s="196">
        <v>0</v>
      </c>
      <c r="H338" s="193">
        <v>45427</v>
      </c>
      <c r="I338" s="197">
        <v>45383</v>
      </c>
      <c r="J338" s="198" t="s">
        <v>2534</v>
      </c>
      <c r="K338" s="199">
        <v>45487</v>
      </c>
    </row>
    <row r="339" spans="3:11">
      <c r="C339" t="s">
        <v>273</v>
      </c>
      <c r="D339" t="s">
        <v>274</v>
      </c>
      <c r="F339" s="196">
        <v>0</v>
      </c>
      <c r="G339" s="196">
        <v>0</v>
      </c>
      <c r="H339" s="193">
        <v>45446</v>
      </c>
      <c r="I339" s="197">
        <v>45413</v>
      </c>
      <c r="J339" s="198" t="s">
        <v>2535</v>
      </c>
      <c r="K339" s="199">
        <v>46022</v>
      </c>
    </row>
    <row r="340" spans="3:11">
      <c r="C340" t="s">
        <v>609</v>
      </c>
      <c r="D340" t="s">
        <v>610</v>
      </c>
      <c r="F340" s="196">
        <v>0.91900000000000004</v>
      </c>
      <c r="G340" s="196">
        <v>0.89600000000000002</v>
      </c>
      <c r="H340" s="193">
        <v>45440</v>
      </c>
      <c r="I340" s="197">
        <v>45413</v>
      </c>
      <c r="J340" s="198" t="s">
        <v>2536</v>
      </c>
      <c r="K340" s="199">
        <v>45716</v>
      </c>
    </row>
    <row r="341" spans="3:11">
      <c r="C341" t="s">
        <v>425</v>
      </c>
      <c r="D341" t="s">
        <v>426</v>
      </c>
      <c r="F341" s="196">
        <v>0.79900000000000004</v>
      </c>
      <c r="G341" s="196">
        <v>0.70599999999999996</v>
      </c>
      <c r="H341" s="193">
        <v>45441</v>
      </c>
      <c r="I341" s="197">
        <v>45413</v>
      </c>
      <c r="J341" s="198" t="s">
        <v>2537</v>
      </c>
      <c r="K341" s="199">
        <v>45605</v>
      </c>
    </row>
    <row r="342" spans="3:11">
      <c r="C342" t="s">
        <v>570</v>
      </c>
      <c r="D342" t="s">
        <v>571</v>
      </c>
      <c r="F342" s="196">
        <v>0.98099999999999998</v>
      </c>
      <c r="G342" s="196">
        <v>0.96299999999999997</v>
      </c>
      <c r="H342" s="193">
        <v>45440</v>
      </c>
      <c r="I342" s="197">
        <v>45413</v>
      </c>
      <c r="J342" s="198" t="s">
        <v>2538</v>
      </c>
      <c r="K342" s="199">
        <v>45565</v>
      </c>
    </row>
    <row r="343" spans="3:11">
      <c r="C343" t="s">
        <v>209</v>
      </c>
      <c r="D343" t="s">
        <v>210</v>
      </c>
      <c r="F343" s="196">
        <v>0.55500000000000005</v>
      </c>
      <c r="G343" s="196">
        <v>0.53100000000000003</v>
      </c>
      <c r="H343" s="193">
        <v>45439</v>
      </c>
      <c r="I343" s="197">
        <v>45413</v>
      </c>
      <c r="J343" s="198" t="s">
        <v>2539</v>
      </c>
      <c r="K343" s="199" t="s">
        <v>2294</v>
      </c>
    </row>
    <row r="344" spans="3:11">
      <c r="C344" t="s">
        <v>160</v>
      </c>
      <c r="D344" t="s">
        <v>161</v>
      </c>
      <c r="F344" s="196">
        <v>0.98199999999999998</v>
      </c>
      <c r="G344" s="196">
        <v>0.92600000000000005</v>
      </c>
      <c r="H344" s="193">
        <v>45446</v>
      </c>
      <c r="I344" s="197">
        <v>45413</v>
      </c>
      <c r="J344" s="198" t="s">
        <v>2540</v>
      </c>
      <c r="K344" s="199">
        <v>45566</v>
      </c>
    </row>
    <row r="345" spans="3:11">
      <c r="C345" t="s">
        <v>479</v>
      </c>
      <c r="D345" t="s">
        <v>480</v>
      </c>
      <c r="F345" s="196">
        <v>0.97</v>
      </c>
      <c r="G345" s="196">
        <v>0.82199999999999995</v>
      </c>
      <c r="H345" s="193">
        <v>45439</v>
      </c>
      <c r="I345" s="197">
        <v>45413</v>
      </c>
      <c r="J345" s="198" t="s">
        <v>2541</v>
      </c>
      <c r="K345" s="199" t="s">
        <v>483</v>
      </c>
    </row>
    <row r="346" spans="3:11">
      <c r="C346" t="s">
        <v>471</v>
      </c>
      <c r="D346" t="s">
        <v>472</v>
      </c>
      <c r="F346" s="196">
        <v>0.94799999999999995</v>
      </c>
      <c r="G346" s="196">
        <v>0.94099999999999995</v>
      </c>
      <c r="H346" s="193">
        <v>45439</v>
      </c>
      <c r="I346" s="197">
        <v>45413</v>
      </c>
      <c r="J346" s="198" t="s">
        <v>2542</v>
      </c>
      <c r="K346" s="199">
        <v>45716</v>
      </c>
    </row>
    <row r="347" spans="3:11">
      <c r="C347" t="s">
        <v>358</v>
      </c>
      <c r="D347" t="s">
        <v>359</v>
      </c>
      <c r="F347" s="196">
        <v>0.92600000000000005</v>
      </c>
      <c r="G347" s="196">
        <v>0.92800000000000005</v>
      </c>
      <c r="H347" s="193">
        <v>45440</v>
      </c>
      <c r="I347" s="197">
        <v>45413</v>
      </c>
      <c r="J347" s="198" t="s">
        <v>2543</v>
      </c>
      <c r="K347" s="199">
        <v>45745</v>
      </c>
    </row>
    <row r="348" spans="3:11">
      <c r="C348" t="s">
        <v>350</v>
      </c>
      <c r="D348" t="s">
        <v>351</v>
      </c>
      <c r="F348" s="196">
        <v>0.96199999999999997</v>
      </c>
      <c r="G348" s="196">
        <v>0.90500000000000003</v>
      </c>
      <c r="H348" s="193">
        <v>45434</v>
      </c>
      <c r="I348" s="197">
        <v>45413</v>
      </c>
      <c r="J348" s="198" t="s">
        <v>2544</v>
      </c>
      <c r="K348" s="199">
        <v>46022</v>
      </c>
    </row>
    <row r="349" spans="3:11">
      <c r="C349" t="s">
        <v>376</v>
      </c>
      <c r="D349" t="s">
        <v>377</v>
      </c>
      <c r="F349" s="196">
        <v>0.92500000000000004</v>
      </c>
      <c r="G349" s="196">
        <v>0.48</v>
      </c>
      <c r="H349" s="193">
        <v>45446</v>
      </c>
      <c r="I349" s="197">
        <v>45413</v>
      </c>
      <c r="J349" s="198" t="s">
        <v>2545</v>
      </c>
      <c r="K349" s="199">
        <v>45565</v>
      </c>
    </row>
    <row r="350" spans="3:11">
      <c r="C350" s="193" t="s">
        <v>615</v>
      </c>
      <c r="D350" t="s">
        <v>616</v>
      </c>
      <c r="F350" s="196">
        <v>0.63600000000000001</v>
      </c>
      <c r="G350" s="196">
        <v>0.63100000000000001</v>
      </c>
      <c r="H350" s="193">
        <v>45448</v>
      </c>
      <c r="I350" s="197">
        <v>45413</v>
      </c>
      <c r="J350" s="198" t="s">
        <v>2546</v>
      </c>
      <c r="K350" s="199">
        <v>45645</v>
      </c>
    </row>
    <row r="351" spans="3:11">
      <c r="C351" t="s">
        <v>495</v>
      </c>
      <c r="D351" t="s">
        <v>496</v>
      </c>
      <c r="F351" s="196">
        <v>0.98899999999999999</v>
      </c>
      <c r="G351" s="196">
        <v>0.93300000000000005</v>
      </c>
      <c r="H351" s="193">
        <v>45449</v>
      </c>
      <c r="I351" s="197">
        <v>45413</v>
      </c>
      <c r="J351" s="198" t="s">
        <v>2547</v>
      </c>
      <c r="K351" s="199">
        <v>45487</v>
      </c>
    </row>
    <row r="352" spans="3:11">
      <c r="C352" t="s">
        <v>160</v>
      </c>
      <c r="D352" t="s">
        <v>161</v>
      </c>
      <c r="F352" s="196">
        <v>0.98199999999999998</v>
      </c>
      <c r="G352" s="196">
        <v>0.92600000000000005</v>
      </c>
      <c r="H352" s="193">
        <v>45446</v>
      </c>
      <c r="I352" s="197">
        <v>45413</v>
      </c>
      <c r="J352" t="s">
        <v>2540</v>
      </c>
      <c r="K352" s="199">
        <v>45566</v>
      </c>
    </row>
    <row r="353" spans="3:11">
      <c r="C353" t="s">
        <v>322</v>
      </c>
      <c r="D353" t="s">
        <v>323</v>
      </c>
      <c r="F353" s="196">
        <v>1</v>
      </c>
      <c r="G353" s="196">
        <v>0.98099999999999998</v>
      </c>
      <c r="H353" s="193">
        <v>45443</v>
      </c>
      <c r="I353" s="197">
        <v>45413</v>
      </c>
      <c r="J353" s="198" t="s">
        <v>2548</v>
      </c>
      <c r="K353" s="199">
        <v>45519</v>
      </c>
    </row>
    <row r="354" spans="3:11">
      <c r="C354" t="s">
        <v>141</v>
      </c>
      <c r="D354" t="s">
        <v>142</v>
      </c>
      <c r="F354" s="196">
        <v>0.88</v>
      </c>
      <c r="G354" s="196">
        <v>0.88</v>
      </c>
      <c r="H354" s="193">
        <v>45453</v>
      </c>
      <c r="I354" s="197">
        <v>45413</v>
      </c>
      <c r="J354" s="198" t="s">
        <v>2549</v>
      </c>
      <c r="K354" s="199">
        <v>45597</v>
      </c>
    </row>
    <row r="355" spans="3:11">
      <c r="C355" t="s">
        <v>384</v>
      </c>
      <c r="D355" t="s">
        <v>385</v>
      </c>
      <c r="F355" s="196">
        <v>0.21</v>
      </c>
      <c r="G355" s="196">
        <v>0.21</v>
      </c>
      <c r="H355" s="193">
        <v>45463</v>
      </c>
      <c r="I355" s="197">
        <v>45444</v>
      </c>
      <c r="J355" s="198" t="s">
        <v>2550</v>
      </c>
      <c r="K355" s="199">
        <v>46022</v>
      </c>
    </row>
    <row r="356" spans="3:11">
      <c r="C356" t="s">
        <v>70</v>
      </c>
      <c r="D356" t="s">
        <v>71</v>
      </c>
      <c r="F356" s="196">
        <v>0.41</v>
      </c>
      <c r="G356" s="196">
        <v>0.41</v>
      </c>
      <c r="H356" s="193">
        <v>45467</v>
      </c>
      <c r="I356" s="197">
        <v>45444</v>
      </c>
      <c r="J356" s="198" t="s">
        <v>2551</v>
      </c>
      <c r="K356" s="199">
        <v>45928</v>
      </c>
    </row>
    <row r="357" spans="3:11">
      <c r="C357" t="s">
        <v>376</v>
      </c>
      <c r="D357" t="s">
        <v>377</v>
      </c>
      <c r="F357" s="196">
        <v>1</v>
      </c>
      <c r="G357" s="196">
        <v>0.49</v>
      </c>
      <c r="H357" s="193">
        <v>45474</v>
      </c>
      <c r="I357" s="197">
        <v>45444</v>
      </c>
      <c r="J357" s="198" t="s">
        <v>2552</v>
      </c>
      <c r="K357" s="199">
        <v>45565</v>
      </c>
    </row>
    <row r="358" spans="3:11">
      <c r="C358" t="s">
        <v>609</v>
      </c>
      <c r="D358" t="s">
        <v>610</v>
      </c>
      <c r="F358" s="196">
        <v>0.91300000000000003</v>
      </c>
      <c r="G358" s="196">
        <v>0.90300000000000002</v>
      </c>
      <c r="H358" s="193">
        <v>45474</v>
      </c>
      <c r="I358" s="197">
        <v>45444</v>
      </c>
      <c r="J358" s="198" t="s">
        <v>2553</v>
      </c>
      <c r="K358" s="199">
        <v>45716</v>
      </c>
    </row>
    <row r="359" spans="3:11">
      <c r="C359" t="s">
        <v>425</v>
      </c>
      <c r="D359" t="s">
        <v>426</v>
      </c>
      <c r="F359" s="196">
        <v>0.84699999999999998</v>
      </c>
      <c r="G359" s="196">
        <v>0.70799999999999996</v>
      </c>
      <c r="H359" s="193">
        <v>45471</v>
      </c>
      <c r="I359" s="197">
        <v>45444</v>
      </c>
      <c r="J359" s="198" t="s">
        <v>2554</v>
      </c>
      <c r="K359" s="199">
        <v>45605</v>
      </c>
    </row>
    <row r="360" spans="3:11">
      <c r="C360" t="s">
        <v>209</v>
      </c>
      <c r="D360" t="s">
        <v>210</v>
      </c>
      <c r="F360" s="196">
        <v>0.60699999999999998</v>
      </c>
      <c r="G360" s="196">
        <v>0.60699999999999998</v>
      </c>
      <c r="H360" s="193">
        <v>45470</v>
      </c>
      <c r="I360" s="197">
        <v>45444</v>
      </c>
      <c r="J360" s="198" t="s">
        <v>2555</v>
      </c>
      <c r="K360" s="199" t="s">
        <v>2294</v>
      </c>
    </row>
    <row r="361" spans="3:11">
      <c r="C361" t="s">
        <v>471</v>
      </c>
      <c r="D361" t="s">
        <v>472</v>
      </c>
      <c r="F361" s="196">
        <v>0.89200000000000002</v>
      </c>
      <c r="G361" s="196">
        <v>0.88300000000000001</v>
      </c>
      <c r="H361" s="193">
        <v>45470</v>
      </c>
      <c r="I361" s="197">
        <v>45444</v>
      </c>
      <c r="J361" s="198" t="s">
        <v>2556</v>
      </c>
      <c r="K361" s="199">
        <v>45716</v>
      </c>
    </row>
    <row r="362" spans="3:11">
      <c r="C362" t="s">
        <v>358</v>
      </c>
      <c r="D362" t="s">
        <v>359</v>
      </c>
      <c r="F362" s="196">
        <v>0.93100000000000005</v>
      </c>
      <c r="G362" s="196">
        <v>0.92800000000000005</v>
      </c>
      <c r="H362" s="193">
        <v>45470</v>
      </c>
      <c r="I362" s="197">
        <v>45444</v>
      </c>
      <c r="J362" s="198" t="s">
        <v>2557</v>
      </c>
      <c r="K362" s="199">
        <v>45745</v>
      </c>
    </row>
    <row r="363" spans="3:11">
      <c r="C363" t="s">
        <v>479</v>
      </c>
      <c r="D363" t="s">
        <v>480</v>
      </c>
      <c r="F363" s="196">
        <v>0.77900000000000003</v>
      </c>
      <c r="G363" s="196">
        <v>0.79600000000000004</v>
      </c>
      <c r="H363" s="193">
        <v>45464</v>
      </c>
      <c r="I363" s="197">
        <v>45444</v>
      </c>
      <c r="J363" s="198" t="s">
        <v>2558</v>
      </c>
      <c r="K363" s="199" t="s">
        <v>483</v>
      </c>
    </row>
    <row r="364" spans="3:11">
      <c r="C364" t="s">
        <v>410</v>
      </c>
      <c r="D364" t="s">
        <v>411</v>
      </c>
      <c r="F364" s="196">
        <v>0</v>
      </c>
      <c r="G364" s="196">
        <v>0</v>
      </c>
      <c r="H364" s="193">
        <v>45475</v>
      </c>
      <c r="I364" s="197"/>
      <c r="J364" s="198" t="s">
        <v>410</v>
      </c>
      <c r="K364" s="193" t="s">
        <v>1581</v>
      </c>
    </row>
    <row r="365" spans="3:11">
      <c r="C365" t="s">
        <v>615</v>
      </c>
      <c r="D365" t="s">
        <v>616</v>
      </c>
      <c r="F365" s="196">
        <v>0.65700000000000003</v>
      </c>
      <c r="G365" s="196">
        <v>0.67500000000000004</v>
      </c>
      <c r="H365" s="193">
        <v>45474</v>
      </c>
      <c r="I365" s="197">
        <v>45444</v>
      </c>
      <c r="J365" s="198" t="s">
        <v>2559</v>
      </c>
      <c r="K365" s="199">
        <v>45645</v>
      </c>
    </row>
    <row r="366" spans="3:11">
      <c r="C366" t="s">
        <v>298</v>
      </c>
      <c r="D366" t="s">
        <v>299</v>
      </c>
      <c r="F366" s="196">
        <v>0.96879999999999999</v>
      </c>
      <c r="G366" s="196">
        <v>0.96879999999999999</v>
      </c>
      <c r="H366" s="193">
        <v>45471</v>
      </c>
      <c r="I366" s="197">
        <v>45444</v>
      </c>
      <c r="J366" s="198" t="s">
        <v>2560</v>
      </c>
      <c r="K366" s="199">
        <v>45485</v>
      </c>
    </row>
    <row r="367" spans="3:11">
      <c r="C367" t="s">
        <v>160</v>
      </c>
      <c r="D367" t="s">
        <v>161</v>
      </c>
      <c r="F367" s="196">
        <v>0.98899999999999999</v>
      </c>
      <c r="G367" s="196">
        <v>0.92700000000000005</v>
      </c>
      <c r="H367" s="193">
        <v>45471</v>
      </c>
      <c r="I367" s="197">
        <v>45444</v>
      </c>
      <c r="J367" s="198" t="s">
        <v>2561</v>
      </c>
      <c r="K367" s="199">
        <v>45566</v>
      </c>
    </row>
    <row r="368" spans="3:11">
      <c r="C368" t="s">
        <v>416</v>
      </c>
      <c r="D368" t="s">
        <v>2562</v>
      </c>
      <c r="F368" s="196">
        <v>0</v>
      </c>
      <c r="G368" s="196">
        <v>0</v>
      </c>
      <c r="H368" s="193">
        <v>45473</v>
      </c>
      <c r="I368" s="197"/>
      <c r="J368" s="198" t="s">
        <v>416</v>
      </c>
      <c r="K368" s="199">
        <v>46386</v>
      </c>
    </row>
    <row r="369" spans="3:11">
      <c r="C369" t="s">
        <v>273</v>
      </c>
      <c r="D369" t="s">
        <v>274</v>
      </c>
      <c r="F369" s="196">
        <v>0.23200000000000001</v>
      </c>
      <c r="G369" s="196">
        <v>0.16</v>
      </c>
      <c r="H369" s="193">
        <v>45473</v>
      </c>
      <c r="I369" s="197">
        <v>45413</v>
      </c>
      <c r="J369" s="198" t="s">
        <v>2535</v>
      </c>
      <c r="K369" s="199">
        <v>46022</v>
      </c>
    </row>
    <row r="370" spans="3:11">
      <c r="C370" t="s">
        <v>257</v>
      </c>
      <c r="D370" t="s">
        <v>258</v>
      </c>
      <c r="F370" s="196">
        <v>0.193</v>
      </c>
      <c r="G370" s="196">
        <v>0.17499999999999999</v>
      </c>
      <c r="H370" s="193">
        <v>45470</v>
      </c>
      <c r="I370" s="197">
        <v>45444</v>
      </c>
      <c r="J370" s="198" t="s">
        <v>2563</v>
      </c>
      <c r="K370" s="199">
        <v>46022</v>
      </c>
    </row>
    <row r="371" spans="3:11">
      <c r="C371" t="s">
        <v>495</v>
      </c>
      <c r="D371" t="s">
        <v>496</v>
      </c>
      <c r="F371" s="196">
        <v>0</v>
      </c>
      <c r="G371" s="196">
        <v>0</v>
      </c>
      <c r="H371" s="193">
        <v>45473</v>
      </c>
      <c r="I371" s="197"/>
      <c r="J371" s="198" t="s">
        <v>495</v>
      </c>
      <c r="K371" s="199">
        <v>45487</v>
      </c>
    </row>
    <row r="372" spans="3:11">
      <c r="C372" t="s">
        <v>570</v>
      </c>
      <c r="D372" t="s">
        <v>571</v>
      </c>
      <c r="F372" s="196">
        <v>0.99299999999999999</v>
      </c>
      <c r="G372" s="196">
        <v>0.97499999999999998</v>
      </c>
      <c r="H372" s="193">
        <v>45478</v>
      </c>
      <c r="I372" s="197">
        <v>45444</v>
      </c>
      <c r="J372" s="198" t="s">
        <v>2564</v>
      </c>
      <c r="K372" s="199">
        <v>45565</v>
      </c>
    </row>
    <row r="373" spans="3:11">
      <c r="C373" t="s">
        <v>322</v>
      </c>
      <c r="D373" t="s">
        <v>323</v>
      </c>
      <c r="F373" s="196">
        <v>1</v>
      </c>
      <c r="G373" s="196">
        <v>0.99</v>
      </c>
      <c r="H373" s="193">
        <v>45481</v>
      </c>
      <c r="I373" s="197">
        <v>45444</v>
      </c>
      <c r="J373" s="198" t="s">
        <v>2565</v>
      </c>
      <c r="K373" s="199">
        <v>45519</v>
      </c>
    </row>
    <row r="374" spans="3:11">
      <c r="C374" t="s">
        <v>266</v>
      </c>
      <c r="D374" t="s">
        <v>267</v>
      </c>
      <c r="F374" s="196">
        <v>0</v>
      </c>
      <c r="G374" s="196">
        <v>0</v>
      </c>
      <c r="H374" s="193">
        <v>45481</v>
      </c>
      <c r="I374" s="197"/>
      <c r="J374" s="198" t="s">
        <v>266</v>
      </c>
      <c r="K374" s="199">
        <v>45590</v>
      </c>
    </row>
    <row r="375" spans="3:11">
      <c r="C375" t="s">
        <v>638</v>
      </c>
      <c r="D375" t="s">
        <v>639</v>
      </c>
      <c r="F375" s="196">
        <v>0</v>
      </c>
      <c r="G375" s="196">
        <v>0</v>
      </c>
      <c r="H375" s="193">
        <v>45497</v>
      </c>
      <c r="I375" s="197">
        <v>45474</v>
      </c>
      <c r="J375" s="198" t="s">
        <v>2566</v>
      </c>
      <c r="K375" s="199">
        <v>45841</v>
      </c>
    </row>
    <row r="376" spans="3:11">
      <c r="C376" t="s">
        <v>257</v>
      </c>
      <c r="D376" t="s">
        <v>258</v>
      </c>
      <c r="F376" s="196">
        <v>0.27600000000000002</v>
      </c>
      <c r="G376" s="196">
        <v>0.27400000000000002</v>
      </c>
      <c r="H376" s="193">
        <v>45504</v>
      </c>
      <c r="I376" s="197">
        <v>45474</v>
      </c>
      <c r="J376" s="198" t="s">
        <v>2567</v>
      </c>
      <c r="K376" s="199">
        <v>46022</v>
      </c>
    </row>
    <row r="377" spans="3:11">
      <c r="C377" t="s">
        <v>376</v>
      </c>
      <c r="D377" t="s">
        <v>377</v>
      </c>
      <c r="F377" s="196">
        <v>0.57999999999999996</v>
      </c>
      <c r="G377" s="196">
        <v>0.49</v>
      </c>
      <c r="H377" s="193">
        <v>45504</v>
      </c>
      <c r="I377" s="197">
        <v>45474</v>
      </c>
      <c r="J377" s="198" t="s">
        <v>2568</v>
      </c>
      <c r="K377" s="199">
        <v>45565</v>
      </c>
    </row>
    <row r="378" spans="3:11">
      <c r="C378" t="s">
        <v>609</v>
      </c>
      <c r="D378" t="s">
        <v>610</v>
      </c>
      <c r="F378" s="196">
        <v>0.93500000000000005</v>
      </c>
      <c r="G378" s="196">
        <v>0.90300000000000002</v>
      </c>
      <c r="H378" s="193">
        <v>45504</v>
      </c>
      <c r="I378" s="197">
        <v>45474</v>
      </c>
      <c r="J378" s="198" t="s">
        <v>2569</v>
      </c>
      <c r="K378" s="199">
        <v>45716</v>
      </c>
    </row>
    <row r="379" spans="3:11">
      <c r="C379" t="s">
        <v>425</v>
      </c>
      <c r="D379" t="s">
        <v>426</v>
      </c>
      <c r="F379" s="196">
        <v>0.72599999999999998</v>
      </c>
      <c r="G379" s="196">
        <v>0.71099999999999997</v>
      </c>
      <c r="H379" s="193">
        <v>45505</v>
      </c>
      <c r="I379" s="197">
        <v>45474</v>
      </c>
      <c r="J379" s="198" t="s">
        <v>2570</v>
      </c>
      <c r="K379" s="199">
        <v>45605</v>
      </c>
    </row>
    <row r="380" spans="3:11">
      <c r="C380" t="s">
        <v>570</v>
      </c>
      <c r="D380" t="s">
        <v>571</v>
      </c>
      <c r="F380" s="196">
        <v>1</v>
      </c>
      <c r="G380" s="196">
        <v>0.97499999999999998</v>
      </c>
      <c r="H380" s="193">
        <v>45504</v>
      </c>
      <c r="I380" s="197">
        <v>45474</v>
      </c>
      <c r="J380" s="198" t="s">
        <v>2571</v>
      </c>
      <c r="K380" s="199">
        <v>45565</v>
      </c>
    </row>
    <row r="381" spans="3:11">
      <c r="C381" t="s">
        <v>358</v>
      </c>
      <c r="D381" t="s">
        <v>359</v>
      </c>
      <c r="F381" s="196">
        <v>0.93899999999999995</v>
      </c>
      <c r="G381" s="196">
        <v>0.92800000000000005</v>
      </c>
      <c r="H381" s="193">
        <v>45504</v>
      </c>
      <c r="I381" s="197">
        <v>45474</v>
      </c>
      <c r="J381" s="198" t="s">
        <v>2572</v>
      </c>
      <c r="K381" s="199">
        <v>45745</v>
      </c>
    </row>
    <row r="382" spans="3:11">
      <c r="C382" t="s">
        <v>209</v>
      </c>
      <c r="D382" t="s">
        <v>210</v>
      </c>
      <c r="F382" s="196">
        <v>0.69499999999999995</v>
      </c>
      <c r="G382" s="196">
        <v>0.69499999999999995</v>
      </c>
      <c r="H382" s="193">
        <v>45502</v>
      </c>
      <c r="I382" s="197">
        <v>45474</v>
      </c>
      <c r="J382" s="198" t="s">
        <v>2573</v>
      </c>
      <c r="K382" s="199" t="s">
        <v>2294</v>
      </c>
    </row>
    <row r="383" spans="3:11">
      <c r="C383" t="s">
        <v>471</v>
      </c>
      <c r="D383" t="s">
        <v>472</v>
      </c>
      <c r="F383" s="196">
        <v>0.90200000000000002</v>
      </c>
      <c r="G383" s="196">
        <v>0.9</v>
      </c>
      <c r="H383" s="193">
        <v>45502</v>
      </c>
      <c r="I383" s="197">
        <v>45474</v>
      </c>
      <c r="J383" s="198" t="s">
        <v>2574</v>
      </c>
      <c r="K383" s="199">
        <v>45716</v>
      </c>
    </row>
    <row r="384" spans="3:11">
      <c r="C384" t="s">
        <v>322</v>
      </c>
      <c r="D384" t="s">
        <v>323</v>
      </c>
      <c r="F384" s="196">
        <v>1</v>
      </c>
      <c r="G384" s="196">
        <v>0.99299999999999999</v>
      </c>
      <c r="H384" s="193">
        <v>45504</v>
      </c>
      <c r="I384" s="197">
        <v>45474</v>
      </c>
      <c r="J384" s="198" t="s">
        <v>2575</v>
      </c>
      <c r="K384" s="199">
        <v>45519</v>
      </c>
    </row>
    <row r="385" spans="3:11">
      <c r="C385" t="s">
        <v>479</v>
      </c>
      <c r="D385" t="s">
        <v>480</v>
      </c>
      <c r="F385" s="196">
        <v>0.86499999999999999</v>
      </c>
      <c r="G385" s="196">
        <v>0.88800000000000001</v>
      </c>
      <c r="H385" s="193">
        <v>45495</v>
      </c>
      <c r="I385" s="197">
        <v>45474</v>
      </c>
      <c r="J385" s="198" t="s">
        <v>2576</v>
      </c>
      <c r="K385" s="199" t="s">
        <v>483</v>
      </c>
    </row>
    <row r="386" spans="3:11">
      <c r="C386" t="s">
        <v>416</v>
      </c>
      <c r="D386" t="s">
        <v>2562</v>
      </c>
      <c r="F386" s="196">
        <v>0.111</v>
      </c>
      <c r="G386" s="196">
        <v>0.06</v>
      </c>
      <c r="H386" s="193">
        <v>45496</v>
      </c>
      <c r="I386" s="197">
        <v>45474</v>
      </c>
      <c r="J386" s="198" t="s">
        <v>2577</v>
      </c>
      <c r="K386" s="199">
        <v>46386</v>
      </c>
    </row>
    <row r="387" spans="3:11">
      <c r="C387" t="s">
        <v>495</v>
      </c>
      <c r="D387" t="s">
        <v>496</v>
      </c>
      <c r="F387" s="196">
        <v>0.98899999999999999</v>
      </c>
      <c r="G387" s="196">
        <v>0.93300000000000005</v>
      </c>
      <c r="H387" s="193">
        <v>45449</v>
      </c>
      <c r="I387" s="197">
        <v>45413</v>
      </c>
      <c r="J387" s="198" t="s">
        <v>2547</v>
      </c>
      <c r="K387" s="199">
        <v>45487</v>
      </c>
    </row>
    <row r="388" spans="3:11">
      <c r="C388" t="s">
        <v>495</v>
      </c>
      <c r="D388" t="s">
        <v>496</v>
      </c>
      <c r="F388" s="196">
        <v>0.998</v>
      </c>
      <c r="G388" s="196">
        <v>0.998</v>
      </c>
      <c r="H388" s="193">
        <v>45481</v>
      </c>
      <c r="I388" s="197">
        <v>45444</v>
      </c>
      <c r="J388" s="198" t="s">
        <v>2578</v>
      </c>
      <c r="K388" s="199">
        <v>45487</v>
      </c>
    </row>
    <row r="389" spans="3:11">
      <c r="C389" t="s">
        <v>615</v>
      </c>
      <c r="D389" t="s">
        <v>616</v>
      </c>
      <c r="F389" s="196">
        <v>0.78100000000000003</v>
      </c>
      <c r="G389" s="196">
        <v>0.76300000000000001</v>
      </c>
      <c r="H389" s="193">
        <v>45521</v>
      </c>
      <c r="I389" s="197">
        <v>45474</v>
      </c>
      <c r="J389" s="198" t="s">
        <v>2579</v>
      </c>
      <c r="K389" s="199">
        <v>45645</v>
      </c>
    </row>
    <row r="390" spans="3:11">
      <c r="C390" t="s">
        <v>341</v>
      </c>
      <c r="D390" t="s">
        <v>342</v>
      </c>
      <c r="F390" s="196">
        <v>1</v>
      </c>
      <c r="G390" s="196">
        <v>1</v>
      </c>
      <c r="H390" s="193">
        <v>45512</v>
      </c>
      <c r="I390" s="197">
        <v>45474</v>
      </c>
      <c r="J390" s="198" t="s">
        <v>2580</v>
      </c>
      <c r="K390" s="199">
        <v>45291</v>
      </c>
    </row>
    <row r="391" spans="3:11">
      <c r="C391" t="s">
        <v>495</v>
      </c>
      <c r="D391" t="s">
        <v>496</v>
      </c>
      <c r="F391" s="196">
        <v>1</v>
      </c>
      <c r="G391" s="196">
        <v>1</v>
      </c>
      <c r="H391" s="193">
        <v>45518</v>
      </c>
      <c r="I391" s="197">
        <v>45474</v>
      </c>
      <c r="J391" s="198" t="s">
        <v>2581</v>
      </c>
      <c r="K391" s="199">
        <v>45487</v>
      </c>
    </row>
    <row r="392" spans="3:11">
      <c r="C392" t="s">
        <v>322</v>
      </c>
      <c r="D392" t="s">
        <v>323</v>
      </c>
      <c r="F392" s="196">
        <v>1</v>
      </c>
      <c r="G392" s="196">
        <v>1</v>
      </c>
      <c r="H392" s="193">
        <v>45519</v>
      </c>
      <c r="I392" s="197">
        <v>45474</v>
      </c>
      <c r="J392" s="198" t="s">
        <v>2575</v>
      </c>
      <c r="K392" s="199">
        <v>45519</v>
      </c>
    </row>
    <row r="393" spans="3:11">
      <c r="C393" t="s">
        <v>141</v>
      </c>
      <c r="D393" t="s">
        <v>142</v>
      </c>
      <c r="F393" s="196">
        <v>0.96</v>
      </c>
      <c r="G393" s="196">
        <v>0.96</v>
      </c>
      <c r="H393" s="193">
        <v>45520</v>
      </c>
      <c r="I393" s="197">
        <v>45505</v>
      </c>
      <c r="J393" s="198" t="s">
        <v>2582</v>
      </c>
      <c r="K393" s="199">
        <v>45597</v>
      </c>
    </row>
    <row r="394" spans="3:11">
      <c r="C394" t="s">
        <v>559</v>
      </c>
      <c r="D394" t="s">
        <v>560</v>
      </c>
      <c r="F394" s="196">
        <v>0</v>
      </c>
      <c r="G394" s="196">
        <v>0</v>
      </c>
      <c r="H394" s="193">
        <v>45526</v>
      </c>
      <c r="I394" s="197"/>
      <c r="J394" s="198" t="s">
        <v>559</v>
      </c>
      <c r="K394" s="199">
        <v>46022</v>
      </c>
    </row>
    <row r="395" spans="3:11">
      <c r="C395" t="s">
        <v>182</v>
      </c>
      <c r="D395" t="s">
        <v>183</v>
      </c>
      <c r="F395" s="196">
        <v>0.97</v>
      </c>
      <c r="G395" s="196">
        <v>0.97</v>
      </c>
      <c r="H395" s="193">
        <v>45531</v>
      </c>
      <c r="I395" s="197">
        <v>45505</v>
      </c>
      <c r="J395" s="198" t="s">
        <v>2583</v>
      </c>
      <c r="K395" s="199">
        <v>45869</v>
      </c>
    </row>
    <row r="396" spans="3:11">
      <c r="C396" t="s">
        <v>257</v>
      </c>
      <c r="D396" t="s">
        <v>258</v>
      </c>
      <c r="F396" s="196">
        <v>0.316</v>
      </c>
      <c r="G396" s="196">
        <v>0.3</v>
      </c>
      <c r="H396" s="193">
        <v>45471</v>
      </c>
      <c r="I396" s="197">
        <v>45505</v>
      </c>
      <c r="J396" s="198" t="s">
        <v>2584</v>
      </c>
      <c r="K396" s="199">
        <v>46022</v>
      </c>
    </row>
    <row r="397" spans="3:11">
      <c r="C397" t="s">
        <v>638</v>
      </c>
      <c r="D397" t="s">
        <v>639</v>
      </c>
      <c r="F397" s="196">
        <v>0.72</v>
      </c>
      <c r="G397" s="196">
        <v>0.71499999999999997</v>
      </c>
      <c r="H397" s="193">
        <v>45504</v>
      </c>
      <c r="I397" s="197">
        <v>45474</v>
      </c>
      <c r="J397" s="198" t="s">
        <v>2566</v>
      </c>
      <c r="K397" s="199">
        <v>45841</v>
      </c>
    </row>
    <row r="398" spans="3:11">
      <c r="C398" t="s">
        <v>376</v>
      </c>
      <c r="D398" t="s">
        <v>377</v>
      </c>
      <c r="F398" s="196">
        <v>0.69399999999999995</v>
      </c>
      <c r="G398" s="196">
        <v>0.49</v>
      </c>
      <c r="H398" s="193">
        <v>45532</v>
      </c>
      <c r="I398" s="197">
        <v>45505</v>
      </c>
      <c r="J398" s="198" t="s">
        <v>2585</v>
      </c>
      <c r="K398" s="199">
        <v>45565</v>
      </c>
    </row>
    <row r="399" spans="3:11">
      <c r="C399" t="s">
        <v>229</v>
      </c>
      <c r="D399" t="s">
        <v>230</v>
      </c>
      <c r="F399" s="196">
        <v>0.626</v>
      </c>
      <c r="G399" s="196">
        <v>0.625</v>
      </c>
      <c r="H399" s="193">
        <v>45532</v>
      </c>
      <c r="I399" s="197">
        <v>45505</v>
      </c>
      <c r="J399" s="198" t="s">
        <v>2586</v>
      </c>
      <c r="K399" s="199">
        <v>45869</v>
      </c>
    </row>
    <row r="400" spans="3:11">
      <c r="C400" t="s">
        <v>209</v>
      </c>
      <c r="D400" t="s">
        <v>210</v>
      </c>
      <c r="F400" s="196">
        <v>0.751</v>
      </c>
      <c r="G400" s="196">
        <v>0.72299999999999998</v>
      </c>
      <c r="H400" s="193">
        <v>45537</v>
      </c>
      <c r="I400" s="197">
        <v>45505</v>
      </c>
      <c r="J400" s="198" t="s">
        <v>2587</v>
      </c>
      <c r="K400" s="199" t="s">
        <v>2294</v>
      </c>
    </row>
    <row r="401" spans="3:11">
      <c r="C401" t="s">
        <v>479</v>
      </c>
      <c r="D401" t="s">
        <v>480</v>
      </c>
      <c r="F401" s="196">
        <v>0.89200000000000002</v>
      </c>
      <c r="G401" s="196">
        <v>0.90600000000000003</v>
      </c>
      <c r="H401" s="193">
        <v>45523</v>
      </c>
      <c r="I401" s="197">
        <v>45505</v>
      </c>
      <c r="J401" s="198" t="s">
        <v>2588</v>
      </c>
      <c r="K401" s="199" t="s">
        <v>483</v>
      </c>
    </row>
    <row r="402" spans="3:11">
      <c r="C402" t="s">
        <v>609</v>
      </c>
      <c r="D402" t="s">
        <v>610</v>
      </c>
      <c r="F402" s="196">
        <v>0.90400000000000003</v>
      </c>
      <c r="G402" s="196">
        <v>0.94799999999999995</v>
      </c>
      <c r="H402" s="193">
        <v>45533</v>
      </c>
      <c r="I402" s="197">
        <v>45505</v>
      </c>
      <c r="J402" s="198" t="s">
        <v>2589</v>
      </c>
      <c r="K402" s="199">
        <v>45716</v>
      </c>
    </row>
    <row r="403" spans="3:11">
      <c r="C403" t="s">
        <v>425</v>
      </c>
      <c r="D403" t="s">
        <v>426</v>
      </c>
      <c r="F403" s="196">
        <v>0.73399999999999999</v>
      </c>
      <c r="G403" s="196">
        <v>0.71599999999999997</v>
      </c>
      <c r="H403" s="193">
        <v>45534</v>
      </c>
      <c r="I403" s="197">
        <v>45505</v>
      </c>
      <c r="J403" s="198" t="s">
        <v>2590</v>
      </c>
      <c r="K403" s="199">
        <v>45605</v>
      </c>
    </row>
    <row r="404" spans="3:11">
      <c r="C404" t="s">
        <v>471</v>
      </c>
      <c r="D404" t="s">
        <v>472</v>
      </c>
      <c r="F404" s="196">
        <v>0.92700000000000005</v>
      </c>
      <c r="G404" s="196">
        <v>0.91100000000000003</v>
      </c>
      <c r="H404" s="193">
        <v>45531</v>
      </c>
      <c r="I404" s="197">
        <v>45505</v>
      </c>
      <c r="J404" s="198" t="s">
        <v>2591</v>
      </c>
      <c r="K404" s="199">
        <v>45716</v>
      </c>
    </row>
    <row r="405" spans="3:11">
      <c r="C405" t="s">
        <v>358</v>
      </c>
      <c r="D405" t="s">
        <v>359</v>
      </c>
      <c r="F405" s="196">
        <v>0.92900000000000005</v>
      </c>
      <c r="G405" s="196">
        <v>0.92700000000000005</v>
      </c>
      <c r="H405" s="193">
        <v>45535</v>
      </c>
      <c r="I405" s="197">
        <v>45505</v>
      </c>
      <c r="J405" s="198" t="s">
        <v>2592</v>
      </c>
      <c r="K405" s="199">
        <v>45745</v>
      </c>
    </row>
    <row r="406" spans="3:11">
      <c r="C406" t="s">
        <v>638</v>
      </c>
      <c r="D406" t="s">
        <v>639</v>
      </c>
      <c r="F406" s="196">
        <v>0.77200000000000002</v>
      </c>
      <c r="G406" s="196">
        <v>0.78500000000000003</v>
      </c>
      <c r="H406" s="193">
        <v>45532</v>
      </c>
      <c r="I406" s="197">
        <v>45505</v>
      </c>
      <c r="J406" s="198" t="s">
        <v>2593</v>
      </c>
      <c r="K406" s="199">
        <v>45841</v>
      </c>
    </row>
    <row r="407" spans="3:11">
      <c r="C407" t="s">
        <v>416</v>
      </c>
      <c r="D407" t="s">
        <v>2562</v>
      </c>
      <c r="F407" s="196">
        <v>0.111</v>
      </c>
      <c r="G407" s="196">
        <v>0.06</v>
      </c>
      <c r="H407" s="193">
        <v>45510</v>
      </c>
      <c r="I407" s="197">
        <v>45505</v>
      </c>
      <c r="J407" s="198" t="s">
        <v>2594</v>
      </c>
      <c r="K407" s="199">
        <v>46386</v>
      </c>
    </row>
    <row r="408" spans="3:11">
      <c r="C408" t="s">
        <v>384</v>
      </c>
      <c r="D408" t="s">
        <v>385</v>
      </c>
      <c r="F408" s="196">
        <v>0.23</v>
      </c>
      <c r="G408" s="196">
        <v>0.28999999999999998</v>
      </c>
      <c r="H408" s="193">
        <v>45530</v>
      </c>
      <c r="I408" s="197">
        <v>45505</v>
      </c>
      <c r="J408" s="198" t="s">
        <v>2595</v>
      </c>
      <c r="K408" s="199">
        <v>46022</v>
      </c>
    </row>
    <row r="409" spans="3:11">
      <c r="C409" t="s">
        <v>570</v>
      </c>
      <c r="D409" t="s">
        <v>571</v>
      </c>
      <c r="F409" s="196">
        <v>0.99199999999999999</v>
      </c>
      <c r="G409" s="196">
        <v>0.97499999999999998</v>
      </c>
      <c r="H409" s="193">
        <v>45531</v>
      </c>
      <c r="I409" s="197">
        <v>45505</v>
      </c>
      <c r="J409" s="198" t="s">
        <v>2596</v>
      </c>
      <c r="K409" s="199">
        <v>45565</v>
      </c>
    </row>
    <row r="410" spans="3:11">
      <c r="C410" t="s">
        <v>160</v>
      </c>
      <c r="D410" t="s">
        <v>161</v>
      </c>
      <c r="F410" s="196">
        <v>1</v>
      </c>
      <c r="G410" s="196">
        <v>1</v>
      </c>
      <c r="H410" s="193">
        <v>45544</v>
      </c>
      <c r="I410" s="197">
        <v>45505</v>
      </c>
      <c r="J410" s="198" t="s">
        <v>2597</v>
      </c>
      <c r="K410" s="199">
        <v>45566</v>
      </c>
    </row>
    <row r="411" spans="3:11">
      <c r="C411" t="s">
        <v>350</v>
      </c>
      <c r="D411" t="s">
        <v>351</v>
      </c>
      <c r="F411" s="196">
        <v>0.98299999999999998</v>
      </c>
      <c r="G411" s="196">
        <v>0.90500000000000003</v>
      </c>
      <c r="H411" s="193">
        <v>45476</v>
      </c>
      <c r="I411" s="197">
        <v>45444</v>
      </c>
      <c r="J411" s="198" t="s">
        <v>2598</v>
      </c>
      <c r="K411" s="199">
        <v>46022</v>
      </c>
    </row>
    <row r="412" spans="3:11">
      <c r="C412" t="s">
        <v>615</v>
      </c>
      <c r="D412" t="s">
        <v>616</v>
      </c>
      <c r="F412" s="196">
        <v>0.8</v>
      </c>
      <c r="G412" s="196">
        <v>0.78800000000000003</v>
      </c>
      <c r="H412" s="193">
        <v>45545</v>
      </c>
      <c r="I412" s="197">
        <v>45505</v>
      </c>
      <c r="J412" s="198" t="s">
        <v>2599</v>
      </c>
      <c r="K412" s="199">
        <v>45645</v>
      </c>
    </row>
    <row r="413" spans="3:11">
      <c r="C413" t="s">
        <v>273</v>
      </c>
      <c r="D413" t="s">
        <v>274</v>
      </c>
      <c r="F413" s="196">
        <v>0.38300000000000001</v>
      </c>
      <c r="G413" s="196">
        <v>0.189</v>
      </c>
      <c r="H413" s="193">
        <v>45544</v>
      </c>
      <c r="I413" s="197">
        <v>45505</v>
      </c>
      <c r="J413" s="198" t="s">
        <v>2600</v>
      </c>
      <c r="K413" s="199">
        <v>46022</v>
      </c>
    </row>
    <row r="414" spans="3:11">
      <c r="C414" t="s">
        <v>404</v>
      </c>
      <c r="D414" t="s">
        <v>405</v>
      </c>
      <c r="F414" s="196">
        <v>0.23</v>
      </c>
      <c r="G414" s="196">
        <v>0.23</v>
      </c>
      <c r="H414" s="193">
        <v>45545</v>
      </c>
      <c r="I414" s="197">
        <v>45505</v>
      </c>
      <c r="J414" s="198" t="s">
        <v>2601</v>
      </c>
      <c r="K414" s="199">
        <v>45688</v>
      </c>
    </row>
    <row r="415" spans="3:11">
      <c r="C415" t="s">
        <v>684</v>
      </c>
      <c r="D415" t="s">
        <v>685</v>
      </c>
      <c r="F415" s="196">
        <v>0.96499999999999997</v>
      </c>
      <c r="G415" s="196">
        <v>0.96099999999999997</v>
      </c>
      <c r="H415" s="193">
        <v>45187</v>
      </c>
      <c r="I415" s="197">
        <v>45139</v>
      </c>
      <c r="J415" s="198" t="s">
        <v>2602</v>
      </c>
      <c r="K415" s="199">
        <v>46022</v>
      </c>
    </row>
    <row r="416" spans="3:11">
      <c r="C416" t="s">
        <v>266</v>
      </c>
      <c r="D416" t="s">
        <v>267</v>
      </c>
      <c r="F416" s="196">
        <v>0.75</v>
      </c>
      <c r="G416" s="196">
        <v>0.75</v>
      </c>
      <c r="H416" s="193">
        <v>45526</v>
      </c>
      <c r="I416" s="197">
        <v>45505</v>
      </c>
      <c r="J416" s="198" t="s">
        <v>2603</v>
      </c>
      <c r="K416" s="199">
        <v>45590</v>
      </c>
    </row>
    <row r="417" spans="3:11">
      <c r="C417" t="s">
        <v>684</v>
      </c>
      <c r="D417" t="s">
        <v>685</v>
      </c>
      <c r="F417" s="196">
        <v>0.998</v>
      </c>
      <c r="G417" s="196">
        <v>0.996</v>
      </c>
      <c r="H417" s="193">
        <v>45273</v>
      </c>
      <c r="I417" s="197">
        <v>45231</v>
      </c>
      <c r="J417" s="198" t="s">
        <v>2604</v>
      </c>
      <c r="K417" s="199">
        <v>46022</v>
      </c>
    </row>
    <row r="418" spans="3:11">
      <c r="C418" t="s">
        <v>684</v>
      </c>
      <c r="D418" t="s">
        <v>685</v>
      </c>
      <c r="F418" s="196">
        <v>1</v>
      </c>
      <c r="G418" s="196">
        <v>0.96099999999999997</v>
      </c>
      <c r="H418" s="193">
        <v>45299</v>
      </c>
      <c r="I418" s="197">
        <v>45261</v>
      </c>
      <c r="J418" s="198" t="s">
        <v>2605</v>
      </c>
      <c r="K418" s="199">
        <v>46022</v>
      </c>
    </row>
    <row r="419" spans="3:11">
      <c r="C419" t="s">
        <v>684</v>
      </c>
      <c r="D419" t="s">
        <v>685</v>
      </c>
      <c r="F419" s="196">
        <v>0.98599999999999999</v>
      </c>
      <c r="G419" s="196">
        <v>0.96699999999999997</v>
      </c>
      <c r="H419" s="193">
        <v>45525</v>
      </c>
      <c r="I419" s="197">
        <v>45505</v>
      </c>
      <c r="J419" s="198" t="s">
        <v>2606</v>
      </c>
      <c r="K419" s="199">
        <v>46022</v>
      </c>
    </row>
    <row r="420" spans="3:11">
      <c r="C420" t="s">
        <v>350</v>
      </c>
      <c r="D420" t="s">
        <v>351</v>
      </c>
      <c r="F420" s="196">
        <v>0.99199999999999999</v>
      </c>
      <c r="G420" s="196">
        <v>0.93300000000000005</v>
      </c>
      <c r="H420" s="193">
        <v>45525</v>
      </c>
      <c r="I420" s="197">
        <v>45505</v>
      </c>
      <c r="J420" s="198" t="s">
        <v>2607</v>
      </c>
      <c r="K420" s="199">
        <v>46022</v>
      </c>
    </row>
    <row r="421" spans="3:11">
      <c r="C421" t="s">
        <v>644</v>
      </c>
      <c r="D421" t="s">
        <v>645</v>
      </c>
      <c r="F421" s="196">
        <v>0.63200000000000001</v>
      </c>
      <c r="G421" s="196">
        <v>0.64</v>
      </c>
      <c r="H421" s="193">
        <v>45534</v>
      </c>
      <c r="I421" s="197">
        <v>45505</v>
      </c>
      <c r="J421" s="198" t="s">
        <v>2608</v>
      </c>
      <c r="K421" s="199">
        <v>45751</v>
      </c>
    </row>
    <row r="422" spans="3:11">
      <c r="C422" t="s">
        <v>589</v>
      </c>
      <c r="D422" t="s">
        <v>590</v>
      </c>
      <c r="F422" s="196">
        <v>0.18</v>
      </c>
      <c r="G422" s="196">
        <v>0.2</v>
      </c>
      <c r="H422" s="193">
        <v>45562</v>
      </c>
      <c r="I422" s="197">
        <v>45536</v>
      </c>
      <c r="J422" s="198" t="s">
        <v>2609</v>
      </c>
      <c r="K422" s="199">
        <v>46233</v>
      </c>
    </row>
    <row r="423" spans="3:11">
      <c r="C423" t="s">
        <v>416</v>
      </c>
      <c r="D423" t="s">
        <v>2562</v>
      </c>
      <c r="F423" s="196">
        <v>0.254</v>
      </c>
      <c r="G423" s="196">
        <v>0.19700000000000001</v>
      </c>
      <c r="H423" s="193">
        <v>45566</v>
      </c>
      <c r="I423" s="197">
        <v>45536</v>
      </c>
      <c r="J423" s="198" t="s">
        <v>2610</v>
      </c>
      <c r="K423" s="199">
        <v>46386</v>
      </c>
    </row>
    <row r="424" spans="3:11">
      <c r="C424" t="s">
        <v>257</v>
      </c>
      <c r="D424" t="s">
        <v>258</v>
      </c>
      <c r="F424" s="196">
        <v>0.372</v>
      </c>
      <c r="G424" s="196">
        <v>0.35699999999999998</v>
      </c>
      <c r="H424" s="193">
        <v>45565</v>
      </c>
      <c r="I424" s="197">
        <v>45536</v>
      </c>
      <c r="J424" s="198" t="s">
        <v>2611</v>
      </c>
      <c r="K424" s="199">
        <v>46022</v>
      </c>
    </row>
    <row r="425" spans="3:11">
      <c r="C425" t="s">
        <v>172</v>
      </c>
      <c r="D425" t="s">
        <v>173</v>
      </c>
      <c r="F425" s="196">
        <v>0.81899999999999995</v>
      </c>
      <c r="G425" s="196">
        <v>0.8</v>
      </c>
      <c r="H425" s="193">
        <v>45562</v>
      </c>
      <c r="I425" s="197">
        <v>45536</v>
      </c>
      <c r="J425" s="198" t="s">
        <v>2612</v>
      </c>
      <c r="K425" s="199">
        <v>45639</v>
      </c>
    </row>
    <row r="426" spans="3:11">
      <c r="C426" t="s">
        <v>229</v>
      </c>
      <c r="D426" t="s">
        <v>230</v>
      </c>
      <c r="F426" s="196">
        <v>0.66900000000000004</v>
      </c>
      <c r="G426" s="196">
        <v>0.65200000000000002</v>
      </c>
      <c r="H426" s="193">
        <v>45561</v>
      </c>
      <c r="I426" s="197">
        <v>45536</v>
      </c>
      <c r="J426" s="198" t="s">
        <v>2613</v>
      </c>
      <c r="K426" s="199">
        <v>45869</v>
      </c>
    </row>
    <row r="427" spans="3:11">
      <c r="C427" t="s">
        <v>644</v>
      </c>
      <c r="D427" t="s">
        <v>645</v>
      </c>
      <c r="F427" s="196">
        <v>0.71</v>
      </c>
      <c r="G427" s="196">
        <v>0.67200000000000004</v>
      </c>
      <c r="H427" s="193">
        <v>45565</v>
      </c>
      <c r="I427" s="197">
        <v>45536</v>
      </c>
      <c r="J427" s="198" t="s">
        <v>2614</v>
      </c>
      <c r="K427" s="199">
        <v>45751</v>
      </c>
    </row>
    <row r="428" spans="3:11">
      <c r="C428" t="s">
        <v>638</v>
      </c>
      <c r="D428" t="s">
        <v>639</v>
      </c>
      <c r="F428" s="196">
        <v>0.87</v>
      </c>
      <c r="G428" s="196">
        <v>0.86</v>
      </c>
      <c r="H428" s="193">
        <v>45560</v>
      </c>
      <c r="I428" s="197">
        <v>45536</v>
      </c>
      <c r="J428" s="198" t="s">
        <v>2615</v>
      </c>
      <c r="K428" s="199">
        <v>45841</v>
      </c>
    </row>
    <row r="429" spans="3:11">
      <c r="C429" t="s">
        <v>609</v>
      </c>
      <c r="D429" t="s">
        <v>610</v>
      </c>
      <c r="F429" s="196">
        <v>0.94</v>
      </c>
      <c r="G429" s="196">
        <v>0.94799999999999995</v>
      </c>
      <c r="H429" s="193">
        <v>45560</v>
      </c>
      <c r="I429" s="198">
        <v>45536</v>
      </c>
      <c r="J429" s="198" t="s">
        <v>2616</v>
      </c>
      <c r="K429" s="199">
        <v>45716</v>
      </c>
    </row>
    <row r="430" spans="3:11">
      <c r="C430" t="s">
        <v>425</v>
      </c>
      <c r="D430" t="s">
        <v>426</v>
      </c>
      <c r="F430" s="196">
        <v>0.72499999999999998</v>
      </c>
      <c r="G430" s="196">
        <v>0.74099999999999999</v>
      </c>
      <c r="H430" s="193">
        <v>45562</v>
      </c>
      <c r="I430" s="198">
        <v>45536</v>
      </c>
      <c r="J430" s="198" t="s">
        <v>2617</v>
      </c>
      <c r="K430" s="199">
        <v>45605</v>
      </c>
    </row>
    <row r="431" spans="3:11">
      <c r="C431" t="s">
        <v>570</v>
      </c>
      <c r="D431" t="s">
        <v>571</v>
      </c>
      <c r="F431" s="196">
        <v>1</v>
      </c>
      <c r="G431" s="196">
        <v>1</v>
      </c>
      <c r="H431" s="193">
        <v>45544</v>
      </c>
      <c r="I431" s="198">
        <v>45536</v>
      </c>
      <c r="J431" s="198" t="s">
        <v>2618</v>
      </c>
      <c r="K431" s="199">
        <v>45565</v>
      </c>
    </row>
    <row r="432" spans="3:11">
      <c r="C432" t="s">
        <v>358</v>
      </c>
      <c r="D432" t="s">
        <v>359</v>
      </c>
      <c r="F432" s="196">
        <v>0.93799999999999994</v>
      </c>
      <c r="G432" s="196">
        <v>0.92700000000000005</v>
      </c>
      <c r="H432" s="193">
        <v>45561</v>
      </c>
      <c r="I432" s="198">
        <v>45536</v>
      </c>
      <c r="J432" s="198" t="s">
        <v>2619</v>
      </c>
      <c r="K432" s="199">
        <v>45745</v>
      </c>
    </row>
    <row r="433" spans="3:11">
      <c r="C433" t="s">
        <v>209</v>
      </c>
      <c r="D433" t="s">
        <v>210</v>
      </c>
      <c r="F433" s="196">
        <v>0.78800000000000003</v>
      </c>
      <c r="G433" s="196">
        <v>0.77300000000000002</v>
      </c>
      <c r="H433" s="193">
        <v>45558</v>
      </c>
      <c r="I433" s="198">
        <v>45536</v>
      </c>
      <c r="J433" s="198" t="s">
        <v>2620</v>
      </c>
      <c r="K433" s="199" t="s">
        <v>2294</v>
      </c>
    </row>
    <row r="434" spans="3:11">
      <c r="C434" t="s">
        <v>471</v>
      </c>
      <c r="D434" t="s">
        <v>472</v>
      </c>
      <c r="F434" s="196">
        <v>0.94199999999999995</v>
      </c>
      <c r="G434" s="196">
        <v>0.92500000000000004</v>
      </c>
      <c r="H434" s="193">
        <v>45558</v>
      </c>
      <c r="I434" s="198">
        <v>45536</v>
      </c>
      <c r="J434" s="198" t="s">
        <v>2621</v>
      </c>
      <c r="K434" s="199">
        <v>45716</v>
      </c>
    </row>
    <row r="435" spans="3:11">
      <c r="C435" t="s">
        <v>273</v>
      </c>
      <c r="D435" t="s">
        <v>274</v>
      </c>
      <c r="F435" s="196">
        <v>0.41099999999999998</v>
      </c>
      <c r="G435" s="196">
        <v>0.2</v>
      </c>
      <c r="H435" s="193">
        <v>45566</v>
      </c>
      <c r="I435" s="198">
        <v>45536</v>
      </c>
      <c r="J435" s="198" t="s">
        <v>2622</v>
      </c>
      <c r="K435" s="199">
        <v>46022</v>
      </c>
    </row>
    <row r="436" spans="3:11">
      <c r="C436" t="s">
        <v>549</v>
      </c>
      <c r="D436" t="s">
        <v>1582</v>
      </c>
      <c r="F436" s="196">
        <v>0.438</v>
      </c>
      <c r="G436" s="196">
        <v>0.441</v>
      </c>
      <c r="H436" s="193">
        <v>45566</v>
      </c>
      <c r="I436" s="198">
        <v>45536</v>
      </c>
      <c r="J436" s="198" t="s">
        <v>2623</v>
      </c>
      <c r="K436" s="199">
        <v>45808</v>
      </c>
    </row>
    <row r="437" spans="3:11">
      <c r="C437" t="s">
        <v>629</v>
      </c>
      <c r="D437" t="s">
        <v>630</v>
      </c>
      <c r="F437" s="196">
        <v>0</v>
      </c>
      <c r="G437" s="196">
        <v>0</v>
      </c>
      <c r="H437" s="193">
        <v>45541</v>
      </c>
      <c r="I437" s="198"/>
      <c r="J437" s="198" t="s">
        <v>629</v>
      </c>
      <c r="K437" s="199">
        <v>46111</v>
      </c>
    </row>
    <row r="438" spans="3:11">
      <c r="C438" t="s">
        <v>533</v>
      </c>
      <c r="D438" t="s">
        <v>534</v>
      </c>
      <c r="F438" s="196">
        <v>0.113</v>
      </c>
      <c r="G438" s="196">
        <v>8.3000000000000004E-2</v>
      </c>
      <c r="H438" s="193">
        <v>45551</v>
      </c>
      <c r="I438" s="198">
        <v>45505</v>
      </c>
      <c r="J438" s="198" t="s">
        <v>2624</v>
      </c>
      <c r="K438" s="199">
        <v>46114</v>
      </c>
    </row>
    <row r="439" spans="3:11">
      <c r="C439" t="s">
        <v>70</v>
      </c>
      <c r="D439" t="s">
        <v>71</v>
      </c>
      <c r="F439" s="196">
        <v>0.5</v>
      </c>
      <c r="G439" s="196">
        <v>0.49</v>
      </c>
      <c r="H439" s="193">
        <v>45567</v>
      </c>
      <c r="I439" s="198">
        <v>45536</v>
      </c>
      <c r="J439" s="198" t="s">
        <v>2625</v>
      </c>
      <c r="K439" s="199">
        <v>45928</v>
      </c>
    </row>
    <row r="440" spans="3:11">
      <c r="C440" t="s">
        <v>376</v>
      </c>
      <c r="D440" t="s">
        <v>377</v>
      </c>
      <c r="F440" s="196">
        <v>1</v>
      </c>
      <c r="G440" s="196">
        <v>0.49</v>
      </c>
      <c r="H440" s="193">
        <v>45572</v>
      </c>
      <c r="I440" s="198">
        <v>45536</v>
      </c>
      <c r="J440" s="198" t="s">
        <v>2626</v>
      </c>
      <c r="K440" s="199">
        <v>45565</v>
      </c>
    </row>
    <row r="441" spans="3:11">
      <c r="C441" t="s">
        <v>533</v>
      </c>
      <c r="D441" t="s">
        <v>534</v>
      </c>
      <c r="F441" s="196">
        <v>0.17699999999999999</v>
      </c>
      <c r="G441" s="196">
        <v>0.13500000000000001</v>
      </c>
      <c r="H441" s="193">
        <v>45575</v>
      </c>
      <c r="I441" s="198">
        <v>45536</v>
      </c>
      <c r="J441" s="198" t="s">
        <v>2627</v>
      </c>
      <c r="K441" s="199">
        <v>46114</v>
      </c>
    </row>
    <row r="442" spans="3:11">
      <c r="C442" t="s">
        <v>684</v>
      </c>
      <c r="D442" t="s">
        <v>685</v>
      </c>
      <c r="F442" s="196">
        <v>0.97</v>
      </c>
      <c r="G442" s="196">
        <v>0.96699999999999997</v>
      </c>
      <c r="H442" s="193">
        <v>45574</v>
      </c>
      <c r="I442" s="198">
        <v>45536</v>
      </c>
      <c r="J442" s="198" t="s">
        <v>2628</v>
      </c>
      <c r="K442" s="199">
        <v>46022</v>
      </c>
    </row>
    <row r="443" spans="3:11">
      <c r="C443" t="s">
        <v>350</v>
      </c>
      <c r="D443" t="s">
        <v>351</v>
      </c>
      <c r="F443" s="196">
        <v>0.98699999999999999</v>
      </c>
      <c r="G443" s="196">
        <v>0.93899999999999995</v>
      </c>
      <c r="H443" s="193">
        <v>45574</v>
      </c>
      <c r="I443" s="198">
        <v>45536</v>
      </c>
      <c r="J443" s="198" t="s">
        <v>2629</v>
      </c>
      <c r="K443" s="199">
        <v>46022</v>
      </c>
    </row>
    <row r="444" spans="3:11">
      <c r="C444" t="s">
        <v>431</v>
      </c>
      <c r="D444" t="s">
        <v>432</v>
      </c>
      <c r="F444" s="196">
        <v>0</v>
      </c>
      <c r="G444" s="196">
        <v>0</v>
      </c>
      <c r="H444" s="193">
        <v>45504</v>
      </c>
      <c r="I444" s="198">
        <v>45505</v>
      </c>
      <c r="J444" s="198" t="s">
        <v>2630</v>
      </c>
      <c r="K444" s="199">
        <v>45869</v>
      </c>
    </row>
    <row r="445" spans="3:11">
      <c r="C445" t="s">
        <v>668</v>
      </c>
      <c r="D445" t="s">
        <v>669</v>
      </c>
      <c r="F445" s="196">
        <v>0</v>
      </c>
      <c r="G445" s="196">
        <v>0</v>
      </c>
      <c r="H445" s="193">
        <v>45446</v>
      </c>
      <c r="I445" s="198">
        <v>45474</v>
      </c>
      <c r="J445" s="198" t="s">
        <v>2631</v>
      </c>
      <c r="K445" s="199">
        <v>45581</v>
      </c>
    </row>
    <row r="446" spans="3:11">
      <c r="C446" t="s">
        <v>318</v>
      </c>
      <c r="D446" t="s">
        <v>319</v>
      </c>
      <c r="F446" s="196">
        <v>1</v>
      </c>
      <c r="G446" s="196">
        <v>1</v>
      </c>
      <c r="H446" s="193">
        <v>45576</v>
      </c>
      <c r="I446" s="198">
        <v>45536</v>
      </c>
      <c r="J446" s="198" t="s">
        <v>2632</v>
      </c>
      <c r="K446" s="199">
        <v>45473</v>
      </c>
    </row>
    <row r="447" spans="3:11">
      <c r="C447" t="s">
        <v>209</v>
      </c>
      <c r="D447" t="s">
        <v>210</v>
      </c>
      <c r="F447" s="196" t="s">
        <v>1307</v>
      </c>
      <c r="G447" s="196" t="s">
        <v>1308</v>
      </c>
      <c r="H447" s="193">
        <v>45588</v>
      </c>
      <c r="I447" s="198">
        <v>45566</v>
      </c>
      <c r="J447" s="198" t="s">
        <v>2633</v>
      </c>
      <c r="K447" s="199" t="s">
        <v>2294</v>
      </c>
    </row>
    <row r="448" spans="3:11">
      <c r="C448" t="s">
        <v>425</v>
      </c>
      <c r="D448" t="s">
        <v>426</v>
      </c>
      <c r="F448" s="196" t="s">
        <v>1309</v>
      </c>
      <c r="G448" s="196">
        <v>0.75</v>
      </c>
      <c r="H448" s="193">
        <v>45589</v>
      </c>
      <c r="I448" s="197">
        <v>45566</v>
      </c>
      <c r="J448" s="198" t="s">
        <v>2634</v>
      </c>
      <c r="K448" s="199">
        <v>45605</v>
      </c>
    </row>
    <row r="449" spans="3:11">
      <c r="C449" t="s">
        <v>229</v>
      </c>
      <c r="D449" t="s">
        <v>230</v>
      </c>
      <c r="F449" s="196" t="s">
        <v>1310</v>
      </c>
      <c r="G449" s="196" t="s">
        <v>1311</v>
      </c>
      <c r="H449" s="193">
        <v>45595</v>
      </c>
      <c r="I449" s="198">
        <v>45566</v>
      </c>
      <c r="J449" s="198" t="s">
        <v>2635</v>
      </c>
      <c r="K449" s="199">
        <v>45869</v>
      </c>
    </row>
    <row r="450" spans="3:11">
      <c r="C450" t="s">
        <v>471</v>
      </c>
      <c r="D450" t="s">
        <v>472</v>
      </c>
      <c r="F450" s="196">
        <v>0.95799999999999996</v>
      </c>
      <c r="G450" s="196">
        <v>0.92500000000000004</v>
      </c>
      <c r="H450" s="193">
        <v>45588</v>
      </c>
      <c r="I450" s="198">
        <v>45566</v>
      </c>
      <c r="J450" s="198" t="s">
        <v>2636</v>
      </c>
      <c r="K450" s="199">
        <v>45716</v>
      </c>
    </row>
    <row r="451" spans="3:11">
      <c r="C451" t="s">
        <v>416</v>
      </c>
      <c r="D451" t="s">
        <v>2562</v>
      </c>
      <c r="F451" s="196">
        <v>0.30599999999999999</v>
      </c>
      <c r="G451" s="196">
        <v>0.23300000000000001</v>
      </c>
      <c r="H451" s="193">
        <v>45595</v>
      </c>
      <c r="I451" s="198">
        <v>45566</v>
      </c>
      <c r="J451" s="198" t="s">
        <v>2637</v>
      </c>
      <c r="K451" s="199">
        <v>46386</v>
      </c>
    </row>
    <row r="452" spans="3:11">
      <c r="C452" t="s">
        <v>257</v>
      </c>
      <c r="D452" t="s">
        <v>258</v>
      </c>
      <c r="F452" s="196">
        <v>0.48599999999999999</v>
      </c>
      <c r="G452" s="196">
        <v>0.39600000000000002</v>
      </c>
      <c r="H452" s="193">
        <v>45595</v>
      </c>
      <c r="I452" s="198">
        <v>45566</v>
      </c>
      <c r="J452" s="198" t="s">
        <v>2638</v>
      </c>
      <c r="K452" s="199">
        <v>46022</v>
      </c>
    </row>
    <row r="453" spans="3:11">
      <c r="C453" t="s">
        <v>172</v>
      </c>
      <c r="D453" t="s">
        <v>173</v>
      </c>
      <c r="F453" s="196">
        <v>0.95</v>
      </c>
      <c r="G453" s="196">
        <v>0.81499999999999995</v>
      </c>
      <c r="H453" s="193">
        <v>45593</v>
      </c>
      <c r="I453" s="198">
        <v>45566</v>
      </c>
      <c r="J453" s="198" t="s">
        <v>2639</v>
      </c>
      <c r="K453" s="199">
        <v>45639</v>
      </c>
    </row>
    <row r="454" spans="3:11">
      <c r="C454" t="s">
        <v>549</v>
      </c>
      <c r="D454" t="s">
        <v>1582</v>
      </c>
      <c r="F454" s="196">
        <v>0.51600000000000001</v>
      </c>
      <c r="G454" s="196">
        <v>0.53400000000000003</v>
      </c>
      <c r="H454" s="193">
        <v>45595</v>
      </c>
      <c r="I454" s="198">
        <v>45566</v>
      </c>
      <c r="J454" s="198" t="s">
        <v>2640</v>
      </c>
      <c r="K454" s="199">
        <v>45808</v>
      </c>
    </row>
    <row r="455" spans="3:11">
      <c r="C455" t="s">
        <v>644</v>
      </c>
      <c r="D455" t="s">
        <v>645</v>
      </c>
      <c r="F455" s="196">
        <v>0.70599999999999996</v>
      </c>
      <c r="G455" s="196">
        <v>0.65300000000000002</v>
      </c>
      <c r="H455" s="193">
        <v>45594</v>
      </c>
      <c r="I455" s="198">
        <v>45566</v>
      </c>
      <c r="J455" s="198" t="s">
        <v>2641</v>
      </c>
      <c r="K455" s="199">
        <v>45751</v>
      </c>
    </row>
    <row r="456" spans="3:11">
      <c r="C456" t="s">
        <v>609</v>
      </c>
      <c r="D456" t="s">
        <v>610</v>
      </c>
      <c r="F456" s="196" t="s">
        <v>1312</v>
      </c>
      <c r="G456" s="196" t="s">
        <v>1313</v>
      </c>
      <c r="H456" s="193">
        <v>45595</v>
      </c>
      <c r="I456" s="197">
        <v>45566</v>
      </c>
      <c r="J456" s="198" t="s">
        <v>2642</v>
      </c>
      <c r="K456" s="199">
        <v>45716</v>
      </c>
    </row>
    <row r="457" spans="3:11">
      <c r="C457" t="s">
        <v>358</v>
      </c>
      <c r="D457" t="s">
        <v>359</v>
      </c>
      <c r="F457" s="196">
        <v>0.92200000000000004</v>
      </c>
      <c r="G457" s="196">
        <v>0.92</v>
      </c>
      <c r="H457" s="193">
        <v>45601</v>
      </c>
      <c r="I457" s="198">
        <v>45566</v>
      </c>
      <c r="J457" s="198" t="s">
        <v>2643</v>
      </c>
      <c r="K457" s="199">
        <v>45745</v>
      </c>
    </row>
    <row r="458" spans="3:11">
      <c r="C458" t="s">
        <v>638</v>
      </c>
      <c r="D458" t="s">
        <v>639</v>
      </c>
      <c r="F458" s="196">
        <v>0.89</v>
      </c>
      <c r="G458" s="196">
        <v>0.85499999999999998</v>
      </c>
      <c r="H458" s="193">
        <v>45600</v>
      </c>
      <c r="I458" s="198">
        <v>45566</v>
      </c>
      <c r="J458" s="198" t="s">
        <v>2644</v>
      </c>
      <c r="K458" s="199">
        <v>45841</v>
      </c>
    </row>
    <row r="459" spans="3:11">
      <c r="C459" t="s">
        <v>533</v>
      </c>
      <c r="D459" t="s">
        <v>534</v>
      </c>
      <c r="F459" s="196">
        <v>0.19600000000000001</v>
      </c>
      <c r="G459" s="196">
        <v>0.16200000000000001</v>
      </c>
      <c r="H459" s="193">
        <v>45600</v>
      </c>
      <c r="I459" s="198">
        <v>45566</v>
      </c>
      <c r="J459" s="198" t="s">
        <v>2645</v>
      </c>
      <c r="K459" s="199">
        <v>46114</v>
      </c>
    </row>
    <row r="460" spans="3:11">
      <c r="C460" t="s">
        <v>698</v>
      </c>
      <c r="D460" t="s">
        <v>699</v>
      </c>
      <c r="F460" s="196">
        <v>0</v>
      </c>
      <c r="G460" s="196">
        <v>0</v>
      </c>
      <c r="H460" s="193">
        <v>45568</v>
      </c>
      <c r="I460" s="198">
        <v>45536</v>
      </c>
      <c r="J460" s="198" t="s">
        <v>2646</v>
      </c>
      <c r="K460" s="199">
        <v>45930</v>
      </c>
    </row>
    <row r="461" spans="3:11">
      <c r="C461" t="s">
        <v>310</v>
      </c>
      <c r="D461" t="s">
        <v>311</v>
      </c>
      <c r="F461" s="196">
        <v>0.52900000000000003</v>
      </c>
      <c r="G461" s="196">
        <v>0.41099999999999998</v>
      </c>
      <c r="H461" s="193">
        <v>45602</v>
      </c>
      <c r="I461" s="198">
        <v>45566</v>
      </c>
      <c r="J461" s="198" t="s">
        <v>2647</v>
      </c>
      <c r="K461" s="199">
        <v>45869</v>
      </c>
    </row>
    <row r="462" spans="3:11">
      <c r="C462" t="s">
        <v>615</v>
      </c>
      <c r="D462" t="s">
        <v>616</v>
      </c>
      <c r="F462" s="196">
        <v>0.8</v>
      </c>
      <c r="G462" s="196">
        <v>0.89500000000000002</v>
      </c>
      <c r="H462" s="193">
        <v>45594</v>
      </c>
      <c r="I462" s="198">
        <v>45536</v>
      </c>
      <c r="J462" s="198" t="s">
        <v>2648</v>
      </c>
      <c r="K462" s="199">
        <v>45645</v>
      </c>
    </row>
    <row r="463" spans="3:11">
      <c r="C463" t="s">
        <v>182</v>
      </c>
      <c r="D463" t="s">
        <v>183</v>
      </c>
      <c r="F463" s="196">
        <v>0.93</v>
      </c>
      <c r="G463" s="196">
        <v>0.93</v>
      </c>
      <c r="H463" s="193">
        <v>45573</v>
      </c>
      <c r="I463" s="198">
        <v>45536</v>
      </c>
      <c r="J463" s="198" t="s">
        <v>2649</v>
      </c>
      <c r="K463" s="199">
        <v>45869</v>
      </c>
    </row>
    <row r="464" spans="3:11">
      <c r="C464" t="s">
        <v>684</v>
      </c>
      <c r="D464" t="s">
        <v>685</v>
      </c>
      <c r="F464" s="196">
        <v>0.97299999999999998</v>
      </c>
      <c r="G464" s="196">
        <v>0.96699999999999997</v>
      </c>
      <c r="H464" s="193">
        <v>45602</v>
      </c>
      <c r="I464" s="198">
        <v>45566</v>
      </c>
      <c r="J464" s="198" t="s">
        <v>2650</v>
      </c>
      <c r="K464" s="199">
        <v>46022</v>
      </c>
    </row>
    <row r="465" spans="3:11">
      <c r="C465" t="s">
        <v>350</v>
      </c>
      <c r="D465" t="s">
        <v>351</v>
      </c>
      <c r="F465" s="196">
        <v>0.98799999999999999</v>
      </c>
      <c r="G465" s="196">
        <v>0.93899999999999995</v>
      </c>
      <c r="H465" s="193">
        <v>45602</v>
      </c>
      <c r="I465" s="198">
        <v>45566</v>
      </c>
      <c r="J465" s="198" t="s">
        <v>2651</v>
      </c>
      <c r="K465" s="199">
        <v>46022</v>
      </c>
    </row>
    <row r="466" spans="3:11">
      <c r="C466" t="s">
        <v>273</v>
      </c>
      <c r="D466" t="s">
        <v>274</v>
      </c>
      <c r="F466" s="196">
        <v>0.46</v>
      </c>
      <c r="G466" s="196">
        <v>0.20699999999999999</v>
      </c>
      <c r="H466" s="193">
        <v>45604</v>
      </c>
      <c r="I466" s="198">
        <v>45566</v>
      </c>
      <c r="J466" s="198" t="s">
        <v>2652</v>
      </c>
      <c r="K466" s="199">
        <v>46022</v>
      </c>
    </row>
    <row r="467" spans="3:11">
      <c r="C467" t="s">
        <v>479</v>
      </c>
      <c r="D467" t="s">
        <v>480</v>
      </c>
      <c r="F467" s="196">
        <v>0.96099999999999997</v>
      </c>
      <c r="G467" s="196">
        <v>0.88200000000000001</v>
      </c>
      <c r="H467" s="193">
        <v>45603</v>
      </c>
      <c r="I467" s="198">
        <v>45566</v>
      </c>
      <c r="J467" s="198" t="s">
        <v>2653</v>
      </c>
      <c r="K467" s="199" t="s">
        <v>483</v>
      </c>
    </row>
    <row r="468" spans="3:11">
      <c r="C468" t="s">
        <v>376</v>
      </c>
      <c r="D468" t="s">
        <v>377</v>
      </c>
      <c r="F468" s="196">
        <v>1</v>
      </c>
      <c r="G468" s="196">
        <v>0.49</v>
      </c>
      <c r="H468" s="193">
        <v>45604</v>
      </c>
      <c r="I468" s="198">
        <v>45566</v>
      </c>
      <c r="J468" s="198" t="s">
        <v>2654</v>
      </c>
      <c r="K468" s="199">
        <v>45565</v>
      </c>
    </row>
    <row r="469" spans="3:11">
      <c r="C469" t="s">
        <v>668</v>
      </c>
      <c r="D469" t="s">
        <v>669</v>
      </c>
      <c r="F469" s="196">
        <v>1</v>
      </c>
      <c r="G469" s="196">
        <v>1</v>
      </c>
      <c r="H469" s="193">
        <v>45604</v>
      </c>
      <c r="I469" s="198">
        <v>45566</v>
      </c>
      <c r="J469" s="198" t="s">
        <v>2655</v>
      </c>
      <c r="K469" s="199">
        <v>45581</v>
      </c>
    </row>
    <row r="470" spans="3:11">
      <c r="C470" t="s">
        <v>559</v>
      </c>
      <c r="D470" t="s">
        <v>560</v>
      </c>
      <c r="F470" s="196">
        <v>0.75</v>
      </c>
      <c r="G470" s="196">
        <v>0.75</v>
      </c>
      <c r="H470" s="193">
        <v>45604</v>
      </c>
      <c r="I470" s="198">
        <v>45566</v>
      </c>
      <c r="J470" s="198" t="s">
        <v>2656</v>
      </c>
      <c r="K470" s="199">
        <v>46022</v>
      </c>
    </row>
    <row r="471" spans="3:11">
      <c r="C471" t="s">
        <v>690</v>
      </c>
      <c r="D471" t="s">
        <v>691</v>
      </c>
      <c r="F471" s="196">
        <v>0</v>
      </c>
      <c r="G471" s="196">
        <v>0</v>
      </c>
      <c r="H471" s="193">
        <v>45614</v>
      </c>
      <c r="I471" s="198">
        <v>45566</v>
      </c>
      <c r="J471" s="198" t="s">
        <v>2657</v>
      </c>
      <c r="K471" s="199">
        <v>45838</v>
      </c>
    </row>
    <row r="472" spans="3:11">
      <c r="C472" t="s">
        <v>698</v>
      </c>
      <c r="D472" t="s">
        <v>699</v>
      </c>
      <c r="F472" s="196">
        <v>0.4</v>
      </c>
      <c r="G472" s="196">
        <v>0.3</v>
      </c>
      <c r="H472" s="193">
        <v>45614</v>
      </c>
      <c r="I472" s="198">
        <v>45566</v>
      </c>
      <c r="J472" s="198" t="s">
        <v>2658</v>
      </c>
      <c r="K472" s="199">
        <v>45930</v>
      </c>
    </row>
    <row r="473" spans="3:11">
      <c r="C473" t="s">
        <v>615</v>
      </c>
      <c r="D473" t="s">
        <v>616</v>
      </c>
      <c r="F473" s="196">
        <v>1</v>
      </c>
      <c r="G473" s="196">
        <v>0.93569999999999998</v>
      </c>
      <c r="H473" s="193">
        <v>45622</v>
      </c>
      <c r="I473" s="198">
        <v>45566</v>
      </c>
      <c r="J473" s="198" t="s">
        <v>2659</v>
      </c>
      <c r="K473" s="199">
        <v>45645</v>
      </c>
    </row>
    <row r="474" spans="3:11">
      <c r="C474" t="s">
        <v>209</v>
      </c>
      <c r="D474" t="s">
        <v>210</v>
      </c>
      <c r="F474" s="196">
        <v>0.89200000000000002</v>
      </c>
      <c r="G474" s="196">
        <v>0.86299999999999999</v>
      </c>
      <c r="H474" s="193">
        <v>45623</v>
      </c>
      <c r="I474" s="198">
        <v>45597</v>
      </c>
      <c r="J474" s="198" t="s">
        <v>2660</v>
      </c>
      <c r="K474" s="199" t="s">
        <v>2294</v>
      </c>
    </row>
    <row r="475" spans="3:11">
      <c r="C475" t="s">
        <v>141</v>
      </c>
      <c r="D475" t="s">
        <v>142</v>
      </c>
      <c r="F475" s="196">
        <v>0.97</v>
      </c>
      <c r="G475" s="196">
        <v>0.97</v>
      </c>
      <c r="H475" s="193">
        <v>45595</v>
      </c>
      <c r="I475" s="198">
        <v>45536</v>
      </c>
      <c r="J475" s="198" t="s">
        <v>2661</v>
      </c>
      <c r="K475" s="199">
        <v>45597</v>
      </c>
    </row>
    <row r="476" spans="3:11">
      <c r="C476" t="s">
        <v>425</v>
      </c>
      <c r="D476" t="s">
        <v>426</v>
      </c>
      <c r="F476" s="196">
        <v>1</v>
      </c>
      <c r="G476" s="196">
        <v>1</v>
      </c>
      <c r="H476" s="193">
        <v>45608</v>
      </c>
      <c r="I476" s="198">
        <v>45597</v>
      </c>
      <c r="J476" s="198" t="s">
        <v>2662</v>
      </c>
      <c r="K476" s="199">
        <v>45605</v>
      </c>
    </row>
    <row r="477" spans="3:11">
      <c r="C477" t="s">
        <v>609</v>
      </c>
      <c r="D477" t="s">
        <v>610</v>
      </c>
      <c r="F477" s="196">
        <v>0.97399999999999998</v>
      </c>
      <c r="G477" s="196">
        <v>0.94799999999999995</v>
      </c>
      <c r="H477" s="193">
        <v>45624</v>
      </c>
      <c r="I477" s="198">
        <v>45597</v>
      </c>
      <c r="J477" s="198" t="s">
        <v>2663</v>
      </c>
      <c r="K477" s="199">
        <v>45716</v>
      </c>
    </row>
    <row r="478" spans="3:11">
      <c r="C478" t="s">
        <v>97</v>
      </c>
      <c r="D478" t="s">
        <v>98</v>
      </c>
      <c r="F478" s="196">
        <v>1</v>
      </c>
      <c r="G478" s="196">
        <v>1</v>
      </c>
      <c r="H478" s="193">
        <v>45624</v>
      </c>
      <c r="I478" s="198">
        <v>45597</v>
      </c>
      <c r="J478" s="198" t="s">
        <v>2664</v>
      </c>
      <c r="K478" s="199">
        <v>45930</v>
      </c>
    </row>
    <row r="479" spans="3:11">
      <c r="C479" t="s">
        <v>229</v>
      </c>
      <c r="D479" t="s">
        <v>230</v>
      </c>
      <c r="F479" s="196">
        <v>0.70499999999999996</v>
      </c>
      <c r="G479" s="196">
        <v>0.70499999999999996</v>
      </c>
      <c r="H479" s="193">
        <v>45623</v>
      </c>
      <c r="I479" s="198">
        <v>45597</v>
      </c>
      <c r="J479" s="198" t="s">
        <v>2665</v>
      </c>
      <c r="K479" s="199">
        <v>45869</v>
      </c>
    </row>
    <row r="480" spans="3:11">
      <c r="C480" t="s">
        <v>350</v>
      </c>
      <c r="D480" t="s">
        <v>351</v>
      </c>
      <c r="F480" s="196">
        <v>0.98899999999999999</v>
      </c>
      <c r="G480" s="196">
        <v>0.93899999999999995</v>
      </c>
      <c r="H480" s="193">
        <v>45623</v>
      </c>
      <c r="I480" s="198">
        <v>45597</v>
      </c>
      <c r="J480" s="198" t="s">
        <v>2666</v>
      </c>
      <c r="K480" s="199">
        <v>46022</v>
      </c>
    </row>
    <row r="481" spans="3:11">
      <c r="C481" t="s">
        <v>358</v>
      </c>
      <c r="D481" t="s">
        <v>359</v>
      </c>
      <c r="F481" s="196">
        <v>0.92700000000000005</v>
      </c>
      <c r="G481" s="196">
        <v>0.92</v>
      </c>
      <c r="H481" s="193">
        <v>45624</v>
      </c>
      <c r="I481" s="198">
        <v>45597</v>
      </c>
      <c r="J481" s="198" t="s">
        <v>2667</v>
      </c>
      <c r="K481" s="199">
        <v>45745</v>
      </c>
    </row>
    <row r="482" spans="3:11">
      <c r="C482" t="s">
        <v>471</v>
      </c>
      <c r="D482" t="s">
        <v>472</v>
      </c>
      <c r="F482" s="196">
        <v>1</v>
      </c>
      <c r="G482" s="196">
        <v>1</v>
      </c>
      <c r="H482" s="193">
        <v>45623</v>
      </c>
      <c r="I482" s="198">
        <v>45597</v>
      </c>
      <c r="J482" s="198" t="s">
        <v>2668</v>
      </c>
      <c r="K482" s="199">
        <v>45716</v>
      </c>
    </row>
    <row r="483" spans="3:11">
      <c r="C483" t="s">
        <v>273</v>
      </c>
      <c r="D483" t="s">
        <v>274</v>
      </c>
      <c r="F483" s="196">
        <v>0.505</v>
      </c>
      <c r="G483" s="196">
        <v>0.22800000000000001</v>
      </c>
      <c r="H483" s="193">
        <v>45629</v>
      </c>
      <c r="I483" s="198">
        <v>45597</v>
      </c>
      <c r="J483" s="198" t="s">
        <v>2669</v>
      </c>
      <c r="K483" s="199">
        <v>46022</v>
      </c>
    </row>
    <row r="484" spans="3:11">
      <c r="C484" t="s">
        <v>416</v>
      </c>
      <c r="D484" t="s">
        <v>2562</v>
      </c>
      <c r="F484" s="196">
        <v>0.35399999999999998</v>
      </c>
      <c r="G484" s="196">
        <v>0.24099999999999999</v>
      </c>
      <c r="H484" s="193">
        <v>45631</v>
      </c>
      <c r="I484" s="198">
        <v>45597</v>
      </c>
      <c r="J484" s="198" t="s">
        <v>2670</v>
      </c>
      <c r="K484" s="199">
        <v>46386</v>
      </c>
    </row>
    <row r="485" spans="3:11">
      <c r="C485" t="s">
        <v>257</v>
      </c>
      <c r="D485" t="s">
        <v>258</v>
      </c>
      <c r="F485" s="196">
        <v>0.54500000000000004</v>
      </c>
      <c r="G485" s="196">
        <v>0.45200000000000001</v>
      </c>
      <c r="H485" s="193">
        <v>45623</v>
      </c>
      <c r="I485" s="198">
        <v>45597</v>
      </c>
      <c r="J485" s="198" t="s">
        <v>2671</v>
      </c>
      <c r="K485" s="199">
        <v>46022</v>
      </c>
    </row>
    <row r="486" spans="3:11">
      <c r="C486" t="s">
        <v>638</v>
      </c>
      <c r="D486" t="s">
        <v>639</v>
      </c>
      <c r="F486" s="196">
        <v>0.88600000000000001</v>
      </c>
      <c r="G486" s="196">
        <v>0.88900000000000001</v>
      </c>
      <c r="H486" s="193">
        <v>45624</v>
      </c>
      <c r="I486" s="198">
        <v>45597</v>
      </c>
      <c r="J486" s="198" t="s">
        <v>2672</v>
      </c>
      <c r="K486" s="199">
        <v>45841</v>
      </c>
    </row>
    <row r="487" spans="3:11">
      <c r="C487" t="s">
        <v>589</v>
      </c>
      <c r="D487" t="s">
        <v>590</v>
      </c>
      <c r="F487" s="196">
        <v>0.31</v>
      </c>
      <c r="G487" s="196">
        <v>0.34</v>
      </c>
      <c r="H487" s="193">
        <v>45625</v>
      </c>
      <c r="I487" s="198">
        <v>45597</v>
      </c>
      <c r="J487" s="198" t="s">
        <v>2673</v>
      </c>
      <c r="K487" s="199">
        <v>46233</v>
      </c>
    </row>
    <row r="488" spans="3:11">
      <c r="C488" t="s">
        <v>684</v>
      </c>
      <c r="D488" t="s">
        <v>685</v>
      </c>
      <c r="F488" s="196">
        <v>0.96899999999999997</v>
      </c>
      <c r="G488" s="196">
        <v>0.96699999999999997</v>
      </c>
      <c r="H488" s="193">
        <v>45623</v>
      </c>
      <c r="I488" s="198">
        <v>45597</v>
      </c>
      <c r="J488" s="198" t="s">
        <v>2674</v>
      </c>
      <c r="K488" s="199">
        <v>46022</v>
      </c>
    </row>
    <row r="489" spans="3:11">
      <c r="C489" t="s">
        <v>172</v>
      </c>
      <c r="D489" t="s">
        <v>173</v>
      </c>
      <c r="F489" s="196">
        <v>0.99</v>
      </c>
      <c r="G489" s="196">
        <v>0.95</v>
      </c>
      <c r="H489" s="193">
        <v>45629</v>
      </c>
      <c r="I489" s="198">
        <v>45597</v>
      </c>
      <c r="J489" s="198" t="s">
        <v>2675</v>
      </c>
      <c r="K489" s="199">
        <v>45639</v>
      </c>
    </row>
    <row r="490" spans="3:11">
      <c r="C490" t="s">
        <v>549</v>
      </c>
      <c r="D490" t="s">
        <v>1582</v>
      </c>
      <c r="F490" s="196">
        <v>0.59599999999999997</v>
      </c>
      <c r="G490" s="196">
        <v>0.59</v>
      </c>
      <c r="H490" s="193">
        <v>45623</v>
      </c>
      <c r="I490" s="198">
        <v>45597</v>
      </c>
      <c r="J490" s="198" t="s">
        <v>2676</v>
      </c>
      <c r="K490" s="199">
        <v>45808</v>
      </c>
    </row>
    <row r="491" spans="3:11">
      <c r="C491" t="s">
        <v>644</v>
      </c>
      <c r="D491" t="s">
        <v>645</v>
      </c>
      <c r="F491" s="196">
        <v>0.73399999999999999</v>
      </c>
      <c r="G491" s="196">
        <v>0.67400000000000004</v>
      </c>
      <c r="H491" s="193">
        <v>45624</v>
      </c>
      <c r="I491" s="198">
        <v>45597</v>
      </c>
      <c r="J491" s="198" t="s">
        <v>2677</v>
      </c>
      <c r="K491" s="199">
        <v>45751</v>
      </c>
    </row>
    <row r="492" spans="3:11">
      <c r="C492" t="s">
        <v>533</v>
      </c>
      <c r="D492" t="s">
        <v>534</v>
      </c>
      <c r="F492" s="196">
        <v>0.20899999999999999</v>
      </c>
      <c r="G492" s="196">
        <v>0.20499999999999999</v>
      </c>
      <c r="H492" s="193">
        <v>45625</v>
      </c>
      <c r="I492" s="198">
        <v>45597</v>
      </c>
      <c r="J492" s="198" t="s">
        <v>2678</v>
      </c>
      <c r="K492" s="199">
        <v>46114</v>
      </c>
    </row>
    <row r="493" spans="3:11">
      <c r="C493" t="s">
        <v>310</v>
      </c>
      <c r="D493" t="s">
        <v>311</v>
      </c>
      <c r="F493" s="196">
        <v>0.58099999999999996</v>
      </c>
      <c r="G493" s="196">
        <v>0.48</v>
      </c>
      <c r="H493" s="193">
        <v>45629</v>
      </c>
      <c r="I493" s="198">
        <v>45597</v>
      </c>
      <c r="J493" s="198" t="s">
        <v>2679</v>
      </c>
      <c r="K493" s="199">
        <v>45869</v>
      </c>
    </row>
    <row r="494" spans="3:11">
      <c r="C494" t="s">
        <v>458</v>
      </c>
      <c r="D494" t="s">
        <v>459</v>
      </c>
      <c r="F494" s="196">
        <v>0.27700000000000002</v>
      </c>
      <c r="G494" s="196">
        <v>0.26800000000000002</v>
      </c>
      <c r="H494" s="193">
        <v>45638</v>
      </c>
      <c r="I494" s="198">
        <v>45597</v>
      </c>
      <c r="J494" t="s">
        <v>2680</v>
      </c>
      <c r="K494" s="199">
        <v>45856</v>
      </c>
    </row>
    <row r="495" spans="3:11">
      <c r="C495" t="s">
        <v>523</v>
      </c>
      <c r="D495" t="s">
        <v>524</v>
      </c>
      <c r="F495" s="196">
        <v>0.251</v>
      </c>
      <c r="G495" s="196">
        <v>0.34300000000000003</v>
      </c>
      <c r="H495" s="193">
        <v>45532</v>
      </c>
      <c r="I495" s="198">
        <v>45474</v>
      </c>
      <c r="J495" t="s">
        <v>2681</v>
      </c>
      <c r="K495" s="199" t="s">
        <v>531</v>
      </c>
    </row>
    <row r="496" spans="3:11">
      <c r="C496" t="s">
        <v>523</v>
      </c>
      <c r="D496" t="s">
        <v>524</v>
      </c>
      <c r="F496" s="196">
        <v>0.376</v>
      </c>
      <c r="G496" s="196">
        <v>0.42299999999999999</v>
      </c>
      <c r="H496" s="193">
        <v>45555</v>
      </c>
      <c r="I496" s="198">
        <v>45536</v>
      </c>
      <c r="J496" t="s">
        <v>2682</v>
      </c>
      <c r="K496" s="199" t="s">
        <v>531</v>
      </c>
    </row>
    <row r="497" spans="3:11">
      <c r="C497" t="s">
        <v>298</v>
      </c>
      <c r="D497" t="s">
        <v>299</v>
      </c>
      <c r="F497" s="196">
        <v>1</v>
      </c>
      <c r="G497" s="196">
        <v>1</v>
      </c>
      <c r="H497" s="193">
        <v>45645</v>
      </c>
      <c r="I497" s="198">
        <v>45627</v>
      </c>
      <c r="J497" t="s">
        <v>2683</v>
      </c>
      <c r="K497" s="199">
        <v>45485</v>
      </c>
    </row>
    <row r="498" spans="3:11">
      <c r="C498" t="s">
        <v>83</v>
      </c>
      <c r="D498" t="s">
        <v>84</v>
      </c>
      <c r="F498" s="196">
        <v>0</v>
      </c>
      <c r="G498" s="196">
        <v>0</v>
      </c>
      <c r="H498" s="193">
        <v>45632</v>
      </c>
      <c r="I498" s="198">
        <v>45627</v>
      </c>
      <c r="J498" t="s">
        <v>2684</v>
      </c>
      <c r="K498" s="199">
        <v>45838</v>
      </c>
    </row>
    <row r="499" spans="3:11">
      <c r="C499" t="s">
        <v>487</v>
      </c>
      <c r="D499" t="s">
        <v>488</v>
      </c>
      <c r="F499" s="196">
        <v>7.8399999999999997E-2</v>
      </c>
      <c r="G499" s="196">
        <v>7.3499999999999996E-2</v>
      </c>
      <c r="H499" s="193">
        <v>45292</v>
      </c>
      <c r="I499" s="197">
        <v>45139</v>
      </c>
      <c r="J499" t="s">
        <v>2311</v>
      </c>
      <c r="K499" s="199">
        <v>45913</v>
      </c>
    </row>
    <row r="500" spans="3:11">
      <c r="C500" t="s">
        <v>443</v>
      </c>
      <c r="D500" t="s">
        <v>444</v>
      </c>
      <c r="F500" s="196">
        <v>0.42</v>
      </c>
      <c r="G500" s="196">
        <v>0.42</v>
      </c>
      <c r="H500" s="193">
        <v>45292</v>
      </c>
      <c r="I500" s="197">
        <v>45200</v>
      </c>
      <c r="J500" t="s">
        <v>2337</v>
      </c>
      <c r="K500" s="199">
        <v>45688</v>
      </c>
    </row>
    <row r="501" spans="3:11">
      <c r="C501" t="s">
        <v>451</v>
      </c>
      <c r="D501" t="s">
        <v>452</v>
      </c>
      <c r="F501" s="196">
        <v>5.5500000000000001E-2</v>
      </c>
      <c r="G501" s="196">
        <v>1.0999999999999999E-2</v>
      </c>
      <c r="H501" s="193">
        <v>45383</v>
      </c>
      <c r="I501" s="197">
        <v>45017</v>
      </c>
      <c r="J501" t="s">
        <v>2302</v>
      </c>
      <c r="K501" s="199">
        <v>45199</v>
      </c>
    </row>
    <row r="502" spans="3:11">
      <c r="C502" t="s">
        <v>209</v>
      </c>
      <c r="D502" t="s">
        <v>210</v>
      </c>
      <c r="F502" s="196">
        <v>0.89500000000000002</v>
      </c>
      <c r="G502" s="196">
        <v>0.89500000000000002</v>
      </c>
      <c r="H502" s="193">
        <v>45650</v>
      </c>
      <c r="I502" s="198">
        <v>45627</v>
      </c>
      <c r="J502" t="s">
        <v>2685</v>
      </c>
      <c r="K502" s="199" t="s">
        <v>2294</v>
      </c>
    </row>
    <row r="503" spans="3:11">
      <c r="C503" t="s">
        <v>209</v>
      </c>
      <c r="D503" t="s">
        <v>210</v>
      </c>
      <c r="F503" s="196">
        <v>0.89500000000000002</v>
      </c>
      <c r="G503" s="196">
        <v>0.89500000000000002</v>
      </c>
      <c r="H503" s="193">
        <v>45664</v>
      </c>
      <c r="I503" s="198">
        <v>45627</v>
      </c>
      <c r="J503" t="s">
        <v>2685</v>
      </c>
      <c r="K503" s="199" t="s">
        <v>2294</v>
      </c>
    </row>
    <row r="504" spans="3:11">
      <c r="C504" t="s">
        <v>609</v>
      </c>
      <c r="D504" t="s">
        <v>610</v>
      </c>
      <c r="F504" s="196">
        <v>0.95699999999999996</v>
      </c>
      <c r="G504" s="196">
        <v>0.95799999999999996</v>
      </c>
      <c r="H504" s="193">
        <v>45656</v>
      </c>
      <c r="I504" s="198">
        <v>45627</v>
      </c>
      <c r="J504" t="s">
        <v>2686</v>
      </c>
      <c r="K504" s="199">
        <v>45716</v>
      </c>
    </row>
    <row r="505" spans="3:11">
      <c r="C505" t="s">
        <v>609</v>
      </c>
      <c r="D505" t="s">
        <v>610</v>
      </c>
      <c r="F505" s="196">
        <v>0.95699999999999996</v>
      </c>
      <c r="G505" s="196">
        <v>0.95799999999999996</v>
      </c>
      <c r="H505" s="193">
        <v>45664</v>
      </c>
      <c r="I505" s="198">
        <v>45627</v>
      </c>
      <c r="J505" t="s">
        <v>2686</v>
      </c>
      <c r="K505" s="199">
        <v>45716</v>
      </c>
    </row>
    <row r="506" spans="3:11">
      <c r="C506" t="s">
        <v>229</v>
      </c>
      <c r="D506" t="s">
        <v>230</v>
      </c>
      <c r="F506" s="196">
        <v>0.748</v>
      </c>
      <c r="G506" s="196">
        <v>0.73</v>
      </c>
      <c r="H506" s="193">
        <v>45652</v>
      </c>
      <c r="I506" s="198">
        <v>45627</v>
      </c>
      <c r="J506" t="s">
        <v>2687</v>
      </c>
      <c r="K506" s="199">
        <v>45869</v>
      </c>
    </row>
    <row r="507" spans="3:11">
      <c r="C507" t="s">
        <v>229</v>
      </c>
      <c r="D507" t="s">
        <v>230</v>
      </c>
      <c r="F507" s="196">
        <v>0.748</v>
      </c>
      <c r="G507" s="196">
        <v>0.73</v>
      </c>
      <c r="H507" s="193">
        <v>45664</v>
      </c>
      <c r="I507" s="198">
        <v>45627</v>
      </c>
      <c r="J507" t="s">
        <v>2687</v>
      </c>
      <c r="K507" s="199">
        <v>45869</v>
      </c>
    </row>
    <row r="508" spans="3:11">
      <c r="C508" t="s">
        <v>358</v>
      </c>
      <c r="D508" t="s">
        <v>359</v>
      </c>
      <c r="F508" s="196">
        <v>0.94199999999999995</v>
      </c>
      <c r="G508" s="196">
        <v>0.92200000000000004</v>
      </c>
      <c r="H508" s="193">
        <v>45656</v>
      </c>
      <c r="I508" s="198">
        <v>45627</v>
      </c>
      <c r="J508" t="s">
        <v>2688</v>
      </c>
      <c r="K508" s="199">
        <v>45745</v>
      </c>
    </row>
    <row r="509" spans="3:11">
      <c r="C509" t="s">
        <v>358</v>
      </c>
      <c r="D509" t="s">
        <v>359</v>
      </c>
      <c r="F509" s="196">
        <v>0.94199999999999995</v>
      </c>
      <c r="G509" s="196">
        <v>0.92200000000000004</v>
      </c>
      <c r="H509" s="193">
        <v>45664</v>
      </c>
      <c r="I509" s="198">
        <v>45627</v>
      </c>
      <c r="J509" t="s">
        <v>2688</v>
      </c>
      <c r="K509" s="199">
        <v>45745</v>
      </c>
    </row>
    <row r="510" spans="3:11">
      <c r="C510" t="s">
        <v>479</v>
      </c>
      <c r="D510" t="s">
        <v>480</v>
      </c>
      <c r="F510" s="196">
        <v>0.997</v>
      </c>
      <c r="G510" s="196">
        <v>1</v>
      </c>
      <c r="H510" s="193">
        <v>45646</v>
      </c>
      <c r="I510" s="198">
        <v>45627</v>
      </c>
      <c r="J510" t="s">
        <v>2689</v>
      </c>
      <c r="K510" s="199" t="s">
        <v>483</v>
      </c>
    </row>
    <row r="511" spans="3:11">
      <c r="C511" t="s">
        <v>644</v>
      </c>
      <c r="D511" t="s">
        <v>645</v>
      </c>
      <c r="F511" s="196">
        <v>0.8</v>
      </c>
      <c r="G511" s="196">
        <v>0.71199999999999997</v>
      </c>
      <c r="H511" s="193">
        <v>45657</v>
      </c>
      <c r="I511" s="198">
        <v>45627</v>
      </c>
      <c r="J511" t="s">
        <v>2690</v>
      </c>
      <c r="K511" s="199">
        <v>45751</v>
      </c>
    </row>
    <row r="512" spans="3:11">
      <c r="C512" t="s">
        <v>644</v>
      </c>
      <c r="D512" t="s">
        <v>645</v>
      </c>
      <c r="F512" s="196">
        <v>0.8</v>
      </c>
      <c r="G512" s="196">
        <v>0.71199999999999997</v>
      </c>
      <c r="H512" s="193">
        <v>45664</v>
      </c>
      <c r="I512" s="198">
        <v>45627</v>
      </c>
      <c r="J512" t="s">
        <v>2690</v>
      </c>
      <c r="K512" s="199">
        <v>45751</v>
      </c>
    </row>
    <row r="513" spans="3:11">
      <c r="C513" t="s">
        <v>638</v>
      </c>
      <c r="D513" t="s">
        <v>639</v>
      </c>
      <c r="F513" s="196">
        <v>0.80300000000000005</v>
      </c>
      <c r="G513" s="196">
        <v>0.80600000000000005</v>
      </c>
      <c r="H513" s="193">
        <v>45656</v>
      </c>
      <c r="I513" s="198">
        <v>45627</v>
      </c>
      <c r="J513" t="s">
        <v>2691</v>
      </c>
      <c r="K513" s="199">
        <v>45841</v>
      </c>
    </row>
    <row r="514" spans="3:11">
      <c r="C514" t="s">
        <v>638</v>
      </c>
      <c r="D514" t="s">
        <v>639</v>
      </c>
      <c r="F514" s="196">
        <v>0.80300000000000005</v>
      </c>
      <c r="G514" s="196">
        <v>0.80600000000000005</v>
      </c>
      <c r="H514" s="193">
        <v>45664</v>
      </c>
      <c r="I514" s="198">
        <v>45627</v>
      </c>
      <c r="J514" t="s">
        <v>2691</v>
      </c>
      <c r="K514" s="199">
        <v>45841</v>
      </c>
    </row>
    <row r="515" spans="3:11">
      <c r="C515" t="s">
        <v>172</v>
      </c>
      <c r="D515" t="s">
        <v>173</v>
      </c>
      <c r="F515" s="196">
        <v>1</v>
      </c>
      <c r="G515" s="196">
        <v>1</v>
      </c>
      <c r="H515" s="193">
        <v>45645</v>
      </c>
      <c r="I515" s="198">
        <v>45627</v>
      </c>
      <c r="J515" t="s">
        <v>2692</v>
      </c>
      <c r="K515" s="199">
        <v>45639</v>
      </c>
    </row>
    <row r="516" spans="3:11">
      <c r="C516" t="s">
        <v>549</v>
      </c>
      <c r="D516" t="s">
        <v>1582</v>
      </c>
      <c r="F516" s="196">
        <v>0.66600000000000004</v>
      </c>
      <c r="G516" s="196">
        <v>0.628</v>
      </c>
      <c r="H516" s="193">
        <v>45652</v>
      </c>
      <c r="I516" s="198">
        <v>45627</v>
      </c>
      <c r="J516" t="s">
        <v>2693</v>
      </c>
      <c r="K516" s="199">
        <v>45808</v>
      </c>
    </row>
    <row r="517" spans="3:11">
      <c r="C517" t="s">
        <v>549</v>
      </c>
      <c r="D517" t="s">
        <v>1582</v>
      </c>
      <c r="F517" s="196">
        <v>0.66600000000000004</v>
      </c>
      <c r="G517" s="196">
        <v>0.628</v>
      </c>
      <c r="H517" s="193">
        <v>45664</v>
      </c>
      <c r="I517" s="198">
        <v>45627</v>
      </c>
      <c r="J517" t="s">
        <v>2693</v>
      </c>
      <c r="K517" s="199">
        <v>45808</v>
      </c>
    </row>
    <row r="518" spans="3:11">
      <c r="C518" t="s">
        <v>257</v>
      </c>
      <c r="D518" t="s">
        <v>258</v>
      </c>
      <c r="F518" s="196">
        <v>0.58199999999999996</v>
      </c>
      <c r="G518" s="196">
        <v>0.52100000000000002</v>
      </c>
      <c r="H518" s="193">
        <v>45657</v>
      </c>
      <c r="I518" s="198">
        <v>45627</v>
      </c>
      <c r="J518" t="s">
        <v>2694</v>
      </c>
      <c r="K518" s="199">
        <v>46022</v>
      </c>
    </row>
    <row r="519" spans="3:11">
      <c r="C519" t="s">
        <v>257</v>
      </c>
      <c r="D519" t="s">
        <v>258</v>
      </c>
      <c r="F519" s="196">
        <v>0.58199999999999996</v>
      </c>
      <c r="G519" s="196">
        <v>0.52100000000000002</v>
      </c>
      <c r="H519" s="193">
        <v>45660</v>
      </c>
      <c r="I519" s="198">
        <v>45627</v>
      </c>
      <c r="J519" t="s">
        <v>2694</v>
      </c>
      <c r="K519" s="199">
        <v>46022</v>
      </c>
    </row>
    <row r="520" spans="3:11">
      <c r="C520" t="s">
        <v>533</v>
      </c>
      <c r="D520" t="s">
        <v>534</v>
      </c>
      <c r="F520" s="196">
        <v>0.26800000000000002</v>
      </c>
      <c r="G520" s="196">
        <v>0.26200000000000001</v>
      </c>
      <c r="H520" s="193">
        <v>45655</v>
      </c>
      <c r="I520" s="198">
        <v>45627</v>
      </c>
      <c r="J520" t="s">
        <v>2695</v>
      </c>
      <c r="K520" s="199">
        <v>46114</v>
      </c>
    </row>
    <row r="521" spans="3:11">
      <c r="C521" t="s">
        <v>523</v>
      </c>
      <c r="D521" t="s">
        <v>524</v>
      </c>
      <c r="F521" s="196">
        <v>0.69599999999999995</v>
      </c>
      <c r="G521" s="196">
        <v>0.70499999999999996</v>
      </c>
      <c r="H521" s="193">
        <v>45646</v>
      </c>
      <c r="I521" s="198">
        <v>45627</v>
      </c>
      <c r="J521" t="s">
        <v>2696</v>
      </c>
      <c r="K521" s="199" t="s">
        <v>531</v>
      </c>
    </row>
    <row r="522" spans="3:11">
      <c r="C522" t="s">
        <v>384</v>
      </c>
      <c r="D522" t="s">
        <v>385</v>
      </c>
      <c r="F522" s="196">
        <v>0.68</v>
      </c>
      <c r="G522" s="196">
        <v>0.68</v>
      </c>
      <c r="H522" s="193">
        <v>45657</v>
      </c>
      <c r="I522" s="198">
        <v>45627</v>
      </c>
      <c r="J522" t="s">
        <v>2697</v>
      </c>
      <c r="K522" s="199">
        <v>46022</v>
      </c>
    </row>
    <row r="523" spans="3:11">
      <c r="C523" t="s">
        <v>384</v>
      </c>
      <c r="D523" t="s">
        <v>385</v>
      </c>
      <c r="F523" s="196">
        <v>0.68</v>
      </c>
      <c r="G523" s="196">
        <v>0.68</v>
      </c>
      <c r="H523" s="193">
        <v>45665</v>
      </c>
      <c r="I523" s="198">
        <v>45627</v>
      </c>
      <c r="J523" t="s">
        <v>2697</v>
      </c>
      <c r="K523" s="199">
        <v>46022</v>
      </c>
    </row>
    <row r="524" spans="3:11">
      <c r="C524" t="s">
        <v>273</v>
      </c>
      <c r="D524" t="s">
        <v>274</v>
      </c>
      <c r="F524" s="196">
        <v>0.54400000000000004</v>
      </c>
      <c r="G524" s="196">
        <v>0.22800000000000001</v>
      </c>
      <c r="H524" s="193">
        <v>45657</v>
      </c>
      <c r="I524" s="198">
        <v>45627</v>
      </c>
      <c r="J524" t="s">
        <v>2698</v>
      </c>
      <c r="K524" s="199">
        <v>46022</v>
      </c>
    </row>
    <row r="525" spans="3:11">
      <c r="C525" t="s">
        <v>273</v>
      </c>
      <c r="D525" t="s">
        <v>274</v>
      </c>
      <c r="F525" s="196">
        <v>0.54400000000000004</v>
      </c>
      <c r="G525" s="196">
        <v>0.22800000000000001</v>
      </c>
      <c r="H525" s="193">
        <v>45664</v>
      </c>
      <c r="I525" s="198">
        <v>45627</v>
      </c>
      <c r="J525" t="s">
        <v>2698</v>
      </c>
      <c r="K525" s="199">
        <v>46022</v>
      </c>
    </row>
    <row r="526" spans="3:11">
      <c r="C526" t="s">
        <v>376</v>
      </c>
      <c r="D526" t="s">
        <v>377</v>
      </c>
      <c r="F526" s="196">
        <v>1</v>
      </c>
      <c r="G526" s="196">
        <v>0.49</v>
      </c>
      <c r="H526" s="193">
        <v>45657</v>
      </c>
      <c r="I526" s="198">
        <v>45627</v>
      </c>
      <c r="J526" t="s">
        <v>2699</v>
      </c>
      <c r="K526" s="199">
        <v>45565</v>
      </c>
    </row>
    <row r="527" spans="3:11">
      <c r="C527" t="s">
        <v>376</v>
      </c>
      <c r="D527" t="s">
        <v>377</v>
      </c>
      <c r="F527" s="196">
        <v>1</v>
      </c>
      <c r="G527" s="196">
        <v>0.49</v>
      </c>
      <c r="H527" s="193">
        <v>45664</v>
      </c>
      <c r="I527" s="198">
        <v>45627</v>
      </c>
      <c r="J527" t="s">
        <v>2699</v>
      </c>
      <c r="K527" s="199">
        <v>45565</v>
      </c>
    </row>
    <row r="528" spans="3:11">
      <c r="C528" t="s">
        <v>350</v>
      </c>
      <c r="D528" t="s">
        <v>351</v>
      </c>
      <c r="F528" s="196">
        <v>0.99</v>
      </c>
      <c r="G528" s="196">
        <v>0.93899999999999995</v>
      </c>
      <c r="H528" s="193">
        <v>45657</v>
      </c>
      <c r="I528" s="198">
        <v>45627</v>
      </c>
      <c r="J528" t="s">
        <v>2700</v>
      </c>
      <c r="K528" s="199">
        <v>46022</v>
      </c>
    </row>
    <row r="529" spans="3:11">
      <c r="C529" t="s">
        <v>350</v>
      </c>
      <c r="D529" t="s">
        <v>351</v>
      </c>
      <c r="F529" s="196">
        <v>0.99</v>
      </c>
      <c r="G529" s="196">
        <v>0.93899999999999995</v>
      </c>
      <c r="H529" s="193">
        <v>45664</v>
      </c>
      <c r="I529" s="198">
        <v>45627</v>
      </c>
      <c r="J529" t="s">
        <v>2700</v>
      </c>
      <c r="K529" s="199">
        <v>46022</v>
      </c>
    </row>
    <row r="530" spans="3:11">
      <c r="C530" t="s">
        <v>416</v>
      </c>
      <c r="D530" t="s">
        <v>2562</v>
      </c>
      <c r="F530" s="196">
        <v>0.43</v>
      </c>
      <c r="G530" s="196">
        <v>0.222</v>
      </c>
      <c r="H530" s="193">
        <v>45657</v>
      </c>
      <c r="I530" s="198">
        <v>45627</v>
      </c>
      <c r="J530" t="s">
        <v>2701</v>
      </c>
      <c r="K530" s="199">
        <v>46386</v>
      </c>
    </row>
    <row r="531" spans="3:11">
      <c r="C531" t="s">
        <v>416</v>
      </c>
      <c r="D531" t="s">
        <v>2562</v>
      </c>
      <c r="F531" s="196">
        <v>0.43</v>
      </c>
      <c r="G531" s="196">
        <v>0.222</v>
      </c>
      <c r="H531" s="193">
        <v>45664</v>
      </c>
      <c r="I531" s="198">
        <v>45627</v>
      </c>
      <c r="J531" t="s">
        <v>2701</v>
      </c>
      <c r="K531" s="199">
        <v>46386</v>
      </c>
    </row>
    <row r="532" spans="3:11">
      <c r="C532" t="s">
        <v>684</v>
      </c>
      <c r="D532" t="s">
        <v>685</v>
      </c>
      <c r="F532" s="196">
        <v>0.97299999999999998</v>
      </c>
      <c r="G532" s="196">
        <v>0.96699999999999997</v>
      </c>
      <c r="H532" s="193">
        <v>45657</v>
      </c>
      <c r="I532" s="198">
        <v>45627</v>
      </c>
      <c r="J532" t="s">
        <v>2702</v>
      </c>
      <c r="K532" s="199">
        <v>46022</v>
      </c>
    </row>
    <row r="533" spans="3:11">
      <c r="C533" t="s">
        <v>684</v>
      </c>
      <c r="D533" t="s">
        <v>685</v>
      </c>
      <c r="F533" s="196">
        <v>0.97299999999999998</v>
      </c>
      <c r="G533" s="196">
        <v>0.96699999999999997</v>
      </c>
      <c r="H533" s="193">
        <v>45664</v>
      </c>
      <c r="I533" s="198">
        <v>45627</v>
      </c>
      <c r="J533" t="s">
        <v>2702</v>
      </c>
      <c r="K533" s="199">
        <v>46022</v>
      </c>
    </row>
    <row r="534" spans="3:11">
      <c r="C534" t="s">
        <v>458</v>
      </c>
      <c r="D534" t="s">
        <v>459</v>
      </c>
      <c r="F534" s="196">
        <v>0.377</v>
      </c>
      <c r="G534" s="196">
        <v>0.36399999999999999</v>
      </c>
      <c r="H534" s="193">
        <v>45657</v>
      </c>
      <c r="I534" s="198">
        <v>45627</v>
      </c>
      <c r="J534" t="s">
        <v>2703</v>
      </c>
      <c r="K534" s="199">
        <v>45856</v>
      </c>
    </row>
    <row r="535" spans="3:11">
      <c r="C535" t="s">
        <v>458</v>
      </c>
      <c r="D535" t="s">
        <v>459</v>
      </c>
      <c r="F535" s="196">
        <v>0.377</v>
      </c>
      <c r="G535" s="196">
        <v>0.36399999999999999</v>
      </c>
      <c r="H535" s="193">
        <v>45663</v>
      </c>
      <c r="I535" s="198">
        <v>45627</v>
      </c>
      <c r="J535" t="s">
        <v>2703</v>
      </c>
      <c r="K535" s="199">
        <v>45856</v>
      </c>
    </row>
    <row r="536" spans="3:11">
      <c r="C536" t="s">
        <v>83</v>
      </c>
      <c r="D536" t="s">
        <v>84</v>
      </c>
      <c r="F536" s="196">
        <v>0.85</v>
      </c>
      <c r="G536" s="196">
        <v>0.75</v>
      </c>
      <c r="H536" s="193">
        <v>45657</v>
      </c>
      <c r="I536" s="198">
        <v>45627</v>
      </c>
      <c r="J536" t="s">
        <v>2684</v>
      </c>
      <c r="K536" s="199">
        <v>45838</v>
      </c>
    </row>
    <row r="537" spans="3:11">
      <c r="C537" t="s">
        <v>83</v>
      </c>
      <c r="D537" t="s">
        <v>84</v>
      </c>
      <c r="F537" s="196">
        <v>0.85</v>
      </c>
      <c r="G537" s="196">
        <v>0.75</v>
      </c>
      <c r="H537" s="193">
        <v>45664</v>
      </c>
      <c r="I537" s="198">
        <v>45627</v>
      </c>
      <c r="J537" t="s">
        <v>2684</v>
      </c>
      <c r="K537" s="199">
        <v>45838</v>
      </c>
    </row>
    <row r="538" spans="3:11">
      <c r="C538" t="s">
        <v>523</v>
      </c>
      <c r="D538" t="s">
        <v>524</v>
      </c>
      <c r="F538" s="196">
        <v>0.72</v>
      </c>
      <c r="G538" s="196">
        <v>0.71699999999999997</v>
      </c>
      <c r="H538" s="193">
        <v>45657</v>
      </c>
      <c r="I538" s="198">
        <v>45627</v>
      </c>
      <c r="J538" t="s">
        <v>2696</v>
      </c>
      <c r="K538" s="199" t="s">
        <v>531</v>
      </c>
    </row>
    <row r="539" spans="3:11">
      <c r="C539" t="s">
        <v>523</v>
      </c>
      <c r="D539" t="s">
        <v>524</v>
      </c>
      <c r="F539" s="196">
        <v>0.72</v>
      </c>
      <c r="G539" s="196">
        <v>0.71699999999999997</v>
      </c>
      <c r="H539" s="193">
        <v>45665</v>
      </c>
      <c r="I539" s="198">
        <v>45627</v>
      </c>
      <c r="J539" t="s">
        <v>2696</v>
      </c>
      <c r="K539" s="199" t="s">
        <v>531</v>
      </c>
    </row>
    <row r="540" spans="3:11">
      <c r="C540" t="s">
        <v>310</v>
      </c>
      <c r="D540" t="s">
        <v>311</v>
      </c>
      <c r="F540" s="196">
        <v>0.66100000000000003</v>
      </c>
      <c r="G540" s="196">
        <v>0.51900000000000002</v>
      </c>
      <c r="H540" s="193">
        <v>45657</v>
      </c>
      <c r="I540" s="198">
        <v>45627</v>
      </c>
      <c r="J540" t="s">
        <v>2704</v>
      </c>
      <c r="K540" s="199">
        <v>45869</v>
      </c>
    </row>
    <row r="541" spans="3:11">
      <c r="C541" t="s">
        <v>310</v>
      </c>
      <c r="D541" t="s">
        <v>311</v>
      </c>
      <c r="F541" s="196">
        <v>0.66100000000000003</v>
      </c>
      <c r="G541" s="196">
        <v>0.51900000000000002</v>
      </c>
      <c r="H541" s="193">
        <v>45665</v>
      </c>
      <c r="I541" s="198">
        <v>45627</v>
      </c>
      <c r="J541" t="s">
        <v>2704</v>
      </c>
      <c r="K541" s="199">
        <v>45869</v>
      </c>
    </row>
    <row r="542" spans="3:11">
      <c r="C542" t="s">
        <v>247</v>
      </c>
      <c r="D542" t="s">
        <v>248</v>
      </c>
      <c r="F542" s="196">
        <v>0.59399999999999997</v>
      </c>
      <c r="G542" s="196">
        <v>0.64100000000000001</v>
      </c>
      <c r="H542" s="193">
        <v>45646</v>
      </c>
      <c r="I542" s="198">
        <v>45627</v>
      </c>
      <c r="J542" t="s">
        <v>2705</v>
      </c>
      <c r="K542" s="199">
        <v>45868</v>
      </c>
    </row>
    <row r="543" spans="3:11">
      <c r="C543" t="s">
        <v>247</v>
      </c>
      <c r="D543" t="s">
        <v>248</v>
      </c>
      <c r="F543" s="196">
        <v>0.59399999999999997</v>
      </c>
      <c r="G543" s="196">
        <v>0.64100000000000001</v>
      </c>
      <c r="H543" s="193">
        <v>45299</v>
      </c>
      <c r="I543" s="198">
        <v>45627</v>
      </c>
      <c r="J543" t="s">
        <v>2705</v>
      </c>
      <c r="K543" s="199">
        <v>45868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17B8C-4671-4002-B22A-855F9F147C8F}">
  <dimension ref="A1:R92"/>
  <sheetViews>
    <sheetView topLeftCell="A82" zoomScale="85" zoomScaleNormal="85" workbookViewId="0">
      <selection activeCell="G85" sqref="G85"/>
    </sheetView>
  </sheetViews>
  <sheetFormatPr defaultRowHeight="15"/>
  <cols>
    <col min="1" max="1" width="34.5703125" customWidth="1"/>
    <col min="2" max="2" width="18.42578125" customWidth="1"/>
    <col min="3" max="3" width="14.85546875" customWidth="1"/>
    <col min="4" max="4" width="34.140625" customWidth="1"/>
    <col min="5" max="5" width="24.140625" customWidth="1"/>
    <col min="6" max="6" width="32" customWidth="1"/>
    <col min="7" max="7" width="28.5703125" customWidth="1"/>
    <col min="8" max="8" width="43.5703125" customWidth="1"/>
    <col min="9" max="9" width="28.42578125" customWidth="1"/>
    <col min="10" max="10" width="31.5703125" customWidth="1"/>
    <col min="11" max="11" width="17.85546875" customWidth="1"/>
    <col min="12" max="12" width="70.42578125" style="438" customWidth="1"/>
    <col min="13" max="13" width="70.5703125" style="438" customWidth="1"/>
    <col min="14" max="14" width="56.42578125" style="139" customWidth="1"/>
    <col min="15" max="15" width="45.85546875" style="438" customWidth="1"/>
    <col min="16" max="16" width="16.7109375" customWidth="1"/>
    <col min="17" max="17" width="22.85546875" customWidth="1"/>
    <col min="18" max="18" width="30.28515625" customWidth="1"/>
  </cols>
  <sheetData>
    <row r="1" spans="1:18">
      <c r="B1" t="s">
        <v>2706</v>
      </c>
      <c r="C1" t="s">
        <v>2707</v>
      </c>
      <c r="E1" t="s">
        <v>2708</v>
      </c>
      <c r="F1" t="s">
        <v>2709</v>
      </c>
      <c r="G1" t="s">
        <v>2710</v>
      </c>
      <c r="H1" t="s">
        <v>2711</v>
      </c>
      <c r="I1" t="s">
        <v>2712</v>
      </c>
      <c r="J1" t="s">
        <v>2713</v>
      </c>
      <c r="K1" t="s">
        <v>2714</v>
      </c>
      <c r="L1" s="436" t="s">
        <v>2715</v>
      </c>
      <c r="M1" s="436" t="s">
        <v>2716</v>
      </c>
      <c r="N1" s="36" t="s">
        <v>2717</v>
      </c>
      <c r="O1" s="436" t="s">
        <v>2718</v>
      </c>
    </row>
    <row r="2" spans="1:18" ht="40.5">
      <c r="A2" s="586" t="s">
        <v>2719</v>
      </c>
      <c r="B2" s="543" t="s">
        <v>1</v>
      </c>
      <c r="C2" s="543" t="s">
        <v>57</v>
      </c>
      <c r="D2" s="544" t="s">
        <v>1588</v>
      </c>
      <c r="E2" s="544" t="s">
        <v>2720</v>
      </c>
      <c r="F2" s="544" t="s">
        <v>2721</v>
      </c>
      <c r="G2" s="544" t="s">
        <v>2722</v>
      </c>
      <c r="H2" s="546" t="s">
        <v>2723</v>
      </c>
      <c r="I2" s="546" t="s">
        <v>2724</v>
      </c>
      <c r="J2" s="546" t="s">
        <v>2725</v>
      </c>
      <c r="K2" s="546" t="s">
        <v>21</v>
      </c>
      <c r="L2" s="550" t="s">
        <v>2726</v>
      </c>
      <c r="M2" s="550" t="s">
        <v>2727</v>
      </c>
      <c r="N2" s="567" t="s">
        <v>2728</v>
      </c>
      <c r="O2" s="550" t="s">
        <v>39</v>
      </c>
      <c r="P2" s="632" t="s">
        <v>2729</v>
      </c>
      <c r="Q2" s="633" t="s">
        <v>2730</v>
      </c>
      <c r="R2" s="586" t="s">
        <v>2731</v>
      </c>
    </row>
    <row r="3" spans="1:18" ht="170.1" hidden="1" customHeight="1">
      <c r="A3" s="641" t="s">
        <v>44</v>
      </c>
      <c r="B3" s="232" t="s">
        <v>629</v>
      </c>
      <c r="C3" s="232" t="str">
        <f>_xlfn.XLOOKUP(B3,Tb_Portfólio[SEI],Tb_Portfólio[Consultor],"Não cadastrado")</f>
        <v>Juliana</v>
      </c>
      <c r="D3" s="75" t="str">
        <f>_xlfn.XLOOKUP(B3,Tb_Portfólio[SEI],Tb_Portfólio[PROJETO],"Não cadastrado")</f>
        <v>2º Edital da 7ª Edição da Série Justiça Pesquisa - Exercício 2024/2025</v>
      </c>
      <c r="E3" s="75" t="str">
        <f>_xlfn.XLOOKUP(D3,Tb_Portfólio[PROJETO],Tb_Portfólio[OBJETO],"Não cadastrado")</f>
        <v>O objeto do projeto é a contratação de pesquisas empíricas em eixos temáticos destinadas ao conhecimento da função jurisdicional brasileira, análise e diagnóstico dos problemas estruturais e conjunturais dos diversos segmentos do Poder Judiciário e para fornecer subsídios técnicos para a formulação de políticas judiciárias, nos termos do art. 5º, § 1º e § 2º, inc. II, da Lei nº 11.364/2006.</v>
      </c>
      <c r="F3" s="75" t="s">
        <v>2732</v>
      </c>
      <c r="G3" s="75" t="s">
        <v>2733</v>
      </c>
      <c r="H3" s="559" t="s">
        <v>86</v>
      </c>
      <c r="I3" s="549" t="str">
        <f>_xlfn.XLOOKUP(D3,Tb_Portfólio[PROJETO],Tb_Portfólio[PREVISÃO DE TERMINO],"Não cadastrado")</f>
        <v>27/8/2026</v>
      </c>
      <c r="J3" s="547">
        <f>_xlfn.XLOOKUP(B3,Tb_Portfólio[SEI],Tb_Portfólio[% EXECUTADO],"",0)</f>
        <v>0.99</v>
      </c>
      <c r="K3" s="554" t="str">
        <f ca="1">_xlfn.XLOOKUP(B3,Tb_Portfólio[SEI],Tb_Portfólio[Situação],"",0)</f>
        <v>No prazo</v>
      </c>
      <c r="L3" s="551" t="s">
        <v>2734</v>
      </c>
      <c r="M3" s="551" t="s">
        <v>2735</v>
      </c>
      <c r="N3" s="551" t="s">
        <v>2736</v>
      </c>
      <c r="O3" s="551" t="s">
        <v>2737</v>
      </c>
      <c r="P3" s="635">
        <v>46079</v>
      </c>
      <c r="Q3" s="634">
        <v>46107</v>
      </c>
      <c r="R3" t="s">
        <v>52</v>
      </c>
    </row>
    <row r="4" spans="1:18" ht="144" hidden="1" customHeight="1">
      <c r="A4" s="641" t="s">
        <v>44</v>
      </c>
      <c r="B4" s="232"/>
      <c r="C4" s="232" t="str">
        <f>_xlfn.XLOOKUP(B4,Tb_Portfólio[SEI],Tb_Portfólio[Consultor],"Não cadastrado")</f>
        <v>Não cadastrado</v>
      </c>
      <c r="D4" s="75" t="s">
        <v>2738</v>
      </c>
      <c r="E4" s="75" t="s">
        <v>2739</v>
      </c>
      <c r="F4" s="75" t="s">
        <v>2740</v>
      </c>
      <c r="G4" s="75" t="s">
        <v>2741</v>
      </c>
      <c r="H4" s="74" t="s">
        <v>928</v>
      </c>
      <c r="I4" s="549">
        <v>46631</v>
      </c>
      <c r="J4" s="8" t="s">
        <v>2742</v>
      </c>
      <c r="K4" s="71" t="s">
        <v>2743</v>
      </c>
      <c r="L4" s="569" t="s">
        <v>2744</v>
      </c>
      <c r="M4" s="438" t="s">
        <v>2745</v>
      </c>
      <c r="N4" s="569" t="s">
        <v>2746</v>
      </c>
      <c r="P4" s="635">
        <v>46079</v>
      </c>
      <c r="Q4" s="634">
        <v>46107</v>
      </c>
      <c r="R4" t="s">
        <v>2747</v>
      </c>
    </row>
    <row r="5" spans="1:18" ht="255" hidden="1">
      <c r="A5" s="641" t="s">
        <v>44</v>
      </c>
      <c r="B5" s="232" t="s">
        <v>934</v>
      </c>
      <c r="C5" s="232" t="s">
        <v>1710</v>
      </c>
      <c r="D5" s="75" t="s">
        <v>2748</v>
      </c>
      <c r="E5" s="73" t="s">
        <v>2749</v>
      </c>
      <c r="F5" s="75" t="s">
        <v>2740</v>
      </c>
      <c r="G5" s="75" t="s">
        <v>2750</v>
      </c>
      <c r="H5" s="23" t="s">
        <v>942</v>
      </c>
      <c r="I5" s="549">
        <v>46741</v>
      </c>
      <c r="J5" s="554" t="s">
        <v>2742</v>
      </c>
      <c r="K5" s="554" t="str">
        <f ca="1">_xlfn.XLOOKUP(B5,Tb_Portfólio[SEI],Tb_Portfólio[Situação],"",0)</f>
        <v>Autorizado</v>
      </c>
      <c r="L5" s="242" t="s">
        <v>2751</v>
      </c>
      <c r="M5" s="73" t="s">
        <v>2752</v>
      </c>
      <c r="N5" s="73" t="s">
        <v>2753</v>
      </c>
      <c r="O5" s="73" t="s">
        <v>2754</v>
      </c>
      <c r="P5" s="635">
        <v>46079</v>
      </c>
      <c r="Q5" s="634">
        <v>46107</v>
      </c>
      <c r="R5" t="s">
        <v>52</v>
      </c>
    </row>
    <row r="6" spans="1:18" ht="409.5" hidden="1">
      <c r="A6" s="641" t="s">
        <v>44</v>
      </c>
      <c r="B6" s="232"/>
      <c r="C6" s="232" t="str">
        <f>_xlfn.XLOOKUP(B6,Tb_Portfólio[SEI],Tb_Portfólio[Consultor],"Não cadastrado")</f>
        <v>Não cadastrado</v>
      </c>
      <c r="D6" s="605" t="s">
        <v>2755</v>
      </c>
      <c r="E6" s="75" t="s">
        <v>2756</v>
      </c>
      <c r="F6" s="75" t="s">
        <v>2740</v>
      </c>
      <c r="G6" s="75" t="s">
        <v>2741</v>
      </c>
      <c r="H6" s="74" t="s">
        <v>928</v>
      </c>
      <c r="I6" s="549">
        <v>46631</v>
      </c>
      <c r="J6" s="8" t="s">
        <v>2742</v>
      </c>
      <c r="K6" s="71" t="s">
        <v>2743</v>
      </c>
      <c r="L6" s="569" t="s">
        <v>2757</v>
      </c>
      <c r="M6" s="569" t="s">
        <v>2758</v>
      </c>
      <c r="N6" s="570" t="s">
        <v>2759</v>
      </c>
      <c r="P6" s="635">
        <v>46079</v>
      </c>
      <c r="Q6" s="634">
        <v>46107</v>
      </c>
      <c r="R6" t="s">
        <v>2747</v>
      </c>
    </row>
    <row r="7" spans="1:18" ht="200.45" hidden="1" customHeight="1">
      <c r="A7" s="641" t="str">
        <f>_xlfn.XLOOKUP(B7,Tb_Portfólio[SEI],Tb_Portfólio[UNIDADE PATROCINADORA],"Não cadastrado")</f>
        <v>SEP - Secretaria de Estratégia e Projetos</v>
      </c>
      <c r="B7" s="232" t="s">
        <v>219</v>
      </c>
      <c r="C7" s="232" t="str">
        <f>_xlfn.XLOOKUP(B7,Tb_Portfólio[SEI],Tb_Portfólio[Consultor],"Não cadastrado")</f>
        <v xml:space="preserve">Raphael </v>
      </c>
      <c r="D7" s="75" t="str">
        <f>_xlfn.XLOOKUP(B7,Tb_Portfólio[SEI],Tb_Portfólio[PROJETO],"Não cadastrado")</f>
        <v xml:space="preserve">Aperfeiçoamento funcional em temáticas prioritárias para o CNJ e para Justiça Federal 
(cursos, capacitações, metodologias e ferramentas avançados) – Ciclo Avançado </v>
      </c>
      <c r="E7" s="75" t="str">
        <f>_xlfn.XLOOKUP(D7,Tb_Portfólio[PROJETO],Tb_Portfólio[OBJETO],"Não cadastrado")</f>
        <v xml:space="preserve">Desenvolvimento de metodologias e elaboração de cursos, materiais e ferramentas de capacitação na modalidade de Educação a Distância (EaD) na temática de ciência de dados e em nível avançado, em complemento ao projeto anterior finalizado. </v>
      </c>
      <c r="F7" s="75" t="s">
        <v>2732</v>
      </c>
      <c r="G7" s="75" t="s">
        <v>1839</v>
      </c>
      <c r="H7" s="74" t="s">
        <v>86</v>
      </c>
      <c r="I7" s="549">
        <f>_xlfn.XLOOKUP(D7,Tb_Portfólio[PROJETO],Tb_Portfólio[PREVISÃO DE TERMINO],"Não cadastrado")</f>
        <v>46246</v>
      </c>
      <c r="J7" s="547">
        <f>_xlfn.XLOOKUP(B7,Tb_Portfólio[SEI],Tb_Portfólio[% EXECUTADO],"",0)</f>
        <v>0.88</v>
      </c>
      <c r="K7" s="554" t="str">
        <f ca="1">_xlfn.XLOOKUP(B7,Tb_Portfólio[SEI],Tb_Portfólio[Situação],"",0)</f>
        <v>No prazo</v>
      </c>
      <c r="L7" s="563" t="s">
        <v>2760</v>
      </c>
      <c r="M7" s="8" t="s">
        <v>2761</v>
      </c>
      <c r="N7" s="8" t="s">
        <v>2762</v>
      </c>
      <c r="O7" s="71"/>
      <c r="P7" s="635">
        <v>46079</v>
      </c>
      <c r="Q7" s="634">
        <v>46107</v>
      </c>
      <c r="R7" t="s">
        <v>52</v>
      </c>
    </row>
    <row r="8" spans="1:18" ht="375" hidden="1">
      <c r="A8" s="5" t="s">
        <v>67</v>
      </c>
      <c r="B8" s="555" t="s">
        <v>773</v>
      </c>
      <c r="C8" s="232" t="str">
        <f>_xlfn.XLOOKUP(B8,Tb_Portfólio[SEI],Tb_Portfólio[Consultor],"Não cadastrado")</f>
        <v>Tony</v>
      </c>
      <c r="D8" s="75" t="str">
        <f>_xlfn.XLOOKUP(B8,Tb_Portfólio[SEI],Tb_Portfólio[PROJETO],"Não cadastrado")</f>
        <v>API de Pessoas</v>
      </c>
      <c r="E8" s="75" t="str">
        <f>_xlfn.XLOOKUP(D8,Tb_Portfólio[PROJETO],Tb_Portfólio[OBJETO],"Não cadastrado")</f>
        <v>Desenvolvimento de API para consulta de dados centralizados de Pessoa, pessoa física ou pessoa jurídica, possibilitando o acesso por sistemas integrados ao PDPJ-Br e por consumidores externos que tenham a devida autorização.  A API de Pessoas é uma ferramenta eficaz para enriquecer aplicações com informações estruturadas e organizadas sobre Pessoa (pessoa física e jurídica) do sistema Jus.br, melhorando a precisão no acesso e no cadastro de dados de Pessoa. Além disso, a API oferece monitoramento do acesso aos dados de Pessoas.</v>
      </c>
      <c r="F8" s="75" t="s">
        <v>2732</v>
      </c>
      <c r="G8" s="75" t="s">
        <v>2763</v>
      </c>
      <c r="H8" s="560" t="s">
        <v>474</v>
      </c>
      <c r="I8" s="549">
        <f>_xlfn.XLOOKUP(D8,Tb_Portfólio[PROJETO],Tb_Portfólio[PREVISÃO DE TERMINO],"Não cadastrado")</f>
        <v>46371</v>
      </c>
      <c r="J8" s="547">
        <f>_xlfn.XLOOKUP(B8,Tb_Portfólio[SEI],Tb_Portfólio[% EXECUTADO],"",0)</f>
        <v>0.5</v>
      </c>
      <c r="K8" s="554" t="str">
        <f ca="1">_xlfn.XLOOKUP(B8,Tb_Portfólio[SEI],Tb_Portfólio[Situação],"",0)</f>
        <v>Atrasado ou Crítico</v>
      </c>
      <c r="L8" s="551" t="s">
        <v>2764</v>
      </c>
      <c r="M8" s="551" t="s">
        <v>2765</v>
      </c>
      <c r="N8" s="551" t="s">
        <v>2766</v>
      </c>
      <c r="O8" s="551" t="s">
        <v>2767</v>
      </c>
      <c r="P8" s="635">
        <v>46079</v>
      </c>
      <c r="Q8" s="634">
        <v>46107</v>
      </c>
      <c r="R8" t="s">
        <v>52</v>
      </c>
    </row>
    <row r="9" spans="1:18" ht="210" hidden="1">
      <c r="A9" s="641" t="s">
        <v>44</v>
      </c>
      <c r="B9" s="232" t="s">
        <v>310</v>
      </c>
      <c r="C9" s="232" t="str">
        <f>_xlfn.XLOOKUP(B9,Tb_Portfólio[SEI],Tb_Portfólio[Consultor],"Não cadastrado")</f>
        <v>juloi</v>
      </c>
      <c r="D9" s="75" t="str">
        <f>_xlfn.XLOOKUP(B9,Tb_Portfólio[SEI],Tb_Portfólio[PROJETO],"Não cadastrado")</f>
        <v>Apoio a implantação de soluções da PDPJ-Br</v>
      </c>
      <c r="E9" s="75" t="str">
        <f>_xlfn.XLOOKUP(D9,Tb_Portfólio[PROJETO],Tb_Portfólio[OBJETO],"Não cadastrado")</f>
        <v>O objetivo principal é assegurar que todos os participantes do sistema tenham acesso a um suporte técnico eficiente, capaz de solucionar problemas mais complexos que exijam conhecimentos especializados, garantindo assim a continuidade e a eficiência dos serviços prestados pela PDPJ-Br.</v>
      </c>
      <c r="F9" s="75" t="s">
        <v>2732</v>
      </c>
      <c r="G9" s="75" t="s">
        <v>2763</v>
      </c>
      <c r="H9" s="74" t="s">
        <v>43</v>
      </c>
      <c r="I9" s="549">
        <f>_xlfn.XLOOKUP(D9,Tb_Portfólio[PROJETO],Tb_Portfólio[PREVISÃO DE TERMINO],"Não cadastrado")</f>
        <v>46387</v>
      </c>
      <c r="J9" s="547">
        <f>_xlfn.XLOOKUP(B9,Tb_Portfólio[SEI],Tb_Portfólio[% EXECUTADO],"",0)</f>
        <v>0.8</v>
      </c>
      <c r="K9" s="547" t="str">
        <f ca="1">_xlfn.XLOOKUP(B9,Tb_Portfólio[SEI],Tb_Portfólio[Situação],"",0)</f>
        <v>No prazo</v>
      </c>
      <c r="L9" s="8" t="s">
        <v>2768</v>
      </c>
      <c r="M9" s="73" t="s">
        <v>2769</v>
      </c>
      <c r="N9" s="73" t="s">
        <v>2770</v>
      </c>
      <c r="O9" s="585" t="s">
        <v>2771</v>
      </c>
      <c r="P9" s="635">
        <v>46079</v>
      </c>
      <c r="Q9" s="634">
        <v>46107</v>
      </c>
      <c r="R9" t="s">
        <v>52</v>
      </c>
    </row>
    <row r="10" spans="1:18" ht="409.5" hidden="1">
      <c r="A10" s="641" t="s">
        <v>44</v>
      </c>
      <c r="B10" s="232" t="s">
        <v>934</v>
      </c>
      <c r="C10" s="232" t="s">
        <v>1710</v>
      </c>
      <c r="D10" s="650" t="s">
        <v>2772</v>
      </c>
      <c r="E10" s="75" t="s">
        <v>2773</v>
      </c>
      <c r="F10" s="75" t="s">
        <v>2740</v>
      </c>
      <c r="G10" s="75" t="s">
        <v>2750</v>
      </c>
      <c r="H10" s="74" t="s">
        <v>942</v>
      </c>
      <c r="I10" s="549">
        <v>46741</v>
      </c>
      <c r="J10" s="8" t="s">
        <v>2742</v>
      </c>
      <c r="K10" s="554" t="str">
        <f ca="1">_xlfn.XLOOKUP(B10,Tb_Portfólio[SEI],Tb_Portfólio[Situação],"",0)</f>
        <v>Autorizado</v>
      </c>
      <c r="L10" s="242" t="s">
        <v>2774</v>
      </c>
      <c r="M10" s="242" t="s">
        <v>2775</v>
      </c>
      <c r="N10" s="73" t="s">
        <v>2776</v>
      </c>
      <c r="O10" s="551" t="s">
        <v>2754</v>
      </c>
      <c r="P10" s="635">
        <v>46079</v>
      </c>
      <c r="Q10" s="634">
        <v>46107</v>
      </c>
      <c r="R10" t="s">
        <v>52</v>
      </c>
    </row>
    <row r="11" spans="1:18" ht="255" hidden="1">
      <c r="A11" s="641" t="s">
        <v>44</v>
      </c>
      <c r="B11" s="232"/>
      <c r="C11" s="232" t="str">
        <f>_xlfn.XLOOKUP(B11,Tb_Portfólio[SEI],Tb_Portfólio[Consultor],"Não cadastrado")</f>
        <v>Não cadastrado</v>
      </c>
      <c r="D11" s="605" t="s">
        <v>2777</v>
      </c>
      <c r="E11" s="75" t="s">
        <v>2778</v>
      </c>
      <c r="F11" s="75" t="s">
        <v>2740</v>
      </c>
      <c r="G11" s="75" t="s">
        <v>2741</v>
      </c>
      <c r="H11" s="74" t="s">
        <v>928</v>
      </c>
      <c r="I11" s="549">
        <v>46631</v>
      </c>
      <c r="J11" s="8" t="s">
        <v>2742</v>
      </c>
      <c r="K11" s="71" t="s">
        <v>2743</v>
      </c>
      <c r="L11" s="548" t="s">
        <v>2779</v>
      </c>
      <c r="M11" s="598" t="s">
        <v>2780</v>
      </c>
      <c r="N11" s="548" t="s">
        <v>2781</v>
      </c>
      <c r="O11" s="551"/>
      <c r="P11" s="635">
        <v>46079</v>
      </c>
      <c r="Q11" s="634">
        <v>46107</v>
      </c>
      <c r="R11" t="s">
        <v>2747</v>
      </c>
    </row>
    <row r="12" spans="1:18" ht="120" hidden="1">
      <c r="A12" s="5" t="s">
        <v>244</v>
      </c>
      <c r="B12" s="232" t="s">
        <v>661</v>
      </c>
      <c r="C12" s="232" t="str">
        <f>_xlfn.XLOOKUP(B12,Tb_Portfólio[SEI],Tb_Portfólio[Consultor],"Não cadastrado")</f>
        <v>Tony</v>
      </c>
      <c r="D12" s="75" t="str">
        <f>_xlfn.XLOOKUP(B12,Tb_Portfólio[SEI],Tb_Portfólio[PROJETO],"Não cadastrado")</f>
        <v>BNMP – Banco Nacional de Medidas Penais e Prisões – Melhorias Evolutivas</v>
      </c>
      <c r="E12" s="75" t="str">
        <f>_xlfn.XLOOKUP(D12,Tb_Portfólio[PROJETO],Tb_Portfólio[OBJETO],"Não cadastrado")</f>
        <v>Desenvolvimento de melhorias no sistema do BNMP</v>
      </c>
      <c r="F12" s="551" t="s">
        <v>2732</v>
      </c>
      <c r="G12" s="551" t="s">
        <v>2763</v>
      </c>
      <c r="H12" s="559" t="s">
        <v>2782</v>
      </c>
      <c r="I12" s="549">
        <f>_xlfn.XLOOKUP(D12,Tb_Portfólio[PROJETO],Tb_Portfólio[PREVISÃO DE TERMINO],"Não cadastrado")</f>
        <v>46379</v>
      </c>
      <c r="J12" s="547">
        <f>_xlfn.XLOOKUP(B12,Tb_Portfólio[SEI],Tb_Portfólio[% EXECUTADO],"",0)</f>
        <v>0.67</v>
      </c>
      <c r="K12" s="564" t="str">
        <f ca="1">_xlfn.XLOOKUP(B12,Tb_Portfólio[SEI],Tb_Portfólio[Situação],"",0)</f>
        <v>Em atenção</v>
      </c>
      <c r="L12" s="551" t="s">
        <v>2783</v>
      </c>
      <c r="M12" s="612" t="s">
        <v>2784</v>
      </c>
      <c r="N12" s="551" t="s">
        <v>2785</v>
      </c>
      <c r="O12" s="551" t="s">
        <v>2786</v>
      </c>
      <c r="P12" s="635">
        <v>46079</v>
      </c>
      <c r="Q12" s="634">
        <v>46107</v>
      </c>
      <c r="R12" t="s">
        <v>52</v>
      </c>
    </row>
    <row r="13" spans="1:18" s="566" customFormat="1" ht="409.5" hidden="1">
      <c r="A13" s="5" t="s">
        <v>67</v>
      </c>
      <c r="B13" s="232" t="s">
        <v>644</v>
      </c>
      <c r="C13" s="232" t="str">
        <f>_xlfn.XLOOKUP(B13,Tb_Portfólio[SEI],Tb_Portfólio[Consultor],"Não cadastrado")</f>
        <v>Juliana</v>
      </c>
      <c r="D13" s="75" t="str">
        <f>_xlfn.XLOOKUP(B13,Tb_Portfólio[SEI],Tb_Portfólio[PROJETO],"Não cadastrado")</f>
        <v>BNP/Pangea</v>
      </c>
      <c r="E13" s="75" t="str">
        <f>_xlfn.XLOOKUP(D13,Tb_Portfólio[PROJETO],Tb_Portfólio[OBJETO],"Não cadastrado")</f>
        <v>Projeto para construção do módulo BNP/Pangea da PDPJ, em que desenvolve-se uma solução de software para a criação do Banco Nacional de Precedentes (BNP) e a ferramenta de pesquisa desta base.</v>
      </c>
      <c r="F13" s="75" t="s">
        <v>2732</v>
      </c>
      <c r="G13" s="551" t="s">
        <v>2763</v>
      </c>
      <c r="H13" s="74" t="s">
        <v>137</v>
      </c>
      <c r="I13" s="549" t="str">
        <f>_xlfn.XLOOKUP(D13,Tb_Portfólio[PROJETO],Tb_Portfólio[PREVISÃO DE TERMINO],"Não cadastrado")</f>
        <v>23/12/2026</v>
      </c>
      <c r="J13" s="547">
        <f>_xlfn.XLOOKUP(B13,Tb_Portfólio[SEI],Tb_Portfólio[% EXECUTADO],"",0)</f>
        <v>0.76</v>
      </c>
      <c r="K13" s="554" t="str">
        <f ca="1">_xlfn.XLOOKUP(B13,Tb_Portfólio[SEI],Tb_Portfólio[Situação],"",0)</f>
        <v>Em atenção</v>
      </c>
      <c r="L13" s="5" t="s">
        <v>2787</v>
      </c>
      <c r="M13" s="79" t="s">
        <v>2788</v>
      </c>
      <c r="N13" s="79" t="s">
        <v>2789</v>
      </c>
      <c r="O13"/>
      <c r="P13" s="635">
        <v>46079</v>
      </c>
      <c r="Q13" s="634">
        <v>46107</v>
      </c>
      <c r="R13" t="s">
        <v>52</v>
      </c>
    </row>
    <row r="14" spans="1:18" ht="180" hidden="1">
      <c r="A14" s="641" t="s">
        <v>44</v>
      </c>
      <c r="B14" s="232" t="s">
        <v>994</v>
      </c>
      <c r="C14" s="232">
        <f>_xlfn.XLOOKUP(B14,Tb_Portfólio[SEI],Tb_Portfólio[Consultor],"Não cadastrado")</f>
        <v>0</v>
      </c>
      <c r="D14" s="573" t="s">
        <v>995</v>
      </c>
      <c r="E14" s="75" t="str">
        <f>_xlfn.XLOOKUP(D14,Tb_Portfólio[PROJETO],Tb_Portfólio[OBJETO],"Não cadastrado")</f>
        <v>Implementar um Cadastro Nacional de Intérpretes e Tradutores de Línguas Indígenas do Poder Judiciário (CNITI) disponibilizar intérpretes e tradutores de línguas indígenas para utilização em atos judiciais e correlatos, em todo o território nacional.</v>
      </c>
      <c r="F14" s="75" t="s">
        <v>2790</v>
      </c>
      <c r="G14" s="75" t="s">
        <v>2791</v>
      </c>
      <c r="H14" s="74" t="s">
        <v>997</v>
      </c>
      <c r="I14" s="549">
        <f>_xlfn.XLOOKUP(D14,Tb_Portfólio[PROJETO],Tb_Portfólio[PREVISÃO DE TERMINO],"Não cadastrado")</f>
        <v>46376</v>
      </c>
      <c r="J14" s="71"/>
      <c r="K14" s="574" t="s">
        <v>2792</v>
      </c>
      <c r="L14" s="438" t="s">
        <v>2793</v>
      </c>
      <c r="M14" s="438" t="s">
        <v>2735</v>
      </c>
      <c r="N14" s="438" t="s">
        <v>2794</v>
      </c>
      <c r="O14" s="438" t="s">
        <v>2795</v>
      </c>
      <c r="P14" s="635">
        <v>46079</v>
      </c>
      <c r="Q14" s="634">
        <v>46107</v>
      </c>
      <c r="R14" t="s">
        <v>2747</v>
      </c>
    </row>
    <row r="15" spans="1:18" ht="180" hidden="1">
      <c r="A15" s="641" t="s">
        <v>44</v>
      </c>
      <c r="B15" s="232"/>
      <c r="C15" s="232" t="str">
        <f>_xlfn.XLOOKUP(B15,Tb_Portfólio[SEI],Tb_Portfólio[Consultor],"Não cadastrado")</f>
        <v>Não cadastrado</v>
      </c>
      <c r="D15" s="75" t="s">
        <v>2796</v>
      </c>
      <c r="E15" s="75" t="s">
        <v>2797</v>
      </c>
      <c r="F15" s="75" t="s">
        <v>2740</v>
      </c>
      <c r="G15" s="75" t="s">
        <v>2741</v>
      </c>
      <c r="H15" s="74" t="s">
        <v>928</v>
      </c>
      <c r="I15" s="549">
        <v>46631</v>
      </c>
      <c r="J15" s="8" t="s">
        <v>2742</v>
      </c>
      <c r="K15" s="71" t="s">
        <v>2743</v>
      </c>
      <c r="L15" s="551" t="s">
        <v>2798</v>
      </c>
      <c r="M15" s="551" t="s">
        <v>2799</v>
      </c>
      <c r="N15" s="75" t="s">
        <v>2800</v>
      </c>
      <c r="O15" s="551"/>
      <c r="P15" s="635">
        <v>46079</v>
      </c>
      <c r="Q15" s="634">
        <v>46107</v>
      </c>
      <c r="R15" t="s">
        <v>2747</v>
      </c>
    </row>
    <row r="16" spans="1:18" ht="183" hidden="1" customHeight="1">
      <c r="A16" s="641" t="s">
        <v>44</v>
      </c>
      <c r="B16" s="232"/>
      <c r="C16" s="232" t="str">
        <f>_xlfn.XLOOKUP(B16,Tb_Portfólio[SEI],Tb_Portfólio[Consultor],"Não cadastrado")</f>
        <v>Não cadastrado</v>
      </c>
      <c r="D16" s="605" t="s">
        <v>2801</v>
      </c>
      <c r="E16" s="75" t="s">
        <v>2802</v>
      </c>
      <c r="F16" s="75" t="s">
        <v>2740</v>
      </c>
      <c r="G16" s="75" t="s">
        <v>2741</v>
      </c>
      <c r="H16" s="74" t="s">
        <v>928</v>
      </c>
      <c r="I16" s="549">
        <v>46631</v>
      </c>
      <c r="J16" s="8" t="s">
        <v>2742</v>
      </c>
      <c r="K16" s="71" t="s">
        <v>2743</v>
      </c>
      <c r="L16" s="71" t="s">
        <v>2803</v>
      </c>
      <c r="M16" s="598" t="s">
        <v>2804</v>
      </c>
      <c r="N16" s="613" t="s">
        <v>2805</v>
      </c>
      <c r="O16" s="551"/>
      <c r="P16" s="635">
        <v>46079</v>
      </c>
      <c r="Q16" s="634">
        <v>46107</v>
      </c>
      <c r="R16" t="s">
        <v>2747</v>
      </c>
    </row>
    <row r="17" spans="1:18" ht="120" hidden="1">
      <c r="A17" s="641" t="str">
        <f>_xlfn.XLOOKUP(B17,Tb_Portfólio[SEI],Tb_Portfólio[UNIDADE PATROCINADORA],"Não cadastrado")</f>
        <v>SEP - Secretaria de Estratégia e Projetos</v>
      </c>
      <c r="B17" s="232" t="s">
        <v>396</v>
      </c>
      <c r="C17" s="232" t="str">
        <f>_xlfn.XLOOKUP(B17,Tb_Portfólio[SEI],Tb_Portfólio[Consultor],"Não cadastrado")</f>
        <v>Raphael</v>
      </c>
      <c r="D17" s="75" t="str">
        <f>_xlfn.XLOOKUP(B17,Tb_Portfólio[SEI],Tb_Portfólio[PROJETO],"Não cadastrado")</f>
        <v>CODEX - Melhorias Evolutivas e Corretivas</v>
      </c>
      <c r="E17" s="75" t="str">
        <f>_xlfn.XLOOKUP(D17,Tb_Portfólio[PROJETO],Tb_Portfólio[OBJETO],"Não cadastrado")</f>
        <v>O projeto visa implementar melhorias evolutivas, correções e novas funcionalidades na plataforma Codex</v>
      </c>
      <c r="F17" s="75" t="s">
        <v>2732</v>
      </c>
      <c r="G17" s="75" t="s">
        <v>2763</v>
      </c>
      <c r="H17" s="74" t="s">
        <v>43</v>
      </c>
      <c r="I17" s="549">
        <f>_xlfn.XLOOKUP(D17,Tb_Portfólio[PROJETO],Tb_Portfólio[PREVISÃO DE TERMINO],"Não cadastrado")</f>
        <v>46387</v>
      </c>
      <c r="J17" s="547">
        <f>_xlfn.XLOOKUP(B17,Tb_Portfólio[SEI],Tb_Portfólio[% EXECUTADO],"",0)</f>
        <v>0.86</v>
      </c>
      <c r="K17" s="547" t="str">
        <f ca="1">_xlfn.XLOOKUP(B17,Tb_Portfólio[SEI],Tb_Portfólio[Situação],"",0)</f>
        <v>No prazo</v>
      </c>
      <c r="L17" s="79" t="s">
        <v>2806</v>
      </c>
      <c r="M17" s="5" t="s">
        <v>2807</v>
      </c>
      <c r="N17" s="79" t="s">
        <v>2808</v>
      </c>
      <c r="O17" s="79" t="s">
        <v>2809</v>
      </c>
      <c r="P17" s="635">
        <v>46079</v>
      </c>
      <c r="Q17" s="634">
        <v>46107</v>
      </c>
      <c r="R17" t="s">
        <v>52</v>
      </c>
    </row>
    <row r="18" spans="1:18" ht="90" hidden="1">
      <c r="A18" s="5" t="str">
        <f>_xlfn.XLOOKUP(B18,Tb_Portfólio[SEI],Tb_Portfólio[UNIDADE PATROCINADORA],"Não cadastrado")</f>
        <v>DTI - Departamento de Tecnologia da Informação e Comunicação</v>
      </c>
      <c r="B18" s="556" t="s">
        <v>416</v>
      </c>
      <c r="C18" s="556" t="str">
        <f>_xlfn.XLOOKUP(B18,Tb_Portfólio[SEI],Tb_Portfólio[Consultor],"Não cadastrado")</f>
        <v>Tony</v>
      </c>
      <c r="D18" s="552" t="str">
        <f>_xlfn.XLOOKUP(B18,Tb_Portfólio[SEI],Tb_Portfólio[PROJETO],"Não cadastrado")</f>
        <v>Conecta</v>
      </c>
      <c r="E18" s="552" t="str">
        <f>_xlfn.XLOOKUP(D18,Tb_Portfólio[PROJETO],Tb_Portfólio[OBJETO],"Não cadastrado")</f>
        <v>Monitoramento de conformidades na integração de sistemas legados à PDPJ-BR e na produção de novas soluções.</v>
      </c>
      <c r="F18" s="75" t="s">
        <v>2732</v>
      </c>
      <c r="G18" s="552" t="s">
        <v>2763</v>
      </c>
      <c r="H18" s="559" t="s">
        <v>2810</v>
      </c>
      <c r="I18" s="549" t="str">
        <f>_xlfn.XLOOKUP(D18,Tb_Portfólio[PROJETO],Tb_Portfólio[PREVISÃO DE TERMINO],"Não cadastrado")</f>
        <v>31/12/2026</v>
      </c>
      <c r="J18" s="547">
        <f>_xlfn.XLOOKUP(B18,Tb_Portfólio[SEI],Tb_Portfólio[% EXECUTADO],"",0)</f>
        <v>0.64</v>
      </c>
      <c r="K18" s="547" t="str">
        <f ca="1">_xlfn.XLOOKUP(B18,Tb_Portfólio[SEI],Tb_Portfólio[Situação],"",0)</f>
        <v>Atrasado ou Crítico</v>
      </c>
      <c r="L18" s="551" t="s">
        <v>2811</v>
      </c>
      <c r="M18" s="551" t="s">
        <v>2812</v>
      </c>
      <c r="N18" s="551" t="s">
        <v>2813</v>
      </c>
      <c r="O18" s="551" t="s">
        <v>2814</v>
      </c>
      <c r="P18" s="635">
        <v>46079</v>
      </c>
      <c r="Q18" s="634">
        <v>46107</v>
      </c>
      <c r="R18" t="s">
        <v>52</v>
      </c>
    </row>
    <row r="19" spans="1:18" ht="121.35" hidden="1" customHeight="1">
      <c r="A19" s="5" t="s">
        <v>67</v>
      </c>
      <c r="B19" s="232" t="s">
        <v>129</v>
      </c>
      <c r="C19" s="232" t="str">
        <f>_xlfn.XLOOKUP(B19,Tb_Portfólio[SEI],Tb_Portfólio[Consultor],"Não cadastrado")</f>
        <v>Tony</v>
      </c>
      <c r="D19" s="75" t="str">
        <f>_xlfn.XLOOKUP(B19,Tb_Portfólio[SEI],Tb_Portfólio[PROJETO],"Não cadastrado")</f>
        <v>Data Lake - Melhorias Evolutivas e Corretivas</v>
      </c>
      <c r="E19" s="75" t="str">
        <f>_xlfn.XLOOKUP(D19,Tb_Portfólio[PROJETO],Tb_Portfólio[OBJETO],"Não cadastrado")</f>
        <v>O projeto visa implementar melhorias evolutivas, correções e novas funcionalidades no Data Lake, assegurando a continuidade da relevância, segurança e eficiência, e fortalecendo seu papel como um repositório centralizado e integrado para o grande volume de dados gerados pelos sistemas do Justiça 4.0.</v>
      </c>
      <c r="F19" s="75" t="s">
        <v>2732</v>
      </c>
      <c r="G19" s="75" t="s">
        <v>2763</v>
      </c>
      <c r="H19" s="560" t="s">
        <v>474</v>
      </c>
      <c r="I19" s="549">
        <f>_xlfn.XLOOKUP(D19,Tb_Portfólio[PROJETO],Tb_Portfólio[PREVISÃO DE TERMINO],"Não cadastrado")</f>
        <v>46387</v>
      </c>
      <c r="J19" s="547">
        <f>_xlfn.XLOOKUP(B19,Tb_Portfólio[SEI],Tb_Portfólio[% EXECUTADO],"",0)</f>
        <v>0.64</v>
      </c>
      <c r="K19" s="547" t="str">
        <f ca="1">_xlfn.XLOOKUP(B19,Tb_Portfólio[SEI],Tb_Portfólio[Situação],"",0)</f>
        <v>Em atenção</v>
      </c>
      <c r="L19" s="551" t="s">
        <v>2815</v>
      </c>
      <c r="M19" s="551" t="s">
        <v>2816</v>
      </c>
      <c r="N19" s="551" t="s">
        <v>2817</v>
      </c>
      <c r="O19" s="551" t="s">
        <v>2818</v>
      </c>
      <c r="P19" s="635">
        <v>46079</v>
      </c>
      <c r="Q19" s="634">
        <v>46107</v>
      </c>
      <c r="R19" t="s">
        <v>52</v>
      </c>
    </row>
    <row r="20" spans="1:18" ht="345" hidden="1">
      <c r="A20" s="5" t="str">
        <f>_xlfn.XLOOKUP(B20,Tb_Portfólio[SEI],Tb_Portfólio[UNIDADE PATROCINADORA],"Não cadastrado")</f>
        <v>Corregedoria Nacional de Justiça</v>
      </c>
      <c r="B20" s="556" t="s">
        <v>198</v>
      </c>
      <c r="C20" s="556" t="str">
        <f>_xlfn.XLOOKUP(B20,Tb_Portfólio[SEI],Tb_Portfólio[Consultor],"Não cadastrado")</f>
        <v>Igor</v>
      </c>
      <c r="D20" s="552" t="str">
        <f>_xlfn.XLOOKUP(B20,Tb_Portfólio[SEI],Tb_Portfólio[PROJETO],"Não cadastrado")</f>
        <v>Desenvolvimento de um Conjunto de Solução em Gestão de Dados para a Corregedoria Nacional de Justiça</v>
      </c>
      <c r="E20" s="552" t="str">
        <f>_xlfn.XLOOKUP(D20,Tb_Portfólio[PROJETO],Tb_Portfólio[OBJETO],"Não cadastrado")</f>
        <v>O projeto visa implementar um conjunto de soluções em gestão de dados e tecnologia da informação que possibilite à Corregedoria Nacional de Justiça acessar, extrair, agrupar e analisar, de forma eficiente e segura, o desenvolvimento e a implementação de ferramentas de controle, monitoramento e automação envolvendo todos os Tribunais de Justiça dos Estados e do Distrito Federal, Tribunais Regionais Federais e Tribunais Regionais do Trabalho do Brasil</v>
      </c>
      <c r="F20" s="552"/>
      <c r="G20" s="545"/>
      <c r="H20" s="561"/>
      <c r="I20" s="549">
        <f>_xlfn.XLOOKUP(D20,Tb_Portfólio[PROJETO],Tb_Portfólio[PREVISÃO DE TERMINO],"Não cadastrado")</f>
        <v>45807</v>
      </c>
      <c r="J20" s="547">
        <f>_xlfn.XLOOKUP(B20,Tb_Portfólio[SEI],Tb_Portfólio[% EXECUTADO],"",0)</f>
        <v>0.75</v>
      </c>
      <c r="K20" s="554" t="str">
        <f ca="1">_xlfn.XLOOKUP(B20,Tb_Portfólio[SEI],Tb_Portfólio[Situação],"",0)</f>
        <v>Atrasado ou Crítico</v>
      </c>
      <c r="L20" s="551"/>
      <c r="M20" s="551" t="s">
        <v>2819</v>
      </c>
      <c r="N20" s="551"/>
      <c r="O20" s="551"/>
      <c r="P20" s="635">
        <v>46079</v>
      </c>
      <c r="Q20" s="634">
        <v>46107</v>
      </c>
      <c r="R20" t="s">
        <v>52</v>
      </c>
    </row>
    <row r="21" spans="1:18" ht="255" hidden="1">
      <c r="A21" s="5" t="str">
        <f>_xlfn.XLOOKUP(B21,Tb_Portfólio[SEI],Tb_Portfólio[UNIDADE PATROCINADORA],"Não cadastrado")</f>
        <v>DTI - Departamento de Tecnologia da Informação e Comunicação</v>
      </c>
      <c r="B21" s="556" t="s">
        <v>539</v>
      </c>
      <c r="C21" s="232" t="str">
        <f>_xlfn.XLOOKUP(B21,Tb_Portfólio[SEI],Tb_Portfólio[Consultor],"Não cadastrado")</f>
        <v>Tony</v>
      </c>
      <c r="D21" s="75" t="str">
        <f>_xlfn.XLOOKUP(B21,Tb_Portfólio[SEI],Tb_Portfólio[PROJETO],"Não cadastrado")</f>
        <v>Desenvolvimento do módulo de Sessão de Julgamento (PDPJ-Br)</v>
      </c>
      <c r="E21" s="75" t="str">
        <f>_xlfn.XLOOKUP(D21,Tb_Portfólio[PROJETO],Tb_Portfólio[OBJETO],"Não cadastrado")</f>
        <v>O projeto consiste no desenvolvimento e implementação do módulo de Sessão de Julgamento no ambiente de produção da PDPJ-Br. O módulo deverá ser desenvolvido e implementado considerando todas as funcionalidades necessárias para a sua integração à PDPJ-Br, inspirando-se em funcionalidades de sistemas já existentes, como o PJe e o E-Proc.</v>
      </c>
      <c r="F21" s="75" t="s">
        <v>2732</v>
      </c>
      <c r="G21" s="551" t="s">
        <v>2763</v>
      </c>
      <c r="H21" s="74" t="s">
        <v>137</v>
      </c>
      <c r="I21" s="549">
        <f>_xlfn.XLOOKUP(D21,Tb_Portfólio[PROJETO],Tb_Portfólio[PREVISÃO DE TERMINO],"Não cadastrado")</f>
        <v>46387</v>
      </c>
      <c r="J21" s="547">
        <f>_xlfn.XLOOKUP(B21,Tb_Portfólio[SEI],Tb_Portfólio[% EXECUTADO],"",0)</f>
        <v>0.43</v>
      </c>
      <c r="K21" s="554" t="str">
        <f ca="1">_xlfn.XLOOKUP(B21,Tb_Portfólio[SEI],Tb_Portfólio[Situação],"",0)</f>
        <v>Atrasado ou Crítico</v>
      </c>
      <c r="L21" s="79" t="s">
        <v>2820</v>
      </c>
      <c r="M21" s="79" t="s">
        <v>2735</v>
      </c>
      <c r="N21" s="5" t="s">
        <v>2821</v>
      </c>
      <c r="O21" s="5" t="s">
        <v>2822</v>
      </c>
      <c r="P21" s="635">
        <v>46079</v>
      </c>
      <c r="Q21" s="634">
        <v>46107</v>
      </c>
      <c r="R21" t="s">
        <v>52</v>
      </c>
    </row>
    <row r="22" spans="1:18" ht="409.5" hidden="1">
      <c r="A22" s="641" t="s">
        <v>44</v>
      </c>
      <c r="B22" s="232"/>
      <c r="C22" s="232" t="str">
        <f>_xlfn.XLOOKUP(B22,Tb_Portfólio[SEI],Tb_Portfólio[Consultor],"Não cadastrado")</f>
        <v>Não cadastrado</v>
      </c>
      <c r="D22" s="75" t="s">
        <v>2823</v>
      </c>
      <c r="E22" s="75" t="s">
        <v>2824</v>
      </c>
      <c r="F22" s="75" t="s">
        <v>2740</v>
      </c>
      <c r="G22" s="75" t="s">
        <v>2741</v>
      </c>
      <c r="H22" s="74" t="s">
        <v>928</v>
      </c>
      <c r="I22" s="549">
        <v>46631</v>
      </c>
      <c r="J22" s="8" t="s">
        <v>2742</v>
      </c>
      <c r="K22" s="71" t="s">
        <v>2743</v>
      </c>
      <c r="L22" s="598" t="s">
        <v>2825</v>
      </c>
      <c r="M22" s="598" t="s">
        <v>2826</v>
      </c>
      <c r="N22" s="613" t="s">
        <v>2827</v>
      </c>
      <c r="O22" s="551"/>
      <c r="P22" s="635">
        <v>46079</v>
      </c>
      <c r="Q22" s="634">
        <v>46107</v>
      </c>
      <c r="R22" t="s">
        <v>2747</v>
      </c>
    </row>
    <row r="23" spans="1:18" ht="195" hidden="1">
      <c r="A23" s="641" t="str">
        <f>_xlfn.XLOOKUP(B23,Tb_Portfólio[SEI],Tb_Portfólio[UNIDADE PATROCINADORA],"Não cadastrado")</f>
        <v>SEP - Secretaria de Estratégia e Projetos</v>
      </c>
      <c r="B23" s="232" t="s">
        <v>517</v>
      </c>
      <c r="C23" s="232" t="str">
        <f>_xlfn.XLOOKUP(B23,Tb_Portfólio[SEI],Tb_Portfólio[Consultor],"Não cadastrado")</f>
        <v>Tony</v>
      </c>
      <c r="D23" s="75" t="str">
        <f>_xlfn.XLOOKUP(B23,Tb_Portfólio[SEI],Tb_Portfólio[PROJETO],"Não cadastrado")</f>
        <v>Domicílio Judicial Eletrônico - Melhorias Evolutivas</v>
      </c>
      <c r="E23" s="75" t="str">
        <f>_xlfn.XLOOKUP(D23,Tb_Portfólio[PROJETO],Tb_Portfólio[OBJETO],"Não cadastrado")</f>
        <v>Desenvolver melhorias e correções no módulo intitulado "Domicílio Judicial Eletrônico" e na integração dos tribunais, para a expansão no uso do sistema pelas instituições privadas, instituições públicas e pessoas físicas.</v>
      </c>
      <c r="F23" s="551" t="s">
        <v>2732</v>
      </c>
      <c r="G23" s="551" t="s">
        <v>2763</v>
      </c>
      <c r="H23" s="74" t="s">
        <v>43</v>
      </c>
      <c r="I23" s="549">
        <f>_xlfn.XLOOKUP(D23,Tb_Portfólio[PROJETO],Tb_Portfólio[PREVISÃO DE TERMINO],"Não cadastrado")</f>
        <v>46203</v>
      </c>
      <c r="J23" s="547">
        <f>_xlfn.XLOOKUP(B23,Tb_Portfólio[SEI],Tb_Portfólio[% EXECUTADO],"",0)</f>
        <v>0.76</v>
      </c>
      <c r="K23" s="564" t="str">
        <f ca="1">_xlfn.XLOOKUP(B23,Tb_Portfólio[SEI],Tb_Portfólio[Situação],"",0)</f>
        <v>No prazo</v>
      </c>
      <c r="L23" s="598" t="s">
        <v>2828</v>
      </c>
      <c r="M23" s="600" t="s">
        <v>2829</v>
      </c>
      <c r="N23" s="598" t="s">
        <v>2830</v>
      </c>
      <c r="O23" s="598" t="s">
        <v>2831</v>
      </c>
      <c r="P23" s="635">
        <v>46079</v>
      </c>
      <c r="Q23" s="634">
        <v>46107</v>
      </c>
      <c r="R23" t="s">
        <v>52</v>
      </c>
    </row>
    <row r="24" spans="1:18" ht="193.9" customHeight="1">
      <c r="A24" s="641" t="str">
        <f>_xlfn.XLOOKUP(B24,Tb_Portfólio[SEI],Tb_Portfólio[UNIDADE PATROCINADORA],"Não cadastrado")</f>
        <v>SEP - Secretaria de Estratégia e Projetos</v>
      </c>
      <c r="B24" s="149" t="s">
        <v>917</v>
      </c>
      <c r="C24" s="232" t="str">
        <f>_xlfn.XLOOKUP(B24,Tb_Portfólio[SEI],Tb_Portfólio[Consultor],"Não cadastrado")</f>
        <v>Raphael</v>
      </c>
      <c r="D24" s="75" t="str">
        <f>_xlfn.XLOOKUP(B24,Tb_Portfólio[SEI],Tb_Portfólio[PROJETO],"Não cadastrado")</f>
        <v>e-NatJus 4.0</v>
      </c>
      <c r="E24" s="75" t="str">
        <f>_xlfn.XLOOKUP(D24,Tb_Portfólio[PROJETO],Tb_Portfólio[OBJETO],"Não cadastrado")</f>
        <v>Aperfeiçoamento da plataforma eNatJus para viabilizar sua integração com sistemas processuais eletrônicos, NAT-Jus, além de outras bases de dados, inclusive às inerentes ao sistema da saúde suplementar.</v>
      </c>
      <c r="F24" s="75" t="s">
        <v>2832</v>
      </c>
      <c r="G24" s="75" t="s">
        <v>2833</v>
      </c>
      <c r="H24" s="74" t="s">
        <v>144</v>
      </c>
      <c r="I24" s="549">
        <f>_xlfn.XLOOKUP(D24,Tb_Portfólio[PROJETO],Tb_Portfólio[PREVISÃO DE TERMINO],"Não cadastrado")</f>
        <v>46386</v>
      </c>
      <c r="J24" s="547">
        <f>_xlfn.XLOOKUP(B24,Tb_Portfólio[SEI],Tb_Portfólio[% EXECUTADO],"",0)</f>
        <v>0.66</v>
      </c>
      <c r="K24" s="554" t="str">
        <f ca="1">_xlfn.XLOOKUP(B24,Tb_Portfólio[SEI],Tb_Portfólio[Situação],"",0)</f>
        <v>No prazo</v>
      </c>
      <c r="L24" s="8" t="s">
        <v>2834</v>
      </c>
      <c r="M24" s="8" t="s">
        <v>2735</v>
      </c>
      <c r="N24" s="8" t="s">
        <v>2835</v>
      </c>
      <c r="O24" s="71"/>
      <c r="P24" s="635">
        <v>46079</v>
      </c>
      <c r="Q24" s="634">
        <v>46107</v>
      </c>
      <c r="R24" t="s">
        <v>52</v>
      </c>
    </row>
    <row r="25" spans="1:18" ht="30" hidden="1">
      <c r="A25" s="641" t="s">
        <v>44</v>
      </c>
      <c r="B25" s="149" t="s">
        <v>2836</v>
      </c>
      <c r="C25" s="232" t="str">
        <f>_xlfn.XLOOKUP(B25,Tb_Portfólio[SEI],Tb_Portfólio[Consultor],"Não cadastrado")</f>
        <v>Não cadastrado</v>
      </c>
      <c r="D25" s="75" t="s">
        <v>2837</v>
      </c>
      <c r="E25" s="75" t="s">
        <v>2838</v>
      </c>
      <c r="F25" s="75" t="s">
        <v>2832</v>
      </c>
      <c r="G25" s="75" t="s">
        <v>2839</v>
      </c>
      <c r="H25" s="67" t="s">
        <v>2840</v>
      </c>
      <c r="I25" s="549"/>
      <c r="J25" s="71"/>
      <c r="K25" s="71"/>
      <c r="L25" s="551"/>
      <c r="M25" s="551" t="s">
        <v>2841</v>
      </c>
      <c r="N25" s="75" t="s">
        <v>2842</v>
      </c>
      <c r="O25" s="551"/>
      <c r="P25" s="635">
        <v>46079</v>
      </c>
      <c r="Q25" s="634">
        <v>46107</v>
      </c>
      <c r="R25" t="s">
        <v>2747</v>
      </c>
    </row>
    <row r="26" spans="1:18" ht="240" hidden="1">
      <c r="A26" s="641" t="s">
        <v>44</v>
      </c>
      <c r="B26" s="235" t="s">
        <v>934</v>
      </c>
      <c r="C26" s="232" t="s">
        <v>1710</v>
      </c>
      <c r="D26" s="75" t="s">
        <v>2843</v>
      </c>
      <c r="E26" s="75" t="s">
        <v>2844</v>
      </c>
      <c r="F26" s="75" t="s">
        <v>2740</v>
      </c>
      <c r="G26" s="75" t="s">
        <v>2750</v>
      </c>
      <c r="H26" s="74" t="s">
        <v>942</v>
      </c>
      <c r="I26" s="549">
        <v>46741</v>
      </c>
      <c r="J26" s="8" t="s">
        <v>2742</v>
      </c>
      <c r="K26" s="554" t="str">
        <f ca="1">_xlfn.XLOOKUP(B26,Tb_Portfólio[SEI],Tb_Portfólio[Situação],"",0)</f>
        <v>Autorizado</v>
      </c>
      <c r="L26" s="551" t="s">
        <v>2845</v>
      </c>
      <c r="M26" s="551" t="s">
        <v>2846</v>
      </c>
      <c r="N26" s="551" t="s">
        <v>2847</v>
      </c>
      <c r="O26" s="551" t="s">
        <v>2754</v>
      </c>
      <c r="P26" s="635">
        <v>46079</v>
      </c>
      <c r="Q26" s="634">
        <v>46107</v>
      </c>
      <c r="R26" t="s">
        <v>52</v>
      </c>
    </row>
    <row r="27" spans="1:18" ht="409.5" hidden="1">
      <c r="A27" s="641" t="str">
        <f>_xlfn.XLOOKUP(B27,Tb_Portfólio[SEI],Tb_Portfólio[UNIDADE PATROCINADORA],"Não cadastrado")</f>
        <v>SEP - Secretaria de Estratégia e Projetos</v>
      </c>
      <c r="B27" s="235" t="s">
        <v>549</v>
      </c>
      <c r="C27" s="232" t="str">
        <f>_xlfn.XLOOKUP(B27,Tb_Portfólio[SEI],Tb_Portfólio[Consultor],"Não cadastrado")</f>
        <v>Tony</v>
      </c>
      <c r="D27" s="75" t="str">
        <f>_xlfn.XLOOKUP(B27,Tb_Portfólio[SEI],Tb_Portfólio[PROJETO],"Não cadastrado")</f>
        <v>Fluxo Nacional Automatizado das Execuções Fiscais (EFIN)</v>
      </c>
      <c r="E27" s="75" t="str">
        <f>_xlfn.XLOOKUP(D27,Tb_Portfólio[PROJETO],Tb_Portfólio[OBJETO],"Não cadastrado")</f>
        <v>O projeto do Fluxo Nacional Automatizado das Execuções Fiscais (FNA) prevê a implementação de módulo da PDPJ com funcionalidades necessárias à automação e acompanhamento do processamento dos processos de execução fiscal, desde o ajuizamento da inicial até a etapa de constrição de bens pela PDPJ (SISBAJUD, RENAJUD, Sniper-BC). O módulo vai acompanhar os processos judiciais e eventos neles lançados por meio da PDPJ (Codex) e gerar notificações (serviço de notificações) para consumo dos sistemas processuais dos tribunais.</v>
      </c>
      <c r="F27" s="75" t="s">
        <v>2832</v>
      </c>
      <c r="G27" s="75" t="s">
        <v>2848</v>
      </c>
      <c r="H27" s="74" t="s">
        <v>552</v>
      </c>
      <c r="I27" s="549">
        <f>_xlfn.XLOOKUP(D27,Tb_Portfólio[PROJETO],Tb_Portfólio[PREVISÃO DE TERMINO],"Não cadastrado")</f>
        <v>46226</v>
      </c>
      <c r="J27" s="547">
        <f>_xlfn.XLOOKUP(B27,Tb_Portfólio[SEI],Tb_Portfólio[% EXECUTADO],"",0)</f>
        <v>0.86</v>
      </c>
      <c r="K27" s="554" t="str">
        <f ca="1">_xlfn.XLOOKUP(B27,Tb_Portfólio[SEI],Tb_Portfólio[Situação],"",0)</f>
        <v>Em atenção</v>
      </c>
      <c r="L27" s="8" t="s">
        <v>2849</v>
      </c>
      <c r="M27" s="8" t="s">
        <v>2850</v>
      </c>
      <c r="N27" s="73" t="s">
        <v>2851</v>
      </c>
      <c r="O27" s="8" t="s">
        <v>2852</v>
      </c>
      <c r="P27" s="635">
        <v>46079</v>
      </c>
      <c r="Q27" s="634">
        <v>46107</v>
      </c>
      <c r="R27" t="s">
        <v>52</v>
      </c>
    </row>
    <row r="28" spans="1:18" ht="390" hidden="1">
      <c r="A28" s="5" t="str">
        <f>_xlfn.XLOOKUP(B28,Tb_Portfólio[SEI],Tb_Portfólio[UNIDADE PATROCINADORA],"Não cadastrado")</f>
        <v>Gabinete da Conselheira Daiane Nogueira de Lira</v>
      </c>
      <c r="B28" s="235" t="s">
        <v>559</v>
      </c>
      <c r="C28" s="232" t="str">
        <f>_xlfn.XLOOKUP(B28,Tb_Portfólio[SEI],Tb_Portfólio[Consultor],"Não cadastrado")</f>
        <v>Juliana</v>
      </c>
      <c r="D28" s="75" t="str">
        <f>_xlfn.XLOOKUP(B28,Tb_Portfólio[SEI],Tb_Portfólio[PROJETO],"Não cadastrado")</f>
        <v>Fonajus itinerante</v>
      </c>
      <c r="E28" s="75" t="str">
        <f>_xlfn.XLOOKUP(D28,Tb_Portfólio[PROJETO],Tb_Portfólio[OBJETO],"Não cadastrado")</f>
        <v>O Programa FONAJUS Itinerante percorrerá todos os estados do Brasil com o propósito de promover diálogos, cooperação institucional e capacitação, com o objetivo principal de implementar, em conjunto com os Comitês Estaduais de Saúde, a Política Judiciária de Resolução Adequada das Demandas de Assistência à Saúde, aprovada pela Resolução CNJ n. 530, de 10 de novembro de 2023.</v>
      </c>
      <c r="F28" s="75"/>
      <c r="G28" s="75"/>
      <c r="H28" s="75" t="str">
        <f>_xlfn.XLOOKUP(D28,Tb_Portfólio[PROJETO],Tb_Portfólio[Supervisor],"Não cadastrado")</f>
        <v>Conselheira Daiane Nogueira de Lira</v>
      </c>
      <c r="I28" s="2" t="str">
        <f>_xlfn.XLOOKUP(D28,Tb_Portfólio[PROJETO],Tb_Portfólio[PREVISÃO DE TERMINO],"Não cadastrado")</f>
        <v>30/4/2026</v>
      </c>
      <c r="J28" s="554">
        <f>_xlfn.XLOOKUP($D28,Tb_Portfólio[PROJETO],Tb_Portfólio[% EXECUTADO],"Não cadastrado")</f>
        <v>0.65</v>
      </c>
      <c r="K28" s="554" t="str">
        <f ca="1">_xlfn.XLOOKUP($D28,Tb_Portfólio[PROJETO],Tb_Portfólio[Situação],"Não cadastrado")</f>
        <v>No prazo</v>
      </c>
      <c r="L28" s="551" t="s">
        <v>2853</v>
      </c>
      <c r="M28" s="139" t="s">
        <v>2854</v>
      </c>
      <c r="N28" s="75" t="s">
        <v>2855</v>
      </c>
      <c r="O28" s="551"/>
      <c r="P28" s="635">
        <v>46079</v>
      </c>
      <c r="Q28" s="634">
        <v>46107</v>
      </c>
      <c r="R28" t="s">
        <v>52</v>
      </c>
    </row>
    <row r="29" spans="1:18" ht="345" hidden="1">
      <c r="A29" s="651" t="str">
        <f>_xlfn.XLOOKUP(B29,Tb_Portfólio[SEI],Tb_Portfólio[UNIDADE PATROCINADORA],"Não cadastrado")</f>
        <v>SEP - Secretaria de Estratégia e Projetos</v>
      </c>
      <c r="B29" s="235" t="s">
        <v>738</v>
      </c>
      <c r="C29" s="232" t="str">
        <f>_xlfn.XLOOKUP(B29,Tb_Portfólio[SEI],Tb_Portfólio[Consultor],"Não cadastrado")</f>
        <v>Juliana</v>
      </c>
      <c r="D29" s="75" t="str">
        <f>_xlfn.XLOOKUP(B29,Tb_Portfólio[SEI],Tb_Portfólio[PROJETO],"Não cadastrado")</f>
        <v>FONAR - Formulário Nacional de Avaliação de Risco e Formulário Rogéria</v>
      </c>
      <c r="E29" s="75" t="str">
        <f>_xlfn.XLOOKUP(D29,Tb_Portfólio[PROJETO],Tb_Portfólio[OBJETO],"Não cadastrado")</f>
        <v>Projeto que visa disponibilizar os Formulários Nacional de Avaliação de Risco (FONAR) e o Formulário Rogéria, no padrão da PDPJ, acessível a partir de qualquer dispositivo por meio da internet. Integrar esse sistema ao SINESP e ao Codex para validação de Boletins de Ocorrência pré-existentes, bem como processos judiciais. Gerar uma Base de Dados nacional de avaliação de risco, possibilitando a elaboração de relatórios e dashboards de acompanhamento através de painéis analíticos</v>
      </c>
      <c r="F29" s="75" t="s">
        <v>2856</v>
      </c>
      <c r="G29" s="139" t="s">
        <v>2741</v>
      </c>
      <c r="H29" s="560" t="s">
        <v>928</v>
      </c>
      <c r="I29" s="549">
        <f>_xlfn.XLOOKUP(D29,Tb_Portfólio[PROJETO],Tb_Portfólio[PREVISÃO DE TERMINO],"Não cadastrado")</f>
        <v>46195</v>
      </c>
      <c r="J29" s="547">
        <f>_xlfn.XLOOKUP(B29,Tb_Portfólio[SEI],Tb_Portfólio[% EXECUTADO],"",0)</f>
        <v>0.67</v>
      </c>
      <c r="K29" s="554" t="str">
        <f ca="1">_xlfn.XLOOKUP(B29,Tb_Portfólio[SEI],Tb_Portfólio[Situação],"",0)</f>
        <v>Atrasado ou Crítico</v>
      </c>
      <c r="L29" s="8" t="s">
        <v>2857</v>
      </c>
      <c r="M29" s="8" t="s">
        <v>2858</v>
      </c>
      <c r="N29" s="73" t="s">
        <v>2859</v>
      </c>
      <c r="O29" s="71"/>
      <c r="P29" s="635">
        <v>46079</v>
      </c>
      <c r="Q29" s="634">
        <v>46107</v>
      </c>
      <c r="R29" t="s">
        <v>52</v>
      </c>
    </row>
    <row r="30" spans="1:18" ht="210" hidden="1">
      <c r="A30" s="641" t="s">
        <v>44</v>
      </c>
      <c r="B30" s="235"/>
      <c r="C30" s="232" t="str">
        <f>_xlfn.XLOOKUP(B30,Tb_Portfólio[SEI],Tb_Portfólio[Consultor],"Não cadastrado")</f>
        <v>Não cadastrado</v>
      </c>
      <c r="D30" s="75" t="s">
        <v>2860</v>
      </c>
      <c r="E30" s="75" t="s">
        <v>2861</v>
      </c>
      <c r="F30" s="75" t="s">
        <v>2740</v>
      </c>
      <c r="G30" s="75" t="s">
        <v>2741</v>
      </c>
      <c r="H30" s="74" t="s">
        <v>928</v>
      </c>
      <c r="I30" s="549">
        <v>46631</v>
      </c>
      <c r="J30" s="8" t="s">
        <v>2742</v>
      </c>
      <c r="K30" s="71" t="s">
        <v>2743</v>
      </c>
      <c r="L30" s="551" t="s">
        <v>2862</v>
      </c>
      <c r="M30" s="551" t="s">
        <v>2863</v>
      </c>
      <c r="N30" s="75" t="s">
        <v>2864</v>
      </c>
      <c r="O30" s="551"/>
      <c r="P30" s="635">
        <v>46079</v>
      </c>
      <c r="Q30" s="634">
        <v>46107</v>
      </c>
      <c r="R30" t="s">
        <v>2747</v>
      </c>
    </row>
    <row r="31" spans="1:18" ht="180" hidden="1">
      <c r="A31" s="641" t="s">
        <v>44</v>
      </c>
      <c r="B31" s="235"/>
      <c r="C31" s="232" t="str">
        <f>_xlfn.XLOOKUP(B31,Tb_Portfólio[SEI],Tb_Portfólio[Consultor],"Não cadastrado")</f>
        <v>Não cadastrado</v>
      </c>
      <c r="D31" s="75" t="s">
        <v>2865</v>
      </c>
      <c r="E31" s="75" t="s">
        <v>2866</v>
      </c>
      <c r="F31" s="75" t="s">
        <v>2740</v>
      </c>
      <c r="G31" s="75" t="s">
        <v>2741</v>
      </c>
      <c r="H31" s="74" t="s">
        <v>928</v>
      </c>
      <c r="I31" s="549">
        <v>46631</v>
      </c>
      <c r="J31" s="8" t="s">
        <v>2742</v>
      </c>
      <c r="K31" s="71" t="s">
        <v>2743</v>
      </c>
      <c r="L31" s="598" t="s">
        <v>2867</v>
      </c>
      <c r="M31" s="598" t="s">
        <v>2868</v>
      </c>
      <c r="N31" s="613" t="s">
        <v>2869</v>
      </c>
      <c r="O31" s="551"/>
      <c r="P31" s="635">
        <v>46079</v>
      </c>
      <c r="Q31" s="634">
        <v>46107</v>
      </c>
      <c r="R31" t="s">
        <v>2747</v>
      </c>
    </row>
    <row r="32" spans="1:18" ht="165" hidden="1">
      <c r="A32" s="5" t="str">
        <f>_xlfn.XLOOKUP(B32,Tb_Portfólio[SEI],Tb_Portfólio[UNIDADE PATROCINADORA],"Não cadastrado")</f>
        <v>DTI - Departamento de Tecnologia da Informação e Comunicação</v>
      </c>
      <c r="B32" s="235" t="s">
        <v>281</v>
      </c>
      <c r="C32" s="232" t="str">
        <f>_xlfn.XLOOKUP(B32,Tb_Portfólio[SEI],Tb_Portfólio[Consultor],"Não cadastrado")</f>
        <v>Tony / Cris</v>
      </c>
      <c r="D32" s="75" t="str">
        <f>_xlfn.XLOOKUP(B32,Tb_Portfólio[SEI],Tb_Portfólio[PROJETO],"Não cadastrado")</f>
        <v>Fortalecimento da Segurança Cibernética e da Transparência para Governança e Efetividade da Atuação do Poder Judiciário (Projeto BRA/24/021)</v>
      </c>
      <c r="E32" s="75" t="str">
        <f>_xlfn.XLOOKUP(D32,Tb_Portfólio[PROJETO],Tb_Portfólio[OBJETO],"Não cadastrado")</f>
        <v>Criar ferramentas e estratégias para melhorar a segurança cibernética, a preservação de documentos e o gerenciamento de informações e conhecimentos dos sistemas do Conselho Nacional de Justiça.</v>
      </c>
      <c r="F32" s="75" t="s">
        <v>2732</v>
      </c>
      <c r="G32" s="75" t="s">
        <v>2870</v>
      </c>
      <c r="H32" s="560" t="s">
        <v>2871</v>
      </c>
      <c r="I32" s="549">
        <f>_xlfn.XLOOKUP(D32,Tb_Portfólio[PROJETO],Tb_Portfólio[PREVISÃO DE TERMINO],"Não cadastrado")</f>
        <v>47118</v>
      </c>
      <c r="J32" s="547">
        <f>_xlfn.XLOOKUP(B32,Tb_Portfólio[SEI],Tb_Portfólio[% EXECUTADO],"",0)</f>
        <v>0</v>
      </c>
      <c r="K32" s="547" t="str">
        <f ca="1">_xlfn.XLOOKUP(B32,Tb_Portfólio[SEI],Tb_Portfólio[Situação],"",0)</f>
        <v>Autorizado</v>
      </c>
      <c r="L32" s="73" t="s">
        <v>2872</v>
      </c>
      <c r="M32" s="73" t="s">
        <v>2873</v>
      </c>
      <c r="N32" s="73" t="s">
        <v>2874</v>
      </c>
      <c r="O32" s="73" t="s">
        <v>2875</v>
      </c>
      <c r="P32" s="635">
        <v>46079</v>
      </c>
      <c r="Q32" s="634">
        <v>46107</v>
      </c>
      <c r="R32" t="s">
        <v>52</v>
      </c>
    </row>
    <row r="33" spans="1:18" ht="409.5" hidden="1">
      <c r="A33" s="5" t="s">
        <v>67</v>
      </c>
      <c r="B33" s="235" t="s">
        <v>229</v>
      </c>
      <c r="C33" s="232" t="str">
        <f>_xlfn.XLOOKUP(B33,Tb_Portfólio[SEI],Tb_Portfólio[Consultor],"Não cadastrado")</f>
        <v>Tony</v>
      </c>
      <c r="D33" s="75" t="str">
        <f>_xlfn.XLOOKUP(B33,Tb_Portfólio[SEI],Tb_Portfólio[PROJETO],"Não cadastrado")</f>
        <v>Gabinete do Juízo</v>
      </c>
      <c r="E33" s="75" t="str">
        <f>_xlfn.XLOOKUP(D33,Tb_Portfólio[PROJETO],Tb_Portfólio[OBJETO],"Não cadastrado")</f>
        <v>Criação de uma solução modular que permita a realização dos atos de gabinete dos juízes, com arquiteturabaseada em microsserviços, aderente à Plataforma Digital do Poder Judiciário Nacional, instituída pelaResolução CNJ Nº 335/2020 (https://atos.cnj.jus.br/atos/detalhar/3496), e que atenda aos requisitos técnicose de arquitetura fixados pelo CNJ por meio da Portaria CNJ Nº 253-2020(https://atos.cnj.jus.br/atos/detalhar/3582), publicada em 18 de novembro de 2020, que instituiu os critériose diretrizes técnicas para o processo de desenvolvimento de módulos e serviços na Plataforma Digital doPoder Judiciário Brasileiro – PDPJ-Br.</v>
      </c>
      <c r="F33" s="75" t="s">
        <v>2732</v>
      </c>
      <c r="G33" s="75" t="s">
        <v>2763</v>
      </c>
      <c r="H33" s="594" t="s">
        <v>2876</v>
      </c>
      <c r="I33" s="549">
        <f>_xlfn.XLOOKUP(D33,Tb_Portfólio[PROJETO],Tb_Portfólio[PREVISÃO DE TERMINO],"Não cadastrado")</f>
        <v>46379</v>
      </c>
      <c r="J33" s="547">
        <f>_xlfn.XLOOKUP(B33,Tb_Portfólio[SEI],Tb_Portfólio[% EXECUTADO],"",0)</f>
        <v>0.66</v>
      </c>
      <c r="K33" s="547" t="str">
        <f ca="1">_xlfn.XLOOKUP(B33,Tb_Portfólio[SEI],Tb_Portfólio[Situação],"",0)</f>
        <v>Atrasado ou Crítico</v>
      </c>
      <c r="L33" s="73" t="s">
        <v>2877</v>
      </c>
      <c r="M33" s="73" t="s">
        <v>2878</v>
      </c>
      <c r="N33" s="73" t="s">
        <v>2879</v>
      </c>
      <c r="O33" s="73" t="s">
        <v>2880</v>
      </c>
      <c r="P33" s="635">
        <v>46079</v>
      </c>
      <c r="Q33" s="634">
        <v>46107</v>
      </c>
      <c r="R33" t="s">
        <v>52</v>
      </c>
    </row>
    <row r="34" spans="1:18" ht="195" hidden="1">
      <c r="A34" s="641" t="s">
        <v>44</v>
      </c>
      <c r="B34" s="235" t="s">
        <v>934</v>
      </c>
      <c r="C34" s="232" t="s">
        <v>1710</v>
      </c>
      <c r="D34" s="75" t="s">
        <v>2881</v>
      </c>
      <c r="E34" s="75" t="s">
        <v>2882</v>
      </c>
      <c r="F34" s="75" t="s">
        <v>2740</v>
      </c>
      <c r="G34" s="75" t="s">
        <v>2750</v>
      </c>
      <c r="H34" s="74" t="s">
        <v>942</v>
      </c>
      <c r="I34" s="549">
        <v>46741</v>
      </c>
      <c r="J34" s="8" t="s">
        <v>2742</v>
      </c>
      <c r="K34" s="554" t="str">
        <f ca="1">_xlfn.XLOOKUP(B34,Tb_Portfólio[SEI],Tb_Portfólio[Situação],"",0)</f>
        <v>Autorizado</v>
      </c>
      <c r="L34" s="75" t="s">
        <v>2883</v>
      </c>
      <c r="M34" s="551" t="s">
        <v>2884</v>
      </c>
      <c r="N34" s="551" t="s">
        <v>2885</v>
      </c>
      <c r="O34" s="551" t="s">
        <v>2754</v>
      </c>
      <c r="P34" s="635">
        <v>46079</v>
      </c>
      <c r="Q34" s="634">
        <v>46107</v>
      </c>
      <c r="R34" t="s">
        <v>52</v>
      </c>
    </row>
    <row r="35" spans="1:18" ht="225" hidden="1">
      <c r="A35" s="641" t="s">
        <v>44</v>
      </c>
      <c r="B35" s="235"/>
      <c r="C35" s="232" t="str">
        <f>_xlfn.XLOOKUP(B35,Tb_Portfólio[SEI],Tb_Portfólio[Consultor],"Não cadastrado")</f>
        <v>Não cadastrado</v>
      </c>
      <c r="D35" s="605" t="s">
        <v>2886</v>
      </c>
      <c r="E35" s="75" t="s">
        <v>2887</v>
      </c>
      <c r="F35" s="75" t="s">
        <v>2740</v>
      </c>
      <c r="G35" s="75" t="s">
        <v>2741</v>
      </c>
      <c r="H35" s="74" t="s">
        <v>928</v>
      </c>
      <c r="I35" s="549">
        <v>46631</v>
      </c>
      <c r="J35" s="8" t="s">
        <v>2742</v>
      </c>
      <c r="K35" s="71" t="s">
        <v>2743</v>
      </c>
      <c r="L35" s="598" t="s">
        <v>2888</v>
      </c>
      <c r="M35" s="548" t="s">
        <v>2889</v>
      </c>
      <c r="N35" s="613" t="s">
        <v>2890</v>
      </c>
      <c r="O35" s="551"/>
      <c r="P35" s="635">
        <v>46079</v>
      </c>
      <c r="Q35" s="634">
        <v>46107</v>
      </c>
      <c r="R35" t="s">
        <v>2747</v>
      </c>
    </row>
    <row r="36" spans="1:18" ht="30" hidden="1">
      <c r="A36" s="641" t="s">
        <v>44</v>
      </c>
      <c r="B36" s="588" t="s">
        <v>2891</v>
      </c>
      <c r="C36" s="232" t="str">
        <f>_xlfn.XLOOKUP(B36,Tb_Portfólio[SEI],Tb_Portfólio[Consultor],"Não cadastrado")</f>
        <v>Não cadastrado</v>
      </c>
      <c r="D36" s="588" t="s">
        <v>2892</v>
      </c>
      <c r="E36" s="75" t="s">
        <v>2838</v>
      </c>
      <c r="F36" s="75" t="s">
        <v>2832</v>
      </c>
      <c r="G36" s="75" t="s">
        <v>2839</v>
      </c>
      <c r="H36" s="74" t="s">
        <v>2893</v>
      </c>
      <c r="I36" s="549"/>
      <c r="J36" s="71"/>
      <c r="K36" s="71"/>
      <c r="L36" s="551"/>
      <c r="M36" s="551" t="s">
        <v>2894</v>
      </c>
      <c r="N36" s="75" t="s">
        <v>2895</v>
      </c>
      <c r="O36" s="551"/>
      <c r="P36" s="635">
        <v>46079</v>
      </c>
      <c r="Q36" s="634">
        <v>46107</v>
      </c>
      <c r="R36" t="s">
        <v>2747</v>
      </c>
    </row>
    <row r="37" spans="1:18" ht="90" hidden="1">
      <c r="A37" s="641" t="s">
        <v>44</v>
      </c>
      <c r="B37" s="235"/>
      <c r="C37" s="232" t="str">
        <f>_xlfn.XLOOKUP(B37,Tb_Portfólio[SEI],Tb_Portfólio[Consultor],"Não cadastrado")</f>
        <v>Não cadastrado</v>
      </c>
      <c r="D37" s="75" t="s">
        <v>2896</v>
      </c>
      <c r="E37" s="75" t="s">
        <v>2897</v>
      </c>
      <c r="F37" s="75" t="s">
        <v>2740</v>
      </c>
      <c r="G37" s="75" t="s">
        <v>2741</v>
      </c>
      <c r="H37" s="74" t="s">
        <v>928</v>
      </c>
      <c r="I37" s="549">
        <v>46631</v>
      </c>
      <c r="J37" s="8" t="s">
        <v>2742</v>
      </c>
      <c r="K37" s="71" t="s">
        <v>2743</v>
      </c>
      <c r="L37" s="438" t="s">
        <v>2898</v>
      </c>
      <c r="M37" s="438" t="s">
        <v>2899</v>
      </c>
      <c r="N37" s="139" t="s">
        <v>2900</v>
      </c>
      <c r="P37" s="635">
        <v>46079</v>
      </c>
      <c r="Q37" s="634">
        <v>46107</v>
      </c>
      <c r="R37" t="s">
        <v>2747</v>
      </c>
    </row>
    <row r="38" spans="1:18" ht="180" hidden="1">
      <c r="A38" s="641" t="s">
        <v>44</v>
      </c>
      <c r="B38" s="235"/>
      <c r="C38" s="232" t="str">
        <f>_xlfn.XLOOKUP(B38,Tb_Portfólio[SEI],Tb_Portfólio[Consultor],"Não cadastrado")</f>
        <v>Não cadastrado</v>
      </c>
      <c r="D38" s="75" t="s">
        <v>2901</v>
      </c>
      <c r="E38" s="75" t="s">
        <v>2902</v>
      </c>
      <c r="F38" s="75" t="s">
        <v>2740</v>
      </c>
      <c r="G38" s="101" t="s">
        <v>2741</v>
      </c>
      <c r="H38" s="557" t="s">
        <v>928</v>
      </c>
      <c r="I38" s="549">
        <v>46631</v>
      </c>
      <c r="J38" s="8" t="s">
        <v>2742</v>
      </c>
      <c r="K38" s="71" t="s">
        <v>2743</v>
      </c>
      <c r="L38" s="569" t="s">
        <v>2903</v>
      </c>
      <c r="M38" s="139" t="s">
        <v>2904</v>
      </c>
      <c r="N38" s="570" t="s">
        <v>2905</v>
      </c>
      <c r="P38" s="635">
        <v>46079</v>
      </c>
      <c r="Q38" s="634">
        <v>46107</v>
      </c>
      <c r="R38" t="s">
        <v>2747</v>
      </c>
    </row>
    <row r="39" spans="1:18" ht="165" hidden="1">
      <c r="A39" s="5" t="str">
        <f>_xlfn.XLOOKUP(B39,Tb_Portfólio[SEI],Tb_Portfólio[UNIDADE PATROCINADORA],"Não cadastrado")</f>
        <v>Presidência do CNJ</v>
      </c>
      <c r="B39" s="575" t="s">
        <v>384</v>
      </c>
      <c r="C39" s="556" t="str">
        <f>_xlfn.XLOOKUP(B39,Tb_Portfólio[SEI],Tb_Portfólio[Consultor],"Não cadastrado")</f>
        <v>Tony</v>
      </c>
      <c r="D39" s="552" t="str">
        <f>_xlfn.XLOOKUP(B39,Tb_Portfólio[SEI],Tb_Portfólio[PROJETO],"Não cadastrado")</f>
        <v>Integra - Serviço de Monitoramento de Atos do CNJ</v>
      </c>
      <c r="E39" s="552" t="str">
        <f>_xlfn.XLOOKUP(D39,Tb_Portfólio[PROJETO],Tb_Portfólio[OBJETO],"Não cadastrado")</f>
        <v>Evoluir de forma digital o serviço de monitoramento de normativos do CNJ, padronizar e automatizar os fluxos do procedimento de Acompanhamento de Cumprimento de Decisão – Cumprdec, tornando um serviço oficial do CNJ.</v>
      </c>
      <c r="F39" s="552" t="s">
        <v>2832</v>
      </c>
      <c r="G39" s="545"/>
      <c r="H39" s="74" t="s">
        <v>2876</v>
      </c>
      <c r="I39" s="549">
        <f>_xlfn.XLOOKUP(D39,Tb_Portfólio[PROJETO],Tb_Portfólio[PREVISÃO DE TERMINO],"Não cadastrado")</f>
        <v>46285</v>
      </c>
      <c r="J39" s="547">
        <f>_xlfn.XLOOKUP(B39,Tb_Portfólio[SEI],Tb_Portfólio[% EXECUTADO],"",0)</f>
        <v>0.82</v>
      </c>
      <c r="K39" s="554" t="str">
        <f ca="1">_xlfn.XLOOKUP(B39,Tb_Portfólio[SEI],Tb_Portfólio[Situação],"",0)</f>
        <v>No prazo</v>
      </c>
      <c r="L39" s="548" t="s">
        <v>2906</v>
      </c>
      <c r="M39" s="242" t="s">
        <v>2735</v>
      </c>
      <c r="N39" s="572" t="s">
        <v>2907</v>
      </c>
      <c r="O39" s="71"/>
      <c r="P39" s="635">
        <v>46079</v>
      </c>
      <c r="Q39" s="634">
        <v>46107</v>
      </c>
      <c r="R39" t="s">
        <v>52</v>
      </c>
    </row>
    <row r="40" spans="1:18" ht="315" hidden="1">
      <c r="A40" s="641" t="s">
        <v>44</v>
      </c>
      <c r="B40" s="235"/>
      <c r="C40" s="232" t="str">
        <f>_xlfn.XLOOKUP(B40,Tb_Portfólio[SEI],Tb_Portfólio[Consultor],"Não cadastrado")</f>
        <v>Não cadastrado</v>
      </c>
      <c r="D40" s="75" t="s">
        <v>2908</v>
      </c>
      <c r="E40" s="75" t="s">
        <v>2909</v>
      </c>
      <c r="F40" s="75" t="s">
        <v>2740</v>
      </c>
      <c r="G40" s="75" t="s">
        <v>2741</v>
      </c>
      <c r="H40" s="74" t="s">
        <v>928</v>
      </c>
      <c r="I40" s="549">
        <v>46631</v>
      </c>
      <c r="J40" s="8" t="s">
        <v>2742</v>
      </c>
      <c r="K40" s="71" t="s">
        <v>2743</v>
      </c>
      <c r="L40" s="551" t="s">
        <v>2910</v>
      </c>
      <c r="M40" s="551" t="s">
        <v>2863</v>
      </c>
      <c r="N40" s="75" t="s">
        <v>2911</v>
      </c>
      <c r="O40" s="551"/>
      <c r="P40" s="635">
        <v>46079</v>
      </c>
      <c r="Q40" s="634">
        <v>46107</v>
      </c>
      <c r="R40" t="s">
        <v>2747</v>
      </c>
    </row>
    <row r="41" spans="1:18" ht="56.1" hidden="1" customHeight="1">
      <c r="A41" s="641" t="s">
        <v>44</v>
      </c>
      <c r="B41" s="235" t="s">
        <v>2912</v>
      </c>
      <c r="C41" s="232" t="str">
        <f>_xlfn.XLOOKUP(B41,Tb_Portfólio[SEI],Tb_Portfólio[Consultor],"Não cadastrado")</f>
        <v>Não cadastrado</v>
      </c>
      <c r="D41" s="591" t="s">
        <v>2913</v>
      </c>
      <c r="E41" s="75" t="s">
        <v>2838</v>
      </c>
      <c r="F41" s="75" t="s">
        <v>2832</v>
      </c>
      <c r="G41" s="75" t="s">
        <v>2839</v>
      </c>
      <c r="H41" s="74" t="s">
        <v>73</v>
      </c>
      <c r="I41" s="549"/>
      <c r="J41" s="71"/>
      <c r="K41" s="71"/>
      <c r="L41" s="551"/>
      <c r="M41" s="601" t="s">
        <v>2914</v>
      </c>
      <c r="N41" s="515" t="s">
        <v>2915</v>
      </c>
      <c r="O41" s="551"/>
      <c r="P41" s="635">
        <v>46079</v>
      </c>
      <c r="Q41" s="634">
        <v>46107</v>
      </c>
      <c r="R41" t="s">
        <v>2747</v>
      </c>
    </row>
    <row r="42" spans="1:18" ht="155.44999999999999" hidden="1" customHeight="1">
      <c r="A42" s="641" t="str">
        <f>_xlfn.XLOOKUP(B42,Tb_Portfólio[SEI],Tb_Portfólio[UNIDADE PATROCINADORA],"Não cadastrado")</f>
        <v>SEP - Secretaria de Estratégia e Projetos</v>
      </c>
      <c r="B42" s="235" t="s">
        <v>747</v>
      </c>
      <c r="C42" s="232" t="str">
        <f>_xlfn.XLOOKUP(B42,Tb_Portfólio[SEI],Tb_Portfólio[Consultor],"Não cadastrado")</f>
        <v>Tony</v>
      </c>
      <c r="D42" s="75" t="str">
        <f>_xlfn.XLOOKUP(B42,Tb_Portfólio[SEI],Tb_Portfólio[PROJETO],"Não cadastrado")</f>
        <v>Mapa Nacional do Crime Organizado</v>
      </c>
      <c r="E42" s="75" t="str">
        <f>_xlfn.XLOOKUP(D42,Tb_Portfólio[PROJETO],Tb_Portfólio[OBJETO],"Não cadastrado")</f>
        <v>Identificar a forma como o Poder Judiciário trata as persecuções penais dos delitos de organização criminosa 
(art. 2º e seu parágrafo 1º, da Lei nº 12.850/2013) e outros associativos que podem ter relação com crime 
organizado (em especial art. 35, Lei nº 11.343/2006, e arts. 288 e 288-A, do Código Penal); as estruturas 
adotadas e a situação dos acervos nas unidades judiciárias; além do impacto de cada modelo nos resultados, 
apresentando, em seguida, o Mapa Nacional do Crime Organizado.</v>
      </c>
      <c r="F42" s="75" t="s">
        <v>2832</v>
      </c>
      <c r="G42" s="75" t="s">
        <v>2839</v>
      </c>
      <c r="H42" s="74" t="s">
        <v>2916</v>
      </c>
      <c r="I42" s="549">
        <f>_xlfn.XLOOKUP(D42,Tb_Portfólio[PROJETO],Tb_Portfólio[PREVISÃO DE TERMINO],"Não cadastrado")</f>
        <v>46265</v>
      </c>
      <c r="J42" s="547">
        <f>_xlfn.XLOOKUP(B42,Tb_Portfólio[SEI],Tb_Portfólio[% EXECUTADO],"",0)</f>
        <v>0.5</v>
      </c>
      <c r="K42" s="554" t="str">
        <f ca="1">_xlfn.XLOOKUP(B42,Tb_Portfólio[SEI],Tb_Portfólio[Situação],"",0)</f>
        <v>No prazo</v>
      </c>
      <c r="L42" s="548" t="s">
        <v>2917</v>
      </c>
      <c r="M42" s="565" t="s">
        <v>2918</v>
      </c>
      <c r="N42" s="242" t="s">
        <v>2919</v>
      </c>
      <c r="O42" s="71"/>
      <c r="P42" s="635">
        <v>46079</v>
      </c>
      <c r="Q42" s="634">
        <v>46107</v>
      </c>
      <c r="R42" t="s">
        <v>52</v>
      </c>
    </row>
    <row r="43" spans="1:18" ht="255" hidden="1">
      <c r="A43" s="641" t="str">
        <f>_xlfn.XLOOKUP(B43,Tb_Portfólio[SEI],Tb_Portfólio[UNIDADE PATROCINADORA],"Não cadastrado")</f>
        <v>SEP - Secretaria de Estratégia e Projetos</v>
      </c>
      <c r="B43" s="235" t="s">
        <v>70</v>
      </c>
      <c r="C43" s="232" t="str">
        <f>_xlfn.XLOOKUP(B43,Tb_Portfólio[SEI],Tb_Portfólio[Consultor],"Não cadastrado")</f>
        <v>Tony</v>
      </c>
      <c r="D43" s="75" t="str">
        <f>_xlfn.XLOOKUP(B43,Tb_Portfólio[SEI],Tb_Portfólio[PROJETO],"Não cadastrado")</f>
        <v>Mapa Nacional do Tribunal do Júri</v>
      </c>
      <c r="E43" s="75" t="str">
        <f>_xlfn.XLOOKUP(D43,Tb_Portfólio[PROJETO],Tb_Portfólio[OBJETO],"Não cadastrado")</f>
        <v>Identificar, por meio dos dados do Painel “Justiça em Números”, os gargalos específicos e, posteriormente, as questões a eles relacionadas que geram a morosidade e o acúmulo de processos de competência do Tribunal do Júri, criando soluções colaborativas e customizadas para resolução desses problemas em parceria com os tribunais envolvidos.</v>
      </c>
      <c r="F43" s="75" t="s">
        <v>2832</v>
      </c>
      <c r="G43" s="75" t="s">
        <v>2839</v>
      </c>
      <c r="H43" s="74" t="s">
        <v>2916</v>
      </c>
      <c r="I43" s="549">
        <f>_xlfn.XLOOKUP(D43,Tb_Portfólio[PROJETO],Tb_Portfólio[PREVISÃO DE TERMINO],"Não cadastrado")</f>
        <v>46658</v>
      </c>
      <c r="J43" s="547">
        <f>_xlfn.XLOOKUP(B43,Tb_Portfólio[SEI],Tb_Portfólio[% EXECUTADO],"",0)</f>
        <v>0.89</v>
      </c>
      <c r="K43" s="554" t="str">
        <f ca="1">_xlfn.XLOOKUP(B43,Tb_Portfólio[SEI],Tb_Portfólio[Situação],"",0)</f>
        <v>No prazo</v>
      </c>
      <c r="L43" s="597" t="s">
        <v>2920</v>
      </c>
      <c r="M43" s="597" t="s">
        <v>2921</v>
      </c>
      <c r="N43" s="572" t="s">
        <v>2922</v>
      </c>
      <c r="O43" s="79" t="s">
        <v>2923</v>
      </c>
      <c r="P43" s="635">
        <v>46079</v>
      </c>
      <c r="Q43" s="634">
        <v>46107</v>
      </c>
      <c r="R43" t="s">
        <v>52</v>
      </c>
    </row>
    <row r="44" spans="1:18" ht="225" hidden="1">
      <c r="A44" s="641" t="s">
        <v>44</v>
      </c>
      <c r="B44" s="235"/>
      <c r="C44" s="232" t="str">
        <f>_xlfn.XLOOKUP(B44,Tb_Portfólio[SEI],Tb_Portfólio[Consultor],"Não cadastrado")</f>
        <v>Não cadastrado</v>
      </c>
      <c r="D44" s="605" t="s">
        <v>2924</v>
      </c>
      <c r="E44" s="75" t="s">
        <v>2925</v>
      </c>
      <c r="F44" s="75" t="s">
        <v>2740</v>
      </c>
      <c r="G44" s="75" t="s">
        <v>2741</v>
      </c>
      <c r="H44" s="74" t="s">
        <v>928</v>
      </c>
      <c r="I44" s="549">
        <v>46631</v>
      </c>
      <c r="J44" s="8" t="s">
        <v>2742</v>
      </c>
      <c r="K44" s="71" t="s">
        <v>2743</v>
      </c>
      <c r="L44" s="548" t="s">
        <v>2926</v>
      </c>
      <c r="M44" s="598" t="s">
        <v>2927</v>
      </c>
      <c r="N44" s="613" t="s">
        <v>2928</v>
      </c>
      <c r="O44" s="551"/>
      <c r="P44" s="635">
        <v>46079</v>
      </c>
      <c r="Q44" s="634">
        <v>46107</v>
      </c>
      <c r="R44" t="s">
        <v>2747</v>
      </c>
    </row>
    <row r="45" spans="1:18" ht="30" hidden="1">
      <c r="A45" s="641" t="s">
        <v>44</v>
      </c>
      <c r="B45" s="235" t="s">
        <v>2929</v>
      </c>
      <c r="C45" s="232" t="str">
        <f>_xlfn.XLOOKUP(B45,Tb_Portfólio[SEI],Tb_Portfólio[Consultor],"Não cadastrado")</f>
        <v>Não cadastrado</v>
      </c>
      <c r="D45" s="75" t="s">
        <v>2930</v>
      </c>
      <c r="E45" s="75" t="s">
        <v>2838</v>
      </c>
      <c r="F45" s="75" t="s">
        <v>2832</v>
      </c>
      <c r="G45" s="75" t="s">
        <v>2839</v>
      </c>
      <c r="H45" s="74" t="s">
        <v>73</v>
      </c>
      <c r="I45" s="549"/>
      <c r="J45" s="71"/>
      <c r="K45" s="71"/>
      <c r="L45" s="551"/>
      <c r="M45" s="551" t="s">
        <v>2931</v>
      </c>
      <c r="N45" s="75"/>
      <c r="O45" s="551"/>
      <c r="P45" s="635">
        <v>46079</v>
      </c>
      <c r="Q45" s="634">
        <v>46107</v>
      </c>
      <c r="R45" t="s">
        <v>2747</v>
      </c>
    </row>
    <row r="46" spans="1:18" ht="409.5" hidden="1">
      <c r="A46" s="5" t="str">
        <f>_xlfn.XLOOKUP(B46,Tb_Portfólio[SEI],Tb_Portfólio[UNIDADE PATROCINADORA],"Não cadastrado")</f>
        <v>DTI - Departamento de Tecnologia da Informação e Comunicação</v>
      </c>
      <c r="B46" s="235" t="s">
        <v>182</v>
      </c>
      <c r="C46" s="232" t="str">
        <f>_xlfn.XLOOKUP(B46,Tb_Portfólio[SEI],Tb_Portfólio[Consultor],"Não cadastrado")</f>
        <v>Tony</v>
      </c>
      <c r="D46" s="75" t="str">
        <f>_xlfn.XLOOKUP(B46,Tb_Portfólio[SEI],Tb_Portfólio[PROJETO],"Não cadastrado")</f>
        <v xml:space="preserve">Mineração de Processos do Pje </v>
      </c>
      <c r="E46" s="75" t="str">
        <f>_xlfn.XLOOKUP(D46,Tb_Portfólio[PROJETO],Tb_Portfólio[OBJETO],"Não cadastrado")</f>
        <v>Desenvolvimento de uma metodologia para aplicação de técnicas de mineração de processos nas bases de dados do PJE</v>
      </c>
      <c r="F46" s="75" t="s">
        <v>2732</v>
      </c>
      <c r="G46" s="75" t="s">
        <v>2932</v>
      </c>
      <c r="H46" s="74" t="s">
        <v>137</v>
      </c>
      <c r="I46" s="549">
        <f>_xlfn.XLOOKUP(D46,Tb_Portfólio[PROJETO],Tb_Portfólio[PREVISÃO DE TERMINO],"Não cadastrado")</f>
        <v>46630</v>
      </c>
      <c r="J46" s="547">
        <f>_xlfn.XLOOKUP(B46,Tb_Portfólio[SEI],Tb_Portfólio[% EXECUTADO],"",0)</f>
        <v>0.89</v>
      </c>
      <c r="K46" s="554" t="str">
        <f ca="1">_xlfn.XLOOKUP(B46,Tb_Portfólio[SEI],Tb_Portfólio[Situação],"",0)</f>
        <v>No prazo</v>
      </c>
      <c r="L46" s="548" t="s">
        <v>2933</v>
      </c>
      <c r="M46" s="548" t="s">
        <v>2735</v>
      </c>
      <c r="N46" s="548" t="s">
        <v>2934</v>
      </c>
      <c r="O46" s="71"/>
      <c r="P46" s="635">
        <v>46079</v>
      </c>
      <c r="Q46" s="634">
        <v>46107</v>
      </c>
      <c r="R46" t="s">
        <v>52</v>
      </c>
    </row>
    <row r="47" spans="1:18" ht="105" hidden="1">
      <c r="A47" s="641" t="s">
        <v>44</v>
      </c>
      <c r="B47" s="151" t="s">
        <v>934</v>
      </c>
      <c r="C47" s="232" t="s">
        <v>1710</v>
      </c>
      <c r="D47" s="75" t="s">
        <v>2935</v>
      </c>
      <c r="E47" s="75" t="s">
        <v>2936</v>
      </c>
      <c r="F47" s="592" t="s">
        <v>2740</v>
      </c>
      <c r="G47" s="139" t="s">
        <v>2750</v>
      </c>
      <c r="H47" s="553" t="s">
        <v>942</v>
      </c>
      <c r="I47" s="549">
        <v>46741</v>
      </c>
      <c r="J47" s="5" t="s">
        <v>2742</v>
      </c>
      <c r="K47" s="554" t="str">
        <f ca="1">_xlfn.XLOOKUP(B47,Tb_Portfólio[SEI],Tb_Portfólio[Situação],"",0)</f>
        <v>Autorizado</v>
      </c>
      <c r="L47" s="79" t="s">
        <v>2937</v>
      </c>
      <c r="M47" s="79" t="s">
        <v>2938</v>
      </c>
      <c r="N47" s="79" t="s">
        <v>2939</v>
      </c>
      <c r="O47" s="438" t="s">
        <v>2754</v>
      </c>
      <c r="P47" s="635">
        <v>46079</v>
      </c>
      <c r="Q47" s="634">
        <v>46107</v>
      </c>
      <c r="R47" t="s">
        <v>52</v>
      </c>
    </row>
    <row r="48" spans="1:18" ht="409.5" hidden="1">
      <c r="A48" s="641" t="s">
        <v>44</v>
      </c>
      <c r="B48" s="232" t="s">
        <v>756</v>
      </c>
      <c r="C48" s="149" t="str">
        <f>_xlfn.XLOOKUP(B48,Tb_Portfólio[SEI],Tb_Portfólio[Consultor],"Não cadastrado")</f>
        <v>Tony</v>
      </c>
      <c r="D48" s="103" t="str">
        <f>_xlfn.XLOOKUP(B48,Tb_Portfólio[SEI],Tb_Portfólio[PROJETO],"Não cadastrado")</f>
        <v>Módulo de Pessoal e Estrutura Judiciária Mensal (MPM) V.2</v>
      </c>
      <c r="E48" s="139" t="str">
        <f>_xlfn.XLOOKUP(D48,Tb_Portfólio[PROJETO],Tb_Portfólio[OBJETO],"Não cadastrado")</f>
        <v>Reestruturar e manter o Sistema Módulo de Pessoal e Estrutura Judiciária Mensal (MPM). Seu principal objetivo é centralizar e atualizar informações sobre órgãos do Poder Judiciário brasileiro (serventias, magistrados(as), servidores(as) e forças auxiliares), abrangendo todos os ramos de justiça, tribunais e conselhos. O sistema permite monitorar políticas públicas relacionadas à inclusão de gênero, acessibilidade, ações de cotas raciais e reservas para pessoas com deficiência, além de fornecer dados confiáveis para planejamento, gestão e transparência.</v>
      </c>
      <c r="F48" s="75" t="s">
        <v>2732</v>
      </c>
      <c r="G48" s="75" t="s">
        <v>2940</v>
      </c>
      <c r="H48" s="74" t="s">
        <v>86</v>
      </c>
      <c r="I48" s="549">
        <f>_xlfn.XLOOKUP(D48,Tb_Portfólio[PROJETO],Tb_Portfólio[PREVISÃO DE TERMINO],"Não cadastrado")</f>
        <v>46387</v>
      </c>
      <c r="J48" s="547">
        <f>_xlfn.XLOOKUP(B48,Tb_Portfólio[SEI],Tb_Portfólio[% EXECUTADO],"",0)</f>
        <v>0.45</v>
      </c>
      <c r="K48" s="554" t="str">
        <f ca="1">_xlfn.XLOOKUP(B48,Tb_Portfólio[SEI],Tb_Portfólio[Situação],"",0)</f>
        <v>Atrasado ou Crítico</v>
      </c>
      <c r="L48" s="8" t="s">
        <v>2941</v>
      </c>
      <c r="M48" s="8"/>
      <c r="N48" s="73" t="s">
        <v>2942</v>
      </c>
      <c r="O48" s="71"/>
      <c r="P48" s="635">
        <v>46079</v>
      </c>
      <c r="Q48" s="634">
        <v>46107</v>
      </c>
      <c r="R48" t="s">
        <v>52</v>
      </c>
    </row>
    <row r="49" spans="1:18" ht="45" hidden="1">
      <c r="A49" s="641" t="s">
        <v>44</v>
      </c>
      <c r="B49" s="604"/>
      <c r="C49" s="149" t="str">
        <f>_xlfn.XLOOKUP(B49,Tb_Portfólio[SEI],Tb_Portfólio[Consultor],"Não cadastrado")</f>
        <v>Não cadastrado</v>
      </c>
      <c r="D49" s="5" t="s">
        <v>2943</v>
      </c>
      <c r="E49" s="349" t="s">
        <v>2944</v>
      </c>
      <c r="F49" s="75" t="s">
        <v>2790</v>
      </c>
      <c r="G49" s="103" t="s">
        <v>2791</v>
      </c>
      <c r="H49" s="23" t="s">
        <v>997</v>
      </c>
      <c r="I49" s="349"/>
      <c r="K49" s="554" t="s">
        <v>2743</v>
      </c>
      <c r="L49" s="551" t="s">
        <v>2945</v>
      </c>
      <c r="M49" s="551"/>
      <c r="N49" s="551" t="s">
        <v>2946</v>
      </c>
      <c r="P49" s="635">
        <v>46079</v>
      </c>
      <c r="Q49" s="634">
        <v>46107</v>
      </c>
      <c r="R49" t="s">
        <v>2747</v>
      </c>
    </row>
    <row r="50" spans="1:18" ht="180" hidden="1">
      <c r="A50" s="641" t="str">
        <f>_xlfn.XLOOKUP(B50,Tb_Portfólio[SEI],Tb_Portfólio[UNIDADE PATROCINADORA],"Não cadastrado")</f>
        <v>SEP - Secretaria de Estratégia e Projetos</v>
      </c>
      <c r="B50" s="232" t="s">
        <v>690</v>
      </c>
      <c r="C50" s="149" t="str">
        <f>_xlfn.XLOOKUP(B50,Tb_Portfólio[SEI],Tb_Portfólio[Consultor],"Não cadastrado")</f>
        <v>Juliana</v>
      </c>
      <c r="D50" s="103" t="str">
        <f>_xlfn.XLOOKUP(B50,Tb_Portfólio[SEI],Tb_Portfólio[PROJETO],"Não cadastrado")</f>
        <v>Painel “Justiça Criminal e Sistema Prisional”</v>
      </c>
      <c r="E50" s="103" t="str">
        <f>_xlfn.XLOOKUP(D50,Tb_Portfólio[PROJETO],Tb_Portfólio[OBJETO],"Não cadastrado")</f>
        <v>Produzir novo painel digital denominado "Justiça Criminal e Sistema Prisional", seguindo o disposto na Resolução n. 331/2020, que indique, em um primeiro momento, os dados processuais do Júri, da execução penal e do Banco Nacional de Mandados de Prisão.</v>
      </c>
      <c r="F50" s="75" t="s">
        <v>2732</v>
      </c>
      <c r="G50" s="103" t="s">
        <v>2839</v>
      </c>
      <c r="H50" s="23" t="s">
        <v>86</v>
      </c>
      <c r="I50" s="562">
        <f>_xlfn.XLOOKUP(D50,Tb_Portfólio[PROJETO],Tb_Portfólio[PREVISÃO DE TERMINO],"Não cadastrado")</f>
        <v>46387</v>
      </c>
      <c r="J50" s="558">
        <f>_xlfn.XLOOKUP(B50,Tb_Portfólio[SEI],Tb_Portfólio[% EXECUTADO],"",0)</f>
        <v>0.7</v>
      </c>
      <c r="K50" s="554" t="str">
        <f ca="1">_xlfn.XLOOKUP(B50,Tb_Portfólio[SEI],Tb_Portfólio[Situação],"",0)</f>
        <v>Em atenção</v>
      </c>
      <c r="L50" s="8" t="s">
        <v>2947</v>
      </c>
      <c r="M50" s="73" t="s">
        <v>2948</v>
      </c>
      <c r="N50" s="73" t="s">
        <v>2949</v>
      </c>
      <c r="O50"/>
      <c r="P50" s="635">
        <v>46079</v>
      </c>
      <c r="Q50" s="634">
        <v>46107</v>
      </c>
      <c r="R50" t="s">
        <v>52</v>
      </c>
    </row>
    <row r="51" spans="1:18" ht="165" hidden="1">
      <c r="A51" s="641" t="s">
        <v>44</v>
      </c>
      <c r="B51" s="232" t="s">
        <v>766</v>
      </c>
      <c r="C51" s="149" t="str">
        <f>_xlfn.XLOOKUP(B51,Tb_Portfólio[SEI],Tb_Portfólio[Consultor],"Não cadastrado")</f>
        <v>Tony</v>
      </c>
      <c r="D51" s="103" t="str">
        <f>_xlfn.XLOOKUP(B51,Tb_Portfólio[SEI],Tb_Portfólio[PROJETO],"Não cadastrado")</f>
        <v>Painel Crime Organizado</v>
      </c>
      <c r="E51" s="103" t="str">
        <f>_xlfn.XLOOKUP(D51,Tb_Portfólio[PROJETO],Tb_Portfólio[OBJETO],"Não cadastrado")</f>
        <v>Produzir painel digital responsável pelo armazenamento centralizado dos dados e metadados processuais 
relativos a todos os processos físicos ou eletrônicos, públicos ou sigilosos dos tribunais, denominado "painel 
Crime Organizado".</v>
      </c>
      <c r="F51" s="75" t="s">
        <v>2732</v>
      </c>
      <c r="G51" s="103" t="s">
        <v>2839</v>
      </c>
      <c r="H51" s="23" t="s">
        <v>86</v>
      </c>
      <c r="I51" s="562">
        <f>_xlfn.XLOOKUP(D51,Tb_Portfólio[PROJETO],Tb_Portfólio[PREVISÃO DE TERMINO],"Não cadastrado")</f>
        <v>46387</v>
      </c>
      <c r="J51" s="558">
        <f>_xlfn.XLOOKUP(B51,Tb_Portfólio[SEI],Tb_Portfólio[% EXECUTADO],"",0)</f>
        <v>0.35</v>
      </c>
      <c r="K51" s="554" t="str">
        <f ca="1">_xlfn.XLOOKUP(B51,Tb_Portfólio[SEI],Tb_Portfólio[Situação],"",0)</f>
        <v>Atrasado ou Crítico</v>
      </c>
      <c r="L51" s="5" t="s">
        <v>2941</v>
      </c>
      <c r="M51" s="5"/>
      <c r="N51" s="79" t="s">
        <v>2950</v>
      </c>
      <c r="O51"/>
      <c r="P51" s="635">
        <v>46079</v>
      </c>
      <c r="Q51" s="634">
        <v>46107</v>
      </c>
      <c r="R51" t="s">
        <v>52</v>
      </c>
    </row>
    <row r="52" spans="1:18" ht="225" hidden="1">
      <c r="A52" s="641" t="str">
        <f>_xlfn.XLOOKUP(B52,Tb_Portfólio[SEI],Tb_Portfólio[UNIDADE PATROCINADORA],"Não cadastrado")</f>
        <v>SEP - Secretaria de Estratégia e Projetos</v>
      </c>
      <c r="B52" s="232" t="s">
        <v>152</v>
      </c>
      <c r="C52" s="149" t="str">
        <f>_xlfn.XLOOKUP(B52,Tb_Portfólio[SEI],Tb_Portfólio[Consultor],"Não cadastrado")</f>
        <v>Tony</v>
      </c>
      <c r="D52" s="103" t="str">
        <f>_xlfn.XLOOKUP(B52,Tb_Portfólio[SEI],Tb_Portfólio[PROJETO],"Não cadastrado")</f>
        <v>Painel da Fazenda Nacional.</v>
      </c>
      <c r="E52" s="103" t="str">
        <f>_xlfn.XLOOKUP(D52,Tb_Portfólio[PROJETO],Tb_Portfólio[OBJETO],"Não cadastrado")</f>
        <v>Produzir novo painel digital denominado "Painel Fazenda Nacional”, de acordo com a Portaria Conjunta Nº 7 de 23/10/2023, que dispõe sobre procedimentos, iniciativas e estratégias para racionalizar e aprimorar o fluxo de execuções fiscais promovidas pela Procuradoria-Geral da Fazenda Nacional.</v>
      </c>
      <c r="F52" s="75" t="s">
        <v>2732</v>
      </c>
      <c r="G52" s="103" t="s">
        <v>2848</v>
      </c>
      <c r="H52" s="23" t="s">
        <v>86</v>
      </c>
      <c r="I52" s="562">
        <f>_xlfn.XLOOKUP(D52,Tb_Portfólio[PROJETO],Tb_Portfólio[PREVISÃO DE TERMINO],"Não cadastrado")</f>
        <v>46387</v>
      </c>
      <c r="J52" s="558">
        <f>_xlfn.XLOOKUP(B52,Tb_Portfólio[SEI],Tb_Portfólio[% EXECUTADO],"",0)</f>
        <v>0.51</v>
      </c>
      <c r="K52" s="554" t="str">
        <f ca="1">_xlfn.XLOOKUP(B52,Tb_Portfólio[SEI],Tb_Portfólio[Situação],"",0)</f>
        <v>Atrasado ou Crítico</v>
      </c>
      <c r="L52" s="5" t="s">
        <v>2951</v>
      </c>
      <c r="M52" s="79" t="s">
        <v>2952</v>
      </c>
      <c r="N52" s="79" t="s">
        <v>2953</v>
      </c>
      <c r="O52"/>
      <c r="P52" s="635">
        <v>46079</v>
      </c>
      <c r="Q52" s="634">
        <v>46107</v>
      </c>
      <c r="R52" t="s">
        <v>52</v>
      </c>
    </row>
    <row r="53" spans="1:18" ht="345" hidden="1">
      <c r="A53" s="641" t="str">
        <f>_xlfn.XLOOKUP(B53,Tb_Portfólio[SEI],Tb_Portfólio[UNIDADE PATROCINADORA],"Não cadastrado")</f>
        <v>SEP - Secretaria de Estratégia e Projetos</v>
      </c>
      <c r="B53" s="259" t="s">
        <v>350</v>
      </c>
      <c r="C53" s="149" t="str">
        <f>_xlfn.XLOOKUP(B53,Tb_Portfólio[SEI],Tb_Portfólio[Consultor],"Não cadastrado")</f>
        <v>Tony</v>
      </c>
      <c r="D53" s="103" t="str">
        <f>_xlfn.XLOOKUP(B53,Tb_Portfólio[SEI],Tb_Portfólio[PROJETO],"Não cadastrado")</f>
        <v>Painel de Estatística   - Justiça 4.0</v>
      </c>
      <c r="E53" s="103" t="str">
        <f>_xlfn.XLOOKUP(D53,Tb_Portfólio[PROJETO],Tb_Portfólio[OBJETO],"Não cadastrado")</f>
        <v>Produzir novo painel digital, denominado "Painel de Estatística", seguindo o disposto na Resolução n. 333/2020, que determina a inclusão de campo/espaço denominado "Estatística" na página principal dos sítios eletrônicos dos
órgãos do Poder Judiciário, disponibilizando dados de um banco de dados massivo em um painel de simples
navegação e acesso, compilando as estatísticas judiciárias processuais mais relevantes.</v>
      </c>
      <c r="F53" s="75" t="s">
        <v>2732</v>
      </c>
      <c r="G53" s="103" t="s">
        <v>2940</v>
      </c>
      <c r="H53" s="23" t="s">
        <v>86</v>
      </c>
      <c r="I53" s="562">
        <f>_xlfn.XLOOKUP(D53,Tb_Portfólio[PROJETO],Tb_Portfólio[PREVISÃO DE TERMINO],"Não cadastrado")</f>
        <v>46387</v>
      </c>
      <c r="J53" s="558">
        <f>_xlfn.XLOOKUP(B53,Tb_Portfólio[SEI],Tb_Portfólio[% EXECUTADO],"",0)</f>
        <v>0.77</v>
      </c>
      <c r="K53" s="596" t="str">
        <f ca="1">_xlfn.XLOOKUP(B53,Tb_Portfólio[SEI],Tb_Portfólio[Situação],"",0)</f>
        <v>Em atenção</v>
      </c>
      <c r="L53" s="5" t="s">
        <v>2954</v>
      </c>
      <c r="M53" s="79" t="s">
        <v>2955</v>
      </c>
      <c r="N53" s="79" t="s">
        <v>2956</v>
      </c>
      <c r="O53"/>
      <c r="P53" s="635">
        <v>46079</v>
      </c>
      <c r="Q53" s="634">
        <v>46107</v>
      </c>
      <c r="R53" t="s">
        <v>52</v>
      </c>
    </row>
    <row r="54" spans="1:18" ht="165">
      <c r="A54" s="641" t="str">
        <f>_xlfn.XLOOKUP(B54,Tb_Portfólio[SEI],Tb_Portfólio[UNIDADE PATROCINADORA],"Não cadastrado")</f>
        <v>SEP - Secretaria de Estratégia e Projetos</v>
      </c>
      <c r="B54" s="259" t="s">
        <v>83</v>
      </c>
      <c r="C54" s="149" t="str">
        <f>_xlfn.XLOOKUP(B54,Tb_Portfólio[SEI],Tb_Portfólio[Consultor],"Não cadastrado")</f>
        <v>Tony</v>
      </c>
      <c r="D54" s="139" t="str">
        <f>_xlfn.XLOOKUP(B54,Tb_Portfólio[SEI],Tb_Portfólio[PROJETO],"Não cadastrado")</f>
        <v>Painel do Programa Desjudicializa</v>
      </c>
      <c r="E54" s="103" t="str">
        <f>_xlfn.XLOOKUP(D54,Tb_Portfólio[PROJETO],Tb_Portfólio[OBJETO],"Não cadastrado")</f>
        <v>Produzir novo painel digital denominado "Painel Desjudicializa", em que serão apresentados dados processuais detalhados a respeito do maior litigante do Poder Judiciário brasileiro, o Instituto Nacional de Seguro Social-INSS.</v>
      </c>
      <c r="F54" s="75" t="s">
        <v>2732</v>
      </c>
      <c r="G54" s="103" t="s">
        <v>2957</v>
      </c>
      <c r="H54" s="23" t="s">
        <v>86</v>
      </c>
      <c r="I54" s="562">
        <f>_xlfn.XLOOKUP(D54,Tb_Portfólio[PROJETO],Tb_Portfólio[PREVISÃO DE TERMINO],"Não cadastrado")</f>
        <v>46387</v>
      </c>
      <c r="J54" s="558">
        <f>_xlfn.XLOOKUP(B54,Tb_Portfólio[SEI],Tb_Portfólio[% EXECUTADO],"",0)</f>
        <v>0.7</v>
      </c>
      <c r="K54" s="596" t="str">
        <f ca="1">_xlfn.XLOOKUP(B54,Tb_Portfólio[SEI],Tb_Portfólio[Situação],"",0)</f>
        <v>Em atenção</v>
      </c>
      <c r="L54" s="5" t="s">
        <v>2958</v>
      </c>
      <c r="M54" s="5" t="s">
        <v>2959</v>
      </c>
      <c r="N54" s="79" t="s">
        <v>2960</v>
      </c>
      <c r="O54"/>
      <c r="P54" s="635">
        <v>46079</v>
      </c>
      <c r="Q54" s="634">
        <v>46107</v>
      </c>
      <c r="R54" t="s">
        <v>52</v>
      </c>
    </row>
    <row r="55" spans="1:18" ht="360" hidden="1">
      <c r="A55" s="641" t="str">
        <f>_xlfn.XLOOKUP(B55,Tb_Portfólio[SEI],Tb_Portfólio[UNIDADE PATROCINADORA],"Não cadastrado")</f>
        <v>SEP - Secretaria de Estratégia e Projetos</v>
      </c>
      <c r="B55" s="259" t="s">
        <v>684</v>
      </c>
      <c r="C55" s="149" t="str">
        <f>_xlfn.XLOOKUP(B55,Tb_Portfólio[SEI],Tb_Portfólio[Consultor],"Não cadastrado")</f>
        <v>Juliana</v>
      </c>
      <c r="D55" s="139" t="str">
        <f>_xlfn.XLOOKUP(B55,Tb_Portfólio[SEI],Tb_Portfólio[PROJETO],"Não cadastrado")</f>
        <v>Painel dos Grandes Litigantes</v>
      </c>
      <c r="E55" s="103" t="str">
        <f>_xlfn.XLOOKUP(D55,Tb_Portfólio[PROJETO],Tb_Portfólio[OBJETO],"Não cadastrado")</f>
        <v>Produzir um novo painel digital, denominado "Painel dos Grandes Litigantes", que contenha os maiores litigantes do judiciário, para ser disponibilizado aos Magistrados Servidores, Pesquisadores, Estudantes e Comunidade como um todo.</v>
      </c>
      <c r="F55" s="75" t="s">
        <v>2732</v>
      </c>
      <c r="G55" s="103" t="s">
        <v>2940</v>
      </c>
      <c r="H55" s="23" t="s">
        <v>86</v>
      </c>
      <c r="I55" s="562" t="str">
        <f>_xlfn.XLOOKUP(D55,Tb_Portfólio[PROJETO],Tb_Portfólio[PREVISÃO DE TERMINO],"Não cadastrado")</f>
        <v>30/06/26</v>
      </c>
      <c r="J55" s="558">
        <f>_xlfn.XLOOKUP(B55,Tb_Portfólio[SEI],Tb_Portfólio[% EXECUTADO],"",0)</f>
        <v>0.81</v>
      </c>
      <c r="K55" s="596" t="str">
        <f ca="1">_xlfn.XLOOKUP(B55,Tb_Portfólio[SEI],Tb_Portfólio[Situação],"",0)</f>
        <v>Em atenção</v>
      </c>
      <c r="L55" s="5" t="s">
        <v>2961</v>
      </c>
      <c r="M55" s="79" t="s">
        <v>2955</v>
      </c>
      <c r="N55" s="79" t="s">
        <v>2962</v>
      </c>
      <c r="O55"/>
      <c r="P55" s="635">
        <v>46079</v>
      </c>
      <c r="Q55" s="634">
        <v>46107</v>
      </c>
      <c r="R55" t="s">
        <v>52</v>
      </c>
    </row>
    <row r="56" spans="1:18" ht="409.5" hidden="1">
      <c r="A56" s="5" t="s">
        <v>67</v>
      </c>
      <c r="B56" s="259" t="s">
        <v>58</v>
      </c>
      <c r="C56" s="149" t="str">
        <f>_xlfn.XLOOKUP(B56,Tb_Portfólio[SEI],Tb_Portfólio[Consultor],"Não cadastrado")</f>
        <v>Tony</v>
      </c>
      <c r="D56" s="103" t="str">
        <f>_xlfn.XLOOKUP(B56,Tb_Portfólio[SEI],Tb_Portfólio[PROJETO],"Não cadastrado")</f>
        <v>Phase-out: Transição Projetos X Operação</v>
      </c>
      <c r="E56" s="103" t="str">
        <f>_xlfn.XLOOKUP(D56,Tb_Portfólio[PROJETO],Tb_Portfólio[OBJETO],"Não cadastrado")</f>
        <v>O presente projeto visa estruturar a transição sustentável de soluções do Justiça 4.0 para o CNJ, considerando suporte, infraestrutura e treinamento. Tem como objetivo desenvolver e implementar boas práticas de transição dos serviços para a operação após a conclusão dos projetos de desenvolvimento, incluindo etapas obrigatórias no cronograma dos projetos, como treinamentos e repasse aos times de suporte técnico do DTI. Além disso, será padronizado que o repasse de conhecimento tenha início já na fase de homologação do sistema, otimizando a transferência de conhecimento e facilitando a integração com a operação.</v>
      </c>
      <c r="F56" s="75" t="s">
        <v>2732</v>
      </c>
      <c r="G56" s="103" t="s">
        <v>2763</v>
      </c>
      <c r="H56" s="608" t="s">
        <v>284</v>
      </c>
      <c r="I56" s="562">
        <f>_xlfn.XLOOKUP(D56,Tb_Portfólio[PROJETO],Tb_Portfólio[PREVISÃO DE TERMINO],"Não cadastrado")</f>
        <v>46387</v>
      </c>
      <c r="J56" s="558">
        <f>_xlfn.XLOOKUP(B56,Tb_Portfólio[SEI],Tb_Portfólio[% EXECUTADO],"",0)</f>
        <v>0.39</v>
      </c>
      <c r="K56" s="596" t="str">
        <f ca="1">_xlfn.XLOOKUP(B56,Tb_Portfólio[SEI],Tb_Portfólio[Situação],"",0)</f>
        <v>Atrasado ou Crítico</v>
      </c>
      <c r="L56" s="79" t="s">
        <v>2963</v>
      </c>
      <c r="M56" s="79" t="s">
        <v>2964</v>
      </c>
      <c r="N56" s="5" t="s">
        <v>2965</v>
      </c>
      <c r="O56"/>
      <c r="P56" s="635">
        <v>46079</v>
      </c>
      <c r="Q56" s="634">
        <v>46107</v>
      </c>
      <c r="R56" t="s">
        <v>52</v>
      </c>
    </row>
    <row r="57" spans="1:18" ht="300" hidden="1">
      <c r="A57" s="641" t="str">
        <f>_xlfn.XLOOKUP(B57,Tb_Portfólio[SEI],Tb_Portfólio[UNIDADE PATROCINADORA],"Não cadastrado")</f>
        <v>SEP - Secretaria de Estratégia e Projetos</v>
      </c>
      <c r="B57" s="151" t="s">
        <v>247</v>
      </c>
      <c r="C57" s="149" t="str">
        <f>_xlfn.XLOOKUP(B57,Tb_Portfólio[SEI],Tb_Portfólio[Consultor],"Não cadastrado")</f>
        <v>Tony</v>
      </c>
      <c r="D57" s="139" t="str">
        <f>_xlfn.XLOOKUP(B57,Tb_Portfólio[SEI],Tb_Portfólio[PROJETO],"Não cadastrado")</f>
        <v>Portal de Serviços</v>
      </c>
      <c r="E57" s="103" t="str">
        <f>_xlfn.XLOOKUP(D57,Tb_Portfólio[PROJETO],Tb_Portfólio[OBJETO],"Não cadastrado")</f>
        <v>O projeto Portal de Serviços tem como objetivo o desenvolvimento e publicação de serviços judiciários, que farão parte de um Portal de acesso unificado aos serviços da Justiça, buscando contribuir para criação de uma identidade visual única para os serviços do Judiciário Nacional.
Para tanto, serão criadas funcionalidades para o público interno, que atua no dia a dia da justiça, e para o público externo, demandantes da justiça.</v>
      </c>
      <c r="F57" s="75" t="s">
        <v>2732</v>
      </c>
      <c r="G57" s="103" t="s">
        <v>2763</v>
      </c>
      <c r="H57" s="74" t="s">
        <v>43</v>
      </c>
      <c r="I57" s="562">
        <f>_xlfn.XLOOKUP(D57,Tb_Portfólio[PROJETO],Tb_Portfólio[PREVISÃO DE TERMINO],"Não cadastrado")</f>
        <v>46387</v>
      </c>
      <c r="J57" s="558">
        <f>_xlfn.XLOOKUP(B57,Tb_Portfólio[SEI],Tb_Portfólio[% EXECUTADO],"",0)</f>
        <v>0.55000000000000004</v>
      </c>
      <c r="K57" s="558" t="str">
        <f ca="1">_xlfn.XLOOKUP(B57,Tb_Portfólio[SEI],Tb_Portfólio[Situação],"",0)</f>
        <v>Atrasado ou Crítico</v>
      </c>
      <c r="L57" s="569" t="s">
        <v>2966</v>
      </c>
      <c r="M57" s="569" t="s">
        <v>2967</v>
      </c>
      <c r="N57" s="569" t="s">
        <v>2968</v>
      </c>
      <c r="O57" s="569" t="s">
        <v>2969</v>
      </c>
      <c r="P57" s="635">
        <v>46079</v>
      </c>
      <c r="Q57" s="634">
        <v>46107</v>
      </c>
      <c r="R57" t="s">
        <v>52</v>
      </c>
    </row>
    <row r="58" spans="1:18" ht="150">
      <c r="A58" s="641" t="str">
        <f>_xlfn.XLOOKUP(B58,Tb_Portfólio[SEI],Tb_Portfólio[UNIDADE PATROCINADORA],"Não cadastrado")</f>
        <v>SEP - Secretaria de Estratégia e Projetos</v>
      </c>
      <c r="B58" s="259" t="s">
        <v>358</v>
      </c>
      <c r="C58" s="149" t="str">
        <f>_xlfn.XLOOKUP(B58,Tb_Portfólio[SEI],Tb_Portfólio[Consultor],"Não cadastrado")</f>
        <v>Tony</v>
      </c>
      <c r="D58" s="103" t="str">
        <f>_xlfn.XLOOKUP(B58,Tb_Portfólio[SEI],Tb_Portfólio[PROJETO],"Não cadastrado")</f>
        <v>Prevjud - Automação de Processos Previdenciários - Justiça 4.0</v>
      </c>
      <c r="E58" s="103" t="str">
        <f>_xlfn.XLOOKUP(D58,Tb_Portfólio[PROJETO],Tb_Portfólio[OBJETO],"Não cadastrado")</f>
        <v xml:space="preserve">Solução de software para automação dos acessos a informações das bases de dados do INSS, bem como automação do cumprimento, pelo INSS, das decisões judiciais. </v>
      </c>
      <c r="F58" s="75" t="s">
        <v>2832</v>
      </c>
      <c r="G58" s="75" t="s">
        <v>2833</v>
      </c>
      <c r="H58" s="23" t="s">
        <v>144</v>
      </c>
      <c r="I58" s="562" t="str">
        <f>_xlfn.XLOOKUP(D58,Tb_Portfólio[PROJETO],Tb_Portfólio[PREVISÃO DE TERMINO],"Não cadastrado")</f>
        <v>31/03/2026</v>
      </c>
      <c r="J58" s="558">
        <f>_xlfn.XLOOKUP(B58,Tb_Portfólio[SEI],Tb_Portfólio[% EXECUTADO],"",0)</f>
        <v>1</v>
      </c>
      <c r="K58" s="596" t="str">
        <f>_xlfn.XLOOKUP(B58,Tb_Portfólio[SEI],Tb_Portfólio[Situação],"",0)</f>
        <v>Finalizado</v>
      </c>
      <c r="L58" s="5" t="s">
        <v>2970</v>
      </c>
      <c r="M58" s="5" t="s">
        <v>2971</v>
      </c>
      <c r="N58" s="5" t="s">
        <v>2972</v>
      </c>
      <c r="O58" s="79" t="s">
        <v>2973</v>
      </c>
      <c r="P58" s="635">
        <v>46079</v>
      </c>
      <c r="Q58" s="634">
        <v>46107</v>
      </c>
      <c r="R58" t="s">
        <v>52</v>
      </c>
    </row>
    <row r="59" spans="1:18" ht="225" hidden="1">
      <c r="A59" s="641" t="s">
        <v>44</v>
      </c>
      <c r="B59" s="259"/>
      <c r="C59" s="149" t="str">
        <f>_xlfn.XLOOKUP(B59,Tb_Portfólio[SEI],Tb_Portfólio[Consultor],"Não cadastrado")</f>
        <v>Não cadastrado</v>
      </c>
      <c r="D59" s="571" t="s">
        <v>2974</v>
      </c>
      <c r="E59" s="103" t="s">
        <v>2975</v>
      </c>
      <c r="F59" s="75" t="s">
        <v>2740</v>
      </c>
      <c r="G59" s="75" t="s">
        <v>2741</v>
      </c>
      <c r="H59" s="23" t="s">
        <v>928</v>
      </c>
      <c r="I59" s="562">
        <v>46631</v>
      </c>
      <c r="J59" s="5" t="s">
        <v>2742</v>
      </c>
      <c r="K59" s="71" t="s">
        <v>2743</v>
      </c>
      <c r="L59" s="572" t="s">
        <v>2976</v>
      </c>
      <c r="M59" s="569" t="s">
        <v>2977</v>
      </c>
      <c r="N59" s="570" t="s">
        <v>2978</v>
      </c>
      <c r="P59" s="635">
        <v>46079</v>
      </c>
      <c r="Q59" s="634">
        <v>46107</v>
      </c>
      <c r="R59" t="s">
        <v>2747</v>
      </c>
    </row>
    <row r="60" spans="1:18" ht="405" hidden="1">
      <c r="A60" s="641" t="str">
        <f>_xlfn.XLOOKUP(B60,Tb_Portfólio[SEI],Tb_Portfólio[UNIDADE PATROCINADORA],"Não cadastrado")</f>
        <v>SEP - Secretaria de Estratégia e Projetos</v>
      </c>
      <c r="B60" s="259" t="s">
        <v>728</v>
      </c>
      <c r="C60" s="149" t="str">
        <f>_xlfn.XLOOKUP(B60,Tb_Portfólio[SEI],Tb_Portfólio[Consultor],"Não cadastrado")</f>
        <v>Juliana</v>
      </c>
      <c r="D60" s="103" t="str">
        <f>_xlfn.XLOOKUP(B60,Tb_Portfólio[SEI],Tb_Portfólio[PROJETO],"Não cadastrado")</f>
        <v>Programa de Acessibilidade e Inclusão do Conselho Nacional de Justiça (CNJ)</v>
      </c>
      <c r="E60" s="103" t="str">
        <f>_xlfn.XLOOKUP(D60,Tb_Portfólio[PROJETO],Tb_Portfólio[OBJETO],"Não cadastrado")</f>
        <v>Promover a mudança da cultura organizacional por meio da implementação das ações e projetos da Política de acessibilidade e inclusão.</v>
      </c>
      <c r="F60" s="75" t="s">
        <v>2979</v>
      </c>
      <c r="G60" s="75" t="s">
        <v>2980</v>
      </c>
      <c r="H60" s="19" t="s">
        <v>731</v>
      </c>
      <c r="I60" s="562">
        <f>_xlfn.XLOOKUP(D60,Tb_Portfólio[PROJETO],Tb_Portfólio[PREVISÃO DE TERMINO],"Não cadastrado")</f>
        <v>46376</v>
      </c>
      <c r="J60" s="558">
        <f>_xlfn.XLOOKUP(B60,Tb_Portfólio[SEI],Tb_Portfólio[% EXECUTADO],"",0)</f>
        <v>0.43</v>
      </c>
      <c r="K60" s="596" t="str">
        <f ca="1">_xlfn.XLOOKUP(B60,Tb_Portfólio[SEI],Tb_Portfólio[Situação],"",0)</f>
        <v>No prazo</v>
      </c>
      <c r="L60" s="597" t="s">
        <v>2981</v>
      </c>
      <c r="M60" s="5" t="s">
        <v>2982</v>
      </c>
      <c r="N60" s="572" t="s">
        <v>2983</v>
      </c>
      <c r="O60"/>
      <c r="P60" s="635">
        <v>46079</v>
      </c>
      <c r="Q60" s="634">
        <v>46107</v>
      </c>
      <c r="R60" t="s">
        <v>52</v>
      </c>
    </row>
    <row r="61" spans="1:18" ht="183.6" hidden="1" customHeight="1">
      <c r="A61" s="5" t="str">
        <f>_xlfn.XLOOKUP(B61,Tb_Portfólio[SEI],Tb_Portfólio[UNIDADE PATROCINADORA],"Não cadastrado")</f>
        <v>DMF - Departamento de Monitoramento e Fiscalização do Sistema Carcerário e do Sistema de Execução de Medidas Socioeducativas</v>
      </c>
      <c r="B61" s="603" t="s">
        <v>882</v>
      </c>
      <c r="C61" s="149" t="str">
        <f>_xlfn.XLOOKUP(B61,Tb_Portfólio[SEI],Tb_Portfólio[Consultor],"Não cadastrado")</f>
        <v>Tony</v>
      </c>
      <c r="D61" s="103" t="str">
        <f>_xlfn.XLOOKUP(B61,Tb_Portfólio[SEI],Tb_Portfólio[PROJETO],"Não cadastrado")</f>
        <v>Programa Fazendo Justiça - Projeto BRA/23/017</v>
      </c>
      <c r="E61" s="103" t="str">
        <f>_xlfn.XLOOKUP(D61,Tb_Portfólio[PROJETO],Tb_Portfólio[OBJETO],"Não cadastrado")</f>
        <v xml:space="preserve">Fortalecimento e monitoramento das ações de inovação e aperfeiçoamento dos sistemas penal e socioeducativo, em linha com princípios e diretrizes nacionais e internacionais de Direitos Humanos.
</v>
      </c>
      <c r="F61" s="552" t="s">
        <v>2984</v>
      </c>
      <c r="G61" s="552"/>
      <c r="H61" s="23"/>
      <c r="I61" s="562">
        <f>_xlfn.XLOOKUP(D61,Tb_Portfólio[PROJETO],Tb_Portfólio[PREVISÃO DE TERMINO],"Não cadastrado")</f>
        <v>46387</v>
      </c>
      <c r="J61" s="558">
        <f>_xlfn.XLOOKUP(B61,Tb_Portfólio[SEI],Tb_Portfólio[% EXECUTADO],"",0)</f>
        <v>0</v>
      </c>
      <c r="K61" s="596" t="str">
        <f ca="1">_xlfn.XLOOKUP(B61,Tb_Portfólio[SEI],Tb_Portfólio[Situação],"",0)</f>
        <v>Autorizado</v>
      </c>
      <c r="L61" s="79" t="s">
        <v>2985</v>
      </c>
      <c r="M61" s="79" t="s">
        <v>2986</v>
      </c>
      <c r="N61" s="79" t="s">
        <v>2987</v>
      </c>
      <c r="O61" s="79" t="s">
        <v>2875</v>
      </c>
      <c r="P61" s="635">
        <v>46079</v>
      </c>
      <c r="Q61" s="634">
        <v>46107</v>
      </c>
      <c r="R61" t="s">
        <v>52</v>
      </c>
    </row>
    <row r="62" spans="1:18" ht="120" hidden="1">
      <c r="A62" s="5" t="str">
        <f>_xlfn.XLOOKUP(B62,Tb_Portfólio[SEI],Tb_Portfólio[UNIDADE PATROCINADORA],"Não cadastrado")</f>
        <v>Corregedoria Nacional de Justiça</v>
      </c>
      <c r="B62" s="603" t="s">
        <v>714</v>
      </c>
      <c r="C62" s="271" t="str">
        <f>_xlfn.XLOOKUP(B62,Tb_Portfólio[SEI],Tb_Portfólio[Consultor],"Não cadastrado")</f>
        <v>Juliana</v>
      </c>
      <c r="D62" s="607" t="str">
        <f>_xlfn.XLOOKUP(B62,Tb_Portfólio[SEI],Tb_Portfólio[PROJETO],"Não cadastrado")</f>
        <v>Programa Novos Caminhos</v>
      </c>
      <c r="E62" s="607" t="str">
        <f>_xlfn.XLOOKUP(D62,Tb_Portfólio[PROJETO],Tb_Portfólio[OBJETO],"Não cadastrado")</f>
        <v>Este projeto irá detalhar os passos essenciais para a implementação do programa em todos os estados, assegurando que a política pública seja efetivamente aplicada e monitorada.</v>
      </c>
      <c r="F62" s="552" t="s">
        <v>2979</v>
      </c>
      <c r="G62" s="545"/>
      <c r="H62" s="23"/>
      <c r="I62" s="562">
        <f>_xlfn.XLOOKUP(D62,Tb_Portfólio[PROJETO],Tb_Portfólio[PREVISÃO DE TERMINO],"Não cadastrado")</f>
        <v>46293</v>
      </c>
      <c r="J62" s="558">
        <f>_xlfn.XLOOKUP(B62,Tb_Portfólio[SEI],Tb_Portfólio[% EXECUTADO],"",0)</f>
        <v>0.94</v>
      </c>
      <c r="K62" s="596" t="str">
        <f ca="1">_xlfn.XLOOKUP(B62,Tb_Portfólio[SEI],Tb_Portfólio[Situação],"",0)</f>
        <v>No prazo</v>
      </c>
      <c r="L62" s="572" t="s">
        <v>2988</v>
      </c>
      <c r="M62" s="572"/>
      <c r="N62" s="572" t="s">
        <v>2989</v>
      </c>
      <c r="O62"/>
      <c r="P62" s="635">
        <v>46079</v>
      </c>
      <c r="Q62" s="634">
        <v>46107</v>
      </c>
      <c r="R62" t="s">
        <v>52</v>
      </c>
    </row>
    <row r="63" spans="1:18" ht="300" hidden="1">
      <c r="A63" s="5" t="str">
        <f>_xlfn.XLOOKUP(B63,Tb_Portfólio[SEI],Tb_Portfólio[UNIDADE PATROCINADORA],"Não cadastrado")</f>
        <v>SAU - Secretaria de Auditoria</v>
      </c>
      <c r="B63" s="259" t="s">
        <v>652</v>
      </c>
      <c r="C63" s="149" t="str">
        <f>_xlfn.XLOOKUP(B63,Tb_Portfólio[SEI],Tb_Portfólio[Consultor],"Não cadastrado")</f>
        <v>Raphael</v>
      </c>
      <c r="D63" s="103" t="str">
        <f>_xlfn.XLOOKUP(B63,Tb_Portfólio[SEI],Tb_Portfólio[PROJETO],"Não cadastrado")</f>
        <v>Projeto Piloto – Rede de Apoio para Avaliação Externa, com base no IA-CM</v>
      </c>
      <c r="E63" s="103" t="str">
        <f>_xlfn.XLOOKUP(D63,Tb_Portfólio[PROJETO],Tb_Portfólio[OBJETO],"Não cadastrado")</f>
        <v>Testar a metodologia de avaliação da maturidade das auditorias internas do Poder Judiciário com base no IA CM, em ambiente colaborativo, antes da formalização de norma nacional. Para isso, o projeto buscará verificar a aplicabilidade do modelo, promover capacitação, orientar a realização de autoavaliações e validações externas entre os órgãos participantes, a fim de consolidar uma proposta normativa para instituir a Rede de Apoio.</v>
      </c>
      <c r="F63" s="75" t="s">
        <v>2732</v>
      </c>
      <c r="G63" s="75"/>
      <c r="H63" s="23" t="s">
        <v>655</v>
      </c>
      <c r="I63" s="562">
        <f>_xlfn.XLOOKUP(D63,Tb_Portfólio[PROJETO],Tb_Portfólio[PREVISÃO DE TERMINO],"Não cadastrado")</f>
        <v>46265</v>
      </c>
      <c r="J63" s="558">
        <f>_xlfn.XLOOKUP(B63,Tb_Portfólio[SEI],Tb_Portfólio[% EXECUTADO],"",0)</f>
        <v>0.81</v>
      </c>
      <c r="K63" s="596" t="str">
        <f ca="1">_xlfn.XLOOKUP(B63,Tb_Portfólio[SEI],Tb_Portfólio[Situação],"",0)</f>
        <v>No prazo</v>
      </c>
      <c r="L63" t="s">
        <v>2883</v>
      </c>
      <c r="M63" s="5" t="s">
        <v>2735</v>
      </c>
      <c r="N63" s="5" t="s">
        <v>2990</v>
      </c>
      <c r="O63"/>
      <c r="P63" s="635">
        <v>46079</v>
      </c>
      <c r="Q63" s="634">
        <v>46107</v>
      </c>
      <c r="R63" t="s">
        <v>52</v>
      </c>
    </row>
    <row r="64" spans="1:18" ht="375" hidden="1">
      <c r="A64" s="641" t="s">
        <v>44</v>
      </c>
      <c r="B64" s="259"/>
      <c r="C64" s="149" t="str">
        <f>_xlfn.XLOOKUP(B64,Tb_Portfólio[SEI],Tb_Portfólio[Consultor],"Não cadastrado")</f>
        <v>Não cadastrado</v>
      </c>
      <c r="D64" s="103" t="s">
        <v>2991</v>
      </c>
      <c r="E64" s="103" t="s">
        <v>2992</v>
      </c>
      <c r="F64" s="75" t="s">
        <v>2740</v>
      </c>
      <c r="G64" s="75" t="s">
        <v>2741</v>
      </c>
      <c r="H64" s="23" t="s">
        <v>928</v>
      </c>
      <c r="I64" s="562">
        <v>46631</v>
      </c>
      <c r="J64" s="5" t="s">
        <v>2742</v>
      </c>
      <c r="K64" s="71" t="s">
        <v>2743</v>
      </c>
      <c r="L64" s="569" t="s">
        <v>2993</v>
      </c>
      <c r="M64" s="569" t="s">
        <v>2994</v>
      </c>
      <c r="N64" s="570" t="s">
        <v>2995</v>
      </c>
      <c r="P64" s="635">
        <v>46079</v>
      </c>
      <c r="Q64" s="634">
        <v>46107</v>
      </c>
      <c r="R64" t="s">
        <v>2747</v>
      </c>
    </row>
    <row r="65" spans="1:18" ht="195" hidden="1">
      <c r="A65" s="5" t="s">
        <v>67</v>
      </c>
      <c r="B65" s="259" t="s">
        <v>533</v>
      </c>
      <c r="C65" s="149" t="str">
        <f>_xlfn.XLOOKUP(B65,Tb_Portfólio[SEI],Tb_Portfólio[Consultor],"Não cadastrado")</f>
        <v>Tony</v>
      </c>
      <c r="D65" s="103" t="str">
        <f>_xlfn.XLOOKUP(B65,Tb_Portfólio[SEI],Tb_Portfólio[PROJETO],"Não cadastrado")</f>
        <v>Qualificação de Dados</v>
      </c>
      <c r="E65" s="103" t="str">
        <f>_xlfn.XLOOKUP(D65,Tb_Portfólio[PROJETO],Tb_Portfólio[OBJETO],"Não cadastrado")</f>
        <v>O projeto Qualificação de dados tem como objetivo promover um ecossistema de dados no Poder Judiciário que possibilite a acurácia na identificação e transparência dos dados processuais, garantindo aos usuários uma melhor experiência na usabilidade do Portal de Serviços.</v>
      </c>
      <c r="F65" s="75" t="s">
        <v>2732</v>
      </c>
      <c r="G65" s="551" t="s">
        <v>2763</v>
      </c>
      <c r="H65" s="23" t="s">
        <v>137</v>
      </c>
      <c r="I65" s="562">
        <f>_xlfn.XLOOKUP(D65,Tb_Portfólio[PROJETO],Tb_Portfólio[PREVISÃO DE TERMINO],"Não cadastrado")</f>
        <v>46386</v>
      </c>
      <c r="J65" s="558">
        <f>_xlfn.XLOOKUP(B65,Tb_Portfólio[SEI],Tb_Portfólio[% EXECUTADO],"",0)</f>
        <v>0.66</v>
      </c>
      <c r="K65" s="596" t="str">
        <f ca="1">_xlfn.XLOOKUP(B65,Tb_Portfólio[SEI],Tb_Portfólio[Situação],"",0)</f>
        <v>Em atenção</v>
      </c>
      <c r="L65" s="438" t="s">
        <v>2996</v>
      </c>
      <c r="M65" s="438" t="s">
        <v>2997</v>
      </c>
      <c r="N65" s="438" t="s">
        <v>2998</v>
      </c>
      <c r="O65" s="438" t="s">
        <v>2999</v>
      </c>
      <c r="P65" s="635">
        <v>46079</v>
      </c>
      <c r="Q65" s="634">
        <v>46107</v>
      </c>
      <c r="R65" t="s">
        <v>52</v>
      </c>
    </row>
    <row r="66" spans="1:18" ht="30" hidden="1">
      <c r="A66" s="641" t="s">
        <v>44</v>
      </c>
      <c r="B66" s="259" t="s">
        <v>3000</v>
      </c>
      <c r="C66" s="149" t="str">
        <f>_xlfn.XLOOKUP(B66,Tb_Portfólio[SEI],Tb_Portfólio[Consultor],"Não cadastrado")</f>
        <v>Não cadastrado</v>
      </c>
      <c r="D66" s="606" t="s">
        <v>3001</v>
      </c>
      <c r="E66" s="103" t="s">
        <v>2838</v>
      </c>
      <c r="F66" s="75" t="s">
        <v>2832</v>
      </c>
      <c r="G66" s="75" t="s">
        <v>2839</v>
      </c>
      <c r="H66" s="23" t="s">
        <v>73</v>
      </c>
      <c r="I66" s="562"/>
      <c r="M66" s="438" t="s">
        <v>3002</v>
      </c>
      <c r="P66" s="635">
        <v>46079</v>
      </c>
      <c r="Q66" s="634">
        <v>46107</v>
      </c>
      <c r="R66" t="s">
        <v>2747</v>
      </c>
    </row>
    <row r="67" spans="1:18" ht="165" hidden="1">
      <c r="A67" s="5" t="str">
        <f>_xlfn.XLOOKUP(B67,Tb_Portfólio[SEI],Tb_Portfólio[UNIDADE PATROCINADORA],"Não cadastrado")</f>
        <v>DTI - Departamento de Tecnologia da Informação e Comunicação</v>
      </c>
      <c r="B67" s="259" t="s">
        <v>236</v>
      </c>
      <c r="C67" s="149" t="str">
        <f>_xlfn.XLOOKUP(B67,Tb_Portfólio[SEI],Tb_Portfólio[Consultor],"Não cadastrado")</f>
        <v>Tony</v>
      </c>
      <c r="D67" s="103" t="str">
        <f>_xlfn.XLOOKUP(B67,Tb_Portfólio[SEI],Tb_Portfólio[PROJETO],"Não cadastrado")</f>
        <v>SEEU - Reescrita</v>
      </c>
      <c r="E67" s="103" t="str">
        <f>_xlfn.XLOOKUP(D67,Tb_Portfólio[PROJETO],Tb_Portfólio[OBJETO],"Não cadastrado")</f>
        <v>Otimização do Sistema Eletrônico de Execução Unificado (SEEU), com foco em elevar a disponibilidade da solução, otimizar o consumo dos recursos de nuvem na plataforma AWS e viabilizar a absorção progressiva dos tribunais de São Paulo.</v>
      </c>
      <c r="F67" s="75" t="s">
        <v>2984</v>
      </c>
      <c r="G67" s="75"/>
      <c r="H67" s="23" t="s">
        <v>197</v>
      </c>
      <c r="I67" s="562">
        <f>_xlfn.XLOOKUP(D67,Tb_Portfólio[PROJETO],Tb_Portfólio[PREVISÃO DE TERMINO],"Não cadastrado")</f>
        <v>46387</v>
      </c>
      <c r="J67" s="558">
        <f>_xlfn.XLOOKUP(B67,Tb_Portfólio[SEI],Tb_Portfólio[% EXECUTADO],"",0)</f>
        <v>0.85</v>
      </c>
      <c r="K67" s="596" t="str">
        <f ca="1">_xlfn.XLOOKUP(B67,Tb_Portfólio[SEI],Tb_Portfólio[Situação],"",0)</f>
        <v>Em atenção</v>
      </c>
      <c r="L67" s="438" t="s">
        <v>3003</v>
      </c>
      <c r="M67" s="438" t="s">
        <v>2735</v>
      </c>
      <c r="N67" s="438" t="s">
        <v>3004</v>
      </c>
      <c r="O67" s="438" t="s">
        <v>3005</v>
      </c>
      <c r="P67" s="635">
        <v>46079</v>
      </c>
      <c r="Q67" s="634">
        <v>46107</v>
      </c>
      <c r="R67" t="s">
        <v>52</v>
      </c>
    </row>
    <row r="68" spans="1:18" ht="61.35" hidden="1" customHeight="1">
      <c r="A68" s="641" t="s">
        <v>44</v>
      </c>
      <c r="B68" s="259"/>
      <c r="C68" s="149" t="str">
        <f>_xlfn.XLOOKUP(B68,Tb_Portfólio[SEI],Tb_Portfólio[Consultor],"Não cadastrado")</f>
        <v>Não cadastrado</v>
      </c>
      <c r="D68" s="103" t="s">
        <v>3006</v>
      </c>
      <c r="E68" s="103" t="s">
        <v>3007</v>
      </c>
      <c r="F68" s="75" t="s">
        <v>2740</v>
      </c>
      <c r="G68" s="75" t="s">
        <v>2741</v>
      </c>
      <c r="H68" s="23" t="s">
        <v>928</v>
      </c>
      <c r="I68" s="562">
        <v>46631</v>
      </c>
      <c r="J68" s="5" t="s">
        <v>2742</v>
      </c>
      <c r="K68" s="71" t="s">
        <v>2743</v>
      </c>
      <c r="L68" t="s">
        <v>3008</v>
      </c>
      <c r="M68" s="438" t="s">
        <v>3009</v>
      </c>
      <c r="N68" s="139" t="s">
        <v>3010</v>
      </c>
      <c r="P68" s="635">
        <v>46079</v>
      </c>
      <c r="Q68" s="634">
        <v>46107</v>
      </c>
      <c r="R68" t="s">
        <v>2747</v>
      </c>
    </row>
    <row r="69" spans="1:18" ht="409.5" hidden="1">
      <c r="A69" s="641" t="str">
        <f>_xlfn.XLOOKUP(B69,Tb_Portfólio[SEI],Tb_Portfólio[UNIDADE PATROCINADORA],"Não cadastrado")</f>
        <v>SEP - Secretaria de Estratégia e Projetos</v>
      </c>
      <c r="B69" s="603" t="s">
        <v>722</v>
      </c>
      <c r="C69" s="149" t="str">
        <f>_xlfn.XLOOKUP(B69,Tb_Portfólio[SEI],Tb_Portfólio[Consultor],"Não cadastrado")</f>
        <v>Raphael</v>
      </c>
      <c r="D69" s="103" t="str">
        <f>_xlfn.XLOOKUP(B69,Tb_Portfólio[SEI],Tb_Portfólio[PROJETO],"Não cadastrado")</f>
        <v>Serviços Estruturantes - Melhorias Evolutivas e Corretivas</v>
      </c>
      <c r="E69" s="103" t="str">
        <f>_xlfn.XLOOKUP(D69,Tb_Portfólio[PROJETO],Tb_Portfólio[OBJETO],"Não cadastrado")</f>
        <v>Implementar melhorias evolutivas, correções e novas funcionalidades nos Serviços Estruturantes. Este conjunto de serviços, desenvolvido no âmbito da PDPJ-Br, já disponibilizou ao Poder Judiciário soluções essenciais, como o Serviço de Autenticação (SSO), Marketplace, Notificações e Cabeçalho Processual, além da Consulta às Tabelas Processuais Unificadas (TPU), dos serviços de mensageria, pessoas e endereços. Nesta nova etapa, o foco está em aprimorar a performance, segurança, usabilidade e funcionalidades desses serviços, assegurando excelência no atendimento às demandas do sistema judiciário e de seus usuários.</v>
      </c>
      <c r="F69" s="75" t="s">
        <v>2732</v>
      </c>
      <c r="G69" s="75" t="s">
        <v>2763</v>
      </c>
      <c r="H69" s="23" t="s">
        <v>43</v>
      </c>
      <c r="I69" s="562">
        <f>_xlfn.XLOOKUP(D69,Tb_Portfólio[PROJETO],Tb_Portfólio[PREVISÃO DE TERMINO],"Não cadastrado")</f>
        <v>46387</v>
      </c>
      <c r="J69" s="558">
        <f>_xlfn.XLOOKUP(B69,Tb_Portfólio[SEI],Tb_Portfólio[% EXECUTADO],"",0)</f>
        <v>0.56000000000000005</v>
      </c>
      <c r="K69" s="596" t="str">
        <f ca="1">_xlfn.XLOOKUP(B69,Tb_Portfólio[SEI],Tb_Portfólio[Situação],"",0)</f>
        <v>No prazo</v>
      </c>
      <c r="L69" s="611" t="s">
        <v>3011</v>
      </c>
      <c r="M69" s="5" t="s">
        <v>3012</v>
      </c>
      <c r="N69" s="5" t="s">
        <v>3013</v>
      </c>
      <c r="O69" s="5" t="s">
        <v>3014</v>
      </c>
      <c r="P69" s="635">
        <v>46079</v>
      </c>
      <c r="Q69" s="634">
        <v>46107</v>
      </c>
      <c r="R69" t="s">
        <v>52</v>
      </c>
    </row>
    <row r="70" spans="1:18" ht="225" hidden="1">
      <c r="A70" s="641" t="s">
        <v>44</v>
      </c>
      <c r="B70" s="259" t="s">
        <v>580</v>
      </c>
      <c r="C70" s="149" t="str">
        <f>_xlfn.XLOOKUP(B70,Tb_Portfólio[SEI],Tb_Portfólio[Consultor],"Não cadastrado")</f>
        <v>Juliana</v>
      </c>
      <c r="D70" s="103" t="str">
        <f>_xlfn.XLOOKUP(B70,Tb_Portfólio[SEI],Tb_Portfólio[PROJETO],"Não cadastrado")</f>
        <v>SireneJud 2.0 - Evoluções</v>
      </c>
      <c r="E70" s="103" t="str">
        <f>_xlfn.XLOOKUP(D70,Tb_Portfólio[PROJETO],Tb_Portfólio[OBJETO],"Não cadastrado")</f>
        <v>Aperfeiçoamento do Painel Interativo Nacional de Dados Ambiental e Interinstitucional – SireneJud para melhorar a experiência do usuário: (i) na visualização de dados; (ii) na produção de informação; e (iii) na criação de KMLs (Keyhole Markup Language – formato de arquivo para identificar áreas geográficas).</v>
      </c>
      <c r="F70" s="75" t="s">
        <v>2790</v>
      </c>
      <c r="G70" s="75" t="s">
        <v>3015</v>
      </c>
      <c r="H70" s="23" t="s">
        <v>144</v>
      </c>
      <c r="I70" s="562">
        <f>_xlfn.XLOOKUP(D70,Tb_Portfólio[PROJETO],Tb_Portfólio[PREVISÃO DE TERMINO],"Não cadastrado")</f>
        <v>46387</v>
      </c>
      <c r="J70" s="558">
        <f>_xlfn.XLOOKUP(B70,Tb_Portfólio[SEI],Tb_Portfólio[% EXECUTADO],"",0)</f>
        <v>0.67</v>
      </c>
      <c r="K70" s="596" t="str">
        <f ca="1">_xlfn.XLOOKUP(B70,Tb_Portfólio[SEI],Tb_Portfólio[Situação],"",0)</f>
        <v>Em atenção</v>
      </c>
      <c r="L70" s="5" t="s">
        <v>3016</v>
      </c>
      <c r="M70" s="79" t="s">
        <v>3017</v>
      </c>
      <c r="N70" s="18" t="s">
        <v>3018</v>
      </c>
      <c r="O70"/>
      <c r="P70" s="635">
        <v>46079</v>
      </c>
      <c r="Q70" s="634">
        <v>46107</v>
      </c>
      <c r="R70" t="s">
        <v>52</v>
      </c>
    </row>
    <row r="71" spans="1:18" ht="210">
      <c r="A71" s="641" t="str">
        <f>_xlfn.XLOOKUP(B71,Tb_Portfólio[SEI],Tb_Portfólio[UNIDADE PATROCINADORA],"Não cadastrado")</f>
        <v>SEP - Secretaria de Estratégia e Projetos</v>
      </c>
      <c r="B71" s="259" t="s">
        <v>638</v>
      </c>
      <c r="C71" s="149" t="str">
        <f>_xlfn.XLOOKUP(B71,Tb_Portfólio[SEI],Tb_Portfólio[Consultor],"Não cadastrado")</f>
        <v>Tony</v>
      </c>
      <c r="D71" s="103" t="str">
        <f>_xlfn.XLOOKUP(B71,Tb_Portfólio[SEI],Tb_Portfólio[PROJETO],"Não cadastrado")</f>
        <v>Sisperjud</v>
      </c>
      <c r="E71" s="103" t="str">
        <f>_xlfn.XLOOKUP(D71,Tb_Portfólio[PROJETO],Tb_Portfólio[OBJETO],"Não cadastrado")</f>
        <v>Construção de um módulo na PDPJ para solução de software que automatize a quesitação, a curadoria e a elaboração do laudo das perícias médicas dos benefícios previdenciários por incapacidade.</v>
      </c>
      <c r="F71" s="75" t="s">
        <v>2832</v>
      </c>
      <c r="G71" s="75" t="s">
        <v>2833</v>
      </c>
      <c r="H71" s="23" t="s">
        <v>144</v>
      </c>
      <c r="I71" s="562">
        <f>_xlfn.XLOOKUP(D71,Tb_Portfólio[PROJETO],Tb_Portfólio[PREVISÃO DE TERMINO],"Não cadastrado")</f>
        <v>46352</v>
      </c>
      <c r="J71" s="558">
        <f>_xlfn.XLOOKUP(B71,Tb_Portfólio[SEI],Tb_Portfólio[% EXECUTADO],"",0)</f>
        <v>0.91</v>
      </c>
      <c r="K71" s="596" t="str">
        <f ca="1">_xlfn.XLOOKUP(B71,Tb_Portfólio[SEI],Tb_Portfólio[Situação],"",0)</f>
        <v>Em atenção</v>
      </c>
      <c r="L71" s="569" t="s">
        <v>3019</v>
      </c>
      <c r="M71" s="569" t="s">
        <v>3020</v>
      </c>
      <c r="N71" s="438" t="s">
        <v>3021</v>
      </c>
      <c r="O71" s="438" t="s">
        <v>3022</v>
      </c>
      <c r="P71" s="635">
        <v>46079</v>
      </c>
      <c r="Q71" s="634">
        <v>46107</v>
      </c>
      <c r="R71" t="s">
        <v>52</v>
      </c>
    </row>
    <row r="72" spans="1:18" ht="120" hidden="1">
      <c r="A72" s="641" t="str">
        <f>_xlfn.XLOOKUP(B72,Tb_Portfólio[SEI],Tb_Portfólio[UNIDADE PATROCINADORA],"Não cadastrado")</f>
        <v>SEP - Secretaria de Estratégia e Projetos</v>
      </c>
      <c r="B72" s="259" t="s">
        <v>257</v>
      </c>
      <c r="C72" s="149" t="str">
        <f>_xlfn.XLOOKUP(B72,Tb_Portfólio[SEI],Tb_Portfólio[Consultor],"Não cadastrado")</f>
        <v>Raphael</v>
      </c>
      <c r="D72" s="103" t="str">
        <f>_xlfn.XLOOKUP(B72,Tb_Portfólio[SEI],Tb_Portfólio[PROJETO],"Não cadastrado")</f>
        <v>SisPreq – Sistema de Precatórios e Requisições de Pequeno Valor</v>
      </c>
      <c r="E72" s="103" t="str">
        <f>_xlfn.XLOOKUP(D72,Tb_Portfólio[PROJETO],Tb_Portfólio[OBJETO],"Não cadastrado")</f>
        <v>Solução nacional para a expedição de ofícios requisitórios, gestão de fila e pagamento de Requisições de Pequeno Valor (RPVs) e Precatórios</v>
      </c>
      <c r="F72" s="75" t="s">
        <v>2832</v>
      </c>
      <c r="G72" s="75" t="s">
        <v>3023</v>
      </c>
      <c r="H72" s="19" t="s">
        <v>3024</v>
      </c>
      <c r="I72" s="562" t="str">
        <f>_xlfn.XLOOKUP(D72,Tb_Portfólio[PROJETO],Tb_Portfólio[PREVISÃO DE TERMINO],"Não cadastrado")</f>
        <v>15/12/2026</v>
      </c>
      <c r="J72" s="558">
        <f>_xlfn.XLOOKUP(B72,Tb_Portfólio[SEI],Tb_Portfólio[% EXECUTADO],"",0)</f>
        <v>0.5</v>
      </c>
      <c r="K72" s="558" t="str">
        <f ca="1">_xlfn.XLOOKUP(B72,Tb_Portfólio[SEI],Tb_Portfólio[Situação],"",0)</f>
        <v>Atrasado ou Crítico</v>
      </c>
      <c r="L72" s="79" t="s">
        <v>3025</v>
      </c>
      <c r="M72" s="5" t="s">
        <v>3026</v>
      </c>
      <c r="N72" s="79" t="s">
        <v>3027</v>
      </c>
      <c r="O72" s="79" t="s">
        <v>3028</v>
      </c>
      <c r="P72" s="635">
        <v>46079</v>
      </c>
      <c r="Q72" s="634">
        <v>46107</v>
      </c>
      <c r="R72" t="s">
        <v>52</v>
      </c>
    </row>
    <row r="73" spans="1:18" ht="285" hidden="1">
      <c r="A73" s="5" t="str">
        <f>_xlfn.XLOOKUP(B73,Tb_Portfólio[SEI],Tb_Portfólio[UNIDADE PATROCINADORA],"Não cadastrado")</f>
        <v>Corregedoria Nacional de Justiça</v>
      </c>
      <c r="B73" s="259" t="s">
        <v>706</v>
      </c>
      <c r="C73" s="149" t="str">
        <f>_xlfn.XLOOKUP(B73,Tb_Portfólio[SEI],Tb_Portfólio[Consultor],"Não cadastrado")</f>
        <v>Igor</v>
      </c>
      <c r="D73" s="103" t="str">
        <f>_xlfn.XLOOKUP(B73,Tb_Portfólio[SEI],Tb_Portfólio[PROJETO],"Não cadastrado")</f>
        <v>Sistema de Detecção e Prevenção de Nepotismo no Poder Judiciário</v>
      </c>
      <c r="E73" s="103" t="str">
        <f>_xlfn.XLOOKUP(D73,Tb_Portfólio[PROJETO],Tb_Portfólio[OBJETO],"Não cadastrado")</f>
        <v>O projeto visa desenvolver e implementar um sistema inteligente de detecção e prevenção de nepotismo no Poder Judiciário, utilizando tecnologias de análise de dados, inteligência artificial                            e mineração de dados para identificar vínculos familiares e possíveis irregularidades em nomeações, contratações e designações em todos os Tribunais vinculados ao CNJ.</v>
      </c>
      <c r="F73" s="552"/>
      <c r="G73" s="75"/>
      <c r="H73" s="139" t="str">
        <f>_xlfn.XLOOKUP(D73,Tb_Portfólio[PROJETO],Tb_Portfólio[Supervisor],"Não cadastrado")</f>
        <v>Dra. Luciana Dória de Medeiros Chaves</v>
      </c>
      <c r="I73" s="256">
        <f>_xlfn.XLOOKUP(D73,Tb_Portfólio[PROJETO],Tb_Portfólio[PREVISÃO DE TERMINO],"Não cadastrado")</f>
        <v>45923</v>
      </c>
      <c r="J73" s="596">
        <f>_xlfn.XLOOKUP($D73,Tb_Portfólio[PROJETO],Tb_Portfólio[% EXECUTADO],"Não cadastrado")</f>
        <v>0</v>
      </c>
      <c r="K73" s="596" t="str">
        <f ca="1">_xlfn.XLOOKUP($D73,Tb_Portfólio[PROJETO],Tb_Portfólio[Situação],"Não cadastrado")</f>
        <v>Atrasado ou Crítico</v>
      </c>
      <c r="L73" s="438" t="s">
        <v>3029</v>
      </c>
      <c r="M73" s="438" t="s">
        <v>3030</v>
      </c>
      <c r="N73" s="139" t="s">
        <v>3031</v>
      </c>
      <c r="O73" s="139" t="s">
        <v>3032</v>
      </c>
      <c r="P73" s="635">
        <v>46079</v>
      </c>
      <c r="Q73" s="634">
        <v>46107</v>
      </c>
      <c r="R73" t="s">
        <v>52</v>
      </c>
    </row>
    <row r="74" spans="1:18" ht="138" hidden="1" customHeight="1">
      <c r="A74" s="641" t="str">
        <f>_xlfn.XLOOKUP(B74,Tb_Portfólio[SEI],Tb_Portfólio[UNIDADE PATROCINADORA],"Não cadastrado")</f>
        <v>SEP - Secretaria de Estratégia e Projetos</v>
      </c>
      <c r="B74" s="587" t="s">
        <v>458</v>
      </c>
      <c r="C74" s="589" t="str">
        <f>_xlfn.XLOOKUP(B74,Tb_Portfólio[SEI],Tb_Portfólio[Consultor],"Não cadastrado")</f>
        <v>Raphael</v>
      </c>
      <c r="D74" s="590" t="str">
        <f>_xlfn.XLOOKUP(B74,Tb_Portfólio[SEI],Tb_Portfólio[PROJETO],"Não cadastrado")</f>
        <v>SNGB - Melhorias evolutivas</v>
      </c>
      <c r="E74" s="590" t="str">
        <f>_xlfn.XLOOKUP(D74,Tb_Portfólio[PROJETO],Tb_Portfólio[OBJETO],"Não cadastrado")</f>
        <v>Melhoria do Sistema Nacional de Gestão de Bens Apreendidos (SNGB), e manutenção do sistema por meio de ciclos de sprints, com a previsão de transferência gradativa do conhecimento técnico ao CNJ, permitindo que a equipe interna assuma a sustentação de forma plena ao término do projeto.</v>
      </c>
      <c r="F74" s="551" t="s">
        <v>2732</v>
      </c>
      <c r="G74" s="551" t="s">
        <v>2763</v>
      </c>
      <c r="H74" s="609" t="s">
        <v>3033</v>
      </c>
      <c r="I74" s="595">
        <f>_xlfn.XLOOKUP(D74,Tb_Portfólio[PROJETO],Tb_Portfólio[PREVISÃO DE TERMINO],"Não cadastrado")</f>
        <v>46101</v>
      </c>
      <c r="J74" s="610">
        <f>_xlfn.XLOOKUP(B74,Tb_Portfólio[SEI],Tb_Portfólio[% EXECUTADO],"",0)</f>
        <v>1</v>
      </c>
      <c r="K74" s="610" t="str">
        <f>_xlfn.XLOOKUP(B74,Tb_Portfólio[SEI],Tb_Portfólio[Situação],"",0)</f>
        <v>Finalizado</v>
      </c>
      <c r="L74" s="599" t="s">
        <v>3034</v>
      </c>
      <c r="M74" s="568" t="s">
        <v>3035</v>
      </c>
      <c r="N74" s="602" t="s">
        <v>3036</v>
      </c>
      <c r="O74" s="602" t="s">
        <v>3037</v>
      </c>
      <c r="P74" s="635">
        <v>46079</v>
      </c>
      <c r="Q74" s="634">
        <v>46107</v>
      </c>
      <c r="R74" t="s">
        <v>52</v>
      </c>
    </row>
    <row r="75" spans="1:18" ht="240" hidden="1">
      <c r="A75" s="641" t="str">
        <f>_xlfn.XLOOKUP(B75,Tb_Portfólio[SEI],Tb_Portfólio[UNIDADE PATROCINADORA],"Não cadastrado")</f>
        <v>SEP - Secretaria de Estratégia e Projetos</v>
      </c>
      <c r="B75" s="259" t="s">
        <v>431</v>
      </c>
      <c r="C75" s="149" t="str">
        <f>_xlfn.XLOOKUP(B75,Tb_Portfólio[SEI],Tb_Portfólio[Consultor],"Não cadastrado")</f>
        <v>Tony</v>
      </c>
      <c r="D75" s="103" t="str">
        <f>_xlfn.XLOOKUP(B75,Tb_Portfólio[SEI],Tb_Portfólio[PROJETO],"Não cadastrado")</f>
        <v>Sniper BC</v>
      </c>
      <c r="E75" s="103" t="str">
        <f>_xlfn.XLOOKUP(D75,Tb_Portfólio[PROJETO],Tb_Portfólio[OBJETO],"Não cadastrado")</f>
        <v>Projeto para construção do Sniper BC, que disponibilizará informações de novas bases de acesso restrito pelo poder judiciário, possibilitando ao usuário realize pesquisas de ativos e pedidos judiciais de bloqueio e constrição de bens nesses sistemas de forma integrada, aumentando a eficiência e eficácia jurisdicional nessas atividades</v>
      </c>
      <c r="F75" s="75" t="s">
        <v>2732</v>
      </c>
      <c r="G75" s="75" t="s">
        <v>3038</v>
      </c>
      <c r="H75" s="23" t="s">
        <v>43</v>
      </c>
      <c r="I75" s="562">
        <f>_xlfn.XLOOKUP(D75,Tb_Portfólio[PROJETO],Tb_Portfólio[PREVISÃO DE TERMINO],"Não cadastrado")</f>
        <v>46281</v>
      </c>
      <c r="J75" s="558">
        <f>_xlfn.XLOOKUP(B75,Tb_Portfólio[SEI],Tb_Portfólio[% EXECUTADO],"",0)</f>
        <v>0.76</v>
      </c>
      <c r="K75" s="558" t="str">
        <f ca="1">_xlfn.XLOOKUP(B75,Tb_Portfólio[SEI],Tb_Portfólio[Situação],"",0)</f>
        <v>Em atenção</v>
      </c>
      <c r="L75" s="79" t="s">
        <v>3039</v>
      </c>
      <c r="M75" s="79" t="s">
        <v>3040</v>
      </c>
      <c r="N75" s="5" t="s">
        <v>3041</v>
      </c>
      <c r="O75" s="5" t="s">
        <v>3042</v>
      </c>
      <c r="P75" s="635">
        <v>46079</v>
      </c>
      <c r="Q75" s="634">
        <v>46107</v>
      </c>
      <c r="R75" t="s">
        <v>52</v>
      </c>
    </row>
    <row r="76" spans="1:18" ht="240" hidden="1">
      <c r="A76" s="641" t="s">
        <v>44</v>
      </c>
      <c r="B76" s="259"/>
      <c r="C76" s="149" t="str">
        <f>_xlfn.XLOOKUP(B76,Tb_Portfólio[SEI],Tb_Portfólio[Consultor],"Não cadastrado")</f>
        <v>Não cadastrado</v>
      </c>
      <c r="D76" s="103" t="s">
        <v>3043</v>
      </c>
      <c r="E76" s="103" t="s">
        <v>3044</v>
      </c>
      <c r="F76" s="75" t="s">
        <v>2740</v>
      </c>
      <c r="G76" s="75" t="s">
        <v>2741</v>
      </c>
      <c r="H76" s="23" t="s">
        <v>928</v>
      </c>
      <c r="I76" s="562">
        <v>46631</v>
      </c>
      <c r="J76" s="5" t="s">
        <v>2742</v>
      </c>
      <c r="K76" s="71" t="s">
        <v>2743</v>
      </c>
      <c r="L76" s="569" t="s">
        <v>3045</v>
      </c>
      <c r="M76" s="438" t="s">
        <v>3046</v>
      </c>
      <c r="N76" s="570" t="s">
        <v>3047</v>
      </c>
      <c r="P76" s="635">
        <v>46079</v>
      </c>
      <c r="Q76" s="634">
        <v>46107</v>
      </c>
      <c r="R76" t="s">
        <v>2747</v>
      </c>
    </row>
    <row r="77" spans="1:18" ht="255" hidden="1">
      <c r="A77" s="641" t="s">
        <v>44</v>
      </c>
      <c r="B77" s="259"/>
      <c r="C77" s="149" t="str">
        <f>_xlfn.XLOOKUP(B77,Tb_Portfólio[SEI],Tb_Portfólio[Consultor],"Não cadastrado")</f>
        <v>Não cadastrado</v>
      </c>
      <c r="D77" s="571" t="s">
        <v>3048</v>
      </c>
      <c r="E77" s="103" t="s">
        <v>3049</v>
      </c>
      <c r="F77" s="75" t="s">
        <v>2740</v>
      </c>
      <c r="G77" s="75" t="s">
        <v>2741</v>
      </c>
      <c r="H77" s="23" t="s">
        <v>928</v>
      </c>
      <c r="I77" s="562">
        <v>46631</v>
      </c>
      <c r="J77" s="5" t="s">
        <v>2742</v>
      </c>
      <c r="K77" s="71" t="s">
        <v>2743</v>
      </c>
      <c r="L77" s="569" t="s">
        <v>3050</v>
      </c>
      <c r="M77" s="569" t="s">
        <v>3051</v>
      </c>
      <c r="N77" s="570" t="s">
        <v>3052</v>
      </c>
      <c r="P77" s="635">
        <v>46079</v>
      </c>
      <c r="Q77" s="634">
        <v>46107</v>
      </c>
      <c r="R77" t="s">
        <v>2747</v>
      </c>
    </row>
    <row r="78" spans="1:18" ht="210" hidden="1">
      <c r="A78" s="641" t="s">
        <v>44</v>
      </c>
      <c r="B78" s="259"/>
      <c r="C78" s="149" t="str">
        <f>_xlfn.XLOOKUP(B78,Tb_Portfólio[SEI],Tb_Portfólio[Consultor],"Não cadastrado")</f>
        <v>Não cadastrado</v>
      </c>
      <c r="D78" s="103" t="s">
        <v>3053</v>
      </c>
      <c r="E78" s="103" t="s">
        <v>3054</v>
      </c>
      <c r="F78" s="103" t="s">
        <v>2740</v>
      </c>
      <c r="G78" s="103" t="s">
        <v>2741</v>
      </c>
      <c r="H78" s="593" t="s">
        <v>928</v>
      </c>
      <c r="I78" s="562">
        <v>46631</v>
      </c>
      <c r="J78" s="115" t="s">
        <v>2742</v>
      </c>
      <c r="K78" s="71" t="s">
        <v>2743</v>
      </c>
      <c r="L78" s="438" t="s">
        <v>3055</v>
      </c>
      <c r="M78" s="438" t="s">
        <v>3056</v>
      </c>
      <c r="N78" s="139" t="s">
        <v>3057</v>
      </c>
      <c r="P78" s="635">
        <v>46079</v>
      </c>
      <c r="Q78" s="634">
        <v>46107</v>
      </c>
      <c r="R78" t="s">
        <v>2747</v>
      </c>
    </row>
    <row r="79" spans="1:18" ht="30" hidden="1">
      <c r="A79" s="641" t="s">
        <v>44</v>
      </c>
      <c r="B79" s="259" t="s">
        <v>3058</v>
      </c>
      <c r="C79" s="149" t="str">
        <f>_xlfn.XLOOKUP(B79,Tb_Portfólio[SEI],Tb_Portfólio[Consultor],"Não cadastrado")</f>
        <v>Não cadastrado</v>
      </c>
      <c r="D79" s="103" t="s">
        <v>3059</v>
      </c>
      <c r="E79" s="103"/>
      <c r="F79" t="s">
        <v>2740</v>
      </c>
      <c r="G79" s="103" t="s">
        <v>3060</v>
      </c>
      <c r="H79" s="553" t="s">
        <v>942</v>
      </c>
      <c r="I79" s="562"/>
      <c r="J79" s="5" t="s">
        <v>2742</v>
      </c>
      <c r="K79" t="s">
        <v>2743</v>
      </c>
      <c r="P79" s="635">
        <v>46079</v>
      </c>
      <c r="Q79" s="634">
        <v>46107</v>
      </c>
      <c r="R79" t="s">
        <v>2747</v>
      </c>
    </row>
    <row r="80" spans="1:18" ht="409.5">
      <c r="A80" s="641" t="s">
        <v>44</v>
      </c>
      <c r="B80" s="259"/>
      <c r="C80" s="149" t="str">
        <f>_xlfn.XLOOKUP(B80,Tb_Portfólio[SEI],Tb_Portfólio[Consultor],"Não cadastrado")</f>
        <v>Não cadastrado</v>
      </c>
      <c r="D80" s="103" t="s">
        <v>3061</v>
      </c>
      <c r="E80" s="103"/>
      <c r="F80" s="103" t="s">
        <v>3062</v>
      </c>
      <c r="G80" s="75" t="s">
        <v>2833</v>
      </c>
      <c r="H80" s="642" t="s">
        <v>731</v>
      </c>
      <c r="I80" s="562"/>
      <c r="L80" s="438" t="s">
        <v>3063</v>
      </c>
      <c r="M80" s="438" t="s">
        <v>3064</v>
      </c>
      <c r="N80" s="139" t="s">
        <v>3065</v>
      </c>
      <c r="P80" s="635">
        <v>46079</v>
      </c>
      <c r="Q80" s="634">
        <v>46107</v>
      </c>
      <c r="R80" t="s">
        <v>2747</v>
      </c>
    </row>
    <row r="81" spans="1:18" ht="120" hidden="1">
      <c r="A81" s="641" t="s">
        <v>44</v>
      </c>
      <c r="B81" s="259"/>
      <c r="C81" s="149" t="str">
        <f>_xlfn.XLOOKUP(B81,Tb_Portfólio[SEI],Tb_Portfólio[Consultor],"Não cadastrado")</f>
        <v>Não cadastrado</v>
      </c>
      <c r="D81" s="103" t="s">
        <v>3066</v>
      </c>
      <c r="E81" s="103"/>
      <c r="F81" s="103" t="s">
        <v>2790</v>
      </c>
      <c r="G81" s="103" t="s">
        <v>2980</v>
      </c>
      <c r="H81" s="642" t="s">
        <v>731</v>
      </c>
      <c r="I81" s="562"/>
      <c r="L81" s="438" t="s">
        <v>3067</v>
      </c>
      <c r="M81" s="643" t="s">
        <v>3068</v>
      </c>
      <c r="N81" s="644" t="s">
        <v>3069</v>
      </c>
      <c r="P81" s="635">
        <v>46079</v>
      </c>
      <c r="Q81" s="634">
        <v>46107</v>
      </c>
      <c r="R81" t="s">
        <v>2747</v>
      </c>
    </row>
    <row r="82" spans="1:18" ht="409.5">
      <c r="A82" s="641" t="s">
        <v>44</v>
      </c>
      <c r="B82" s="259"/>
      <c r="C82" s="149" t="str">
        <f>_xlfn.XLOOKUP(B82,Tb_Portfólio[SEI],Tb_Portfólio[Consultor],"Não cadastrado")</f>
        <v>Não cadastrado</v>
      </c>
      <c r="D82" s="103" t="s">
        <v>3070</v>
      </c>
      <c r="E82" s="103"/>
      <c r="F82" t="s">
        <v>3062</v>
      </c>
      <c r="G82" s="75" t="s">
        <v>2833</v>
      </c>
      <c r="H82" s="642" t="s">
        <v>731</v>
      </c>
      <c r="I82" s="562">
        <v>46295</v>
      </c>
      <c r="J82" s="645">
        <v>0.59</v>
      </c>
      <c r="K82" s="644" t="s">
        <v>1730</v>
      </c>
      <c r="L82" s="438" t="s">
        <v>3071</v>
      </c>
      <c r="M82" s="438" t="s">
        <v>3072</v>
      </c>
      <c r="N82" s="139" t="s">
        <v>3073</v>
      </c>
      <c r="O82" s="644" t="s">
        <v>3074</v>
      </c>
      <c r="P82" s="635">
        <v>46079</v>
      </c>
      <c r="Q82" s="634">
        <v>46107</v>
      </c>
      <c r="R82" t="s">
        <v>2747</v>
      </c>
    </row>
    <row r="83" spans="1:18" ht="210">
      <c r="A83" s="641" t="s">
        <v>44</v>
      </c>
      <c r="B83" s="259"/>
      <c r="C83" s="149" t="str">
        <f>_xlfn.XLOOKUP(B83,Tb_Portfólio[SEI],Tb_Portfólio[Consultor],"Não cadastrado")</f>
        <v>Não cadastrado</v>
      </c>
      <c r="D83" s="103" t="s">
        <v>3075</v>
      </c>
      <c r="E83" s="103"/>
      <c r="F83" t="s">
        <v>3062</v>
      </c>
      <c r="G83" s="75" t="s">
        <v>2833</v>
      </c>
      <c r="H83" s="642" t="s">
        <v>731</v>
      </c>
      <c r="I83" s="562"/>
      <c r="K83" s="644" t="s">
        <v>1730</v>
      </c>
      <c r="L83" s="438" t="s">
        <v>3076</v>
      </c>
      <c r="M83" s="569" t="s">
        <v>3077</v>
      </c>
      <c r="N83" s="643" t="s">
        <v>3078</v>
      </c>
      <c r="O83" s="644" t="s">
        <v>3079</v>
      </c>
      <c r="P83" s="635">
        <v>46079</v>
      </c>
      <c r="Q83" s="634">
        <v>46107</v>
      </c>
      <c r="R83" t="s">
        <v>2747</v>
      </c>
    </row>
    <row r="84" spans="1:18" ht="60">
      <c r="A84" s="641" t="s">
        <v>44</v>
      </c>
      <c r="B84" s="259"/>
      <c r="C84" s="149" t="str">
        <f>_xlfn.XLOOKUP(B84,Tb_Portfólio[SEI],Tb_Portfólio[Consultor],"Não cadastrado")</f>
        <v>Não cadastrado</v>
      </c>
      <c r="D84" s="103" t="s">
        <v>3080</v>
      </c>
      <c r="E84" s="103"/>
      <c r="F84" t="s">
        <v>3062</v>
      </c>
      <c r="G84" s="75" t="s">
        <v>2833</v>
      </c>
      <c r="H84" s="642" t="s">
        <v>731</v>
      </c>
      <c r="I84" s="562"/>
      <c r="L84" s="438" t="s">
        <v>3081</v>
      </c>
      <c r="M84" s="438" t="s">
        <v>3081</v>
      </c>
      <c r="N84" s="644" t="s">
        <v>3082</v>
      </c>
      <c r="O84" s="438" t="s">
        <v>3083</v>
      </c>
      <c r="P84" s="635">
        <v>46079</v>
      </c>
      <c r="Q84" s="634">
        <v>46107</v>
      </c>
      <c r="R84" t="s">
        <v>2747</v>
      </c>
    </row>
    <row r="85" spans="1:18" ht="60">
      <c r="A85" s="641" t="s">
        <v>44</v>
      </c>
      <c r="B85" s="259"/>
      <c r="C85" s="149" t="str">
        <f>_xlfn.XLOOKUP(B85,Tb_Portfólio[SEI],Tb_Portfólio[Consultor],"Não cadastrado")</f>
        <v>Não cadastrado</v>
      </c>
      <c r="D85" s="103" t="s">
        <v>3084</v>
      </c>
      <c r="E85" s="103"/>
      <c r="F85" t="s">
        <v>3062</v>
      </c>
      <c r="G85" s="75" t="s">
        <v>2833</v>
      </c>
      <c r="H85" s="642" t="s">
        <v>731</v>
      </c>
      <c r="I85" s="562"/>
      <c r="L85" s="438" t="s">
        <v>3085</v>
      </c>
      <c r="M85" s="438" t="s">
        <v>3086</v>
      </c>
      <c r="N85" s="139" t="s">
        <v>3087</v>
      </c>
      <c r="O85" s="438" t="s">
        <v>3088</v>
      </c>
      <c r="P85" s="635">
        <v>46079</v>
      </c>
      <c r="Q85" s="634">
        <v>46107</v>
      </c>
      <c r="R85" t="s">
        <v>2747</v>
      </c>
    </row>
    <row r="86" spans="1:18" ht="45" hidden="1">
      <c r="A86" s="641" t="s">
        <v>44</v>
      </c>
      <c r="B86" s="259"/>
      <c r="C86" s="149" t="str">
        <f>_xlfn.XLOOKUP(B86,Tb_Portfólio[SEI],Tb_Portfólio[Consultor],"Não cadastrado")</f>
        <v>Não cadastrado</v>
      </c>
      <c r="D86" s="103" t="s">
        <v>3089</v>
      </c>
      <c r="E86" s="103"/>
      <c r="F86" s="103" t="s">
        <v>2832</v>
      </c>
      <c r="G86" s="103"/>
      <c r="H86" s="23" t="s">
        <v>3090</v>
      </c>
      <c r="I86" s="562"/>
      <c r="K86" t="s">
        <v>2743</v>
      </c>
      <c r="L86" s="438" t="s">
        <v>3091</v>
      </c>
      <c r="P86" s="635">
        <v>46079</v>
      </c>
      <c r="Q86" s="634">
        <v>46107</v>
      </c>
      <c r="R86" t="s">
        <v>2747</v>
      </c>
    </row>
    <row r="87" spans="1:18" ht="45" hidden="1">
      <c r="A87" s="641" t="s">
        <v>44</v>
      </c>
      <c r="B87" s="259"/>
      <c r="C87" s="149" t="str">
        <f>_xlfn.XLOOKUP(B87,Tb_Portfólio[SEI],Tb_Portfólio[Consultor],"Não cadastrado")</f>
        <v>Não cadastrado</v>
      </c>
      <c r="D87" s="103" t="s">
        <v>3092</v>
      </c>
      <c r="E87" s="103"/>
      <c r="F87" s="103" t="s">
        <v>2832</v>
      </c>
      <c r="G87" s="103"/>
      <c r="H87" s="23" t="s">
        <v>3090</v>
      </c>
      <c r="I87" s="562"/>
      <c r="K87" t="s">
        <v>2743</v>
      </c>
      <c r="L87" s="438" t="s">
        <v>3093</v>
      </c>
      <c r="P87" s="635">
        <v>46079</v>
      </c>
      <c r="Q87" s="634">
        <v>46107</v>
      </c>
      <c r="R87" t="s">
        <v>2747</v>
      </c>
    </row>
    <row r="88" spans="1:18" ht="45.75" hidden="1" thickBot="1">
      <c r="A88" s="641" t="s">
        <v>44</v>
      </c>
      <c r="B88" s="259"/>
      <c r="C88" s="149" t="str">
        <f>_xlfn.XLOOKUP(B88,Tb_Portfólio[SEI],Tb_Portfólio[Consultor],"Não cadastrado")</f>
        <v>Não cadastrado</v>
      </c>
      <c r="D88" s="103" t="s">
        <v>3094</v>
      </c>
      <c r="E88" s="103"/>
      <c r="F88" s="103" t="s">
        <v>2832</v>
      </c>
      <c r="G88" s="103"/>
      <c r="H88" s="23" t="s">
        <v>3090</v>
      </c>
      <c r="I88" s="562"/>
      <c r="K88" t="s">
        <v>2743</v>
      </c>
      <c r="L88" s="438" t="s">
        <v>3095</v>
      </c>
      <c r="N88" s="649" t="s">
        <v>3096</v>
      </c>
      <c r="P88" s="635">
        <v>46079</v>
      </c>
      <c r="Q88" s="634">
        <v>46107</v>
      </c>
      <c r="R88" t="s">
        <v>2747</v>
      </c>
    </row>
    <row r="89" spans="1:18" ht="135" hidden="1">
      <c r="A89" s="641" t="s">
        <v>44</v>
      </c>
      <c r="B89" s="259"/>
      <c r="C89" s="149" t="str">
        <f>_xlfn.XLOOKUP(B89,Tb_Portfólio[SEI],Tb_Portfólio[Consultor],"Não cadastrado")</f>
        <v>Não cadastrado</v>
      </c>
      <c r="D89" s="103" t="s">
        <v>3097</v>
      </c>
      <c r="E89" s="103"/>
      <c r="F89" s="640" t="s">
        <v>3098</v>
      </c>
      <c r="G89" s="103"/>
      <c r="H89" s="23" t="s">
        <v>3099</v>
      </c>
      <c r="I89" s="562">
        <v>46631</v>
      </c>
      <c r="J89" s="645">
        <v>0.25</v>
      </c>
      <c r="K89" s="610" t="s">
        <v>1730</v>
      </c>
      <c r="L89" s="438" t="s">
        <v>3100</v>
      </c>
      <c r="M89" s="438" t="s">
        <v>3101</v>
      </c>
      <c r="N89" s="139" t="s">
        <v>3102</v>
      </c>
      <c r="O89" s="438" t="s">
        <v>3103</v>
      </c>
      <c r="P89" s="635">
        <v>46079</v>
      </c>
      <c r="Q89" s="634">
        <v>46107</v>
      </c>
      <c r="R89" t="s">
        <v>2747</v>
      </c>
    </row>
    <row r="90" spans="1:18" ht="409.5" hidden="1">
      <c r="A90" s="641" t="s">
        <v>44</v>
      </c>
      <c r="B90" s="259"/>
      <c r="C90" s="149" t="str">
        <f>_xlfn.XLOOKUP(B90,Tb_Portfólio[SEI],Tb_Portfólio[Consultor],"Não cadastrado")</f>
        <v>Não cadastrado</v>
      </c>
      <c r="D90" s="103" t="s">
        <v>3104</v>
      </c>
      <c r="E90" s="103"/>
      <c r="F90" s="640" t="s">
        <v>3098</v>
      </c>
      <c r="G90" s="103"/>
      <c r="H90" s="23" t="s">
        <v>3099</v>
      </c>
      <c r="I90" s="562">
        <v>46631</v>
      </c>
      <c r="J90" s="645">
        <v>0.2</v>
      </c>
      <c r="K90" s="610" t="s">
        <v>1730</v>
      </c>
      <c r="L90" s="438" t="s">
        <v>3105</v>
      </c>
      <c r="M90" s="438" t="s">
        <v>3106</v>
      </c>
      <c r="N90" s="139" t="s">
        <v>3107</v>
      </c>
      <c r="O90" s="438" t="s">
        <v>3108</v>
      </c>
      <c r="P90" s="635">
        <v>46079</v>
      </c>
      <c r="Q90" s="634">
        <v>46107</v>
      </c>
      <c r="R90" t="s">
        <v>2747</v>
      </c>
    </row>
    <row r="91" spans="1:18" ht="90" hidden="1">
      <c r="A91" s="641" t="s">
        <v>44</v>
      </c>
      <c r="B91" s="259"/>
      <c r="C91" s="149" t="str">
        <f>_xlfn.XLOOKUP(B91,Tb_Portfólio[SEI],Tb_Portfólio[Consultor],"Não cadastrado")</f>
        <v>Não cadastrado</v>
      </c>
      <c r="D91" s="103" t="s">
        <v>3109</v>
      </c>
      <c r="E91" s="103"/>
      <c r="F91" s="640" t="s">
        <v>3098</v>
      </c>
      <c r="G91" s="103"/>
      <c r="H91" s="23" t="s">
        <v>3099</v>
      </c>
      <c r="I91" s="562">
        <v>46174</v>
      </c>
      <c r="J91" s="645">
        <v>0.3</v>
      </c>
      <c r="K91" s="610" t="s">
        <v>1730</v>
      </c>
      <c r="L91" s="438" t="s">
        <v>3110</v>
      </c>
      <c r="M91" s="438" t="s">
        <v>3111</v>
      </c>
      <c r="N91" s="139" t="s">
        <v>3112</v>
      </c>
      <c r="P91" s="635">
        <v>46079</v>
      </c>
      <c r="Q91" s="634">
        <v>46107</v>
      </c>
      <c r="R91" t="s">
        <v>2747</v>
      </c>
    </row>
    <row r="92" spans="1:18" ht="45" hidden="1">
      <c r="A92" s="641" t="s">
        <v>44</v>
      </c>
      <c r="B92" s="259"/>
      <c r="C92" s="149" t="str">
        <f>_xlfn.XLOOKUP(B92,Tb_Portfólio[SEI],Tb_Portfólio[Consultor],"Não cadastrado")</f>
        <v>Não cadastrado</v>
      </c>
      <c r="D92" s="103" t="s">
        <v>3113</v>
      </c>
      <c r="E92" s="103"/>
      <c r="F92" s="640" t="s">
        <v>3098</v>
      </c>
      <c r="G92" s="103"/>
      <c r="H92" s="23" t="s">
        <v>3099</v>
      </c>
      <c r="I92" s="562"/>
      <c r="K92" t="s">
        <v>2743</v>
      </c>
      <c r="N92" s="139" t="s">
        <v>3114</v>
      </c>
      <c r="O92" s="438" t="s">
        <v>3115</v>
      </c>
      <c r="P92" s="635">
        <v>46079</v>
      </c>
      <c r="Q92" s="634">
        <v>46107</v>
      </c>
      <c r="R92" t="s">
        <v>2747</v>
      </c>
    </row>
  </sheetData>
  <phoneticPr fontId="14"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366A-181E-47F2-A5FF-8D5D9CA34204}">
  <dimension ref="A1:C82"/>
  <sheetViews>
    <sheetView workbookViewId="0">
      <selection activeCell="A82" sqref="A82"/>
    </sheetView>
  </sheetViews>
  <sheetFormatPr defaultRowHeight="15"/>
  <cols>
    <col min="1" max="1" width="21.28515625" customWidth="1"/>
    <col min="2" max="2" width="63.7109375" bestFit="1" customWidth="1"/>
    <col min="3" max="3" width="15.28515625" customWidth="1"/>
  </cols>
  <sheetData>
    <row r="1" spans="1:3">
      <c r="A1" t="s">
        <v>1588</v>
      </c>
      <c r="B1" t="s">
        <v>3116</v>
      </c>
      <c r="C1" t="s">
        <v>3117</v>
      </c>
    </row>
    <row r="2" spans="1:3" ht="60">
      <c r="A2" s="641" t="s">
        <v>258</v>
      </c>
      <c r="B2" t="s">
        <v>179</v>
      </c>
      <c r="C2" t="s">
        <v>3118</v>
      </c>
    </row>
    <row r="3" spans="1:3" ht="60">
      <c r="A3" s="641" t="s">
        <v>258</v>
      </c>
      <c r="B3" t="s">
        <v>3119</v>
      </c>
      <c r="C3" t="s">
        <v>3118</v>
      </c>
    </row>
    <row r="4" spans="1:3" ht="45">
      <c r="A4" s="641" t="s">
        <v>311</v>
      </c>
      <c r="B4" t="s">
        <v>179</v>
      </c>
      <c r="C4" t="s">
        <v>3118</v>
      </c>
    </row>
    <row r="5" spans="1:3" ht="45">
      <c r="A5" s="641" t="s">
        <v>518</v>
      </c>
      <c r="B5" t="s">
        <v>179</v>
      </c>
      <c r="C5" t="s">
        <v>3118</v>
      </c>
    </row>
    <row r="6" spans="1:3">
      <c r="A6" s="641" t="s">
        <v>248</v>
      </c>
      <c r="B6" t="s">
        <v>179</v>
      </c>
      <c r="C6" t="s">
        <v>3118</v>
      </c>
    </row>
    <row r="7" spans="1:3" ht="45">
      <c r="A7" s="641" t="s">
        <v>723</v>
      </c>
      <c r="B7" t="s">
        <v>179</v>
      </c>
      <c r="C7" t="s">
        <v>3118</v>
      </c>
    </row>
    <row r="8" spans="1:3" ht="30">
      <c r="A8" s="641" t="s">
        <v>397</v>
      </c>
      <c r="B8" t="s">
        <v>179</v>
      </c>
      <c r="C8" t="s">
        <v>3118</v>
      </c>
    </row>
    <row r="9" spans="1:3">
      <c r="A9" s="641" t="s">
        <v>432</v>
      </c>
      <c r="B9" t="s">
        <v>179</v>
      </c>
      <c r="C9" t="s">
        <v>3118</v>
      </c>
    </row>
    <row r="10" spans="1:3" ht="165">
      <c r="A10" s="641" t="s">
        <v>2913</v>
      </c>
      <c r="B10" s="5" t="s">
        <v>73</v>
      </c>
      <c r="C10" t="s">
        <v>3118</v>
      </c>
    </row>
    <row r="11" spans="1:3">
      <c r="A11" s="641" t="s">
        <v>2930</v>
      </c>
      <c r="B11" s="5" t="s">
        <v>73</v>
      </c>
      <c r="C11" t="s">
        <v>3118</v>
      </c>
    </row>
    <row r="12" spans="1:3" ht="75">
      <c r="A12" s="641" t="s">
        <v>3001</v>
      </c>
      <c r="B12" s="5" t="s">
        <v>73</v>
      </c>
      <c r="C12" t="s">
        <v>3118</v>
      </c>
    </row>
    <row r="13" spans="1:3" ht="30">
      <c r="A13" s="641" t="s">
        <v>748</v>
      </c>
      <c r="B13" s="5" t="s">
        <v>73</v>
      </c>
      <c r="C13" t="s">
        <v>3118</v>
      </c>
    </row>
    <row r="14" spans="1:3" ht="30">
      <c r="A14" s="641" t="s">
        <v>748</v>
      </c>
      <c r="B14" s="5" t="s">
        <v>3120</v>
      </c>
      <c r="C14" t="s">
        <v>3118</v>
      </c>
    </row>
    <row r="15" spans="1:3" ht="30">
      <c r="A15" s="641" t="s">
        <v>71</v>
      </c>
      <c r="B15" s="5" t="s">
        <v>73</v>
      </c>
      <c r="C15" t="s">
        <v>3118</v>
      </c>
    </row>
    <row r="16" spans="1:3" ht="30">
      <c r="A16" s="641" t="s">
        <v>71</v>
      </c>
      <c r="B16" s="5" t="s">
        <v>3120</v>
      </c>
      <c r="C16" t="s">
        <v>3118</v>
      </c>
    </row>
    <row r="17" spans="1:3">
      <c r="A17" s="641" t="s">
        <v>2837</v>
      </c>
      <c r="B17" s="5" t="s">
        <v>73</v>
      </c>
      <c r="C17" t="s">
        <v>3118</v>
      </c>
    </row>
    <row r="18" spans="1:3">
      <c r="A18" s="641" t="s">
        <v>2892</v>
      </c>
      <c r="B18" s="5" t="s">
        <v>73</v>
      </c>
      <c r="C18" t="s">
        <v>3118</v>
      </c>
    </row>
    <row r="19" spans="1:3">
      <c r="A19" s="641" t="s">
        <v>2892</v>
      </c>
      <c r="B19" s="5" t="s">
        <v>3120</v>
      </c>
      <c r="C19" t="s">
        <v>3118</v>
      </c>
    </row>
    <row r="20" spans="1:3">
      <c r="A20" s="641" t="s">
        <v>2892</v>
      </c>
      <c r="B20" t="s">
        <v>3121</v>
      </c>
      <c r="C20" t="s">
        <v>3118</v>
      </c>
    </row>
    <row r="21" spans="1:3">
      <c r="A21" s="641" t="s">
        <v>2748</v>
      </c>
      <c r="B21" t="s">
        <v>942</v>
      </c>
      <c r="C21" t="s">
        <v>3118</v>
      </c>
    </row>
    <row r="22" spans="1:3" ht="45">
      <c r="A22" s="641" t="s">
        <v>2772</v>
      </c>
      <c r="B22" t="s">
        <v>942</v>
      </c>
      <c r="C22" t="s">
        <v>3118</v>
      </c>
    </row>
    <row r="23" spans="1:3" ht="75">
      <c r="A23" s="641" t="s">
        <v>2843</v>
      </c>
      <c r="B23" t="s">
        <v>942</v>
      </c>
      <c r="C23" t="s">
        <v>3118</v>
      </c>
    </row>
    <row r="24" spans="1:3" ht="45">
      <c r="A24" s="641" t="s">
        <v>2881</v>
      </c>
      <c r="B24" t="s">
        <v>942</v>
      </c>
      <c r="C24" t="s">
        <v>3118</v>
      </c>
    </row>
    <row r="25" spans="1:3">
      <c r="A25" s="641" t="s">
        <v>2935</v>
      </c>
      <c r="B25" t="s">
        <v>942</v>
      </c>
      <c r="C25" t="s">
        <v>3118</v>
      </c>
    </row>
    <row r="26" spans="1:3" ht="30">
      <c r="A26" s="641" t="s">
        <v>3059</v>
      </c>
      <c r="B26" t="s">
        <v>942</v>
      </c>
      <c r="C26" t="s">
        <v>3118</v>
      </c>
    </row>
    <row r="27" spans="1:3" ht="75">
      <c r="A27" s="641" t="s">
        <v>995</v>
      </c>
      <c r="B27" t="s">
        <v>997</v>
      </c>
      <c r="C27" t="s">
        <v>3118</v>
      </c>
    </row>
    <row r="28" spans="1:3" ht="75">
      <c r="A28" s="641" t="s">
        <v>2943</v>
      </c>
      <c r="B28" t="s">
        <v>997</v>
      </c>
      <c r="C28" t="s">
        <v>3118</v>
      </c>
    </row>
    <row r="29" spans="1:3" ht="45">
      <c r="A29" s="641" t="s">
        <v>3061</v>
      </c>
      <c r="B29" t="s">
        <v>731</v>
      </c>
      <c r="C29" t="s">
        <v>3118</v>
      </c>
    </row>
    <row r="30" spans="1:3" ht="30">
      <c r="A30" s="641" t="s">
        <v>3066</v>
      </c>
      <c r="B30" t="s">
        <v>731</v>
      </c>
      <c r="C30" t="s">
        <v>3118</v>
      </c>
    </row>
    <row r="31" spans="1:3">
      <c r="A31" s="641" t="s">
        <v>3070</v>
      </c>
      <c r="B31" t="s">
        <v>731</v>
      </c>
      <c r="C31" t="s">
        <v>3118</v>
      </c>
    </row>
    <row r="32" spans="1:3" ht="135">
      <c r="A32" s="641" t="s">
        <v>3075</v>
      </c>
      <c r="B32" t="s">
        <v>731</v>
      </c>
      <c r="C32" t="s">
        <v>3118</v>
      </c>
    </row>
    <row r="33" spans="1:3">
      <c r="A33" s="641" t="s">
        <v>3080</v>
      </c>
      <c r="B33" t="s">
        <v>731</v>
      </c>
      <c r="C33" t="s">
        <v>3118</v>
      </c>
    </row>
    <row r="34" spans="1:3" ht="30">
      <c r="A34" s="641" t="s">
        <v>3084</v>
      </c>
      <c r="B34" t="s">
        <v>731</v>
      </c>
      <c r="C34" t="s">
        <v>3118</v>
      </c>
    </row>
    <row r="35" spans="1:3" ht="150">
      <c r="A35" s="641" t="s">
        <v>220</v>
      </c>
      <c r="B35" t="s">
        <v>3122</v>
      </c>
      <c r="C35" t="s">
        <v>3118</v>
      </c>
    </row>
    <row r="36" spans="1:3" ht="45">
      <c r="A36" s="641" t="s">
        <v>691</v>
      </c>
      <c r="B36" t="s">
        <v>3122</v>
      </c>
      <c r="C36" t="s">
        <v>3118</v>
      </c>
    </row>
    <row r="37" spans="1:3" ht="30">
      <c r="A37" s="641" t="s">
        <v>767</v>
      </c>
      <c r="B37" t="s">
        <v>3122</v>
      </c>
      <c r="C37" t="s">
        <v>3118</v>
      </c>
    </row>
    <row r="38" spans="1:3" ht="45">
      <c r="A38" s="641" t="s">
        <v>757</v>
      </c>
      <c r="B38" t="s">
        <v>3122</v>
      </c>
      <c r="C38" t="s">
        <v>3118</v>
      </c>
    </row>
    <row r="39" spans="1:3" ht="30">
      <c r="A39" s="641" t="s">
        <v>351</v>
      </c>
      <c r="B39" t="s">
        <v>3122</v>
      </c>
      <c r="C39" t="s">
        <v>3118</v>
      </c>
    </row>
    <row r="40" spans="1:3" ht="30">
      <c r="A40" s="641" t="s">
        <v>685</v>
      </c>
      <c r="B40" t="s">
        <v>3122</v>
      </c>
      <c r="C40" t="s">
        <v>3118</v>
      </c>
    </row>
    <row r="41" spans="1:3" ht="30">
      <c r="A41" s="641" t="s">
        <v>153</v>
      </c>
      <c r="B41" t="s">
        <v>3122</v>
      </c>
      <c r="C41" t="s">
        <v>3118</v>
      </c>
    </row>
    <row r="42" spans="1:3" ht="30">
      <c r="A42" s="641" t="s">
        <v>84</v>
      </c>
      <c r="B42" t="s">
        <v>3122</v>
      </c>
      <c r="C42" t="s">
        <v>3118</v>
      </c>
    </row>
    <row r="43" spans="1:3" ht="60">
      <c r="A43" s="641" t="s">
        <v>630</v>
      </c>
      <c r="B43" t="s">
        <v>3122</v>
      </c>
      <c r="C43" t="s">
        <v>3118</v>
      </c>
    </row>
    <row r="44" spans="1:3" ht="60">
      <c r="A44" s="641" t="s">
        <v>550</v>
      </c>
      <c r="B44" t="s">
        <v>552</v>
      </c>
      <c r="C44" t="s">
        <v>3118</v>
      </c>
    </row>
    <row r="45" spans="1:3" ht="30">
      <c r="A45" s="641" t="s">
        <v>581</v>
      </c>
      <c r="B45" t="s">
        <v>144</v>
      </c>
      <c r="C45" t="s">
        <v>3118</v>
      </c>
    </row>
    <row r="46" spans="1:3">
      <c r="A46" s="641" t="s">
        <v>918</v>
      </c>
      <c r="B46" t="s">
        <v>144</v>
      </c>
      <c r="C46" t="s">
        <v>3118</v>
      </c>
    </row>
    <row r="47" spans="1:3" ht="60">
      <c r="A47" s="641" t="s">
        <v>359</v>
      </c>
      <c r="B47" t="s">
        <v>144</v>
      </c>
      <c r="C47" t="s">
        <v>3118</v>
      </c>
    </row>
    <row r="48" spans="1:3">
      <c r="A48" s="641" t="s">
        <v>639</v>
      </c>
      <c r="B48" t="s">
        <v>144</v>
      </c>
      <c r="C48" t="s">
        <v>3118</v>
      </c>
    </row>
    <row r="49" spans="1:3" ht="75">
      <c r="A49" s="641" t="s">
        <v>729</v>
      </c>
      <c r="B49" t="s">
        <v>731</v>
      </c>
      <c r="C49" t="s">
        <v>3118</v>
      </c>
    </row>
    <row r="50" spans="1:3" ht="75">
      <c r="A50" s="641" t="s">
        <v>729</v>
      </c>
      <c r="B50" t="s">
        <v>1029</v>
      </c>
      <c r="C50" t="s">
        <v>3118</v>
      </c>
    </row>
    <row r="51" spans="1:3" ht="60">
      <c r="A51" s="641" t="s">
        <v>739</v>
      </c>
      <c r="B51" t="s">
        <v>928</v>
      </c>
      <c r="C51" t="s">
        <v>3118</v>
      </c>
    </row>
    <row r="52" spans="1:3" ht="45">
      <c r="A52" s="641" t="s">
        <v>2738</v>
      </c>
      <c r="B52" t="s">
        <v>928</v>
      </c>
      <c r="C52" t="s">
        <v>3118</v>
      </c>
    </row>
    <row r="53" spans="1:3" ht="45">
      <c r="A53" s="641" t="s">
        <v>2755</v>
      </c>
      <c r="B53" t="s">
        <v>928</v>
      </c>
      <c r="C53" t="s">
        <v>3118</v>
      </c>
    </row>
    <row r="54" spans="1:3" ht="60">
      <c r="A54" s="641" t="s">
        <v>2777</v>
      </c>
      <c r="B54" t="s">
        <v>928</v>
      </c>
      <c r="C54" t="s">
        <v>3118</v>
      </c>
    </row>
    <row r="55" spans="1:3" ht="45">
      <c r="A55" s="641" t="s">
        <v>2796</v>
      </c>
      <c r="B55" t="s">
        <v>928</v>
      </c>
      <c r="C55" t="s">
        <v>3118</v>
      </c>
    </row>
    <row r="56" spans="1:3" ht="30">
      <c r="A56" s="641" t="s">
        <v>2801</v>
      </c>
      <c r="B56" t="s">
        <v>928</v>
      </c>
      <c r="C56" t="s">
        <v>3118</v>
      </c>
    </row>
    <row r="57" spans="1:3" ht="60">
      <c r="A57" s="641" t="s">
        <v>2823</v>
      </c>
      <c r="B57" t="s">
        <v>928</v>
      </c>
      <c r="C57" t="s">
        <v>3118</v>
      </c>
    </row>
    <row r="58" spans="1:3">
      <c r="A58" s="646" t="s">
        <v>2860</v>
      </c>
      <c r="B58" t="s">
        <v>928</v>
      </c>
      <c r="C58" t="s">
        <v>3118</v>
      </c>
    </row>
    <row r="59" spans="1:3" ht="45">
      <c r="A59" s="647" t="s">
        <v>2886</v>
      </c>
      <c r="B59" t="s">
        <v>928</v>
      </c>
      <c r="C59" t="s">
        <v>3118</v>
      </c>
    </row>
    <row r="60" spans="1:3" ht="60">
      <c r="A60" s="648" t="s">
        <v>3123</v>
      </c>
      <c r="B60" t="s">
        <v>928</v>
      </c>
      <c r="C60" t="s">
        <v>3118</v>
      </c>
    </row>
    <row r="61" spans="1:3" ht="60">
      <c r="A61" s="641" t="s">
        <v>2901</v>
      </c>
      <c r="B61" t="s">
        <v>928</v>
      </c>
      <c r="C61" t="s">
        <v>3118</v>
      </c>
    </row>
    <row r="62" spans="1:3" ht="30">
      <c r="A62" s="646" t="s">
        <v>2908</v>
      </c>
      <c r="B62" t="s">
        <v>928</v>
      </c>
      <c r="C62" t="s">
        <v>3118</v>
      </c>
    </row>
    <row r="63" spans="1:3" ht="60">
      <c r="A63" s="647" t="s">
        <v>2924</v>
      </c>
      <c r="B63" t="s">
        <v>928</v>
      </c>
      <c r="C63" t="s">
        <v>3118</v>
      </c>
    </row>
    <row r="64" spans="1:3" ht="30">
      <c r="A64" s="647" t="s">
        <v>2974</v>
      </c>
      <c r="B64" t="s">
        <v>928</v>
      </c>
      <c r="C64" t="s">
        <v>3118</v>
      </c>
    </row>
    <row r="65" spans="1:3" ht="75">
      <c r="A65" s="641" t="s">
        <v>2991</v>
      </c>
      <c r="B65" t="s">
        <v>928</v>
      </c>
      <c r="C65" t="s">
        <v>3118</v>
      </c>
    </row>
    <row r="66" spans="1:3" ht="30">
      <c r="A66" s="641" t="s">
        <v>3006</v>
      </c>
      <c r="B66" t="s">
        <v>928</v>
      </c>
      <c r="C66" t="s">
        <v>3118</v>
      </c>
    </row>
    <row r="67" spans="1:3" ht="45">
      <c r="A67" s="641" t="s">
        <v>3043</v>
      </c>
      <c r="B67" t="s">
        <v>928</v>
      </c>
      <c r="C67" t="s">
        <v>3118</v>
      </c>
    </row>
    <row r="68" spans="1:3" ht="30">
      <c r="A68" s="641" t="s">
        <v>3048</v>
      </c>
      <c r="B68" t="s">
        <v>928</v>
      </c>
      <c r="C68" t="s">
        <v>3118</v>
      </c>
    </row>
    <row r="69" spans="1:3" ht="45">
      <c r="A69" s="641" t="s">
        <v>3053</v>
      </c>
      <c r="B69" t="s">
        <v>928</v>
      </c>
      <c r="C69" t="s">
        <v>3118</v>
      </c>
    </row>
    <row r="70" spans="1:3" ht="30">
      <c r="A70" s="641" t="s">
        <v>459</v>
      </c>
      <c r="B70" t="s">
        <v>3090</v>
      </c>
      <c r="C70" t="s">
        <v>3118</v>
      </c>
    </row>
    <row r="71" spans="1:3" ht="30">
      <c r="A71" s="641" t="s">
        <v>459</v>
      </c>
      <c r="B71" t="s">
        <v>73</v>
      </c>
      <c r="C71" t="s">
        <v>3118</v>
      </c>
    </row>
    <row r="72" spans="1:3">
      <c r="A72" s="641" t="s">
        <v>3089</v>
      </c>
      <c r="B72" t="s">
        <v>3090</v>
      </c>
      <c r="C72" t="s">
        <v>3118</v>
      </c>
    </row>
    <row r="73" spans="1:3" ht="75">
      <c r="A73" s="641" t="s">
        <v>3092</v>
      </c>
      <c r="B73" t="s">
        <v>3090</v>
      </c>
      <c r="C73" t="s">
        <v>3118</v>
      </c>
    </row>
    <row r="74" spans="1:3" ht="60">
      <c r="A74" s="641" t="s">
        <v>3094</v>
      </c>
      <c r="B74" t="s">
        <v>3090</v>
      </c>
      <c r="C74" t="s">
        <v>3118</v>
      </c>
    </row>
    <row r="75" spans="1:3" ht="60">
      <c r="A75" s="641" t="s">
        <v>3097</v>
      </c>
      <c r="B75" s="639" t="s">
        <v>3124</v>
      </c>
      <c r="C75" t="s">
        <v>3118</v>
      </c>
    </row>
    <row r="76" spans="1:3" ht="60">
      <c r="A76" s="641" t="s">
        <v>3097</v>
      </c>
      <c r="B76" t="s">
        <v>595</v>
      </c>
      <c r="C76" t="s">
        <v>3118</v>
      </c>
    </row>
    <row r="77" spans="1:3" ht="45">
      <c r="A77" s="641" t="s">
        <v>3104</v>
      </c>
      <c r="B77" s="639" t="s">
        <v>3124</v>
      </c>
      <c r="C77" t="s">
        <v>3118</v>
      </c>
    </row>
    <row r="78" spans="1:3" ht="45">
      <c r="A78" s="641" t="s">
        <v>3104</v>
      </c>
      <c r="B78" t="s">
        <v>595</v>
      </c>
      <c r="C78" t="s">
        <v>3118</v>
      </c>
    </row>
    <row r="79" spans="1:3" ht="60">
      <c r="A79" s="641" t="s">
        <v>3109</v>
      </c>
      <c r="B79" s="639" t="s">
        <v>3124</v>
      </c>
      <c r="C79" t="s">
        <v>3118</v>
      </c>
    </row>
    <row r="80" spans="1:3" ht="60">
      <c r="A80" s="641" t="s">
        <v>3109</v>
      </c>
      <c r="B80" t="s">
        <v>595</v>
      </c>
      <c r="C80" t="s">
        <v>3118</v>
      </c>
    </row>
    <row r="81" spans="1:3" ht="90">
      <c r="A81" s="641" t="s">
        <v>3113</v>
      </c>
      <c r="B81" s="639" t="s">
        <v>3124</v>
      </c>
      <c r="C81" t="s">
        <v>3118</v>
      </c>
    </row>
    <row r="82" spans="1:3" ht="90">
      <c r="A82" s="641" t="s">
        <v>3113</v>
      </c>
      <c r="B82" t="s">
        <v>595</v>
      </c>
      <c r="C82" t="s">
        <v>3118</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B31D-1D3C-4016-B536-2280C9E1D513}">
  <dimension ref="A1:C72"/>
  <sheetViews>
    <sheetView topLeftCell="A61" workbookViewId="0">
      <selection activeCell="K72" sqref="K72"/>
    </sheetView>
  </sheetViews>
  <sheetFormatPr defaultRowHeight="15"/>
  <cols>
    <col min="1" max="1" width="21.28515625" customWidth="1"/>
    <col min="2" max="2" width="63.7109375" bestFit="1" customWidth="1"/>
    <col min="3" max="3" width="15.28515625" customWidth="1"/>
  </cols>
  <sheetData>
    <row r="1" spans="1:3">
      <c r="A1" t="s">
        <v>1588</v>
      </c>
      <c r="B1" t="s">
        <v>3116</v>
      </c>
      <c r="C1" t="s">
        <v>3117</v>
      </c>
    </row>
    <row r="2" spans="1:3" ht="60">
      <c r="A2" s="641" t="s">
        <v>258</v>
      </c>
      <c r="B2" t="s">
        <v>2832</v>
      </c>
      <c r="C2" t="s">
        <v>2721</v>
      </c>
    </row>
    <row r="3" spans="1:3" ht="45">
      <c r="A3" s="641" t="s">
        <v>311</v>
      </c>
      <c r="B3" t="s">
        <v>3125</v>
      </c>
      <c r="C3" t="s">
        <v>2721</v>
      </c>
    </row>
    <row r="4" spans="1:3" ht="45">
      <c r="A4" s="641" t="s">
        <v>518</v>
      </c>
      <c r="B4" t="s">
        <v>3125</v>
      </c>
      <c r="C4" t="s">
        <v>2721</v>
      </c>
    </row>
    <row r="5" spans="1:3">
      <c r="A5" s="641" t="s">
        <v>248</v>
      </c>
      <c r="B5" t="s">
        <v>3125</v>
      </c>
      <c r="C5" t="s">
        <v>2721</v>
      </c>
    </row>
    <row r="6" spans="1:3" ht="45">
      <c r="A6" s="641" t="s">
        <v>723</v>
      </c>
      <c r="B6" t="s">
        <v>3125</v>
      </c>
      <c r="C6" t="s">
        <v>2721</v>
      </c>
    </row>
    <row r="7" spans="1:3" ht="30">
      <c r="A7" s="641" t="s">
        <v>397</v>
      </c>
      <c r="B7" t="s">
        <v>3125</v>
      </c>
      <c r="C7" t="s">
        <v>2721</v>
      </c>
    </row>
    <row r="8" spans="1:3">
      <c r="A8" s="641" t="s">
        <v>432</v>
      </c>
      <c r="B8" t="s">
        <v>3125</v>
      </c>
      <c r="C8" t="s">
        <v>2721</v>
      </c>
    </row>
    <row r="9" spans="1:3" ht="165">
      <c r="A9" s="641" t="s">
        <v>2913</v>
      </c>
      <c r="B9" s="5" t="s">
        <v>2832</v>
      </c>
      <c r="C9" t="s">
        <v>2721</v>
      </c>
    </row>
    <row r="10" spans="1:3">
      <c r="A10" s="641" t="s">
        <v>2930</v>
      </c>
      <c r="B10" s="5" t="s">
        <v>2832</v>
      </c>
      <c r="C10" t="s">
        <v>2721</v>
      </c>
    </row>
    <row r="11" spans="1:3" ht="75">
      <c r="A11" s="641" t="s">
        <v>3001</v>
      </c>
      <c r="B11" s="5" t="s">
        <v>2832</v>
      </c>
      <c r="C11" t="s">
        <v>2721</v>
      </c>
    </row>
    <row r="12" spans="1:3" ht="30">
      <c r="A12" s="641" t="s">
        <v>748</v>
      </c>
      <c r="B12" s="5" t="s">
        <v>2832</v>
      </c>
      <c r="C12" t="s">
        <v>2721</v>
      </c>
    </row>
    <row r="13" spans="1:3" ht="30">
      <c r="A13" s="641" t="s">
        <v>71</v>
      </c>
      <c r="B13" s="5" t="s">
        <v>2832</v>
      </c>
      <c r="C13" t="s">
        <v>2721</v>
      </c>
    </row>
    <row r="14" spans="1:3">
      <c r="A14" s="641" t="s">
        <v>2837</v>
      </c>
      <c r="B14" s="5" t="s">
        <v>2832</v>
      </c>
      <c r="C14" t="s">
        <v>2721</v>
      </c>
    </row>
    <row r="15" spans="1:3">
      <c r="A15" s="641" t="s">
        <v>2892</v>
      </c>
      <c r="B15" t="s">
        <v>2832</v>
      </c>
      <c r="C15" t="s">
        <v>2721</v>
      </c>
    </row>
    <row r="16" spans="1:3">
      <c r="A16" s="641" t="s">
        <v>2748</v>
      </c>
      <c r="B16" t="s">
        <v>2740</v>
      </c>
      <c r="C16" t="s">
        <v>2721</v>
      </c>
    </row>
    <row r="17" spans="1:3" ht="45">
      <c r="A17" s="641" t="s">
        <v>2772</v>
      </c>
      <c r="B17" t="s">
        <v>2740</v>
      </c>
      <c r="C17" t="s">
        <v>2721</v>
      </c>
    </row>
    <row r="18" spans="1:3" ht="75">
      <c r="A18" s="641" t="s">
        <v>2843</v>
      </c>
      <c r="B18" t="s">
        <v>2740</v>
      </c>
      <c r="C18" t="s">
        <v>2721</v>
      </c>
    </row>
    <row r="19" spans="1:3" ht="45">
      <c r="A19" s="641" t="s">
        <v>2881</v>
      </c>
      <c r="B19" t="s">
        <v>2740</v>
      </c>
      <c r="C19" t="s">
        <v>2721</v>
      </c>
    </row>
    <row r="20" spans="1:3">
      <c r="A20" s="641" t="s">
        <v>2935</v>
      </c>
      <c r="B20" t="s">
        <v>2740</v>
      </c>
      <c r="C20" t="s">
        <v>2721</v>
      </c>
    </row>
    <row r="21" spans="1:3" ht="30">
      <c r="A21" s="641" t="s">
        <v>3059</v>
      </c>
      <c r="B21" t="s">
        <v>2740</v>
      </c>
      <c r="C21" t="s">
        <v>2721</v>
      </c>
    </row>
    <row r="22" spans="1:3" ht="75">
      <c r="A22" s="641" t="s">
        <v>995</v>
      </c>
      <c r="B22" t="s">
        <v>2790</v>
      </c>
      <c r="C22" t="s">
        <v>2721</v>
      </c>
    </row>
    <row r="23" spans="1:3" ht="75">
      <c r="A23" s="641" t="s">
        <v>2943</v>
      </c>
      <c r="B23" t="s">
        <v>2790</v>
      </c>
      <c r="C23" t="s">
        <v>2721</v>
      </c>
    </row>
    <row r="24" spans="1:3" ht="45">
      <c r="A24" s="641" t="s">
        <v>3061</v>
      </c>
      <c r="B24" t="s">
        <v>3062</v>
      </c>
      <c r="C24" t="s">
        <v>2721</v>
      </c>
    </row>
    <row r="25" spans="1:3" ht="30">
      <c r="A25" s="641" t="s">
        <v>3066</v>
      </c>
      <c r="B25" t="s">
        <v>2790</v>
      </c>
      <c r="C25" t="s">
        <v>2721</v>
      </c>
    </row>
    <row r="26" spans="1:3">
      <c r="A26" s="641" t="s">
        <v>3070</v>
      </c>
      <c r="B26" t="s">
        <v>3062</v>
      </c>
      <c r="C26" t="s">
        <v>2721</v>
      </c>
    </row>
    <row r="27" spans="1:3" ht="135">
      <c r="A27" s="641" t="s">
        <v>3075</v>
      </c>
      <c r="B27" t="s">
        <v>3062</v>
      </c>
      <c r="C27" t="s">
        <v>2721</v>
      </c>
    </row>
    <row r="28" spans="1:3">
      <c r="A28" s="641" t="s">
        <v>3080</v>
      </c>
      <c r="B28" t="s">
        <v>3062</v>
      </c>
      <c r="C28" t="s">
        <v>2721</v>
      </c>
    </row>
    <row r="29" spans="1:3" ht="30">
      <c r="A29" s="641" t="s">
        <v>3084</v>
      </c>
      <c r="B29" t="s">
        <v>3062</v>
      </c>
      <c r="C29" t="s">
        <v>2721</v>
      </c>
    </row>
    <row r="30" spans="1:3" ht="150">
      <c r="A30" s="641" t="s">
        <v>220</v>
      </c>
      <c r="B30" t="s">
        <v>3125</v>
      </c>
      <c r="C30" t="s">
        <v>2721</v>
      </c>
    </row>
    <row r="31" spans="1:3" ht="45">
      <c r="A31" s="641" t="s">
        <v>691</v>
      </c>
      <c r="B31" t="s">
        <v>3125</v>
      </c>
      <c r="C31" t="s">
        <v>2721</v>
      </c>
    </row>
    <row r="32" spans="1:3" ht="30">
      <c r="A32" s="641" t="s">
        <v>767</v>
      </c>
      <c r="B32" t="s">
        <v>3125</v>
      </c>
      <c r="C32" t="s">
        <v>2721</v>
      </c>
    </row>
    <row r="33" spans="1:3" ht="45">
      <c r="A33" s="641" t="s">
        <v>757</v>
      </c>
      <c r="B33" t="s">
        <v>3125</v>
      </c>
      <c r="C33" t="s">
        <v>2721</v>
      </c>
    </row>
    <row r="34" spans="1:3" ht="30">
      <c r="A34" s="641" t="s">
        <v>351</v>
      </c>
      <c r="B34" t="s">
        <v>3125</v>
      </c>
      <c r="C34" t="s">
        <v>2721</v>
      </c>
    </row>
    <row r="35" spans="1:3" ht="30">
      <c r="A35" s="641" t="s">
        <v>685</v>
      </c>
      <c r="B35" t="s">
        <v>3125</v>
      </c>
      <c r="C35" t="s">
        <v>2721</v>
      </c>
    </row>
    <row r="36" spans="1:3" ht="30">
      <c r="A36" s="641" t="s">
        <v>153</v>
      </c>
      <c r="B36" t="s">
        <v>3125</v>
      </c>
      <c r="C36" t="s">
        <v>2721</v>
      </c>
    </row>
    <row r="37" spans="1:3" ht="30">
      <c r="A37" s="641" t="s">
        <v>84</v>
      </c>
      <c r="B37" t="s">
        <v>3125</v>
      </c>
      <c r="C37" t="s">
        <v>2721</v>
      </c>
    </row>
    <row r="38" spans="1:3" ht="60">
      <c r="A38" s="641" t="s">
        <v>630</v>
      </c>
      <c r="B38" t="s">
        <v>3125</v>
      </c>
      <c r="C38" t="s">
        <v>2721</v>
      </c>
    </row>
    <row r="39" spans="1:3" ht="60">
      <c r="A39" s="641" t="s">
        <v>550</v>
      </c>
      <c r="B39" t="s">
        <v>2832</v>
      </c>
      <c r="C39" t="s">
        <v>2721</v>
      </c>
    </row>
    <row r="40" spans="1:3" ht="30">
      <c r="A40" s="641" t="s">
        <v>581</v>
      </c>
      <c r="B40" t="s">
        <v>2790</v>
      </c>
      <c r="C40" t="s">
        <v>2721</v>
      </c>
    </row>
    <row r="41" spans="1:3">
      <c r="A41" s="641" t="s">
        <v>918</v>
      </c>
      <c r="B41" t="s">
        <v>2832</v>
      </c>
      <c r="C41" t="s">
        <v>2721</v>
      </c>
    </row>
    <row r="42" spans="1:3" ht="60">
      <c r="A42" s="641" t="s">
        <v>359</v>
      </c>
      <c r="B42" t="s">
        <v>2832</v>
      </c>
      <c r="C42" t="s">
        <v>2721</v>
      </c>
    </row>
    <row r="43" spans="1:3">
      <c r="A43" s="641" t="s">
        <v>639</v>
      </c>
      <c r="B43" t="s">
        <v>2832</v>
      </c>
      <c r="C43" t="s">
        <v>2721</v>
      </c>
    </row>
    <row r="44" spans="1:3" ht="75">
      <c r="A44" s="641" t="s">
        <v>729</v>
      </c>
      <c r="B44" t="s">
        <v>2790</v>
      </c>
      <c r="C44" t="s">
        <v>2721</v>
      </c>
    </row>
    <row r="45" spans="1:3" ht="60">
      <c r="A45" s="641" t="s">
        <v>739</v>
      </c>
      <c r="B45" t="s">
        <v>3126</v>
      </c>
      <c r="C45" t="s">
        <v>2721</v>
      </c>
    </row>
    <row r="46" spans="1:3" ht="60">
      <c r="A46" s="641" t="s">
        <v>739</v>
      </c>
      <c r="B46" t="s">
        <v>2984</v>
      </c>
      <c r="C46" t="s">
        <v>2721</v>
      </c>
    </row>
    <row r="47" spans="1:3" ht="45">
      <c r="A47" s="641" t="s">
        <v>2738</v>
      </c>
      <c r="B47" t="s">
        <v>3126</v>
      </c>
      <c r="C47" t="s">
        <v>2721</v>
      </c>
    </row>
    <row r="48" spans="1:3" ht="45">
      <c r="A48" s="641" t="s">
        <v>2755</v>
      </c>
      <c r="B48" t="s">
        <v>3126</v>
      </c>
      <c r="C48" t="s">
        <v>2721</v>
      </c>
    </row>
    <row r="49" spans="1:3" ht="60">
      <c r="A49" s="641" t="s">
        <v>2777</v>
      </c>
      <c r="B49" t="s">
        <v>3126</v>
      </c>
      <c r="C49" t="s">
        <v>2721</v>
      </c>
    </row>
    <row r="50" spans="1:3" ht="45">
      <c r="A50" s="641" t="s">
        <v>2796</v>
      </c>
      <c r="B50" t="s">
        <v>3126</v>
      </c>
      <c r="C50" t="s">
        <v>2721</v>
      </c>
    </row>
    <row r="51" spans="1:3" ht="30">
      <c r="A51" s="641" t="s">
        <v>2801</v>
      </c>
      <c r="B51" t="s">
        <v>2740</v>
      </c>
      <c r="C51" t="s">
        <v>2721</v>
      </c>
    </row>
    <row r="52" spans="1:3" ht="60">
      <c r="A52" s="641" t="s">
        <v>2823</v>
      </c>
      <c r="B52" t="s">
        <v>2740</v>
      </c>
      <c r="C52" t="s">
        <v>2721</v>
      </c>
    </row>
    <row r="53" spans="1:3">
      <c r="A53" s="646" t="s">
        <v>2860</v>
      </c>
      <c r="B53" t="s">
        <v>2740</v>
      </c>
      <c r="C53" t="s">
        <v>2721</v>
      </c>
    </row>
    <row r="54" spans="1:3" ht="45">
      <c r="A54" s="647" t="s">
        <v>2886</v>
      </c>
      <c r="B54" t="s">
        <v>2740</v>
      </c>
      <c r="C54" t="s">
        <v>2721</v>
      </c>
    </row>
    <row r="55" spans="1:3" ht="60">
      <c r="A55" s="648" t="s">
        <v>3123</v>
      </c>
      <c r="B55" t="s">
        <v>2740</v>
      </c>
      <c r="C55" t="s">
        <v>2721</v>
      </c>
    </row>
    <row r="56" spans="1:3" ht="60">
      <c r="A56" s="641" t="s">
        <v>2901</v>
      </c>
      <c r="B56" t="s">
        <v>2740</v>
      </c>
      <c r="C56" t="s">
        <v>2721</v>
      </c>
    </row>
    <row r="57" spans="1:3" ht="30">
      <c r="A57" s="646" t="s">
        <v>2908</v>
      </c>
      <c r="B57" t="s">
        <v>2740</v>
      </c>
      <c r="C57" t="s">
        <v>2721</v>
      </c>
    </row>
    <row r="58" spans="1:3" ht="60">
      <c r="A58" s="647" t="s">
        <v>2924</v>
      </c>
      <c r="B58" t="s">
        <v>2740</v>
      </c>
      <c r="C58" t="s">
        <v>2721</v>
      </c>
    </row>
    <row r="59" spans="1:3" ht="30">
      <c r="A59" s="647" t="s">
        <v>2974</v>
      </c>
      <c r="B59" t="s">
        <v>2740</v>
      </c>
      <c r="C59" t="s">
        <v>2721</v>
      </c>
    </row>
    <row r="60" spans="1:3" ht="75">
      <c r="A60" s="641" t="s">
        <v>2991</v>
      </c>
      <c r="B60" t="s">
        <v>2740</v>
      </c>
      <c r="C60" t="s">
        <v>2721</v>
      </c>
    </row>
    <row r="61" spans="1:3" ht="30">
      <c r="A61" s="641" t="s">
        <v>3006</v>
      </c>
      <c r="B61" t="s">
        <v>2740</v>
      </c>
      <c r="C61" t="s">
        <v>2721</v>
      </c>
    </row>
    <row r="62" spans="1:3" ht="45">
      <c r="A62" s="641" t="s">
        <v>3043</v>
      </c>
      <c r="B62" t="s">
        <v>2740</v>
      </c>
      <c r="C62" t="s">
        <v>2721</v>
      </c>
    </row>
    <row r="63" spans="1:3" ht="30">
      <c r="A63" s="641" t="s">
        <v>3048</v>
      </c>
      <c r="B63" t="s">
        <v>2740</v>
      </c>
      <c r="C63" t="s">
        <v>2721</v>
      </c>
    </row>
    <row r="64" spans="1:3" ht="45">
      <c r="A64" s="641" t="s">
        <v>3053</v>
      </c>
      <c r="B64" t="s">
        <v>2740</v>
      </c>
      <c r="C64" t="s">
        <v>2721</v>
      </c>
    </row>
    <row r="65" spans="1:3" ht="30">
      <c r="A65" s="641" t="s">
        <v>459</v>
      </c>
      <c r="B65" t="s">
        <v>2732</v>
      </c>
      <c r="C65" t="s">
        <v>2721</v>
      </c>
    </row>
    <row r="66" spans="1:3">
      <c r="A66" s="641" t="s">
        <v>3089</v>
      </c>
      <c r="B66" t="s">
        <v>2832</v>
      </c>
      <c r="C66" t="s">
        <v>2721</v>
      </c>
    </row>
    <row r="67" spans="1:3" ht="75">
      <c r="A67" s="641" t="s">
        <v>3092</v>
      </c>
      <c r="B67" t="s">
        <v>2832</v>
      </c>
      <c r="C67" t="s">
        <v>2721</v>
      </c>
    </row>
    <row r="68" spans="1:3" ht="60">
      <c r="A68" s="641" t="s">
        <v>3094</v>
      </c>
      <c r="B68" t="s">
        <v>2832</v>
      </c>
      <c r="C68" t="s">
        <v>2721</v>
      </c>
    </row>
    <row r="69" spans="1:3" ht="60">
      <c r="A69" s="641" t="s">
        <v>3097</v>
      </c>
      <c r="B69" s="640" t="s">
        <v>3098</v>
      </c>
      <c r="C69" t="s">
        <v>2721</v>
      </c>
    </row>
    <row r="70" spans="1:3" ht="45">
      <c r="A70" s="641" t="s">
        <v>3104</v>
      </c>
      <c r="B70" s="640" t="s">
        <v>3098</v>
      </c>
      <c r="C70" t="s">
        <v>2721</v>
      </c>
    </row>
    <row r="71" spans="1:3" ht="60">
      <c r="A71" s="641" t="s">
        <v>3109</v>
      </c>
      <c r="B71" s="640" t="s">
        <v>3098</v>
      </c>
      <c r="C71" t="s">
        <v>2721</v>
      </c>
    </row>
    <row r="72" spans="1:3" ht="90">
      <c r="A72" s="641" t="s">
        <v>3113</v>
      </c>
      <c r="B72" s="640" t="s">
        <v>3098</v>
      </c>
      <c r="C72" t="s">
        <v>2721</v>
      </c>
    </row>
  </sheetData>
  <pageMargins left="0.511811024" right="0.511811024" top="0.78740157499999996" bottom="0.78740157499999996" header="0.31496062000000002" footer="0.31496062000000002"/>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02605-EAF9-4848-B9E7-7D213D187823}">
  <dimension ref="A1"/>
  <sheetViews>
    <sheetView workbookViewId="0"/>
  </sheetViews>
  <sheetFormatPr defaultRowHeight="15"/>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5AC8-C620-470D-A3AC-E94064A6C52F}">
  <dimension ref="A1:C1575"/>
  <sheetViews>
    <sheetView topLeftCell="A126" workbookViewId="0">
      <pane ySplit="1" topLeftCell="A127" activePane="bottomLeft" state="frozen"/>
      <selection pane="bottomLeft"/>
      <selection activeCell="A126" sqref="A126"/>
    </sheetView>
  </sheetViews>
  <sheetFormatPr defaultRowHeight="15"/>
  <cols>
    <col min="1" max="1" width="114.42578125" customWidth="1"/>
    <col min="2" max="2" width="28.5703125" customWidth="1"/>
    <col min="3" max="3" width="38.140625" customWidth="1"/>
  </cols>
  <sheetData>
    <row r="1" spans="1:3" ht="21">
      <c r="A1" s="576" t="s">
        <v>3127</v>
      </c>
    </row>
    <row r="2" spans="1:3">
      <c r="A2" s="577" t="s">
        <v>3128</v>
      </c>
    </row>
    <row r="5" spans="1:3">
      <c r="A5" t="s">
        <v>3129</v>
      </c>
    </row>
    <row r="6" spans="1:3" ht="18.75">
      <c r="A6" s="579" t="s">
        <v>3130</v>
      </c>
    </row>
    <row r="7" spans="1:3">
      <c r="A7" t="s">
        <v>3129</v>
      </c>
    </row>
    <row r="9" spans="1:3" ht="15.75">
      <c r="A9" s="580" t="s">
        <v>3131</v>
      </c>
    </row>
    <row r="10" spans="1:3">
      <c r="A10" s="581" t="s">
        <v>3132</v>
      </c>
    </row>
    <row r="11" spans="1:3">
      <c r="A11" t="s">
        <v>3133</v>
      </c>
    </row>
    <row r="13" spans="1:3">
      <c r="A13" s="582" t="s">
        <v>3134</v>
      </c>
      <c r="B13" s="582"/>
      <c r="C13" s="582" t="s">
        <v>3135</v>
      </c>
    </row>
    <row r="14" spans="1:3">
      <c r="A14" t="s">
        <v>3136</v>
      </c>
      <c r="B14" t="s">
        <v>3137</v>
      </c>
      <c r="C14" t="s">
        <v>3138</v>
      </c>
    </row>
    <row r="16" spans="1:3">
      <c r="A16" s="583" t="s">
        <v>3139</v>
      </c>
    </row>
    <row r="17" spans="1:1">
      <c r="A17" t="s">
        <v>3140</v>
      </c>
    </row>
    <row r="19" spans="1:1">
      <c r="A19" s="583" t="s">
        <v>3141</v>
      </c>
    </row>
    <row r="20" spans="1:1">
      <c r="A20" t="s">
        <v>3142</v>
      </c>
    </row>
    <row r="21" spans="1:1">
      <c r="A21" t="s">
        <v>3143</v>
      </c>
    </row>
    <row r="22" spans="1:1">
      <c r="A22" t="s">
        <v>3144</v>
      </c>
    </row>
    <row r="23" spans="1:1">
      <c r="A23" t="s">
        <v>3145</v>
      </c>
    </row>
    <row r="25" spans="1:1">
      <c r="A25" s="583" t="s">
        <v>3146</v>
      </c>
    </row>
    <row r="26" spans="1:1">
      <c r="A26" t="s">
        <v>3147</v>
      </c>
    </row>
    <row r="27" spans="1:1">
      <c r="A27" t="s">
        <v>3148</v>
      </c>
    </row>
    <row r="28" spans="1:1">
      <c r="A28" t="s">
        <v>3145</v>
      </c>
    </row>
    <row r="30" spans="1:1">
      <c r="A30" s="583" t="s">
        <v>3149</v>
      </c>
    </row>
    <row r="31" spans="1:1">
      <c r="A31" t="s">
        <v>3150</v>
      </c>
    </row>
    <row r="32" spans="1:1">
      <c r="A32" t="s">
        <v>3151</v>
      </c>
    </row>
    <row r="34" spans="1:3">
      <c r="A34" t="s">
        <v>3129</v>
      </c>
    </row>
    <row r="35" spans="1:3" ht="37.5">
      <c r="A35" s="584" t="s">
        <v>3152</v>
      </c>
    </row>
    <row r="36" spans="1:3">
      <c r="A36" t="s">
        <v>3129</v>
      </c>
    </row>
    <row r="38" spans="1:3" ht="15.75">
      <c r="A38" s="580" t="s">
        <v>3153</v>
      </c>
    </row>
    <row r="39" spans="1:3">
      <c r="A39" s="581" t="s">
        <v>3154</v>
      </c>
    </row>
    <row r="40" spans="1:3">
      <c r="A40" t="s">
        <v>3133</v>
      </c>
    </row>
    <row r="42" spans="1:3">
      <c r="A42" s="582" t="s">
        <v>3155</v>
      </c>
      <c r="B42" s="582"/>
      <c r="C42" s="582" t="s">
        <v>3156</v>
      </c>
    </row>
    <row r="43" spans="1:3">
      <c r="A43" t="s">
        <v>3157</v>
      </c>
      <c r="B43" t="s">
        <v>3158</v>
      </c>
      <c r="C43" t="s">
        <v>3159</v>
      </c>
    </row>
    <row r="45" spans="1:3">
      <c r="A45" s="583" t="s">
        <v>3139</v>
      </c>
    </row>
    <row r="46" spans="1:3">
      <c r="A46" t="s">
        <v>3160</v>
      </c>
    </row>
    <row r="48" spans="1:3">
      <c r="A48" s="583" t="s">
        <v>3141</v>
      </c>
    </row>
    <row r="49" spans="1:1">
      <c r="A49" t="s">
        <v>3161</v>
      </c>
    </row>
    <row r="50" spans="1:1">
      <c r="A50" t="s">
        <v>3162</v>
      </c>
    </row>
    <row r="52" spans="1:1">
      <c r="A52" s="583" t="s">
        <v>3146</v>
      </c>
    </row>
    <row r="53" spans="1:1">
      <c r="A53" t="s">
        <v>3163</v>
      </c>
    </row>
    <row r="55" spans="1:1">
      <c r="A55" s="583" t="s">
        <v>3149</v>
      </c>
    </row>
    <row r="56" spans="1:1">
      <c r="A56" t="s">
        <v>3164</v>
      </c>
    </row>
    <row r="57" spans="1:1">
      <c r="A57" t="s">
        <v>3151</v>
      </c>
    </row>
    <row r="59" spans="1:1">
      <c r="A59" t="s">
        <v>3129</v>
      </c>
    </row>
    <row r="60" spans="1:1" ht="37.5">
      <c r="A60" s="584" t="s">
        <v>3165</v>
      </c>
    </row>
    <row r="61" spans="1:1">
      <c r="A61" t="s">
        <v>3129</v>
      </c>
    </row>
    <row r="63" spans="1:1" ht="15.75">
      <c r="A63" s="580" t="s">
        <v>3153</v>
      </c>
    </row>
    <row r="64" spans="1:1">
      <c r="A64" s="581" t="s">
        <v>3166</v>
      </c>
    </row>
    <row r="65" spans="1:3">
      <c r="A65" t="s">
        <v>3133</v>
      </c>
    </row>
    <row r="67" spans="1:3">
      <c r="A67" s="582" t="s">
        <v>3167</v>
      </c>
      <c r="B67" s="582"/>
      <c r="C67" s="582" t="s">
        <v>3168</v>
      </c>
    </row>
    <row r="68" spans="1:3">
      <c r="A68" t="s">
        <v>3169</v>
      </c>
      <c r="B68" t="s">
        <v>3170</v>
      </c>
      <c r="C68" t="s">
        <v>3171</v>
      </c>
    </row>
    <row r="70" spans="1:3">
      <c r="A70" s="583" t="s">
        <v>3139</v>
      </c>
    </row>
    <row r="71" spans="1:3">
      <c r="A71" t="s">
        <v>3172</v>
      </c>
    </row>
    <row r="72" spans="1:3">
      <c r="A72" t="s">
        <v>3173</v>
      </c>
    </row>
    <row r="74" spans="1:3">
      <c r="A74" s="583" t="s">
        <v>3141</v>
      </c>
    </row>
    <row r="75" spans="1:3">
      <c r="A75" t="s">
        <v>3174</v>
      </c>
    </row>
    <row r="76" spans="1:3">
      <c r="A76" t="s">
        <v>3175</v>
      </c>
    </row>
    <row r="78" spans="1:3">
      <c r="A78" s="583" t="s">
        <v>3146</v>
      </c>
    </row>
    <row r="79" spans="1:3">
      <c r="A79" t="s">
        <v>3176</v>
      </c>
    </row>
    <row r="80" spans="1:3">
      <c r="A80" t="s">
        <v>3177</v>
      </c>
    </row>
    <row r="82" spans="1:3">
      <c r="A82" s="583" t="s">
        <v>3149</v>
      </c>
    </row>
    <row r="83" spans="1:3">
      <c r="A83" t="s">
        <v>3178</v>
      </c>
    </row>
    <row r="84" spans="1:3">
      <c r="A84" t="s">
        <v>3179</v>
      </c>
    </row>
    <row r="85" spans="1:3">
      <c r="A85" t="s">
        <v>3151</v>
      </c>
    </row>
    <row r="87" spans="1:3">
      <c r="A87" t="s">
        <v>3129</v>
      </c>
    </row>
    <row r="88" spans="1:3" ht="18.75">
      <c r="A88" s="579" t="s">
        <v>3180</v>
      </c>
    </row>
    <row r="89" spans="1:3">
      <c r="A89" t="s">
        <v>3129</v>
      </c>
    </row>
    <row r="91" spans="1:3" ht="15.75">
      <c r="A91" s="580" t="s">
        <v>3181</v>
      </c>
    </row>
    <row r="92" spans="1:3">
      <c r="A92" s="581" t="s">
        <v>3182</v>
      </c>
    </row>
    <row r="93" spans="1:3">
      <c r="A93" t="s">
        <v>3133</v>
      </c>
    </row>
    <row r="95" spans="1:3">
      <c r="A95" s="582" t="s">
        <v>3183</v>
      </c>
      <c r="B95" s="582"/>
      <c r="C95" s="582" t="s">
        <v>3184</v>
      </c>
    </row>
    <row r="96" spans="1:3">
      <c r="A96" t="s">
        <v>3136</v>
      </c>
      <c r="B96" t="s">
        <v>3185</v>
      </c>
      <c r="C96" t="s">
        <v>3186</v>
      </c>
    </row>
    <row r="98" spans="1:1">
      <c r="A98" s="583" t="s">
        <v>3139</v>
      </c>
    </row>
    <row r="99" spans="1:1">
      <c r="A99" t="s">
        <v>3187</v>
      </c>
    </row>
    <row r="100" spans="1:1">
      <c r="A100" t="s">
        <v>3188</v>
      </c>
    </row>
    <row r="101" spans="1:1">
      <c r="A101" t="s">
        <v>3189</v>
      </c>
    </row>
    <row r="102" spans="1:1">
      <c r="A102" t="s">
        <v>3190</v>
      </c>
    </row>
    <row r="103" spans="1:1">
      <c r="A103" t="s">
        <v>3191</v>
      </c>
    </row>
    <row r="104" spans="1:1">
      <c r="A104" t="s">
        <v>3145</v>
      </c>
    </row>
    <row r="106" spans="1:1">
      <c r="A106" s="583" t="s">
        <v>3141</v>
      </c>
    </row>
    <row r="107" spans="1:1">
      <c r="A107" t="s">
        <v>3192</v>
      </c>
    </row>
    <row r="108" spans="1:1">
      <c r="A108" t="s">
        <v>3193</v>
      </c>
    </row>
    <row r="109" spans="1:1">
      <c r="A109" t="s">
        <v>3194</v>
      </c>
    </row>
    <row r="110" spans="1:1">
      <c r="A110" t="s">
        <v>3195</v>
      </c>
    </row>
    <row r="111" spans="1:1">
      <c r="A111" t="s">
        <v>3145</v>
      </c>
    </row>
    <row r="113" spans="1:1">
      <c r="A113" s="583" t="s">
        <v>3146</v>
      </c>
    </row>
    <row r="114" spans="1:1">
      <c r="A114" t="s">
        <v>3196</v>
      </c>
    </row>
    <row r="115" spans="1:1">
      <c r="A115" t="s">
        <v>3197</v>
      </c>
    </row>
    <row r="116" spans="1:1">
      <c r="A116" t="s">
        <v>3198</v>
      </c>
    </row>
    <row r="117" spans="1:1">
      <c r="A117" t="s">
        <v>3199</v>
      </c>
    </row>
    <row r="118" spans="1:1">
      <c r="A118" t="s">
        <v>3145</v>
      </c>
    </row>
    <row r="120" spans="1:1">
      <c r="A120" s="583" t="s">
        <v>3149</v>
      </c>
    </row>
    <row r="121" spans="1:1">
      <c r="A121" t="s">
        <v>3200</v>
      </c>
    </row>
    <row r="122" spans="1:1">
      <c r="A122" t="s">
        <v>3145</v>
      </c>
    </row>
    <row r="123" spans="1:1">
      <c r="A123" t="s">
        <v>3151</v>
      </c>
    </row>
    <row r="125" spans="1:1">
      <c r="A125" t="s">
        <v>3129</v>
      </c>
    </row>
    <row r="126" spans="1:1" ht="37.5">
      <c r="A126" s="584" t="s">
        <v>3201</v>
      </c>
    </row>
    <row r="127" spans="1:1">
      <c r="A127" t="s">
        <v>3129</v>
      </c>
    </row>
    <row r="129" spans="1:3" ht="15.75">
      <c r="A129" s="580" t="s">
        <v>3153</v>
      </c>
    </row>
    <row r="130" spans="1:3">
      <c r="A130" s="581" t="s">
        <v>3202</v>
      </c>
    </row>
    <row r="131" spans="1:3">
      <c r="A131" t="s">
        <v>3133</v>
      </c>
    </row>
    <row r="133" spans="1:3">
      <c r="A133" s="582" t="s">
        <v>3203</v>
      </c>
      <c r="B133" s="582"/>
      <c r="C133" s="582" t="s">
        <v>3204</v>
      </c>
    </row>
    <row r="134" spans="1:3">
      <c r="A134" t="s">
        <v>3136</v>
      </c>
      <c r="B134" t="s">
        <v>3205</v>
      </c>
      <c r="C134" t="s">
        <v>3206</v>
      </c>
    </row>
    <row r="136" spans="1:3">
      <c r="A136" s="583" t="s">
        <v>3139</v>
      </c>
    </row>
    <row r="137" spans="1:3">
      <c r="A137" t="s">
        <v>3207</v>
      </c>
    </row>
    <row r="138" spans="1:3">
      <c r="A138" t="s">
        <v>3208</v>
      </c>
    </row>
    <row r="139" spans="1:3">
      <c r="A139" t="s">
        <v>3209</v>
      </c>
    </row>
    <row r="140" spans="1:3">
      <c r="A140" t="s">
        <v>3210</v>
      </c>
    </row>
    <row r="141" spans="1:3">
      <c r="A141" t="s">
        <v>3145</v>
      </c>
    </row>
    <row r="143" spans="1:3">
      <c r="A143" s="583" t="s">
        <v>3141</v>
      </c>
    </row>
    <row r="144" spans="1:3">
      <c r="A144" t="s">
        <v>3211</v>
      </c>
    </row>
    <row r="145" spans="1:1">
      <c r="A145" t="s">
        <v>3212</v>
      </c>
    </row>
    <row r="146" spans="1:1">
      <c r="A146" t="s">
        <v>3213</v>
      </c>
    </row>
    <row r="147" spans="1:1">
      <c r="A147" t="s">
        <v>3214</v>
      </c>
    </row>
    <row r="148" spans="1:1">
      <c r="A148" t="s">
        <v>3215</v>
      </c>
    </row>
    <row r="149" spans="1:1">
      <c r="A149" t="s">
        <v>3145</v>
      </c>
    </row>
    <row r="151" spans="1:1">
      <c r="A151" s="583" t="s">
        <v>3146</v>
      </c>
    </row>
    <row r="152" spans="1:1">
      <c r="A152" t="s">
        <v>3216</v>
      </c>
    </row>
    <row r="153" spans="1:1">
      <c r="A153" t="s">
        <v>3217</v>
      </c>
    </row>
    <row r="154" spans="1:1">
      <c r="A154" t="s">
        <v>3218</v>
      </c>
    </row>
    <row r="155" spans="1:1">
      <c r="A155" t="s">
        <v>3219</v>
      </c>
    </row>
    <row r="156" spans="1:1">
      <c r="A156" t="s">
        <v>3145</v>
      </c>
    </row>
    <row r="158" spans="1:1">
      <c r="A158" s="583" t="s">
        <v>3149</v>
      </c>
    </row>
    <row r="159" spans="1:1">
      <c r="A159" t="s">
        <v>3150</v>
      </c>
    </row>
    <row r="160" spans="1:1">
      <c r="A160" t="s">
        <v>3151</v>
      </c>
    </row>
    <row r="162" spans="1:3">
      <c r="A162" s="582" t="s">
        <v>3220</v>
      </c>
      <c r="B162" s="582"/>
      <c r="C162" s="582" t="s">
        <v>3221</v>
      </c>
    </row>
    <row r="163" spans="1:3">
      <c r="A163" t="s">
        <v>3136</v>
      </c>
      <c r="B163" t="s">
        <v>3222</v>
      </c>
      <c r="C163" t="s">
        <v>3223</v>
      </c>
    </row>
    <row r="165" spans="1:3">
      <c r="A165" s="583" t="s">
        <v>3139</v>
      </c>
    </row>
    <row r="166" spans="1:3">
      <c r="A166" t="s">
        <v>3224</v>
      </c>
    </row>
    <row r="168" spans="1:3">
      <c r="A168" s="583" t="s">
        <v>3141</v>
      </c>
    </row>
    <row r="169" spans="1:3">
      <c r="A169" t="s">
        <v>3192</v>
      </c>
    </row>
    <row r="170" spans="1:3">
      <c r="A170" t="s">
        <v>3225</v>
      </c>
    </row>
    <row r="171" spans="1:3">
      <c r="A171" t="s">
        <v>3226</v>
      </c>
    </row>
    <row r="172" spans="1:3">
      <c r="A172" t="s">
        <v>3227</v>
      </c>
    </row>
    <row r="173" spans="1:3">
      <c r="A173" t="s">
        <v>3145</v>
      </c>
    </row>
    <row r="175" spans="1:3">
      <c r="A175" s="583" t="s">
        <v>3146</v>
      </c>
    </row>
    <row r="176" spans="1:3">
      <c r="A176" t="s">
        <v>3196</v>
      </c>
    </row>
    <row r="177" spans="1:3">
      <c r="A177" t="s">
        <v>3228</v>
      </c>
    </row>
    <row r="178" spans="1:3">
      <c r="A178" t="s">
        <v>3229</v>
      </c>
    </row>
    <row r="179" spans="1:3">
      <c r="A179" t="s">
        <v>3230</v>
      </c>
    </row>
    <row r="180" spans="1:3">
      <c r="A180" t="s">
        <v>3145</v>
      </c>
    </row>
    <row r="182" spans="1:3">
      <c r="A182" s="583" t="s">
        <v>3149</v>
      </c>
    </row>
    <row r="183" spans="1:3">
      <c r="A183" t="s">
        <v>3200</v>
      </c>
    </row>
    <row r="184" spans="1:3">
      <c r="A184" t="s">
        <v>3231</v>
      </c>
    </row>
    <row r="185" spans="1:3">
      <c r="A185" t="s">
        <v>3145</v>
      </c>
    </row>
    <row r="186" spans="1:3">
      <c r="A186" t="s">
        <v>3151</v>
      </c>
    </row>
    <row r="188" spans="1:3">
      <c r="A188" s="582" t="s">
        <v>3232</v>
      </c>
      <c r="B188" s="582"/>
      <c r="C188" s="582" t="s">
        <v>3233</v>
      </c>
    </row>
    <row r="189" spans="1:3">
      <c r="A189" t="s">
        <v>3136</v>
      </c>
      <c r="B189" t="s">
        <v>3234</v>
      </c>
      <c r="C189" t="s">
        <v>3206</v>
      </c>
    </row>
    <row r="191" spans="1:3">
      <c r="A191" s="583" t="s">
        <v>3139</v>
      </c>
    </row>
    <row r="192" spans="1:3">
      <c r="A192" t="s">
        <v>3235</v>
      </c>
    </row>
    <row r="194" spans="1:3">
      <c r="A194" s="583" t="s">
        <v>3141</v>
      </c>
    </row>
    <row r="195" spans="1:3">
      <c r="A195" t="s">
        <v>3172</v>
      </c>
    </row>
    <row r="196" spans="1:3">
      <c r="A196" t="s">
        <v>3236</v>
      </c>
    </row>
    <row r="198" spans="1:3">
      <c r="A198" s="583" t="s">
        <v>3146</v>
      </c>
    </row>
    <row r="199" spans="1:3">
      <c r="A199" t="s">
        <v>3237</v>
      </c>
    </row>
    <row r="200" spans="1:3">
      <c r="A200" t="s">
        <v>3238</v>
      </c>
    </row>
    <row r="202" spans="1:3">
      <c r="A202" s="583" t="s">
        <v>3149</v>
      </c>
    </row>
    <row r="203" spans="1:3">
      <c r="A203" t="s">
        <v>3239</v>
      </c>
    </row>
    <row r="204" spans="1:3">
      <c r="A204" t="s">
        <v>3238</v>
      </c>
    </row>
    <row r="205" spans="1:3">
      <c r="A205" t="s">
        <v>3151</v>
      </c>
    </row>
    <row r="207" spans="1:3">
      <c r="A207" s="582" t="s">
        <v>3240</v>
      </c>
      <c r="B207" s="582"/>
      <c r="C207" s="582" t="s">
        <v>3241</v>
      </c>
    </row>
    <row r="208" spans="1:3">
      <c r="A208" t="s">
        <v>3242</v>
      </c>
      <c r="B208" t="s">
        <v>3243</v>
      </c>
      <c r="C208" t="s">
        <v>3223</v>
      </c>
    </row>
    <row r="210" spans="1:1">
      <c r="A210" s="583" t="s">
        <v>3139</v>
      </c>
    </row>
    <row r="211" spans="1:1">
      <c r="A211" t="s">
        <v>3244</v>
      </c>
    </row>
    <row r="212" spans="1:1">
      <c r="A212" t="s">
        <v>3245</v>
      </c>
    </row>
    <row r="214" spans="1:1">
      <c r="A214" s="583" t="s">
        <v>3141</v>
      </c>
    </row>
    <row r="215" spans="1:1">
      <c r="A215" t="s">
        <v>3172</v>
      </c>
    </row>
    <row r="216" spans="1:1">
      <c r="A216" t="s">
        <v>3246</v>
      </c>
    </row>
    <row r="218" spans="1:1">
      <c r="A218" s="583" t="s">
        <v>3146</v>
      </c>
    </row>
    <row r="219" spans="1:1">
      <c r="A219" t="s">
        <v>3237</v>
      </c>
    </row>
    <row r="220" spans="1:1">
      <c r="A220" t="s">
        <v>3247</v>
      </c>
    </row>
    <row r="222" spans="1:1">
      <c r="A222" s="583" t="s">
        <v>3149</v>
      </c>
    </row>
    <row r="223" spans="1:1">
      <c r="A223" t="s">
        <v>3239</v>
      </c>
    </row>
    <row r="224" spans="1:1">
      <c r="A224" t="s">
        <v>3248</v>
      </c>
    </row>
    <row r="225" spans="1:3">
      <c r="A225" t="s">
        <v>3151</v>
      </c>
    </row>
    <row r="227" spans="1:3">
      <c r="A227" s="582" t="s">
        <v>3249</v>
      </c>
      <c r="B227" s="582"/>
      <c r="C227" s="582" t="s">
        <v>3250</v>
      </c>
    </row>
    <row r="228" spans="1:3">
      <c r="A228" t="s">
        <v>3251</v>
      </c>
      <c r="B228" t="s">
        <v>3252</v>
      </c>
      <c r="C228" t="s">
        <v>3223</v>
      </c>
    </row>
    <row r="230" spans="1:3">
      <c r="A230" s="583" t="s">
        <v>3139</v>
      </c>
    </row>
    <row r="231" spans="1:3">
      <c r="A231" t="s">
        <v>3210</v>
      </c>
    </row>
    <row r="233" spans="1:3">
      <c r="A233" s="583" t="s">
        <v>3141</v>
      </c>
    </row>
    <row r="234" spans="1:3">
      <c r="A234" t="s">
        <v>3192</v>
      </c>
    </row>
    <row r="235" spans="1:3">
      <c r="A235" t="s">
        <v>3253</v>
      </c>
    </row>
    <row r="236" spans="1:3">
      <c r="A236" t="s">
        <v>3254</v>
      </c>
    </row>
    <row r="237" spans="1:3">
      <c r="A237" t="s">
        <v>3255</v>
      </c>
    </row>
    <row r="238" spans="1:3">
      <c r="A238" t="s">
        <v>3256</v>
      </c>
    </row>
    <row r="239" spans="1:3">
      <c r="A239" t="s">
        <v>3145</v>
      </c>
    </row>
    <row r="241" spans="1:1">
      <c r="A241" s="583" t="s">
        <v>3146</v>
      </c>
    </row>
    <row r="242" spans="1:1">
      <c r="A242" t="s">
        <v>3196</v>
      </c>
    </row>
    <row r="243" spans="1:1">
      <c r="A243" t="s">
        <v>3257</v>
      </c>
    </row>
    <row r="244" spans="1:1">
      <c r="A244" t="s">
        <v>3254</v>
      </c>
    </row>
    <row r="245" spans="1:1">
      <c r="A245" t="s">
        <v>3258</v>
      </c>
    </row>
    <row r="246" spans="1:1">
      <c r="A246" t="s">
        <v>3259</v>
      </c>
    </row>
    <row r="247" spans="1:1">
      <c r="A247" t="s">
        <v>3145</v>
      </c>
    </row>
    <row r="249" spans="1:1">
      <c r="A249" s="583" t="s">
        <v>3149</v>
      </c>
    </row>
    <row r="250" spans="1:1">
      <c r="A250" t="s">
        <v>3260</v>
      </c>
    </row>
    <row r="251" spans="1:1">
      <c r="A251" t="s">
        <v>3261</v>
      </c>
    </row>
    <row r="252" spans="1:1">
      <c r="A252" t="s">
        <v>3262</v>
      </c>
    </row>
    <row r="253" spans="1:1">
      <c r="A253" t="s">
        <v>3145</v>
      </c>
    </row>
    <row r="254" spans="1:1">
      <c r="A254" t="s">
        <v>3151</v>
      </c>
    </row>
    <row r="255" spans="1:1">
      <c r="A255" s="581" t="s">
        <v>3263</v>
      </c>
    </row>
    <row r="256" spans="1:1">
      <c r="A256" t="s">
        <v>3133</v>
      </c>
    </row>
    <row r="258" spans="1:3">
      <c r="A258" s="582" t="s">
        <v>3264</v>
      </c>
      <c r="B258" s="582"/>
      <c r="C258" s="582" t="s">
        <v>3265</v>
      </c>
    </row>
    <row r="259" spans="1:3">
      <c r="A259" t="s">
        <v>3242</v>
      </c>
      <c r="B259" t="s">
        <v>3266</v>
      </c>
      <c r="C259" t="s">
        <v>3267</v>
      </c>
    </row>
    <row r="261" spans="1:3">
      <c r="A261" s="583" t="s">
        <v>3139</v>
      </c>
    </row>
    <row r="262" spans="1:3">
      <c r="A262" t="s">
        <v>3208</v>
      </c>
    </row>
    <row r="264" spans="1:3">
      <c r="A264" s="583" t="s">
        <v>3141</v>
      </c>
    </row>
    <row r="265" spans="1:3">
      <c r="A265" t="s">
        <v>3192</v>
      </c>
    </row>
    <row r="266" spans="1:3">
      <c r="A266" t="s">
        <v>3268</v>
      </c>
    </row>
    <row r="267" spans="1:3">
      <c r="A267" t="s">
        <v>3269</v>
      </c>
    </row>
    <row r="268" spans="1:3">
      <c r="A268" t="s">
        <v>3270</v>
      </c>
    </row>
    <row r="269" spans="1:3">
      <c r="A269" t="s">
        <v>3145</v>
      </c>
    </row>
    <row r="271" spans="1:3">
      <c r="A271" s="583" t="s">
        <v>3146</v>
      </c>
    </row>
    <row r="272" spans="1:3">
      <c r="A272" t="s">
        <v>3196</v>
      </c>
    </row>
    <row r="273" spans="1:1">
      <c r="A273" t="s">
        <v>3271</v>
      </c>
    </row>
    <row r="274" spans="1:1">
      <c r="A274" t="s">
        <v>3272</v>
      </c>
    </row>
    <row r="275" spans="1:1">
      <c r="A275" t="s">
        <v>3273</v>
      </c>
    </row>
    <row r="276" spans="1:1">
      <c r="A276" t="s">
        <v>3145</v>
      </c>
    </row>
    <row r="278" spans="1:1">
      <c r="A278" s="583" t="s">
        <v>3149</v>
      </c>
    </row>
    <row r="279" spans="1:1">
      <c r="A279" t="s">
        <v>3200</v>
      </c>
    </row>
    <row r="280" spans="1:1">
      <c r="A280" t="s">
        <v>3274</v>
      </c>
    </row>
    <row r="281" spans="1:1">
      <c r="A281" t="s">
        <v>3145</v>
      </c>
    </row>
    <row r="282" spans="1:1">
      <c r="A282" t="s">
        <v>3151</v>
      </c>
    </row>
    <row r="284" spans="1:1">
      <c r="A284" t="s">
        <v>3129</v>
      </c>
    </row>
    <row r="285" spans="1:1" ht="18.75">
      <c r="A285" s="579" t="s">
        <v>3275</v>
      </c>
    </row>
    <row r="286" spans="1:1">
      <c r="A286" t="s">
        <v>3129</v>
      </c>
    </row>
    <row r="288" spans="1:1" ht="15.75">
      <c r="A288" s="580" t="s">
        <v>3181</v>
      </c>
    </row>
    <row r="289" spans="1:3">
      <c r="A289" s="581" t="s">
        <v>3276</v>
      </c>
    </row>
    <row r="290" spans="1:3">
      <c r="A290" t="s">
        <v>3133</v>
      </c>
    </row>
    <row r="292" spans="1:3">
      <c r="A292" s="582" t="s">
        <v>3277</v>
      </c>
      <c r="B292" s="582"/>
      <c r="C292" s="582" t="s">
        <v>3278</v>
      </c>
    </row>
    <row r="293" spans="1:3">
      <c r="A293" t="s">
        <v>3279</v>
      </c>
      <c r="B293" t="s">
        <v>3158</v>
      </c>
      <c r="C293" t="s">
        <v>3280</v>
      </c>
    </row>
    <row r="295" spans="1:3">
      <c r="A295" s="583" t="s">
        <v>3139</v>
      </c>
    </row>
    <row r="296" spans="1:3">
      <c r="A296" t="s">
        <v>3281</v>
      </c>
    </row>
    <row r="298" spans="1:3">
      <c r="A298" s="583" t="s">
        <v>3141</v>
      </c>
    </row>
    <row r="299" spans="1:3">
      <c r="A299" t="s">
        <v>3282</v>
      </c>
    </row>
    <row r="301" spans="1:3">
      <c r="A301" s="583" t="s">
        <v>3146</v>
      </c>
    </row>
    <row r="302" spans="1:3">
      <c r="A302" t="s">
        <v>3283</v>
      </c>
    </row>
    <row r="304" spans="1:3">
      <c r="A304" s="583" t="s">
        <v>3149</v>
      </c>
    </row>
    <row r="305" spans="1:3">
      <c r="A305" t="s">
        <v>3150</v>
      </c>
    </row>
    <row r="306" spans="1:3">
      <c r="A306" t="s">
        <v>3151</v>
      </c>
    </row>
    <row r="308" spans="1:3">
      <c r="A308" s="582" t="s">
        <v>3284</v>
      </c>
      <c r="B308" s="582"/>
      <c r="C308" s="582" t="s">
        <v>3285</v>
      </c>
    </row>
    <row r="309" spans="1:3">
      <c r="A309" t="s">
        <v>3279</v>
      </c>
      <c r="B309" t="s">
        <v>3158</v>
      </c>
      <c r="C309" t="s">
        <v>3280</v>
      </c>
    </row>
    <row r="311" spans="1:3">
      <c r="A311" s="583" t="s">
        <v>3139</v>
      </c>
    </row>
    <row r="312" spans="1:3">
      <c r="A312" t="s">
        <v>3286</v>
      </c>
    </row>
    <row r="313" spans="1:3">
      <c r="A313" t="s">
        <v>3287</v>
      </c>
    </row>
    <row r="315" spans="1:3">
      <c r="A315" s="583" t="s">
        <v>3141</v>
      </c>
    </row>
    <row r="316" spans="1:3">
      <c r="A316" t="s">
        <v>3282</v>
      </c>
    </row>
    <row r="318" spans="1:3">
      <c r="A318" s="583" t="s">
        <v>3146</v>
      </c>
    </row>
    <row r="319" spans="1:3">
      <c r="A319" t="s">
        <v>3282</v>
      </c>
    </row>
    <row r="321" spans="1:3">
      <c r="A321" s="583" t="s">
        <v>3149</v>
      </c>
    </row>
    <row r="322" spans="1:3">
      <c r="A322" t="s">
        <v>3150</v>
      </c>
    </row>
    <row r="323" spans="1:3">
      <c r="A323" t="s">
        <v>3151</v>
      </c>
    </row>
    <row r="325" spans="1:3">
      <c r="A325" s="582" t="s">
        <v>3288</v>
      </c>
      <c r="B325" s="582"/>
      <c r="C325" s="582" t="s">
        <v>3289</v>
      </c>
    </row>
    <row r="326" spans="1:3">
      <c r="A326" t="s">
        <v>3279</v>
      </c>
      <c r="B326" t="s">
        <v>3158</v>
      </c>
      <c r="C326" t="s">
        <v>3280</v>
      </c>
    </row>
    <row r="328" spans="1:3">
      <c r="A328" s="583" t="s">
        <v>3139</v>
      </c>
    </row>
    <row r="329" spans="1:3">
      <c r="A329" t="s">
        <v>3290</v>
      </c>
    </row>
    <row r="331" spans="1:3">
      <c r="A331" s="583" t="s">
        <v>3141</v>
      </c>
    </row>
    <row r="332" spans="1:3">
      <c r="A332" t="s">
        <v>3282</v>
      </c>
    </row>
    <row r="334" spans="1:3">
      <c r="A334" s="583" t="s">
        <v>3146</v>
      </c>
    </row>
    <row r="335" spans="1:3">
      <c r="A335" t="s">
        <v>3282</v>
      </c>
    </row>
    <row r="337" spans="1:3">
      <c r="A337" s="583" t="s">
        <v>3149</v>
      </c>
    </row>
    <row r="338" spans="1:3">
      <c r="A338" t="s">
        <v>3150</v>
      </c>
    </row>
    <row r="339" spans="1:3">
      <c r="A339" t="s">
        <v>3151</v>
      </c>
    </row>
    <row r="341" spans="1:3">
      <c r="A341" t="s">
        <v>3129</v>
      </c>
    </row>
    <row r="342" spans="1:3" ht="18.75">
      <c r="A342" s="579" t="s">
        <v>3291</v>
      </c>
    </row>
    <row r="343" spans="1:3">
      <c r="A343" t="s">
        <v>3129</v>
      </c>
    </row>
    <row r="345" spans="1:3" ht="15.75">
      <c r="A345" s="580" t="s">
        <v>3181</v>
      </c>
    </row>
    <row r="346" spans="1:3">
      <c r="A346" s="581" t="s">
        <v>3276</v>
      </c>
    </row>
    <row r="347" spans="1:3">
      <c r="A347" t="s">
        <v>3133</v>
      </c>
    </row>
    <row r="349" spans="1:3">
      <c r="A349" s="582" t="s">
        <v>3292</v>
      </c>
      <c r="B349" s="582"/>
      <c r="C349" s="582" t="s">
        <v>3293</v>
      </c>
    </row>
    <row r="350" spans="1:3">
      <c r="A350" t="s">
        <v>3136</v>
      </c>
      <c r="B350" t="s">
        <v>3294</v>
      </c>
      <c r="C350" t="s">
        <v>3267</v>
      </c>
    </row>
    <row r="352" spans="1:3">
      <c r="A352" s="583" t="s">
        <v>3139</v>
      </c>
    </row>
    <row r="353" spans="1:1">
      <c r="A353" t="s">
        <v>3295</v>
      </c>
    </row>
    <row r="355" spans="1:1">
      <c r="A355" s="583" t="s">
        <v>3141</v>
      </c>
    </row>
    <row r="356" spans="1:1">
      <c r="A356" t="s">
        <v>3296</v>
      </c>
    </row>
    <row r="357" spans="1:1">
      <c r="A357" t="s">
        <v>3297</v>
      </c>
    </row>
    <row r="358" spans="1:1">
      <c r="A358" t="s">
        <v>3298</v>
      </c>
    </row>
    <row r="359" spans="1:1">
      <c r="A359" t="s">
        <v>3299</v>
      </c>
    </row>
    <row r="360" spans="1:1">
      <c r="A360" t="s">
        <v>3300</v>
      </c>
    </row>
    <row r="361" spans="1:1">
      <c r="A361" t="s">
        <v>3145</v>
      </c>
    </row>
    <row r="363" spans="1:1">
      <c r="A363" s="583" t="s">
        <v>3146</v>
      </c>
    </row>
    <row r="364" spans="1:1">
      <c r="A364" t="s">
        <v>3301</v>
      </c>
    </row>
    <row r="365" spans="1:1">
      <c r="A365" t="s">
        <v>3302</v>
      </c>
    </row>
    <row r="366" spans="1:1">
      <c r="A366" t="s">
        <v>3303</v>
      </c>
    </row>
    <row r="367" spans="1:1">
      <c r="A367" t="s">
        <v>3304</v>
      </c>
    </row>
    <row r="369" spans="1:3">
      <c r="A369" s="583" t="s">
        <v>3149</v>
      </c>
    </row>
    <row r="370" spans="1:3">
      <c r="A370" t="s">
        <v>3150</v>
      </c>
    </row>
    <row r="371" spans="1:3">
      <c r="A371" t="s">
        <v>3151</v>
      </c>
    </row>
    <row r="373" spans="1:3">
      <c r="A373" s="582" t="s">
        <v>3305</v>
      </c>
      <c r="B373" s="582"/>
      <c r="C373" s="582" t="s">
        <v>3306</v>
      </c>
    </row>
    <row r="374" spans="1:3">
      <c r="A374" t="s">
        <v>3136</v>
      </c>
      <c r="B374" t="s">
        <v>3185</v>
      </c>
      <c r="C374" t="s">
        <v>3307</v>
      </c>
    </row>
    <row r="376" spans="1:3">
      <c r="A376" s="583" t="s">
        <v>3139</v>
      </c>
    </row>
    <row r="377" spans="1:3">
      <c r="A377" t="s">
        <v>3308</v>
      </c>
    </row>
    <row r="379" spans="1:3">
      <c r="A379" s="583" t="s">
        <v>3141</v>
      </c>
    </row>
    <row r="380" spans="1:3">
      <c r="A380" t="s">
        <v>3309</v>
      </c>
    </row>
    <row r="381" spans="1:3">
      <c r="A381" t="s">
        <v>3310</v>
      </c>
    </row>
    <row r="382" spans="1:3">
      <c r="A382" t="s">
        <v>3311</v>
      </c>
    </row>
    <row r="384" spans="1:3">
      <c r="A384" s="583" t="s">
        <v>3146</v>
      </c>
    </row>
    <row r="385" spans="1:1">
      <c r="A385" t="s">
        <v>3312</v>
      </c>
    </row>
    <row r="386" spans="1:1">
      <c r="A386" t="s">
        <v>3313</v>
      </c>
    </row>
    <row r="387" spans="1:1">
      <c r="A387" t="s">
        <v>3314</v>
      </c>
    </row>
    <row r="389" spans="1:1">
      <c r="A389" s="583" t="s">
        <v>3149</v>
      </c>
    </row>
    <row r="390" spans="1:1">
      <c r="A390" t="s">
        <v>3315</v>
      </c>
    </row>
    <row r="391" spans="1:1">
      <c r="A391" t="s">
        <v>3151</v>
      </c>
    </row>
    <row r="393" spans="1:1">
      <c r="A393" t="s">
        <v>3129</v>
      </c>
    </row>
    <row r="394" spans="1:1" ht="18.75">
      <c r="A394" s="579" t="s">
        <v>3316</v>
      </c>
    </row>
    <row r="395" spans="1:1">
      <c r="A395" t="s">
        <v>3129</v>
      </c>
    </row>
    <row r="397" spans="1:1" ht="15.75">
      <c r="A397" s="580" t="s">
        <v>3181</v>
      </c>
    </row>
    <row r="398" spans="1:1">
      <c r="A398" s="581" t="s">
        <v>3276</v>
      </c>
    </row>
    <row r="399" spans="1:1">
      <c r="A399" t="s">
        <v>3133</v>
      </c>
    </row>
    <row r="401" spans="1:3">
      <c r="A401" s="582" t="s">
        <v>3317</v>
      </c>
      <c r="B401" s="582"/>
      <c r="C401" s="582" t="s">
        <v>3318</v>
      </c>
    </row>
    <row r="402" spans="1:3">
      <c r="A402" t="s">
        <v>3279</v>
      </c>
      <c r="B402" t="s">
        <v>3158</v>
      </c>
      <c r="C402" t="s">
        <v>3280</v>
      </c>
    </row>
    <row r="404" spans="1:3">
      <c r="A404" s="583" t="s">
        <v>3139</v>
      </c>
    </row>
    <row r="405" spans="1:3">
      <c r="A405" t="s">
        <v>3319</v>
      </c>
    </row>
    <row r="407" spans="1:3">
      <c r="A407" s="583" t="s">
        <v>3141</v>
      </c>
    </row>
    <row r="408" spans="1:3">
      <c r="A408" t="s">
        <v>3282</v>
      </c>
    </row>
    <row r="410" spans="1:3">
      <c r="A410" s="583" t="s">
        <v>3146</v>
      </c>
    </row>
    <row r="411" spans="1:3">
      <c r="A411" t="s">
        <v>3320</v>
      </c>
    </row>
    <row r="413" spans="1:3">
      <c r="A413" s="583" t="s">
        <v>3149</v>
      </c>
    </row>
    <row r="414" spans="1:3">
      <c r="A414" t="s">
        <v>3150</v>
      </c>
    </row>
    <row r="415" spans="1:3">
      <c r="A415" t="s">
        <v>3151</v>
      </c>
    </row>
    <row r="417" spans="1:3">
      <c r="A417" t="s">
        <v>3129</v>
      </c>
    </row>
    <row r="418" spans="1:3" ht="18.75">
      <c r="A418" s="579" t="s">
        <v>3321</v>
      </c>
    </row>
    <row r="419" spans="1:3">
      <c r="A419" t="s">
        <v>3129</v>
      </c>
    </row>
    <row r="421" spans="1:3" ht="15.75">
      <c r="A421" s="580" t="s">
        <v>3181</v>
      </c>
    </row>
    <row r="422" spans="1:3">
      <c r="A422" s="581" t="s">
        <v>3276</v>
      </c>
    </row>
    <row r="423" spans="1:3">
      <c r="A423" t="s">
        <v>3133</v>
      </c>
    </row>
    <row r="425" spans="1:3">
      <c r="A425" s="582" t="s">
        <v>3322</v>
      </c>
      <c r="B425" s="582"/>
      <c r="C425" s="582" t="s">
        <v>3323</v>
      </c>
    </row>
    <row r="426" spans="1:3">
      <c r="A426" t="s">
        <v>3279</v>
      </c>
      <c r="B426" t="s">
        <v>3158</v>
      </c>
      <c r="C426" t="s">
        <v>3280</v>
      </c>
    </row>
    <row r="428" spans="1:3">
      <c r="A428" s="583" t="s">
        <v>3139</v>
      </c>
    </row>
    <row r="429" spans="1:3">
      <c r="A429" t="s">
        <v>3324</v>
      </c>
    </row>
    <row r="430" spans="1:3">
      <c r="A430" t="s">
        <v>3325</v>
      </c>
    </row>
    <row r="432" spans="1:3">
      <c r="A432" s="583" t="s">
        <v>3141</v>
      </c>
    </row>
    <row r="433" spans="1:1">
      <c r="A433" t="s">
        <v>3282</v>
      </c>
    </row>
    <row r="435" spans="1:1">
      <c r="A435" s="583" t="s">
        <v>3146</v>
      </c>
    </row>
    <row r="436" spans="1:1">
      <c r="A436" t="s">
        <v>3326</v>
      </c>
    </row>
    <row r="438" spans="1:1">
      <c r="A438" s="583" t="s">
        <v>3149</v>
      </c>
    </row>
    <row r="439" spans="1:1">
      <c r="A439" t="s">
        <v>3150</v>
      </c>
    </row>
    <row r="440" spans="1:1">
      <c r="A440" t="s">
        <v>3151</v>
      </c>
    </row>
    <row r="442" spans="1:1">
      <c r="A442" t="s">
        <v>3129</v>
      </c>
    </row>
    <row r="443" spans="1:1" ht="18.75">
      <c r="A443" s="579" t="s">
        <v>3327</v>
      </c>
    </row>
    <row r="444" spans="1:1">
      <c r="A444" t="s">
        <v>3129</v>
      </c>
    </row>
    <row r="446" spans="1:1" ht="15.75">
      <c r="A446" s="580" t="s">
        <v>3153</v>
      </c>
    </row>
    <row r="447" spans="1:1">
      <c r="A447" s="581" t="s">
        <v>3202</v>
      </c>
    </row>
    <row r="448" spans="1:1">
      <c r="A448" t="s">
        <v>3133</v>
      </c>
    </row>
    <row r="450" spans="1:3">
      <c r="A450" s="582" t="s">
        <v>3328</v>
      </c>
      <c r="B450" s="582"/>
      <c r="C450" s="582" t="s">
        <v>3329</v>
      </c>
    </row>
    <row r="451" spans="1:3">
      <c r="A451" t="s">
        <v>3251</v>
      </c>
      <c r="B451" t="s">
        <v>3330</v>
      </c>
      <c r="C451" t="s">
        <v>3331</v>
      </c>
    </row>
    <row r="453" spans="1:3">
      <c r="A453" s="583" t="s">
        <v>3139</v>
      </c>
    </row>
    <row r="454" spans="1:3">
      <c r="A454" t="s">
        <v>3172</v>
      </c>
    </row>
    <row r="455" spans="1:3">
      <c r="A455" t="s">
        <v>3332</v>
      </c>
    </row>
    <row r="457" spans="1:3">
      <c r="A457" s="583" t="s">
        <v>3141</v>
      </c>
    </row>
    <row r="458" spans="1:3">
      <c r="A458" t="s">
        <v>3174</v>
      </c>
    </row>
    <row r="459" spans="1:3">
      <c r="A459" t="s">
        <v>3333</v>
      </c>
    </row>
    <row r="461" spans="1:3">
      <c r="A461" s="583" t="s">
        <v>3146</v>
      </c>
    </row>
    <row r="462" spans="1:3">
      <c r="A462" t="s">
        <v>3176</v>
      </c>
    </row>
    <row r="463" spans="1:3">
      <c r="A463" t="s">
        <v>3334</v>
      </c>
    </row>
    <row r="465" spans="1:3">
      <c r="A465" s="583" t="s">
        <v>3149</v>
      </c>
    </row>
    <row r="466" spans="1:3">
      <c r="A466" t="s">
        <v>3178</v>
      </c>
    </row>
    <row r="467" spans="1:3">
      <c r="A467" t="s">
        <v>3335</v>
      </c>
    </row>
    <row r="468" spans="1:3">
      <c r="A468" t="s">
        <v>3151</v>
      </c>
    </row>
    <row r="470" spans="1:3">
      <c r="A470" t="s">
        <v>3129</v>
      </c>
    </row>
    <row r="471" spans="1:3" ht="18.75">
      <c r="A471" s="579" t="s">
        <v>3336</v>
      </c>
    </row>
    <row r="472" spans="1:3">
      <c r="A472" t="s">
        <v>3129</v>
      </c>
    </row>
    <row r="474" spans="1:3" ht="15.75">
      <c r="A474" s="580" t="s">
        <v>3337</v>
      </c>
    </row>
    <row r="475" spans="1:3">
      <c r="A475" s="581" t="s">
        <v>3338</v>
      </c>
    </row>
    <row r="476" spans="1:3">
      <c r="A476" t="s">
        <v>3133</v>
      </c>
    </row>
    <row r="478" spans="1:3">
      <c r="A478" s="582" t="s">
        <v>3339</v>
      </c>
      <c r="B478" s="582"/>
      <c r="C478" s="582" t="s">
        <v>3340</v>
      </c>
    </row>
    <row r="479" spans="1:3">
      <c r="A479" t="s">
        <v>3157</v>
      </c>
      <c r="B479" t="s">
        <v>3341</v>
      </c>
      <c r="C479" t="s">
        <v>3342</v>
      </c>
    </row>
    <row r="481" spans="1:1">
      <c r="A481" s="583" t="s">
        <v>3139</v>
      </c>
    </row>
    <row r="482" spans="1:1">
      <c r="A482" t="s">
        <v>3343</v>
      </c>
    </row>
    <row r="483" spans="1:1">
      <c r="A483" t="s">
        <v>3344</v>
      </c>
    </row>
    <row r="484" spans="1:1">
      <c r="A484" t="s">
        <v>3345</v>
      </c>
    </row>
    <row r="485" spans="1:1">
      <c r="A485" t="s">
        <v>3346</v>
      </c>
    </row>
    <row r="486" spans="1:1">
      <c r="A486" t="s">
        <v>3145</v>
      </c>
    </row>
    <row r="488" spans="1:1">
      <c r="A488" s="583" t="s">
        <v>3141</v>
      </c>
    </row>
    <row r="489" spans="1:1">
      <c r="A489" t="s">
        <v>3347</v>
      </c>
    </row>
    <row r="490" spans="1:1">
      <c r="A490" t="s">
        <v>3348</v>
      </c>
    </row>
    <row r="491" spans="1:1">
      <c r="A491" t="s">
        <v>3349</v>
      </c>
    </row>
    <row r="492" spans="1:1">
      <c r="A492" t="s">
        <v>3350</v>
      </c>
    </row>
    <row r="494" spans="1:1">
      <c r="A494" s="583" t="s">
        <v>3146</v>
      </c>
    </row>
    <row r="495" spans="1:1">
      <c r="A495" t="s">
        <v>3351</v>
      </c>
    </row>
    <row r="496" spans="1:1">
      <c r="A496" t="s">
        <v>3352</v>
      </c>
    </row>
    <row r="498" spans="1:3">
      <c r="A498" s="583" t="s">
        <v>3149</v>
      </c>
    </row>
    <row r="499" spans="1:3">
      <c r="A499" t="s">
        <v>3353</v>
      </c>
    </row>
    <row r="500" spans="1:3">
      <c r="A500" t="s">
        <v>3151</v>
      </c>
    </row>
    <row r="502" spans="1:3">
      <c r="A502" s="582" t="s">
        <v>3354</v>
      </c>
      <c r="B502" s="582"/>
      <c r="C502" s="582" t="s">
        <v>3340</v>
      </c>
    </row>
    <row r="503" spans="1:3">
      <c r="A503" t="s">
        <v>3157</v>
      </c>
      <c r="B503" t="s">
        <v>3341</v>
      </c>
      <c r="C503" t="s">
        <v>3342</v>
      </c>
    </row>
    <row r="505" spans="1:3">
      <c r="A505" s="583" t="s">
        <v>3139</v>
      </c>
    </row>
    <row r="506" spans="1:3">
      <c r="A506" t="s">
        <v>3343</v>
      </c>
    </row>
    <row r="507" spans="1:3">
      <c r="A507" t="s">
        <v>3355</v>
      </c>
    </row>
    <row r="508" spans="1:3">
      <c r="A508" t="s">
        <v>3356</v>
      </c>
    </row>
    <row r="509" spans="1:3">
      <c r="A509" t="s">
        <v>3345</v>
      </c>
    </row>
    <row r="510" spans="1:3">
      <c r="A510" t="s">
        <v>3145</v>
      </c>
    </row>
    <row r="512" spans="1:3">
      <c r="A512" s="583" t="s">
        <v>3141</v>
      </c>
    </row>
    <row r="513" spans="1:3">
      <c r="A513" t="s">
        <v>3357</v>
      </c>
    </row>
    <row r="514" spans="1:3">
      <c r="A514" t="s">
        <v>3358</v>
      </c>
    </row>
    <row r="515" spans="1:3">
      <c r="A515" t="s">
        <v>3359</v>
      </c>
    </row>
    <row r="517" spans="1:3">
      <c r="A517" s="583" t="s">
        <v>3146</v>
      </c>
    </row>
    <row r="518" spans="1:3">
      <c r="A518" t="s">
        <v>3351</v>
      </c>
    </row>
    <row r="519" spans="1:3">
      <c r="A519" t="s">
        <v>3360</v>
      </c>
    </row>
    <row r="520" spans="1:3">
      <c r="A520" t="s">
        <v>3361</v>
      </c>
    </row>
    <row r="522" spans="1:3">
      <c r="A522" s="583" t="s">
        <v>3149</v>
      </c>
    </row>
    <row r="523" spans="1:3">
      <c r="A523" t="s">
        <v>3353</v>
      </c>
    </row>
    <row r="524" spans="1:3">
      <c r="A524" t="s">
        <v>3151</v>
      </c>
    </row>
    <row r="526" spans="1:3">
      <c r="A526" s="582" t="s">
        <v>3362</v>
      </c>
      <c r="B526" s="582"/>
      <c r="C526" s="582" t="s">
        <v>3340</v>
      </c>
    </row>
    <row r="527" spans="1:3">
      <c r="A527" t="s">
        <v>3157</v>
      </c>
      <c r="B527" t="s">
        <v>3341</v>
      </c>
      <c r="C527" t="s">
        <v>3342</v>
      </c>
    </row>
    <row r="529" spans="1:1">
      <c r="A529" s="583" t="s">
        <v>3139</v>
      </c>
    </row>
    <row r="530" spans="1:1">
      <c r="A530" t="s">
        <v>3363</v>
      </c>
    </row>
    <row r="531" spans="1:1">
      <c r="A531" t="s">
        <v>3364</v>
      </c>
    </row>
    <row r="532" spans="1:1">
      <c r="A532" t="s">
        <v>3365</v>
      </c>
    </row>
    <row r="533" spans="1:1">
      <c r="A533" t="s">
        <v>3366</v>
      </c>
    </row>
    <row r="535" spans="1:1">
      <c r="A535" s="583" t="s">
        <v>3141</v>
      </c>
    </row>
    <row r="536" spans="1:1">
      <c r="A536" t="s">
        <v>3367</v>
      </c>
    </row>
    <row r="537" spans="1:1">
      <c r="A537" t="s">
        <v>3368</v>
      </c>
    </row>
    <row r="539" spans="1:1">
      <c r="A539" s="583" t="s">
        <v>3146</v>
      </c>
    </row>
    <row r="540" spans="1:1">
      <c r="A540" t="s">
        <v>3351</v>
      </c>
    </row>
    <row r="541" spans="1:1">
      <c r="A541" t="s">
        <v>3369</v>
      </c>
    </row>
    <row r="542" spans="1:1">
      <c r="A542" t="s">
        <v>3370</v>
      </c>
    </row>
    <row r="544" spans="1:1">
      <c r="A544" s="583" t="s">
        <v>3149</v>
      </c>
    </row>
    <row r="545" spans="1:3">
      <c r="A545" t="s">
        <v>3353</v>
      </c>
    </row>
    <row r="546" spans="1:3">
      <c r="A546" t="s">
        <v>3151</v>
      </c>
    </row>
    <row r="548" spans="1:3">
      <c r="A548" s="582" t="s">
        <v>3371</v>
      </c>
      <c r="B548" s="582"/>
      <c r="C548" s="582" t="s">
        <v>3340</v>
      </c>
    </row>
    <row r="549" spans="1:3">
      <c r="A549" t="s">
        <v>3157</v>
      </c>
      <c r="B549" t="s">
        <v>3341</v>
      </c>
      <c r="C549" t="s">
        <v>3342</v>
      </c>
    </row>
    <row r="551" spans="1:3">
      <c r="A551" s="583" t="s">
        <v>3139</v>
      </c>
    </row>
    <row r="552" spans="1:3">
      <c r="A552" t="s">
        <v>3363</v>
      </c>
    </row>
    <row r="553" spans="1:3">
      <c r="A553" t="s">
        <v>3372</v>
      </c>
    </row>
    <row r="554" spans="1:3">
      <c r="A554" t="s">
        <v>3373</v>
      </c>
    </row>
    <row r="555" spans="1:3">
      <c r="A555" t="s">
        <v>3374</v>
      </c>
    </row>
    <row r="556" spans="1:3">
      <c r="A556" t="s">
        <v>3375</v>
      </c>
    </row>
    <row r="557" spans="1:3">
      <c r="A557" t="s">
        <v>3145</v>
      </c>
    </row>
    <row r="559" spans="1:3">
      <c r="A559" s="583" t="s">
        <v>3141</v>
      </c>
    </row>
    <row r="560" spans="1:3">
      <c r="A560" t="s">
        <v>3376</v>
      </c>
    </row>
    <row r="562" spans="1:3">
      <c r="A562" s="583" t="s">
        <v>3146</v>
      </c>
    </row>
    <row r="563" spans="1:3">
      <c r="A563" t="s">
        <v>3351</v>
      </c>
    </row>
    <row r="564" spans="1:3">
      <c r="A564" t="s">
        <v>3377</v>
      </c>
    </row>
    <row r="565" spans="1:3">
      <c r="A565" t="s">
        <v>3378</v>
      </c>
    </row>
    <row r="566" spans="1:3">
      <c r="A566" t="s">
        <v>3379</v>
      </c>
    </row>
    <row r="568" spans="1:3">
      <c r="A568" s="583" t="s">
        <v>3149</v>
      </c>
    </row>
    <row r="569" spans="1:3">
      <c r="A569" t="s">
        <v>3353</v>
      </c>
    </row>
    <row r="570" spans="1:3">
      <c r="A570" t="s">
        <v>3151</v>
      </c>
    </row>
    <row r="572" spans="1:3">
      <c r="A572" s="582" t="s">
        <v>3380</v>
      </c>
      <c r="B572" s="582"/>
      <c r="C572" s="582" t="s">
        <v>3340</v>
      </c>
    </row>
    <row r="573" spans="1:3">
      <c r="A573" t="s">
        <v>3157</v>
      </c>
      <c r="B573" t="s">
        <v>3341</v>
      </c>
      <c r="C573" t="s">
        <v>3342</v>
      </c>
    </row>
    <row r="575" spans="1:3">
      <c r="A575" s="583" t="s">
        <v>3139</v>
      </c>
    </row>
    <row r="576" spans="1:3">
      <c r="A576" t="s">
        <v>3345</v>
      </c>
    </row>
    <row r="577" spans="1:1">
      <c r="A577" t="s">
        <v>3381</v>
      </c>
    </row>
    <row r="578" spans="1:1">
      <c r="A578" t="s">
        <v>3382</v>
      </c>
    </row>
    <row r="579" spans="1:1">
      <c r="A579" t="s">
        <v>3383</v>
      </c>
    </row>
    <row r="580" spans="1:1">
      <c r="A580" t="s">
        <v>3384</v>
      </c>
    </row>
    <row r="581" spans="1:1">
      <c r="A581" t="s">
        <v>3145</v>
      </c>
    </row>
    <row r="583" spans="1:1">
      <c r="A583" s="583" t="s">
        <v>3141</v>
      </c>
    </row>
    <row r="584" spans="1:1">
      <c r="A584" t="s">
        <v>3385</v>
      </c>
    </row>
    <row r="586" spans="1:1">
      <c r="A586" s="583" t="s">
        <v>3146</v>
      </c>
    </row>
    <row r="587" spans="1:1">
      <c r="A587" t="s">
        <v>3351</v>
      </c>
    </row>
    <row r="588" spans="1:1">
      <c r="A588" t="s">
        <v>3386</v>
      </c>
    </row>
    <row r="590" spans="1:1">
      <c r="A590" s="583" t="s">
        <v>3149</v>
      </c>
    </row>
    <row r="591" spans="1:1">
      <c r="A591" t="s">
        <v>3353</v>
      </c>
    </row>
    <row r="592" spans="1:1">
      <c r="A592" t="s">
        <v>3151</v>
      </c>
    </row>
    <row r="594" spans="1:3">
      <c r="A594" t="s">
        <v>3129</v>
      </c>
    </row>
    <row r="595" spans="1:3" ht="18.75">
      <c r="A595" s="579" t="s">
        <v>3387</v>
      </c>
    </row>
    <row r="596" spans="1:3">
      <c r="A596" t="s">
        <v>3129</v>
      </c>
    </row>
    <row r="598" spans="1:3" ht="15.75">
      <c r="A598" s="580" t="s">
        <v>3388</v>
      </c>
    </row>
    <row r="599" spans="1:3">
      <c r="A599" s="581" t="s">
        <v>3202</v>
      </c>
    </row>
    <row r="600" spans="1:3">
      <c r="A600" t="s">
        <v>3133</v>
      </c>
    </row>
    <row r="602" spans="1:3">
      <c r="A602" s="582" t="s">
        <v>3389</v>
      </c>
      <c r="B602" s="582"/>
      <c r="C602" s="582" t="s">
        <v>3390</v>
      </c>
    </row>
    <row r="603" spans="1:3">
      <c r="A603" t="s">
        <v>3136</v>
      </c>
      <c r="B603" t="s">
        <v>3391</v>
      </c>
      <c r="C603" t="s">
        <v>3223</v>
      </c>
    </row>
    <row r="605" spans="1:3">
      <c r="A605" s="583" t="s">
        <v>3139</v>
      </c>
    </row>
    <row r="606" spans="1:3">
      <c r="A606" t="s">
        <v>3392</v>
      </c>
    </row>
    <row r="608" spans="1:3">
      <c r="A608" s="583" t="s">
        <v>3141</v>
      </c>
    </row>
    <row r="609" spans="1:1">
      <c r="A609" t="s">
        <v>3393</v>
      </c>
    </row>
    <row r="610" spans="1:1">
      <c r="A610" t="s">
        <v>3394</v>
      </c>
    </row>
    <row r="611" spans="1:1">
      <c r="A611" t="s">
        <v>3395</v>
      </c>
    </row>
    <row r="613" spans="1:1">
      <c r="A613" s="583" t="s">
        <v>3146</v>
      </c>
    </row>
    <row r="614" spans="1:1">
      <c r="A614" t="s">
        <v>3396</v>
      </c>
    </row>
    <row r="615" spans="1:1">
      <c r="A615" t="s">
        <v>3397</v>
      </c>
    </row>
    <row r="616" spans="1:1">
      <c r="A616" t="s">
        <v>3398</v>
      </c>
    </row>
    <row r="617" spans="1:1">
      <c r="A617" t="s">
        <v>3399</v>
      </c>
    </row>
    <row r="618" spans="1:1">
      <c r="A618" t="s">
        <v>3400</v>
      </c>
    </row>
    <row r="619" spans="1:1">
      <c r="A619" t="s">
        <v>3145</v>
      </c>
    </row>
    <row r="621" spans="1:1">
      <c r="A621" s="583" t="s">
        <v>3149</v>
      </c>
    </row>
    <row r="622" spans="1:1">
      <c r="A622" t="s">
        <v>3150</v>
      </c>
    </row>
    <row r="623" spans="1:1">
      <c r="A623" t="s">
        <v>3151</v>
      </c>
    </row>
    <row r="625" spans="1:3">
      <c r="A625" t="s">
        <v>3129</v>
      </c>
    </row>
    <row r="626" spans="1:3" ht="37.5">
      <c r="A626" s="584" t="s">
        <v>3401</v>
      </c>
    </row>
    <row r="627" spans="1:3">
      <c r="A627" t="s">
        <v>3129</v>
      </c>
    </row>
    <row r="629" spans="1:3" ht="15.75">
      <c r="A629" s="580" t="s">
        <v>3153</v>
      </c>
    </row>
    <row r="630" spans="1:3">
      <c r="A630" s="581" t="s">
        <v>3202</v>
      </c>
    </row>
    <row r="631" spans="1:3">
      <c r="A631" t="s">
        <v>3133</v>
      </c>
    </row>
    <row r="633" spans="1:3">
      <c r="A633" s="582" t="s">
        <v>3402</v>
      </c>
      <c r="B633" s="582"/>
      <c r="C633" s="582" t="s">
        <v>3403</v>
      </c>
    </row>
    <row r="634" spans="1:3">
      <c r="A634" t="s">
        <v>3136</v>
      </c>
      <c r="B634" t="s">
        <v>3404</v>
      </c>
      <c r="C634" t="s">
        <v>3405</v>
      </c>
    </row>
    <row r="636" spans="1:3">
      <c r="A636" s="583" t="s">
        <v>3139</v>
      </c>
    </row>
    <row r="637" spans="1:3">
      <c r="A637" t="s">
        <v>3406</v>
      </c>
    </row>
    <row r="639" spans="1:3">
      <c r="A639" s="583" t="s">
        <v>3141</v>
      </c>
    </row>
    <row r="640" spans="1:3">
      <c r="A640" t="s">
        <v>3172</v>
      </c>
    </row>
    <row r="641" spans="1:1">
      <c r="A641" t="s">
        <v>3407</v>
      </c>
    </row>
    <row r="643" spans="1:1">
      <c r="A643" s="583" t="s">
        <v>3146</v>
      </c>
    </row>
    <row r="644" spans="1:1">
      <c r="A644" t="s">
        <v>3237</v>
      </c>
    </row>
    <row r="645" spans="1:1">
      <c r="A645" t="s">
        <v>3408</v>
      </c>
    </row>
    <row r="647" spans="1:1">
      <c r="A647" s="583" t="s">
        <v>3149</v>
      </c>
    </row>
    <row r="648" spans="1:1">
      <c r="A648" t="s">
        <v>3239</v>
      </c>
    </row>
    <row r="649" spans="1:1">
      <c r="A649" t="s">
        <v>3409</v>
      </c>
    </row>
    <row r="650" spans="1:1">
      <c r="A650" t="s">
        <v>3151</v>
      </c>
    </row>
    <row r="652" spans="1:1">
      <c r="A652" t="s">
        <v>3129</v>
      </c>
    </row>
    <row r="653" spans="1:1" ht="18.75">
      <c r="A653" s="579" t="s">
        <v>3410</v>
      </c>
    </row>
    <row r="654" spans="1:1">
      <c r="A654" t="s">
        <v>3129</v>
      </c>
    </row>
    <row r="656" spans="1:1" ht="15.75">
      <c r="A656" s="580" t="s">
        <v>3153</v>
      </c>
    </row>
    <row r="657" spans="1:3">
      <c r="A657" s="581" t="s">
        <v>3202</v>
      </c>
    </row>
    <row r="658" spans="1:3">
      <c r="A658" t="s">
        <v>3133</v>
      </c>
    </row>
    <row r="660" spans="1:3">
      <c r="A660" s="582" t="s">
        <v>3411</v>
      </c>
      <c r="B660" s="582"/>
      <c r="C660" s="582" t="s">
        <v>3412</v>
      </c>
    </row>
    <row r="661" spans="1:3">
      <c r="A661" t="s">
        <v>3136</v>
      </c>
      <c r="B661" t="s">
        <v>3391</v>
      </c>
      <c r="C661" t="s">
        <v>3413</v>
      </c>
    </row>
    <row r="663" spans="1:3">
      <c r="A663" s="583" t="s">
        <v>3139</v>
      </c>
    </row>
    <row r="664" spans="1:3">
      <c r="A664" t="s">
        <v>3414</v>
      </c>
    </row>
    <row r="665" spans="1:3">
      <c r="A665" t="s">
        <v>3415</v>
      </c>
    </row>
    <row r="666" spans="1:3">
      <c r="A666" t="s">
        <v>3416</v>
      </c>
    </row>
    <row r="667" spans="1:3">
      <c r="A667" t="s">
        <v>3417</v>
      </c>
    </row>
    <row r="669" spans="1:3">
      <c r="A669" s="583" t="s">
        <v>3141</v>
      </c>
    </row>
    <row r="670" spans="1:3">
      <c r="A670" t="s">
        <v>3418</v>
      </c>
    </row>
    <row r="671" spans="1:3">
      <c r="A671" t="s">
        <v>3419</v>
      </c>
    </row>
    <row r="672" spans="1:3">
      <c r="A672" t="s">
        <v>3420</v>
      </c>
    </row>
    <row r="673" spans="1:1">
      <c r="A673" t="s">
        <v>3421</v>
      </c>
    </row>
    <row r="674" spans="1:1">
      <c r="A674" t="s">
        <v>3145</v>
      </c>
    </row>
    <row r="676" spans="1:1">
      <c r="A676" s="583" t="s">
        <v>3146</v>
      </c>
    </row>
    <row r="677" spans="1:1">
      <c r="A677" t="s">
        <v>3422</v>
      </c>
    </row>
    <row r="678" spans="1:1">
      <c r="A678" t="s">
        <v>3423</v>
      </c>
    </row>
    <row r="679" spans="1:1">
      <c r="A679" t="s">
        <v>3424</v>
      </c>
    </row>
    <row r="680" spans="1:1">
      <c r="A680" t="s">
        <v>3425</v>
      </c>
    </row>
    <row r="681" spans="1:1">
      <c r="A681" t="s">
        <v>3426</v>
      </c>
    </row>
    <row r="682" spans="1:1">
      <c r="A682" t="s">
        <v>3145</v>
      </c>
    </row>
    <row r="684" spans="1:1">
      <c r="A684" s="583" t="s">
        <v>3149</v>
      </c>
    </row>
    <row r="685" spans="1:1">
      <c r="A685" t="s">
        <v>3150</v>
      </c>
    </row>
    <row r="686" spans="1:1">
      <c r="A686" t="s">
        <v>3151</v>
      </c>
    </row>
    <row r="688" spans="1:1">
      <c r="A688" t="s">
        <v>3129</v>
      </c>
    </row>
    <row r="689" spans="1:3" ht="37.5">
      <c r="A689" s="584" t="s">
        <v>3401</v>
      </c>
    </row>
    <row r="690" spans="1:3">
      <c r="A690" t="s">
        <v>3129</v>
      </c>
    </row>
    <row r="692" spans="1:3" ht="15.75">
      <c r="A692" s="580" t="s">
        <v>3153</v>
      </c>
    </row>
    <row r="693" spans="1:3">
      <c r="A693" s="581" t="s">
        <v>3202</v>
      </c>
    </row>
    <row r="694" spans="1:3">
      <c r="A694" t="s">
        <v>3133</v>
      </c>
    </row>
    <row r="696" spans="1:3">
      <c r="A696" s="582" t="s">
        <v>3427</v>
      </c>
      <c r="B696" s="582"/>
      <c r="C696" s="582" t="s">
        <v>3428</v>
      </c>
    </row>
    <row r="697" spans="1:3">
      <c r="A697" t="s">
        <v>3242</v>
      </c>
      <c r="B697" t="s">
        <v>3429</v>
      </c>
      <c r="C697" t="s">
        <v>3223</v>
      </c>
    </row>
    <row r="699" spans="1:3">
      <c r="A699" s="583" t="s">
        <v>3139</v>
      </c>
    </row>
    <row r="700" spans="1:3">
      <c r="A700" t="s">
        <v>3244</v>
      </c>
    </row>
    <row r="701" spans="1:3">
      <c r="A701" t="s">
        <v>3430</v>
      </c>
    </row>
    <row r="703" spans="1:3">
      <c r="A703" s="583" t="s">
        <v>3141</v>
      </c>
    </row>
    <row r="704" spans="1:3">
      <c r="A704" t="s">
        <v>3172</v>
      </c>
    </row>
    <row r="705" spans="1:1">
      <c r="A705" t="s">
        <v>3431</v>
      </c>
    </row>
    <row r="707" spans="1:1">
      <c r="A707" s="583" t="s">
        <v>3146</v>
      </c>
    </row>
    <row r="708" spans="1:1">
      <c r="A708" t="s">
        <v>3237</v>
      </c>
    </row>
    <row r="709" spans="1:1">
      <c r="A709" t="s">
        <v>3432</v>
      </c>
    </row>
    <row r="711" spans="1:1">
      <c r="A711" s="583" t="s">
        <v>3149</v>
      </c>
    </row>
    <row r="712" spans="1:1">
      <c r="A712" t="s">
        <v>3239</v>
      </c>
    </row>
    <row r="713" spans="1:1">
      <c r="A713" t="s">
        <v>3433</v>
      </c>
    </row>
    <row r="714" spans="1:1">
      <c r="A714" t="s">
        <v>3151</v>
      </c>
    </row>
    <row r="716" spans="1:1">
      <c r="A716" t="s">
        <v>3129</v>
      </c>
    </row>
    <row r="717" spans="1:1" ht="18.75">
      <c r="A717" s="579" t="s">
        <v>3410</v>
      </c>
    </row>
    <row r="718" spans="1:1">
      <c r="A718" t="s">
        <v>3129</v>
      </c>
    </row>
    <row r="720" spans="1:1" ht="15.75">
      <c r="A720" s="580" t="s">
        <v>3153</v>
      </c>
    </row>
    <row r="721" spans="1:3">
      <c r="A721" s="581" t="s">
        <v>3202</v>
      </c>
    </row>
    <row r="722" spans="1:3">
      <c r="A722" t="s">
        <v>3133</v>
      </c>
    </row>
    <row r="724" spans="1:3">
      <c r="A724" s="582" t="s">
        <v>3434</v>
      </c>
      <c r="B724" s="582"/>
      <c r="C724" s="582" t="s">
        <v>3435</v>
      </c>
    </row>
    <row r="725" spans="1:3">
      <c r="A725" t="s">
        <v>3242</v>
      </c>
      <c r="B725" t="s">
        <v>3330</v>
      </c>
      <c r="C725" t="s">
        <v>3223</v>
      </c>
    </row>
    <row r="727" spans="1:3">
      <c r="A727" s="583" t="s">
        <v>3139</v>
      </c>
    </row>
    <row r="728" spans="1:3">
      <c r="A728" t="s">
        <v>3224</v>
      </c>
    </row>
    <row r="730" spans="1:3">
      <c r="A730" s="583" t="s">
        <v>3141</v>
      </c>
    </row>
    <row r="731" spans="1:3">
      <c r="A731" t="s">
        <v>3192</v>
      </c>
    </row>
    <row r="732" spans="1:3">
      <c r="A732" t="s">
        <v>3436</v>
      </c>
    </row>
    <row r="733" spans="1:3">
      <c r="A733" t="s">
        <v>3437</v>
      </c>
    </row>
    <row r="734" spans="1:3">
      <c r="A734" t="s">
        <v>3438</v>
      </c>
    </row>
    <row r="735" spans="1:3">
      <c r="A735" t="s">
        <v>3145</v>
      </c>
    </row>
    <row r="737" spans="1:3">
      <c r="A737" s="583" t="s">
        <v>3146</v>
      </c>
    </row>
    <row r="738" spans="1:3">
      <c r="A738" t="s">
        <v>3196</v>
      </c>
    </row>
    <row r="739" spans="1:3">
      <c r="A739" t="s">
        <v>3439</v>
      </c>
    </row>
    <row r="740" spans="1:3">
      <c r="A740" t="s">
        <v>3440</v>
      </c>
    </row>
    <row r="741" spans="1:3">
      <c r="A741" t="s">
        <v>3441</v>
      </c>
    </row>
    <row r="742" spans="1:3">
      <c r="A742" t="s">
        <v>3145</v>
      </c>
    </row>
    <row r="744" spans="1:3">
      <c r="A744" s="583" t="s">
        <v>3149</v>
      </c>
    </row>
    <row r="745" spans="1:3">
      <c r="A745" t="s">
        <v>3200</v>
      </c>
    </row>
    <row r="746" spans="1:3">
      <c r="A746" t="s">
        <v>3442</v>
      </c>
    </row>
    <row r="747" spans="1:3">
      <c r="A747" t="s">
        <v>3145</v>
      </c>
    </row>
    <row r="748" spans="1:3">
      <c r="A748" t="s">
        <v>3151</v>
      </c>
    </row>
    <row r="750" spans="1:3">
      <c r="A750" s="582" t="s">
        <v>3443</v>
      </c>
      <c r="B750" s="582"/>
      <c r="C750" s="582" t="s">
        <v>3444</v>
      </c>
    </row>
    <row r="751" spans="1:3">
      <c r="A751" t="s">
        <v>3136</v>
      </c>
      <c r="B751" t="s">
        <v>3445</v>
      </c>
      <c r="C751" t="s">
        <v>3446</v>
      </c>
    </row>
    <row r="753" spans="1:1">
      <c r="A753" s="583" t="s">
        <v>3139</v>
      </c>
    </row>
    <row r="754" spans="1:1">
      <c r="A754" t="s">
        <v>3447</v>
      </c>
    </row>
    <row r="756" spans="1:1">
      <c r="A756" s="583" t="s">
        <v>3141</v>
      </c>
    </row>
    <row r="757" spans="1:1">
      <c r="A757" t="s">
        <v>3172</v>
      </c>
    </row>
    <row r="758" spans="1:1">
      <c r="A758" t="s">
        <v>3448</v>
      </c>
    </row>
    <row r="760" spans="1:1">
      <c r="A760" s="583" t="s">
        <v>3146</v>
      </c>
    </row>
    <row r="761" spans="1:1">
      <c r="A761" t="s">
        <v>3237</v>
      </c>
    </row>
    <row r="762" spans="1:1">
      <c r="A762" t="s">
        <v>3449</v>
      </c>
    </row>
    <row r="764" spans="1:1">
      <c r="A764" s="583" t="s">
        <v>3149</v>
      </c>
    </row>
    <row r="765" spans="1:1">
      <c r="A765" t="s">
        <v>3239</v>
      </c>
    </row>
    <row r="766" spans="1:1">
      <c r="A766" t="s">
        <v>3450</v>
      </c>
    </row>
    <row r="767" spans="1:1">
      <c r="A767" t="s">
        <v>3151</v>
      </c>
    </row>
    <row r="768" spans="1:1">
      <c r="A768" s="581" t="s">
        <v>3451</v>
      </c>
    </row>
    <row r="769" spans="1:3">
      <c r="A769" t="s">
        <v>3133</v>
      </c>
    </row>
    <row r="771" spans="1:3">
      <c r="A771" s="582" t="s">
        <v>3452</v>
      </c>
      <c r="B771" s="582"/>
      <c r="C771" s="582" t="s">
        <v>3453</v>
      </c>
    </row>
    <row r="772" spans="1:3">
      <c r="A772" t="s">
        <v>3136</v>
      </c>
      <c r="B772" t="s">
        <v>3222</v>
      </c>
      <c r="C772" t="s">
        <v>3454</v>
      </c>
    </row>
    <row r="774" spans="1:3">
      <c r="A774" s="583" t="s">
        <v>3139</v>
      </c>
    </row>
    <row r="775" spans="1:3">
      <c r="A775" t="s">
        <v>3224</v>
      </c>
    </row>
    <row r="777" spans="1:3">
      <c r="A777" s="583" t="s">
        <v>3141</v>
      </c>
    </row>
    <row r="778" spans="1:3">
      <c r="A778" t="s">
        <v>3455</v>
      </c>
    </row>
    <row r="779" spans="1:3">
      <c r="A779" t="s">
        <v>3456</v>
      </c>
    </row>
    <row r="780" spans="1:3">
      <c r="A780" t="s">
        <v>3457</v>
      </c>
    </row>
    <row r="781" spans="1:3">
      <c r="A781" t="s">
        <v>3458</v>
      </c>
    </row>
    <row r="782" spans="1:3">
      <c r="A782" t="s">
        <v>3459</v>
      </c>
    </row>
    <row r="783" spans="1:3">
      <c r="A783" t="s">
        <v>3145</v>
      </c>
    </row>
    <row r="785" spans="1:1">
      <c r="A785" s="583" t="s">
        <v>3146</v>
      </c>
    </row>
    <row r="786" spans="1:1">
      <c r="A786" t="s">
        <v>3460</v>
      </c>
    </row>
    <row r="787" spans="1:1">
      <c r="A787" t="s">
        <v>3461</v>
      </c>
    </row>
    <row r="788" spans="1:1">
      <c r="A788" t="s">
        <v>3462</v>
      </c>
    </row>
    <row r="789" spans="1:1">
      <c r="A789" t="s">
        <v>3463</v>
      </c>
    </row>
    <row r="790" spans="1:1">
      <c r="A790" t="s">
        <v>3464</v>
      </c>
    </row>
    <row r="791" spans="1:1">
      <c r="A791" t="s">
        <v>3145</v>
      </c>
    </row>
    <row r="793" spans="1:1">
      <c r="A793" s="583" t="s">
        <v>3149</v>
      </c>
    </row>
    <row r="794" spans="1:1">
      <c r="A794" t="s">
        <v>3150</v>
      </c>
    </row>
    <row r="795" spans="1:1">
      <c r="A795" t="s">
        <v>3151</v>
      </c>
    </row>
    <row r="797" spans="1:1">
      <c r="A797" t="s">
        <v>3129</v>
      </c>
    </row>
    <row r="798" spans="1:1" ht="18.75">
      <c r="A798" s="579" t="s">
        <v>3465</v>
      </c>
    </row>
    <row r="799" spans="1:1">
      <c r="A799" t="s">
        <v>3129</v>
      </c>
    </row>
    <row r="801" spans="1:3" ht="15.75">
      <c r="A801" s="580" t="s">
        <v>3466</v>
      </c>
    </row>
    <row r="802" spans="1:3">
      <c r="A802" s="581" t="s">
        <v>3467</v>
      </c>
    </row>
    <row r="803" spans="1:3">
      <c r="A803" t="s">
        <v>3133</v>
      </c>
    </row>
    <row r="805" spans="1:3">
      <c r="A805" s="582" t="s">
        <v>3468</v>
      </c>
      <c r="B805" s="582"/>
      <c r="C805" s="582" t="s">
        <v>3469</v>
      </c>
    </row>
    <row r="806" spans="1:3">
      <c r="A806" t="s">
        <v>3470</v>
      </c>
      <c r="B806" t="s">
        <v>3158</v>
      </c>
      <c r="C806" t="s">
        <v>3471</v>
      </c>
    </row>
    <row r="808" spans="1:3">
      <c r="A808" s="583" t="s">
        <v>3139</v>
      </c>
    </row>
    <row r="809" spans="1:3">
      <c r="A809" t="s">
        <v>3224</v>
      </c>
    </row>
    <row r="811" spans="1:3">
      <c r="A811" s="583" t="s">
        <v>3141</v>
      </c>
    </row>
    <row r="812" spans="1:3">
      <c r="A812" t="s">
        <v>3472</v>
      </c>
    </row>
    <row r="813" spans="1:3">
      <c r="A813" t="s">
        <v>3473</v>
      </c>
    </row>
    <row r="814" spans="1:3">
      <c r="A814" t="s">
        <v>3474</v>
      </c>
    </row>
    <row r="815" spans="1:3">
      <c r="A815" t="s">
        <v>3475</v>
      </c>
    </row>
    <row r="817" spans="1:1">
      <c r="A817" s="583" t="s">
        <v>3146</v>
      </c>
    </row>
    <row r="818" spans="1:1">
      <c r="A818" t="s">
        <v>3476</v>
      </c>
    </row>
    <row r="819" spans="1:1">
      <c r="A819" t="s">
        <v>3477</v>
      </c>
    </row>
    <row r="820" spans="1:1">
      <c r="A820" t="s">
        <v>3478</v>
      </c>
    </row>
    <row r="821" spans="1:1">
      <c r="A821" t="s">
        <v>3479</v>
      </c>
    </row>
    <row r="822" spans="1:1">
      <c r="A822" t="s">
        <v>3480</v>
      </c>
    </row>
    <row r="823" spans="1:1">
      <c r="A823" t="s">
        <v>3145</v>
      </c>
    </row>
    <row r="825" spans="1:1">
      <c r="A825" s="583" t="s">
        <v>3149</v>
      </c>
    </row>
    <row r="826" spans="1:1">
      <c r="A826" t="s">
        <v>3481</v>
      </c>
    </row>
    <row r="827" spans="1:1">
      <c r="A827" t="s">
        <v>3151</v>
      </c>
    </row>
    <row r="829" spans="1:1">
      <c r="A829" t="s">
        <v>3129</v>
      </c>
    </row>
    <row r="830" spans="1:1" ht="18.75">
      <c r="A830" s="579" t="s">
        <v>3482</v>
      </c>
    </row>
    <row r="831" spans="1:1">
      <c r="A831" t="s">
        <v>3129</v>
      </c>
    </row>
    <row r="833" spans="1:3" ht="15.75">
      <c r="A833" s="580" t="s">
        <v>3153</v>
      </c>
    </row>
    <row r="834" spans="1:3">
      <c r="A834" s="581" t="s">
        <v>3132</v>
      </c>
    </row>
    <row r="835" spans="1:3">
      <c r="A835" t="s">
        <v>3133</v>
      </c>
    </row>
    <row r="837" spans="1:3">
      <c r="A837" s="582" t="s">
        <v>3483</v>
      </c>
      <c r="B837" s="582"/>
      <c r="C837" s="582" t="s">
        <v>3484</v>
      </c>
    </row>
    <row r="838" spans="1:3">
      <c r="A838" t="s">
        <v>3136</v>
      </c>
      <c r="B838" t="s">
        <v>3429</v>
      </c>
      <c r="C838" t="s">
        <v>3267</v>
      </c>
    </row>
    <row r="840" spans="1:3">
      <c r="A840" s="583" t="s">
        <v>3139</v>
      </c>
    </row>
    <row r="841" spans="1:3">
      <c r="A841" t="s">
        <v>3224</v>
      </c>
    </row>
    <row r="843" spans="1:3">
      <c r="A843" s="583" t="s">
        <v>3141</v>
      </c>
    </row>
    <row r="844" spans="1:3">
      <c r="A844" t="s">
        <v>3376</v>
      </c>
    </row>
    <row r="846" spans="1:3">
      <c r="A846" s="583" t="s">
        <v>3146</v>
      </c>
    </row>
    <row r="847" spans="1:3">
      <c r="A847" t="s">
        <v>3485</v>
      </c>
    </row>
    <row r="848" spans="1:3">
      <c r="A848" t="s">
        <v>3486</v>
      </c>
    </row>
    <row r="849" spans="1:3">
      <c r="A849" t="s">
        <v>3487</v>
      </c>
    </row>
    <row r="850" spans="1:3">
      <c r="A850" t="s">
        <v>3488</v>
      </c>
    </row>
    <row r="852" spans="1:3">
      <c r="A852" s="583" t="s">
        <v>3149</v>
      </c>
    </row>
    <row r="853" spans="1:3">
      <c r="A853" t="s">
        <v>3150</v>
      </c>
    </row>
    <row r="854" spans="1:3">
      <c r="A854" t="s">
        <v>3151</v>
      </c>
    </row>
    <row r="856" spans="1:3">
      <c r="A856" t="s">
        <v>3129</v>
      </c>
    </row>
    <row r="857" spans="1:3" ht="18.75">
      <c r="A857" s="579" t="s">
        <v>3489</v>
      </c>
    </row>
    <row r="858" spans="1:3">
      <c r="A858" t="s">
        <v>3129</v>
      </c>
    </row>
    <row r="860" spans="1:3" ht="15.75">
      <c r="A860" s="580" t="s">
        <v>3153</v>
      </c>
    </row>
    <row r="861" spans="1:3">
      <c r="A861" s="581" t="s">
        <v>3202</v>
      </c>
    </row>
    <row r="862" spans="1:3">
      <c r="A862" t="s">
        <v>3133</v>
      </c>
    </row>
    <row r="864" spans="1:3">
      <c r="A864" s="582" t="s">
        <v>3490</v>
      </c>
      <c r="B864" s="582"/>
      <c r="C864" s="582" t="s">
        <v>3491</v>
      </c>
    </row>
    <row r="865" spans="1:3">
      <c r="A865" t="s">
        <v>3242</v>
      </c>
      <c r="B865" t="s">
        <v>3492</v>
      </c>
      <c r="C865" t="s">
        <v>3493</v>
      </c>
    </row>
    <row r="867" spans="1:3">
      <c r="A867" s="583" t="s">
        <v>3139</v>
      </c>
    </row>
    <row r="868" spans="1:3">
      <c r="A868" t="s">
        <v>3494</v>
      </c>
    </row>
    <row r="870" spans="1:3">
      <c r="A870" s="583" t="s">
        <v>3141</v>
      </c>
    </row>
    <row r="871" spans="1:3">
      <c r="A871" t="s">
        <v>3172</v>
      </c>
    </row>
    <row r="872" spans="1:3">
      <c r="A872" t="s">
        <v>3238</v>
      </c>
    </row>
    <row r="874" spans="1:3">
      <c r="A874" s="583" t="s">
        <v>3146</v>
      </c>
    </row>
    <row r="875" spans="1:3">
      <c r="A875" t="s">
        <v>3237</v>
      </c>
    </row>
    <row r="876" spans="1:3">
      <c r="A876" t="s">
        <v>3495</v>
      </c>
    </row>
    <row r="878" spans="1:3">
      <c r="A878" s="583" t="s">
        <v>3149</v>
      </c>
    </row>
    <row r="879" spans="1:3">
      <c r="A879" t="s">
        <v>3239</v>
      </c>
    </row>
    <row r="880" spans="1:3">
      <c r="A880" t="s">
        <v>3496</v>
      </c>
    </row>
    <row r="881" spans="1:3">
      <c r="A881" t="s">
        <v>3151</v>
      </c>
    </row>
    <row r="883" spans="1:3">
      <c r="A883" t="s">
        <v>3129</v>
      </c>
    </row>
    <row r="884" spans="1:3" ht="37.5">
      <c r="A884" s="584" t="s">
        <v>3497</v>
      </c>
    </row>
    <row r="885" spans="1:3">
      <c r="A885" t="s">
        <v>3129</v>
      </c>
    </row>
    <row r="887" spans="1:3" ht="15.75">
      <c r="A887" s="580" t="s">
        <v>3153</v>
      </c>
    </row>
    <row r="888" spans="1:3">
      <c r="A888" s="581" t="s">
        <v>3498</v>
      </c>
    </row>
    <row r="889" spans="1:3">
      <c r="A889" t="s">
        <v>3133</v>
      </c>
    </row>
    <row r="891" spans="1:3" ht="30">
      <c r="A891" s="578" t="s">
        <v>3499</v>
      </c>
      <c r="B891" s="582"/>
      <c r="C891" s="582" t="s">
        <v>3500</v>
      </c>
    </row>
    <row r="892" spans="1:3">
      <c r="A892" t="s">
        <v>3136</v>
      </c>
      <c r="B892" t="s">
        <v>3501</v>
      </c>
      <c r="C892" t="s">
        <v>3502</v>
      </c>
    </row>
    <row r="894" spans="1:3">
      <c r="A894" s="583" t="s">
        <v>3139</v>
      </c>
    </row>
    <row r="895" spans="1:3">
      <c r="A895" t="s">
        <v>3503</v>
      </c>
    </row>
    <row r="897" spans="1:1">
      <c r="A897" s="583" t="s">
        <v>3141</v>
      </c>
    </row>
    <row r="898" spans="1:1">
      <c r="A898" t="s">
        <v>3504</v>
      </c>
    </row>
    <row r="899" spans="1:1">
      <c r="A899" t="s">
        <v>3505</v>
      </c>
    </row>
    <row r="900" spans="1:1">
      <c r="A900" t="s">
        <v>3506</v>
      </c>
    </row>
    <row r="901" spans="1:1">
      <c r="A901" t="s">
        <v>3507</v>
      </c>
    </row>
    <row r="902" spans="1:1">
      <c r="A902" t="s">
        <v>3508</v>
      </c>
    </row>
    <row r="903" spans="1:1">
      <c r="A903" t="s">
        <v>3145</v>
      </c>
    </row>
    <row r="905" spans="1:1">
      <c r="A905" s="583" t="s">
        <v>3146</v>
      </c>
    </row>
    <row r="906" spans="1:1">
      <c r="A906" t="s">
        <v>3509</v>
      </c>
    </row>
    <row r="907" spans="1:1">
      <c r="A907" t="s">
        <v>3510</v>
      </c>
    </row>
    <row r="908" spans="1:1">
      <c r="A908" t="s">
        <v>3511</v>
      </c>
    </row>
    <row r="909" spans="1:1">
      <c r="A909" t="s">
        <v>3512</v>
      </c>
    </row>
    <row r="911" spans="1:1">
      <c r="A911" s="583" t="s">
        <v>3149</v>
      </c>
    </row>
    <row r="912" spans="1:1">
      <c r="A912" t="s">
        <v>3150</v>
      </c>
    </row>
    <row r="913" spans="1:3">
      <c r="A913" t="s">
        <v>3151</v>
      </c>
    </row>
    <row r="914" spans="1:3">
      <c r="A914" s="581" t="s">
        <v>3276</v>
      </c>
    </row>
    <row r="915" spans="1:3">
      <c r="A915" t="s">
        <v>3133</v>
      </c>
    </row>
    <row r="917" spans="1:3">
      <c r="A917" s="582" t="s">
        <v>3513</v>
      </c>
      <c r="B917" s="582"/>
      <c r="C917" s="582" t="s">
        <v>3514</v>
      </c>
    </row>
    <row r="918" spans="1:3">
      <c r="A918" t="s">
        <v>3251</v>
      </c>
      <c r="B918" t="s">
        <v>3515</v>
      </c>
      <c r="C918" t="s">
        <v>3223</v>
      </c>
    </row>
    <row r="920" spans="1:3">
      <c r="A920" s="583" t="s">
        <v>3139</v>
      </c>
    </row>
    <row r="921" spans="1:3">
      <c r="A921" t="s">
        <v>3516</v>
      </c>
    </row>
    <row r="923" spans="1:3">
      <c r="A923" s="583" t="s">
        <v>3141</v>
      </c>
    </row>
    <row r="924" spans="1:3">
      <c r="A924" t="s">
        <v>3517</v>
      </c>
    </row>
    <row r="925" spans="1:3">
      <c r="A925" t="s">
        <v>3518</v>
      </c>
    </row>
    <row r="927" spans="1:3">
      <c r="A927" s="583" t="s">
        <v>3146</v>
      </c>
    </row>
    <row r="928" spans="1:3">
      <c r="A928" t="s">
        <v>3519</v>
      </c>
    </row>
    <row r="929" spans="1:3">
      <c r="A929" t="s">
        <v>3520</v>
      </c>
    </row>
    <row r="930" spans="1:3">
      <c r="A930" t="s">
        <v>3521</v>
      </c>
    </row>
    <row r="931" spans="1:3">
      <c r="A931" t="s">
        <v>3522</v>
      </c>
    </row>
    <row r="932" spans="1:3">
      <c r="A932" t="s">
        <v>3523</v>
      </c>
    </row>
    <row r="933" spans="1:3">
      <c r="A933" t="s">
        <v>3145</v>
      </c>
    </row>
    <row r="935" spans="1:3">
      <c r="A935" s="583" t="s">
        <v>3149</v>
      </c>
    </row>
    <row r="936" spans="1:3">
      <c r="A936" t="s">
        <v>3150</v>
      </c>
    </row>
    <row r="937" spans="1:3">
      <c r="A937" t="s">
        <v>3151</v>
      </c>
    </row>
    <row r="939" spans="1:3">
      <c r="A939" s="582" t="s">
        <v>3524</v>
      </c>
      <c r="B939" s="582"/>
      <c r="C939" s="582" t="s">
        <v>3525</v>
      </c>
    </row>
    <row r="940" spans="1:3">
      <c r="A940" t="s">
        <v>3251</v>
      </c>
      <c r="B940" t="s">
        <v>3526</v>
      </c>
      <c r="C940" t="s">
        <v>3223</v>
      </c>
    </row>
    <row r="942" spans="1:3">
      <c r="A942" s="583" t="s">
        <v>3139</v>
      </c>
    </row>
    <row r="943" spans="1:3">
      <c r="A943" t="s">
        <v>3282</v>
      </c>
    </row>
    <row r="945" spans="1:1">
      <c r="A945" s="583" t="s">
        <v>3141</v>
      </c>
    </row>
    <row r="946" spans="1:1">
      <c r="A946" t="s">
        <v>3527</v>
      </c>
    </row>
    <row r="947" spans="1:1">
      <c r="A947" t="s">
        <v>3528</v>
      </c>
    </row>
    <row r="949" spans="1:1">
      <c r="A949" s="583" t="s">
        <v>3146</v>
      </c>
    </row>
    <row r="950" spans="1:1">
      <c r="A950" t="s">
        <v>3529</v>
      </c>
    </row>
    <row r="951" spans="1:1">
      <c r="A951" t="s">
        <v>3530</v>
      </c>
    </row>
    <row r="952" spans="1:1">
      <c r="A952" t="s">
        <v>3531</v>
      </c>
    </row>
    <row r="953" spans="1:1">
      <c r="A953" t="s">
        <v>3532</v>
      </c>
    </row>
    <row r="955" spans="1:1">
      <c r="A955" s="583" t="s">
        <v>3149</v>
      </c>
    </row>
    <row r="956" spans="1:1">
      <c r="A956" t="s">
        <v>3150</v>
      </c>
    </row>
    <row r="957" spans="1:1">
      <c r="A957" t="s">
        <v>3151</v>
      </c>
    </row>
    <row r="958" spans="1:1">
      <c r="A958" s="581" t="s">
        <v>3533</v>
      </c>
    </row>
    <row r="959" spans="1:1">
      <c r="A959" t="s">
        <v>3133</v>
      </c>
    </row>
    <row r="961" spans="1:3">
      <c r="A961" s="582" t="s">
        <v>3534</v>
      </c>
      <c r="B961" s="582"/>
      <c r="C961" s="582" t="s">
        <v>3535</v>
      </c>
    </row>
    <row r="962" spans="1:3">
      <c r="A962" t="s">
        <v>3251</v>
      </c>
      <c r="B962" t="s">
        <v>3536</v>
      </c>
      <c r="C962" t="s">
        <v>3223</v>
      </c>
    </row>
    <row r="964" spans="1:3">
      <c r="A964" s="583" t="s">
        <v>3139</v>
      </c>
    </row>
    <row r="965" spans="1:3">
      <c r="A965" t="s">
        <v>3282</v>
      </c>
    </row>
    <row r="967" spans="1:3">
      <c r="A967" s="583" t="s">
        <v>3141</v>
      </c>
    </row>
    <row r="968" spans="1:3">
      <c r="A968" t="s">
        <v>3527</v>
      </c>
    </row>
    <row r="969" spans="1:3">
      <c r="A969" t="s">
        <v>3528</v>
      </c>
    </row>
    <row r="971" spans="1:3">
      <c r="A971" s="583" t="s">
        <v>3146</v>
      </c>
    </row>
    <row r="972" spans="1:3">
      <c r="A972" t="s">
        <v>3537</v>
      </c>
    </row>
    <row r="973" spans="1:3">
      <c r="A973" t="s">
        <v>3538</v>
      </c>
    </row>
    <row r="974" spans="1:3">
      <c r="A974" t="s">
        <v>3539</v>
      </c>
    </row>
    <row r="975" spans="1:3">
      <c r="A975" t="s">
        <v>3540</v>
      </c>
    </row>
    <row r="976" spans="1:3">
      <c r="A976" t="s">
        <v>3541</v>
      </c>
    </row>
    <row r="977" spans="1:3">
      <c r="A977" t="s">
        <v>3145</v>
      </c>
    </row>
    <row r="979" spans="1:3">
      <c r="A979" s="583" t="s">
        <v>3149</v>
      </c>
    </row>
    <row r="980" spans="1:3">
      <c r="A980" t="s">
        <v>3150</v>
      </c>
    </row>
    <row r="981" spans="1:3">
      <c r="A981" t="s">
        <v>3151</v>
      </c>
    </row>
    <row r="983" spans="1:3">
      <c r="A983" s="582" t="s">
        <v>3542</v>
      </c>
      <c r="B983" s="582"/>
      <c r="C983" s="582" t="s">
        <v>3543</v>
      </c>
    </row>
    <row r="984" spans="1:3">
      <c r="A984" t="s">
        <v>3242</v>
      </c>
      <c r="B984" t="s">
        <v>3544</v>
      </c>
      <c r="C984" t="s">
        <v>3223</v>
      </c>
    </row>
    <row r="986" spans="1:3">
      <c r="A986" s="583" t="s">
        <v>3139</v>
      </c>
    </row>
    <row r="987" spans="1:3">
      <c r="A987" t="s">
        <v>3545</v>
      </c>
    </row>
    <row r="989" spans="1:3">
      <c r="A989" s="583" t="s">
        <v>3141</v>
      </c>
    </row>
    <row r="990" spans="1:3">
      <c r="A990" t="s">
        <v>3546</v>
      </c>
    </row>
    <row r="991" spans="1:3">
      <c r="A991" t="s">
        <v>3547</v>
      </c>
    </row>
    <row r="992" spans="1:3">
      <c r="A992" t="s">
        <v>3548</v>
      </c>
    </row>
    <row r="993" spans="1:3">
      <c r="A993" t="s">
        <v>3549</v>
      </c>
    </row>
    <row r="994" spans="1:3">
      <c r="A994" t="s">
        <v>3145</v>
      </c>
    </row>
    <row r="996" spans="1:3">
      <c r="A996" s="583" t="s">
        <v>3146</v>
      </c>
    </row>
    <row r="997" spans="1:3">
      <c r="A997" t="s">
        <v>3550</v>
      </c>
    </row>
    <row r="998" spans="1:3">
      <c r="A998" t="s">
        <v>3551</v>
      </c>
    </row>
    <row r="999" spans="1:3">
      <c r="A999" t="s">
        <v>3552</v>
      </c>
    </row>
    <row r="1000" spans="1:3">
      <c r="A1000" t="s">
        <v>3145</v>
      </c>
    </row>
    <row r="1002" spans="1:3">
      <c r="A1002" s="583" t="s">
        <v>3149</v>
      </c>
    </row>
    <row r="1003" spans="1:3">
      <c r="A1003" t="s">
        <v>3150</v>
      </c>
    </row>
    <row r="1004" spans="1:3">
      <c r="A1004" t="s">
        <v>3151</v>
      </c>
    </row>
    <row r="1006" spans="1:3">
      <c r="A1006" s="582" t="s">
        <v>3553</v>
      </c>
      <c r="B1006" s="582"/>
      <c r="C1006" s="582" t="s">
        <v>3554</v>
      </c>
    </row>
    <row r="1007" spans="1:3">
      <c r="A1007" t="s">
        <v>3136</v>
      </c>
      <c r="B1007" t="s">
        <v>3555</v>
      </c>
      <c r="C1007" t="s">
        <v>3556</v>
      </c>
    </row>
    <row r="1009" spans="1:1">
      <c r="A1009" s="583" t="s">
        <v>3139</v>
      </c>
    </row>
    <row r="1010" spans="1:1">
      <c r="A1010" t="s">
        <v>3545</v>
      </c>
    </row>
    <row r="1012" spans="1:1">
      <c r="A1012" s="583" t="s">
        <v>3141</v>
      </c>
    </row>
    <row r="1013" spans="1:1">
      <c r="A1013" t="s">
        <v>3557</v>
      </c>
    </row>
    <row r="1014" spans="1:1">
      <c r="A1014" t="s">
        <v>3558</v>
      </c>
    </row>
    <row r="1015" spans="1:1">
      <c r="A1015" t="s">
        <v>3559</v>
      </c>
    </row>
    <row r="1016" spans="1:1">
      <c r="A1016" t="s">
        <v>3560</v>
      </c>
    </row>
    <row r="1017" spans="1:1">
      <c r="A1017" t="s">
        <v>3145</v>
      </c>
    </row>
    <row r="1019" spans="1:1">
      <c r="A1019" s="583" t="s">
        <v>3146</v>
      </c>
    </row>
    <row r="1020" spans="1:1">
      <c r="A1020" t="s">
        <v>3561</v>
      </c>
    </row>
    <row r="1021" spans="1:1">
      <c r="A1021" t="s">
        <v>3562</v>
      </c>
    </row>
    <row r="1022" spans="1:1">
      <c r="A1022" t="s">
        <v>3563</v>
      </c>
    </row>
    <row r="1023" spans="1:1">
      <c r="A1023" t="s">
        <v>3564</v>
      </c>
    </row>
    <row r="1024" spans="1:1">
      <c r="A1024" t="s">
        <v>3145</v>
      </c>
    </row>
    <row r="1026" spans="1:3">
      <c r="A1026" s="583" t="s">
        <v>3149</v>
      </c>
    </row>
    <row r="1027" spans="1:3">
      <c r="A1027" t="s">
        <v>3150</v>
      </c>
    </row>
    <row r="1028" spans="1:3">
      <c r="A1028" t="s">
        <v>3151</v>
      </c>
    </row>
    <row r="1029" spans="1:3">
      <c r="A1029" s="581" t="s">
        <v>3565</v>
      </c>
    </row>
    <row r="1030" spans="1:3">
      <c r="A1030" t="s">
        <v>3133</v>
      </c>
    </row>
    <row r="1032" spans="1:3">
      <c r="A1032" s="582" t="s">
        <v>3566</v>
      </c>
      <c r="B1032" s="582"/>
      <c r="C1032" s="582" t="s">
        <v>3567</v>
      </c>
    </row>
    <row r="1033" spans="1:3">
      <c r="A1033" t="s">
        <v>3251</v>
      </c>
      <c r="B1033" t="s">
        <v>3568</v>
      </c>
      <c r="C1033" t="s">
        <v>3206</v>
      </c>
    </row>
    <row r="1035" spans="1:3">
      <c r="A1035" s="583" t="s">
        <v>3139</v>
      </c>
    </row>
    <row r="1036" spans="1:3">
      <c r="A1036" t="s">
        <v>3569</v>
      </c>
    </row>
    <row r="1038" spans="1:3">
      <c r="A1038" s="583" t="s">
        <v>3141</v>
      </c>
    </row>
    <row r="1039" spans="1:3">
      <c r="A1039" t="s">
        <v>3570</v>
      </c>
    </row>
    <row r="1040" spans="1:3">
      <c r="A1040" t="s">
        <v>3571</v>
      </c>
    </row>
    <row r="1041" spans="1:1">
      <c r="A1041" t="s">
        <v>3572</v>
      </c>
    </row>
    <row r="1042" spans="1:1">
      <c r="A1042" t="s">
        <v>3573</v>
      </c>
    </row>
    <row r="1043" spans="1:1">
      <c r="A1043" t="s">
        <v>3574</v>
      </c>
    </row>
    <row r="1044" spans="1:1">
      <c r="A1044" t="s">
        <v>3145</v>
      </c>
    </row>
    <row r="1046" spans="1:1">
      <c r="A1046" s="583" t="s">
        <v>3146</v>
      </c>
    </row>
    <row r="1047" spans="1:1">
      <c r="A1047" t="s">
        <v>3575</v>
      </c>
    </row>
    <row r="1048" spans="1:1">
      <c r="A1048" t="s">
        <v>3576</v>
      </c>
    </row>
    <row r="1049" spans="1:1">
      <c r="A1049" t="s">
        <v>3577</v>
      </c>
    </row>
    <row r="1050" spans="1:1">
      <c r="A1050" t="s">
        <v>3578</v>
      </c>
    </row>
    <row r="1051" spans="1:1">
      <c r="A1051" t="s">
        <v>3579</v>
      </c>
    </row>
    <row r="1052" spans="1:1">
      <c r="A1052" t="s">
        <v>3145</v>
      </c>
    </row>
    <row r="1054" spans="1:1">
      <c r="A1054" s="583" t="s">
        <v>3149</v>
      </c>
    </row>
    <row r="1055" spans="1:1">
      <c r="A1055" t="s">
        <v>3150</v>
      </c>
    </row>
    <row r="1056" spans="1:1">
      <c r="A1056" t="s">
        <v>3151</v>
      </c>
    </row>
    <row r="1057" spans="1:3">
      <c r="A1057" s="581" t="s">
        <v>3580</v>
      </c>
    </row>
    <row r="1058" spans="1:3">
      <c r="A1058" t="s">
        <v>3133</v>
      </c>
    </row>
    <row r="1060" spans="1:3">
      <c r="A1060" s="582" t="s">
        <v>3581</v>
      </c>
      <c r="B1060" s="582"/>
      <c r="C1060" s="582" t="s">
        <v>3582</v>
      </c>
    </row>
    <row r="1061" spans="1:3">
      <c r="A1061" t="s">
        <v>3242</v>
      </c>
      <c r="B1061" t="s">
        <v>3583</v>
      </c>
      <c r="C1061" t="s">
        <v>3223</v>
      </c>
    </row>
    <row r="1063" spans="1:3">
      <c r="A1063" s="583" t="s">
        <v>3139</v>
      </c>
    </row>
    <row r="1064" spans="1:3">
      <c r="A1064" t="s">
        <v>3584</v>
      </c>
    </row>
    <row r="1065" spans="1:3">
      <c r="A1065" t="s">
        <v>3585</v>
      </c>
    </row>
    <row r="1067" spans="1:3">
      <c r="A1067" s="583" t="s">
        <v>3141</v>
      </c>
    </row>
    <row r="1068" spans="1:3">
      <c r="A1068" t="s">
        <v>3586</v>
      </c>
    </row>
    <row r="1069" spans="1:3">
      <c r="A1069" t="s">
        <v>3587</v>
      </c>
    </row>
    <row r="1070" spans="1:3">
      <c r="A1070" t="s">
        <v>3588</v>
      </c>
    </row>
    <row r="1071" spans="1:3">
      <c r="A1071" t="s">
        <v>3589</v>
      </c>
    </row>
    <row r="1072" spans="1:3">
      <c r="A1072" t="s">
        <v>3590</v>
      </c>
    </row>
    <row r="1074" spans="1:1">
      <c r="A1074" s="583" t="s">
        <v>3146</v>
      </c>
    </row>
    <row r="1075" spans="1:1">
      <c r="A1075" t="s">
        <v>3591</v>
      </c>
    </row>
    <row r="1076" spans="1:1">
      <c r="A1076" t="s">
        <v>3592</v>
      </c>
    </row>
    <row r="1077" spans="1:1">
      <c r="A1077" t="s">
        <v>3593</v>
      </c>
    </row>
    <row r="1078" spans="1:1">
      <c r="A1078" t="s">
        <v>3594</v>
      </c>
    </row>
    <row r="1079" spans="1:1">
      <c r="A1079" t="s">
        <v>3595</v>
      </c>
    </row>
    <row r="1081" spans="1:1">
      <c r="A1081" s="583" t="s">
        <v>3149</v>
      </c>
    </row>
    <row r="1082" spans="1:1">
      <c r="A1082" t="s">
        <v>3150</v>
      </c>
    </row>
    <row r="1083" spans="1:1">
      <c r="A1083" t="s">
        <v>3151</v>
      </c>
    </row>
    <row r="1085" spans="1:1">
      <c r="A1085" t="s">
        <v>3129</v>
      </c>
    </row>
    <row r="1086" spans="1:1" ht="18.75">
      <c r="A1086" s="579" t="s">
        <v>3596</v>
      </c>
    </row>
    <row r="1087" spans="1:1">
      <c r="A1087" t="s">
        <v>3129</v>
      </c>
    </row>
    <row r="1089" spans="1:3" ht="15.75">
      <c r="A1089" s="580" t="s">
        <v>3181</v>
      </c>
    </row>
    <row r="1090" spans="1:3">
      <c r="A1090" s="581" t="s">
        <v>3565</v>
      </c>
    </row>
    <row r="1091" spans="1:3">
      <c r="A1091" t="s">
        <v>3133</v>
      </c>
    </row>
    <row r="1093" spans="1:3">
      <c r="A1093" s="582" t="s">
        <v>3597</v>
      </c>
      <c r="B1093" s="582"/>
      <c r="C1093" s="582" t="s">
        <v>3598</v>
      </c>
    </row>
    <row r="1094" spans="1:3">
      <c r="A1094" t="s">
        <v>3136</v>
      </c>
      <c r="B1094" t="s">
        <v>3599</v>
      </c>
      <c r="C1094" t="s">
        <v>3600</v>
      </c>
    </row>
    <row r="1096" spans="1:3">
      <c r="A1096" s="583" t="s">
        <v>3139</v>
      </c>
    </row>
    <row r="1097" spans="1:3">
      <c r="A1097" t="s">
        <v>3601</v>
      </c>
    </row>
    <row r="1098" spans="1:3">
      <c r="A1098" t="s">
        <v>3602</v>
      </c>
    </row>
    <row r="1099" spans="1:3">
      <c r="A1099" t="s">
        <v>3603</v>
      </c>
    </row>
    <row r="1100" spans="1:3">
      <c r="A1100" t="s">
        <v>3604</v>
      </c>
    </row>
    <row r="1102" spans="1:3">
      <c r="A1102" s="583" t="s">
        <v>3141</v>
      </c>
    </row>
    <row r="1103" spans="1:3">
      <c r="A1103" t="s">
        <v>3192</v>
      </c>
    </row>
    <row r="1104" spans="1:3">
      <c r="A1104" t="s">
        <v>3605</v>
      </c>
    </row>
    <row r="1105" spans="1:1">
      <c r="A1105" t="s">
        <v>3606</v>
      </c>
    </row>
    <row r="1106" spans="1:1">
      <c r="A1106" t="s">
        <v>3607</v>
      </c>
    </row>
    <row r="1107" spans="1:1">
      <c r="A1107" t="s">
        <v>3608</v>
      </c>
    </row>
    <row r="1108" spans="1:1">
      <c r="A1108" t="s">
        <v>3145</v>
      </c>
    </row>
    <row r="1110" spans="1:1">
      <c r="A1110" s="583" t="s">
        <v>3146</v>
      </c>
    </row>
    <row r="1111" spans="1:1">
      <c r="A1111" t="s">
        <v>3609</v>
      </c>
    </row>
    <row r="1112" spans="1:1">
      <c r="A1112" t="s">
        <v>3610</v>
      </c>
    </row>
    <row r="1113" spans="1:1">
      <c r="A1113" t="s">
        <v>3611</v>
      </c>
    </row>
    <row r="1114" spans="1:1">
      <c r="A1114" t="s">
        <v>3612</v>
      </c>
    </row>
    <row r="1115" spans="1:1">
      <c r="A1115" t="s">
        <v>3613</v>
      </c>
    </row>
    <row r="1116" spans="1:1">
      <c r="A1116" t="s">
        <v>3145</v>
      </c>
    </row>
    <row r="1118" spans="1:1">
      <c r="A1118" s="583" t="s">
        <v>3149</v>
      </c>
    </row>
    <row r="1119" spans="1:1">
      <c r="A1119" t="s">
        <v>3614</v>
      </c>
    </row>
    <row r="1120" spans="1:1">
      <c r="A1120" t="s">
        <v>3151</v>
      </c>
    </row>
    <row r="1122" spans="1:3">
      <c r="A1122" t="s">
        <v>3129</v>
      </c>
    </row>
    <row r="1123" spans="1:3" ht="18.75">
      <c r="A1123" s="579" t="s">
        <v>3615</v>
      </c>
    </row>
    <row r="1124" spans="1:3">
      <c r="A1124" t="s">
        <v>3129</v>
      </c>
    </row>
    <row r="1126" spans="1:3" ht="15.75">
      <c r="A1126" s="580" t="s">
        <v>3181</v>
      </c>
    </row>
    <row r="1127" spans="1:3">
      <c r="A1127" s="581" t="s">
        <v>3616</v>
      </c>
    </row>
    <row r="1128" spans="1:3">
      <c r="A1128" t="s">
        <v>3133</v>
      </c>
    </row>
    <row r="1130" spans="1:3">
      <c r="A1130" s="582" t="s">
        <v>3617</v>
      </c>
      <c r="B1130" s="582"/>
      <c r="C1130" s="582" t="s">
        <v>3618</v>
      </c>
    </row>
    <row r="1131" spans="1:3">
      <c r="A1131" t="s">
        <v>3136</v>
      </c>
      <c r="B1131" t="s">
        <v>3619</v>
      </c>
      <c r="C1131" t="s">
        <v>3620</v>
      </c>
    </row>
    <row r="1133" spans="1:3">
      <c r="A1133" s="583" t="s">
        <v>3139</v>
      </c>
    </row>
    <row r="1134" spans="1:3">
      <c r="A1134" t="s">
        <v>3224</v>
      </c>
    </row>
    <row r="1136" spans="1:3">
      <c r="A1136" s="583" t="s">
        <v>3141</v>
      </c>
    </row>
    <row r="1137" spans="1:1">
      <c r="A1137" t="s">
        <v>3174</v>
      </c>
    </row>
    <row r="1138" spans="1:1">
      <c r="A1138" t="s">
        <v>3621</v>
      </c>
    </row>
    <row r="1139" spans="1:1">
      <c r="A1139" t="s">
        <v>3622</v>
      </c>
    </row>
    <row r="1140" spans="1:1">
      <c r="A1140" t="s">
        <v>3623</v>
      </c>
    </row>
    <row r="1142" spans="1:1">
      <c r="A1142" s="583" t="s">
        <v>3146</v>
      </c>
    </row>
    <row r="1143" spans="1:1">
      <c r="A1143" t="s">
        <v>3624</v>
      </c>
    </row>
    <row r="1144" spans="1:1">
      <c r="A1144" t="s">
        <v>3625</v>
      </c>
    </row>
    <row r="1145" spans="1:1">
      <c r="A1145" t="s">
        <v>3626</v>
      </c>
    </row>
    <row r="1146" spans="1:1">
      <c r="A1146" t="s">
        <v>3627</v>
      </c>
    </row>
    <row r="1147" spans="1:1">
      <c r="A1147" t="s">
        <v>3628</v>
      </c>
    </row>
    <row r="1148" spans="1:1">
      <c r="A1148" t="s">
        <v>3145</v>
      </c>
    </row>
    <row r="1150" spans="1:1">
      <c r="A1150" s="583" t="s">
        <v>3149</v>
      </c>
    </row>
    <row r="1151" spans="1:1">
      <c r="A1151" t="s">
        <v>3150</v>
      </c>
    </row>
    <row r="1152" spans="1:1">
      <c r="A1152" t="s">
        <v>3151</v>
      </c>
    </row>
    <row r="1153" spans="1:3">
      <c r="A1153" s="581" t="s">
        <v>3629</v>
      </c>
    </row>
    <row r="1154" spans="1:3">
      <c r="A1154" t="s">
        <v>3133</v>
      </c>
    </row>
    <row r="1156" spans="1:3">
      <c r="A1156" s="582" t="s">
        <v>3630</v>
      </c>
      <c r="B1156" s="582"/>
      <c r="C1156" s="582" t="s">
        <v>3631</v>
      </c>
    </row>
    <row r="1157" spans="1:3">
      <c r="A1157" t="s">
        <v>3136</v>
      </c>
      <c r="B1157" t="s">
        <v>3632</v>
      </c>
      <c r="C1157" t="s">
        <v>3633</v>
      </c>
    </row>
    <row r="1159" spans="1:3">
      <c r="A1159" s="583" t="s">
        <v>3139</v>
      </c>
    </row>
    <row r="1160" spans="1:3">
      <c r="A1160" t="s">
        <v>3224</v>
      </c>
    </row>
    <row r="1162" spans="1:3">
      <c r="A1162" s="583" t="s">
        <v>3141</v>
      </c>
    </row>
    <row r="1163" spans="1:3">
      <c r="A1163" t="s">
        <v>3634</v>
      </c>
    </row>
    <row r="1164" spans="1:3">
      <c r="A1164" t="s">
        <v>3635</v>
      </c>
    </row>
    <row r="1165" spans="1:3">
      <c r="A1165" t="s">
        <v>3636</v>
      </c>
    </row>
    <row r="1166" spans="1:3">
      <c r="A1166" t="s">
        <v>3637</v>
      </c>
    </row>
    <row r="1167" spans="1:3">
      <c r="A1167" t="s">
        <v>3638</v>
      </c>
    </row>
    <row r="1168" spans="1:3">
      <c r="A1168" t="s">
        <v>3145</v>
      </c>
    </row>
    <row r="1170" spans="1:3">
      <c r="A1170" s="583" t="s">
        <v>3146</v>
      </c>
    </row>
    <row r="1171" spans="1:3">
      <c r="A1171" t="s">
        <v>3639</v>
      </c>
    </row>
    <row r="1172" spans="1:3">
      <c r="A1172" t="s">
        <v>3640</v>
      </c>
    </row>
    <row r="1173" spans="1:3">
      <c r="A1173" t="s">
        <v>3641</v>
      </c>
    </row>
    <row r="1174" spans="1:3">
      <c r="A1174" t="s">
        <v>3642</v>
      </c>
    </row>
    <row r="1175" spans="1:3">
      <c r="A1175" t="s">
        <v>3643</v>
      </c>
    </row>
    <row r="1176" spans="1:3">
      <c r="A1176" t="s">
        <v>3145</v>
      </c>
    </row>
    <row r="1178" spans="1:3">
      <c r="A1178" s="583" t="s">
        <v>3149</v>
      </c>
    </row>
    <row r="1179" spans="1:3">
      <c r="A1179" t="s">
        <v>3644</v>
      </c>
    </row>
    <row r="1180" spans="1:3">
      <c r="A1180" t="s">
        <v>3645</v>
      </c>
    </row>
    <row r="1181" spans="1:3">
      <c r="A1181" t="s">
        <v>3151</v>
      </c>
    </row>
    <row r="1183" spans="1:3">
      <c r="A1183" s="582" t="s">
        <v>3646</v>
      </c>
      <c r="B1183" s="582"/>
      <c r="C1183" s="582" t="s">
        <v>3647</v>
      </c>
    </row>
    <row r="1184" spans="1:3">
      <c r="A1184" t="s">
        <v>3136</v>
      </c>
      <c r="B1184" t="s">
        <v>3137</v>
      </c>
      <c r="C1184" t="s">
        <v>3648</v>
      </c>
    </row>
    <row r="1186" spans="1:1">
      <c r="A1186" s="583" t="s">
        <v>3139</v>
      </c>
    </row>
    <row r="1187" spans="1:1">
      <c r="A1187" t="s">
        <v>3649</v>
      </c>
    </row>
    <row r="1189" spans="1:1">
      <c r="A1189" s="583" t="s">
        <v>3141</v>
      </c>
    </row>
    <row r="1190" spans="1:1">
      <c r="A1190" t="s">
        <v>3172</v>
      </c>
    </row>
    <row r="1191" spans="1:1">
      <c r="A1191" t="s">
        <v>3650</v>
      </c>
    </row>
    <row r="1193" spans="1:1">
      <c r="A1193" s="583" t="s">
        <v>3146</v>
      </c>
    </row>
    <row r="1194" spans="1:1">
      <c r="A1194" t="s">
        <v>3237</v>
      </c>
    </row>
    <row r="1195" spans="1:1">
      <c r="A1195" t="s">
        <v>3651</v>
      </c>
    </row>
    <row r="1197" spans="1:1">
      <c r="A1197" s="583" t="s">
        <v>3149</v>
      </c>
    </row>
    <row r="1198" spans="1:1">
      <c r="A1198" t="s">
        <v>3239</v>
      </c>
    </row>
    <row r="1199" spans="1:1">
      <c r="A1199" t="s">
        <v>3652</v>
      </c>
    </row>
    <row r="1200" spans="1:1">
      <c r="A1200" t="s">
        <v>3151</v>
      </c>
    </row>
    <row r="1202" spans="1:3" ht="15.75">
      <c r="A1202" s="580" t="s">
        <v>3153</v>
      </c>
    </row>
    <row r="1203" spans="1:3">
      <c r="A1203" s="581" t="s">
        <v>3653</v>
      </c>
    </row>
    <row r="1204" spans="1:3">
      <c r="A1204" t="s">
        <v>3133</v>
      </c>
    </row>
    <row r="1206" spans="1:3">
      <c r="A1206" s="582" t="s">
        <v>3654</v>
      </c>
      <c r="B1206" s="582"/>
      <c r="C1206" s="582" t="s">
        <v>3655</v>
      </c>
    </row>
    <row r="1207" spans="1:3">
      <c r="A1207" t="s">
        <v>3136</v>
      </c>
      <c r="B1207" t="s">
        <v>3656</v>
      </c>
      <c r="C1207" t="s">
        <v>3657</v>
      </c>
    </row>
    <row r="1209" spans="1:3">
      <c r="A1209" s="583" t="s">
        <v>3139</v>
      </c>
    </row>
    <row r="1210" spans="1:3">
      <c r="A1210" t="s">
        <v>3224</v>
      </c>
    </row>
    <row r="1212" spans="1:3">
      <c r="A1212" s="583" t="s">
        <v>3141</v>
      </c>
    </row>
    <row r="1213" spans="1:3">
      <c r="A1213" t="s">
        <v>3172</v>
      </c>
    </row>
    <row r="1214" spans="1:3">
      <c r="A1214" t="s">
        <v>3658</v>
      </c>
    </row>
    <row r="1216" spans="1:3">
      <c r="A1216" s="583" t="s">
        <v>3146</v>
      </c>
    </row>
    <row r="1217" spans="1:3">
      <c r="A1217" t="s">
        <v>3237</v>
      </c>
    </row>
    <row r="1218" spans="1:3">
      <c r="A1218" t="s">
        <v>3659</v>
      </c>
    </row>
    <row r="1220" spans="1:3">
      <c r="A1220" s="583" t="s">
        <v>3149</v>
      </c>
    </row>
    <row r="1221" spans="1:3">
      <c r="A1221" t="s">
        <v>3239</v>
      </c>
    </row>
    <row r="1222" spans="1:3">
      <c r="A1222" t="s">
        <v>3658</v>
      </c>
    </row>
    <row r="1223" spans="1:3">
      <c r="A1223" t="s">
        <v>3151</v>
      </c>
    </row>
    <row r="1225" spans="1:3" ht="15.75">
      <c r="A1225" s="580" t="s">
        <v>3466</v>
      </c>
    </row>
    <row r="1226" spans="1:3">
      <c r="A1226" s="581" t="s">
        <v>3660</v>
      </c>
    </row>
    <row r="1227" spans="1:3">
      <c r="A1227" t="s">
        <v>3133</v>
      </c>
    </row>
    <row r="1229" spans="1:3">
      <c r="A1229" s="582" t="s">
        <v>3661</v>
      </c>
      <c r="B1229" s="582"/>
      <c r="C1229" s="582" t="s">
        <v>3662</v>
      </c>
    </row>
    <row r="1230" spans="1:3">
      <c r="A1230" t="s">
        <v>3251</v>
      </c>
      <c r="B1230" t="s">
        <v>3252</v>
      </c>
      <c r="C1230" t="s">
        <v>3223</v>
      </c>
    </row>
    <row r="1232" spans="1:3">
      <c r="A1232" s="583" t="s">
        <v>3139</v>
      </c>
    </row>
    <row r="1233" spans="1:1">
      <c r="A1233" t="s">
        <v>3663</v>
      </c>
    </row>
    <row r="1234" spans="1:1">
      <c r="A1234" t="s">
        <v>3664</v>
      </c>
    </row>
    <row r="1235" spans="1:1">
      <c r="A1235" t="s">
        <v>3665</v>
      </c>
    </row>
    <row r="1237" spans="1:1">
      <c r="A1237" s="583" t="s">
        <v>3141</v>
      </c>
    </row>
    <row r="1238" spans="1:1">
      <c r="A1238" t="s">
        <v>3666</v>
      </c>
    </row>
    <row r="1239" spans="1:1">
      <c r="A1239" t="s">
        <v>3667</v>
      </c>
    </row>
    <row r="1240" spans="1:1">
      <c r="A1240" t="s">
        <v>3668</v>
      </c>
    </row>
    <row r="1241" spans="1:1">
      <c r="A1241" t="s">
        <v>3669</v>
      </c>
    </row>
    <row r="1242" spans="1:1">
      <c r="A1242" t="s">
        <v>3670</v>
      </c>
    </row>
    <row r="1243" spans="1:1">
      <c r="A1243" t="s">
        <v>3145</v>
      </c>
    </row>
    <row r="1245" spans="1:1">
      <c r="A1245" s="583" t="s">
        <v>3146</v>
      </c>
    </row>
    <row r="1246" spans="1:1">
      <c r="A1246" t="s">
        <v>3671</v>
      </c>
    </row>
    <row r="1248" spans="1:1">
      <c r="A1248" s="583" t="s">
        <v>3149</v>
      </c>
    </row>
    <row r="1249" spans="1:3">
      <c r="A1249" t="s">
        <v>3150</v>
      </c>
    </row>
    <row r="1250" spans="1:3">
      <c r="A1250" t="s">
        <v>3151</v>
      </c>
    </row>
    <row r="1252" spans="1:3">
      <c r="A1252" t="s">
        <v>3129</v>
      </c>
    </row>
    <row r="1253" spans="1:3" ht="18.75">
      <c r="A1253" s="579" t="s">
        <v>3672</v>
      </c>
    </row>
    <row r="1254" spans="1:3">
      <c r="A1254" t="s">
        <v>3129</v>
      </c>
    </row>
    <row r="1256" spans="1:3" ht="15.75">
      <c r="A1256" s="580" t="s">
        <v>3673</v>
      </c>
    </row>
    <row r="1257" spans="1:3">
      <c r="A1257" s="581" t="s">
        <v>3674</v>
      </c>
    </row>
    <row r="1258" spans="1:3">
      <c r="A1258" t="s">
        <v>3133</v>
      </c>
    </row>
    <row r="1260" spans="1:3">
      <c r="A1260" s="582" t="s">
        <v>3675</v>
      </c>
      <c r="B1260" s="582"/>
      <c r="C1260" s="582" t="s">
        <v>3676</v>
      </c>
    </row>
    <row r="1261" spans="1:3">
      <c r="A1261" t="s">
        <v>3136</v>
      </c>
      <c r="B1261" t="s">
        <v>3677</v>
      </c>
      <c r="C1261" t="s">
        <v>3678</v>
      </c>
    </row>
    <row r="1263" spans="1:3">
      <c r="A1263" s="583" t="s">
        <v>3139</v>
      </c>
    </row>
    <row r="1264" spans="1:3">
      <c r="A1264" t="s">
        <v>3679</v>
      </c>
    </row>
    <row r="1266" spans="1:1">
      <c r="A1266" s="583" t="s">
        <v>3141</v>
      </c>
    </row>
    <row r="1267" spans="1:1">
      <c r="A1267" t="s">
        <v>3680</v>
      </c>
    </row>
    <row r="1268" spans="1:1">
      <c r="A1268" t="s">
        <v>3681</v>
      </c>
    </row>
    <row r="1270" spans="1:1">
      <c r="A1270" s="583" t="s">
        <v>3146</v>
      </c>
    </row>
    <row r="1271" spans="1:1">
      <c r="A1271" t="s">
        <v>3682</v>
      </c>
    </row>
    <row r="1272" spans="1:1">
      <c r="A1272" t="s">
        <v>3683</v>
      </c>
    </row>
    <row r="1273" spans="1:1">
      <c r="A1273" t="s">
        <v>3684</v>
      </c>
    </row>
    <row r="1274" spans="1:1">
      <c r="A1274" t="s">
        <v>3685</v>
      </c>
    </row>
    <row r="1275" spans="1:1">
      <c r="A1275" t="s">
        <v>3686</v>
      </c>
    </row>
    <row r="1276" spans="1:1">
      <c r="A1276" t="s">
        <v>3145</v>
      </c>
    </row>
    <row r="1278" spans="1:1">
      <c r="A1278" s="583" t="s">
        <v>3149</v>
      </c>
    </row>
    <row r="1279" spans="1:1">
      <c r="A1279" t="s">
        <v>3150</v>
      </c>
    </row>
    <row r="1280" spans="1:1">
      <c r="A1280" t="s">
        <v>3151</v>
      </c>
    </row>
    <row r="1282" spans="1:3">
      <c r="A1282" t="s">
        <v>3129</v>
      </c>
    </row>
    <row r="1283" spans="1:3" ht="18.75">
      <c r="A1283" s="579" t="s">
        <v>3687</v>
      </c>
    </row>
    <row r="1284" spans="1:3">
      <c r="A1284" t="s">
        <v>3129</v>
      </c>
    </row>
    <row r="1286" spans="1:3" ht="15.75">
      <c r="A1286" s="580" t="s">
        <v>3131</v>
      </c>
    </row>
    <row r="1287" spans="1:3">
      <c r="A1287" s="581" t="s">
        <v>3132</v>
      </c>
    </row>
    <row r="1288" spans="1:3">
      <c r="A1288" t="s">
        <v>3133</v>
      </c>
    </row>
    <row r="1290" spans="1:3">
      <c r="A1290" s="582" t="s">
        <v>3688</v>
      </c>
      <c r="B1290" s="582"/>
      <c r="C1290" s="582" t="s">
        <v>3689</v>
      </c>
    </row>
    <row r="1291" spans="1:3">
      <c r="A1291" t="s">
        <v>3251</v>
      </c>
      <c r="B1291" t="s">
        <v>3158</v>
      </c>
      <c r="C1291" t="s">
        <v>3690</v>
      </c>
    </row>
    <row r="1293" spans="1:3">
      <c r="A1293" s="583" t="s">
        <v>3139</v>
      </c>
    </row>
    <row r="1294" spans="1:3">
      <c r="A1294" t="s">
        <v>3691</v>
      </c>
    </row>
    <row r="1296" spans="1:3">
      <c r="A1296" s="583" t="s">
        <v>3141</v>
      </c>
    </row>
    <row r="1297" spans="1:1">
      <c r="A1297" t="s">
        <v>3692</v>
      </c>
    </row>
    <row r="1299" spans="1:1">
      <c r="A1299" s="583" t="s">
        <v>3146</v>
      </c>
    </row>
    <row r="1300" spans="1:1">
      <c r="A1300" t="s">
        <v>3693</v>
      </c>
    </row>
    <row r="1302" spans="1:1">
      <c r="A1302" s="583" t="s">
        <v>3149</v>
      </c>
    </row>
    <row r="1303" spans="1:1">
      <c r="A1303" t="s">
        <v>3694</v>
      </c>
    </row>
    <row r="1304" spans="1:1">
      <c r="A1304" t="s">
        <v>3151</v>
      </c>
    </row>
    <row r="1306" spans="1:1">
      <c r="A1306" t="s">
        <v>3129</v>
      </c>
    </row>
    <row r="1307" spans="1:1" ht="18.75">
      <c r="A1307" s="579" t="s">
        <v>3695</v>
      </c>
    </row>
    <row r="1308" spans="1:1">
      <c r="A1308" t="s">
        <v>3129</v>
      </c>
    </row>
    <row r="1310" spans="1:1" ht="15.75">
      <c r="A1310" s="580" t="s">
        <v>3181</v>
      </c>
    </row>
    <row r="1311" spans="1:1">
      <c r="A1311" s="581" t="s">
        <v>3132</v>
      </c>
    </row>
    <row r="1312" spans="1:1">
      <c r="A1312" t="s">
        <v>3133</v>
      </c>
    </row>
    <row r="1314" spans="1:3">
      <c r="A1314" s="582" t="s">
        <v>3696</v>
      </c>
      <c r="B1314" s="582"/>
      <c r="C1314" s="582" t="s">
        <v>3697</v>
      </c>
    </row>
    <row r="1315" spans="1:3">
      <c r="A1315" t="s">
        <v>3136</v>
      </c>
      <c r="B1315" t="s">
        <v>3544</v>
      </c>
      <c r="C1315" t="s">
        <v>3698</v>
      </c>
    </row>
    <row r="1317" spans="1:3">
      <c r="A1317" s="583" t="s">
        <v>3139</v>
      </c>
    </row>
    <row r="1318" spans="1:3">
      <c r="A1318" t="s">
        <v>3224</v>
      </c>
    </row>
    <row r="1320" spans="1:3">
      <c r="A1320" s="583" t="s">
        <v>3141</v>
      </c>
    </row>
    <row r="1321" spans="1:3">
      <c r="A1321" t="s">
        <v>3699</v>
      </c>
    </row>
    <row r="1322" spans="1:3">
      <c r="A1322" t="s">
        <v>3700</v>
      </c>
    </row>
    <row r="1323" spans="1:3">
      <c r="A1323" t="s">
        <v>3701</v>
      </c>
    </row>
    <row r="1324" spans="1:3">
      <c r="A1324" t="s">
        <v>3702</v>
      </c>
    </row>
    <row r="1325" spans="1:3">
      <c r="A1325" t="s">
        <v>3703</v>
      </c>
    </row>
    <row r="1326" spans="1:3">
      <c r="A1326" t="s">
        <v>3145</v>
      </c>
    </row>
    <row r="1328" spans="1:3">
      <c r="A1328" s="583" t="s">
        <v>3146</v>
      </c>
    </row>
    <row r="1329" spans="1:3">
      <c r="A1329" t="s">
        <v>3704</v>
      </c>
    </row>
    <row r="1330" spans="1:3">
      <c r="A1330" t="s">
        <v>3705</v>
      </c>
    </row>
    <row r="1331" spans="1:3">
      <c r="A1331" t="s">
        <v>3706</v>
      </c>
    </row>
    <row r="1332" spans="1:3">
      <c r="A1332" t="s">
        <v>3707</v>
      </c>
    </row>
    <row r="1333" spans="1:3">
      <c r="A1333" t="s">
        <v>3708</v>
      </c>
    </row>
    <row r="1335" spans="1:3">
      <c r="A1335" s="583" t="s">
        <v>3149</v>
      </c>
    </row>
    <row r="1336" spans="1:3">
      <c r="A1336" t="s">
        <v>3150</v>
      </c>
    </row>
    <row r="1337" spans="1:3">
      <c r="A1337" t="s">
        <v>3151</v>
      </c>
    </row>
    <row r="1339" spans="1:3" ht="15.75">
      <c r="A1339" s="580" t="s">
        <v>3153</v>
      </c>
    </row>
    <row r="1340" spans="1:3">
      <c r="A1340" s="581" t="s">
        <v>3202</v>
      </c>
    </row>
    <row r="1341" spans="1:3">
      <c r="A1341" t="s">
        <v>3133</v>
      </c>
    </row>
    <row r="1343" spans="1:3">
      <c r="A1343" s="582" t="s">
        <v>3709</v>
      </c>
      <c r="B1343" s="582"/>
      <c r="C1343" s="582" t="s">
        <v>3710</v>
      </c>
    </row>
    <row r="1344" spans="1:3">
      <c r="A1344" t="s">
        <v>3251</v>
      </c>
      <c r="B1344" t="s">
        <v>3501</v>
      </c>
      <c r="C1344" t="s">
        <v>3493</v>
      </c>
    </row>
    <row r="1346" spans="1:1">
      <c r="A1346" s="583" t="s">
        <v>3139</v>
      </c>
    </row>
    <row r="1347" spans="1:1">
      <c r="A1347" t="s">
        <v>3711</v>
      </c>
    </row>
    <row r="1348" spans="1:1">
      <c r="A1348" t="s">
        <v>3712</v>
      </c>
    </row>
    <row r="1349" spans="1:1">
      <c r="A1349" t="s">
        <v>3713</v>
      </c>
    </row>
    <row r="1350" spans="1:1">
      <c r="A1350" t="s">
        <v>3714</v>
      </c>
    </row>
    <row r="1351" spans="1:1">
      <c r="A1351" t="s">
        <v>3715</v>
      </c>
    </row>
    <row r="1352" spans="1:1">
      <c r="A1352" t="s">
        <v>3145</v>
      </c>
    </row>
    <row r="1354" spans="1:1">
      <c r="A1354" s="583" t="s">
        <v>3141</v>
      </c>
    </row>
    <row r="1355" spans="1:1">
      <c r="A1355" t="s">
        <v>3192</v>
      </c>
    </row>
    <row r="1356" spans="1:1">
      <c r="A1356" t="s">
        <v>3716</v>
      </c>
    </row>
    <row r="1357" spans="1:1">
      <c r="A1357" t="s">
        <v>3717</v>
      </c>
    </row>
    <row r="1358" spans="1:1">
      <c r="A1358" t="s">
        <v>3718</v>
      </c>
    </row>
    <row r="1359" spans="1:1">
      <c r="A1359" t="s">
        <v>3719</v>
      </c>
    </row>
    <row r="1360" spans="1:1">
      <c r="A1360" t="s">
        <v>3145</v>
      </c>
    </row>
    <row r="1362" spans="1:1">
      <c r="A1362" s="583" t="s">
        <v>3146</v>
      </c>
    </row>
    <row r="1363" spans="1:1">
      <c r="A1363" t="s">
        <v>3196</v>
      </c>
    </row>
    <row r="1364" spans="1:1">
      <c r="A1364" t="s">
        <v>3720</v>
      </c>
    </row>
    <row r="1365" spans="1:1">
      <c r="A1365" t="s">
        <v>3721</v>
      </c>
    </row>
    <row r="1367" spans="1:1">
      <c r="A1367" s="583" t="s">
        <v>3149</v>
      </c>
    </row>
    <row r="1368" spans="1:1">
      <c r="A1368" t="s">
        <v>3722</v>
      </c>
    </row>
    <row r="1369" spans="1:1">
      <c r="A1369" t="s">
        <v>3723</v>
      </c>
    </row>
    <row r="1370" spans="1:1">
      <c r="A1370" t="s">
        <v>3724</v>
      </c>
    </row>
    <row r="1371" spans="1:1">
      <c r="A1371" t="s">
        <v>3145</v>
      </c>
    </row>
    <row r="1372" spans="1:1">
      <c r="A1372" t="s">
        <v>3151</v>
      </c>
    </row>
    <row r="1374" spans="1:1">
      <c r="A1374" t="s">
        <v>3129</v>
      </c>
    </row>
    <row r="1375" spans="1:1" ht="18.75">
      <c r="A1375" s="579" t="s">
        <v>3725</v>
      </c>
    </row>
    <row r="1376" spans="1:1">
      <c r="A1376" t="s">
        <v>3129</v>
      </c>
    </row>
    <row r="1378" spans="1:3" ht="15.75">
      <c r="A1378" s="580" t="s">
        <v>3337</v>
      </c>
    </row>
    <row r="1379" spans="1:3">
      <c r="A1379" s="581" t="s">
        <v>3726</v>
      </c>
    </row>
    <row r="1380" spans="1:3">
      <c r="A1380" t="s">
        <v>3133</v>
      </c>
    </row>
    <row r="1382" spans="1:3">
      <c r="A1382" s="582" t="s">
        <v>3727</v>
      </c>
      <c r="B1382" s="582"/>
      <c r="C1382" s="582" t="s">
        <v>3728</v>
      </c>
    </row>
    <row r="1383" spans="1:3">
      <c r="A1383" t="s">
        <v>3729</v>
      </c>
      <c r="B1383" t="s">
        <v>3730</v>
      </c>
      <c r="C1383" t="s">
        <v>3731</v>
      </c>
    </row>
    <row r="1385" spans="1:3">
      <c r="A1385" s="583" t="s">
        <v>3139</v>
      </c>
    </row>
    <row r="1386" spans="1:3">
      <c r="A1386" t="s">
        <v>3732</v>
      </c>
    </row>
    <row r="1387" spans="1:3">
      <c r="A1387" t="s">
        <v>3733</v>
      </c>
    </row>
    <row r="1388" spans="1:3">
      <c r="A1388" t="s">
        <v>3734</v>
      </c>
    </row>
    <row r="1389" spans="1:3">
      <c r="A1389" t="s">
        <v>3735</v>
      </c>
    </row>
    <row r="1390" spans="1:3">
      <c r="A1390" t="s">
        <v>3736</v>
      </c>
    </row>
    <row r="1391" spans="1:3">
      <c r="A1391" t="s">
        <v>3145</v>
      </c>
    </row>
    <row r="1393" spans="1:1">
      <c r="A1393" s="583" t="s">
        <v>3141</v>
      </c>
    </row>
    <row r="1394" spans="1:1">
      <c r="A1394" t="s">
        <v>3737</v>
      </c>
    </row>
    <row r="1395" spans="1:1">
      <c r="A1395" t="s">
        <v>3733</v>
      </c>
    </row>
    <row r="1396" spans="1:1">
      <c r="A1396" t="s">
        <v>3734</v>
      </c>
    </row>
    <row r="1397" spans="1:1">
      <c r="A1397" t="s">
        <v>3735</v>
      </c>
    </row>
    <row r="1398" spans="1:1">
      <c r="A1398" t="s">
        <v>3736</v>
      </c>
    </row>
    <row r="1399" spans="1:1">
      <c r="A1399" t="s">
        <v>3145</v>
      </c>
    </row>
    <row r="1401" spans="1:1">
      <c r="A1401" s="583" t="s">
        <v>3146</v>
      </c>
    </row>
    <row r="1402" spans="1:1">
      <c r="A1402" t="s">
        <v>3738</v>
      </c>
    </row>
    <row r="1404" spans="1:1">
      <c r="A1404" s="583" t="s">
        <v>3149</v>
      </c>
    </row>
    <row r="1405" spans="1:1">
      <c r="A1405" t="s">
        <v>3150</v>
      </c>
    </row>
    <row r="1406" spans="1:1">
      <c r="A1406" t="s">
        <v>3151</v>
      </c>
    </row>
    <row r="1408" spans="1:1" ht="15.75">
      <c r="A1408" s="580" t="s">
        <v>3739</v>
      </c>
    </row>
    <row r="1409" spans="1:3">
      <c r="A1409" s="581" t="s">
        <v>3726</v>
      </c>
    </row>
    <row r="1410" spans="1:3">
      <c r="A1410" t="s">
        <v>3133</v>
      </c>
    </row>
    <row r="1412" spans="1:3">
      <c r="A1412" s="582" t="s">
        <v>3740</v>
      </c>
      <c r="B1412" s="582"/>
      <c r="C1412" s="582" t="s">
        <v>3741</v>
      </c>
    </row>
    <row r="1413" spans="1:3">
      <c r="A1413" t="s">
        <v>3242</v>
      </c>
      <c r="B1413" t="s">
        <v>3742</v>
      </c>
      <c r="C1413" t="s">
        <v>3743</v>
      </c>
    </row>
    <row r="1415" spans="1:3">
      <c r="A1415" s="583" t="s">
        <v>3139</v>
      </c>
    </row>
    <row r="1416" spans="1:3">
      <c r="A1416" t="s">
        <v>3744</v>
      </c>
    </row>
    <row r="1417" spans="1:3">
      <c r="A1417" t="s">
        <v>3745</v>
      </c>
    </row>
    <row r="1418" spans="1:3">
      <c r="A1418" t="s">
        <v>3746</v>
      </c>
    </row>
    <row r="1419" spans="1:3">
      <c r="A1419" t="s">
        <v>3747</v>
      </c>
    </row>
    <row r="1420" spans="1:3">
      <c r="A1420" t="s">
        <v>3748</v>
      </c>
    </row>
    <row r="1421" spans="1:3">
      <c r="A1421" t="s">
        <v>3145</v>
      </c>
    </row>
    <row r="1423" spans="1:3">
      <c r="A1423" s="583" t="s">
        <v>3141</v>
      </c>
    </row>
    <row r="1424" spans="1:3">
      <c r="A1424" t="s">
        <v>3749</v>
      </c>
    </row>
    <row r="1425" spans="1:1">
      <c r="A1425" t="s">
        <v>3750</v>
      </c>
    </row>
    <row r="1426" spans="1:1">
      <c r="A1426" t="s">
        <v>3751</v>
      </c>
    </row>
    <row r="1427" spans="1:1">
      <c r="A1427" t="s">
        <v>3752</v>
      </c>
    </row>
    <row r="1428" spans="1:1">
      <c r="A1428" t="s">
        <v>3753</v>
      </c>
    </row>
    <row r="1430" spans="1:1">
      <c r="A1430" s="583" t="s">
        <v>3146</v>
      </c>
    </row>
    <row r="1431" spans="1:1">
      <c r="A1431" t="s">
        <v>3754</v>
      </c>
    </row>
    <row r="1432" spans="1:1">
      <c r="A1432" t="s">
        <v>3755</v>
      </c>
    </row>
    <row r="1433" spans="1:1">
      <c r="A1433" t="s">
        <v>3756</v>
      </c>
    </row>
    <row r="1434" spans="1:1">
      <c r="A1434" t="s">
        <v>3757</v>
      </c>
    </row>
    <row r="1435" spans="1:1">
      <c r="A1435" t="s">
        <v>3758</v>
      </c>
    </row>
    <row r="1436" spans="1:1">
      <c r="A1436" t="s">
        <v>3145</v>
      </c>
    </row>
    <row r="1438" spans="1:1">
      <c r="A1438" s="583" t="s">
        <v>3149</v>
      </c>
    </row>
    <row r="1439" spans="1:1">
      <c r="A1439" t="s">
        <v>3150</v>
      </c>
    </row>
    <row r="1440" spans="1:1">
      <c r="A1440" t="s">
        <v>3151</v>
      </c>
    </row>
    <row r="1442" spans="1:3">
      <c r="A1442" t="s">
        <v>3129</v>
      </c>
    </row>
    <row r="1443" spans="1:3" ht="37.5">
      <c r="A1443" s="584" t="s">
        <v>3759</v>
      </c>
    </row>
    <row r="1444" spans="1:3">
      <c r="A1444" t="s">
        <v>3129</v>
      </c>
    </row>
    <row r="1446" spans="1:3" ht="15.75">
      <c r="A1446" s="580" t="s">
        <v>3153</v>
      </c>
    </row>
    <row r="1447" spans="1:3">
      <c r="A1447" s="581" t="s">
        <v>3202</v>
      </c>
    </row>
    <row r="1448" spans="1:3">
      <c r="A1448" t="s">
        <v>3133</v>
      </c>
    </row>
    <row r="1450" spans="1:3">
      <c r="A1450" s="582" t="s">
        <v>3760</v>
      </c>
      <c r="B1450" s="582"/>
      <c r="C1450" s="582" t="s">
        <v>3761</v>
      </c>
    </row>
    <row r="1451" spans="1:3">
      <c r="A1451" t="s">
        <v>3136</v>
      </c>
      <c r="B1451" t="s">
        <v>3762</v>
      </c>
      <c r="C1451" t="s">
        <v>3763</v>
      </c>
    </row>
    <row r="1453" spans="1:3">
      <c r="A1453" s="583" t="s">
        <v>3139</v>
      </c>
    </row>
    <row r="1454" spans="1:3">
      <c r="A1454" t="s">
        <v>3764</v>
      </c>
    </row>
    <row r="1455" spans="1:3">
      <c r="A1455" t="s">
        <v>3235</v>
      </c>
    </row>
    <row r="1456" spans="1:3">
      <c r="A1456" t="s">
        <v>3494</v>
      </c>
    </row>
    <row r="1458" spans="1:1">
      <c r="A1458" s="583" t="s">
        <v>3141</v>
      </c>
    </row>
    <row r="1459" spans="1:1">
      <c r="A1459" t="s">
        <v>3765</v>
      </c>
    </row>
    <row r="1460" spans="1:1">
      <c r="A1460" t="s">
        <v>3766</v>
      </c>
    </row>
    <row r="1461" spans="1:1">
      <c r="A1461" t="s">
        <v>3767</v>
      </c>
    </row>
    <row r="1462" spans="1:1">
      <c r="A1462" t="s">
        <v>3768</v>
      </c>
    </row>
    <row r="1463" spans="1:1">
      <c r="A1463" t="s">
        <v>3769</v>
      </c>
    </row>
    <row r="1464" spans="1:1">
      <c r="A1464" t="s">
        <v>3145</v>
      </c>
    </row>
    <row r="1466" spans="1:1">
      <c r="A1466" s="583" t="s">
        <v>3146</v>
      </c>
    </row>
    <row r="1467" spans="1:1">
      <c r="A1467" t="s">
        <v>3770</v>
      </c>
    </row>
    <row r="1468" spans="1:1">
      <c r="A1468" t="s">
        <v>3771</v>
      </c>
    </row>
    <row r="1469" spans="1:1">
      <c r="A1469" t="s">
        <v>3772</v>
      </c>
    </row>
    <row r="1470" spans="1:1">
      <c r="A1470" t="s">
        <v>3773</v>
      </c>
    </row>
    <row r="1471" spans="1:1">
      <c r="A1471" t="s">
        <v>3774</v>
      </c>
    </row>
    <row r="1473" spans="1:3">
      <c r="A1473" s="583" t="s">
        <v>3149</v>
      </c>
    </row>
    <row r="1474" spans="1:3">
      <c r="A1474" t="s">
        <v>3775</v>
      </c>
    </row>
    <row r="1475" spans="1:3">
      <c r="A1475" t="s">
        <v>3776</v>
      </c>
    </row>
    <row r="1476" spans="1:3">
      <c r="A1476" t="s">
        <v>3777</v>
      </c>
    </row>
    <row r="1477" spans="1:3">
      <c r="A1477" t="s">
        <v>3145</v>
      </c>
    </row>
    <row r="1478" spans="1:3">
      <c r="A1478" t="s">
        <v>3151</v>
      </c>
    </row>
    <row r="1480" spans="1:3">
      <c r="A1480" t="s">
        <v>3129</v>
      </c>
    </row>
    <row r="1481" spans="1:3" ht="18.75">
      <c r="A1481" s="579" t="s">
        <v>3778</v>
      </c>
    </row>
    <row r="1482" spans="1:3">
      <c r="A1482" t="s">
        <v>3129</v>
      </c>
    </row>
    <row r="1484" spans="1:3" ht="15.75">
      <c r="A1484" s="580" t="s">
        <v>3153</v>
      </c>
    </row>
    <row r="1485" spans="1:3">
      <c r="A1485" s="581" t="s">
        <v>3132</v>
      </c>
    </row>
    <row r="1486" spans="1:3">
      <c r="A1486" t="s">
        <v>3133</v>
      </c>
    </row>
    <row r="1488" spans="1:3">
      <c r="A1488" s="582" t="s">
        <v>3779</v>
      </c>
      <c r="B1488" s="582"/>
      <c r="C1488" s="582" t="s">
        <v>3780</v>
      </c>
    </row>
    <row r="1489" spans="1:3">
      <c r="A1489" t="s">
        <v>3251</v>
      </c>
      <c r="B1489" t="s">
        <v>3544</v>
      </c>
      <c r="C1489" t="s">
        <v>3781</v>
      </c>
    </row>
    <row r="1491" spans="1:3">
      <c r="A1491" s="583" t="s">
        <v>3139</v>
      </c>
    </row>
    <row r="1492" spans="1:3">
      <c r="A1492" t="s">
        <v>3782</v>
      </c>
    </row>
    <row r="1494" spans="1:3">
      <c r="A1494" s="583" t="s">
        <v>3141</v>
      </c>
    </row>
    <row r="1495" spans="1:3">
      <c r="A1495" t="s">
        <v>3282</v>
      </c>
    </row>
    <row r="1497" spans="1:3">
      <c r="A1497" s="583" t="s">
        <v>3146</v>
      </c>
    </row>
    <row r="1498" spans="1:3">
      <c r="A1498" t="s">
        <v>3282</v>
      </c>
    </row>
    <row r="1500" spans="1:3">
      <c r="A1500" s="583" t="s">
        <v>3149</v>
      </c>
    </row>
    <row r="1501" spans="1:3">
      <c r="A1501" t="s">
        <v>3150</v>
      </c>
    </row>
    <row r="1502" spans="1:3">
      <c r="A1502" t="s">
        <v>3151</v>
      </c>
    </row>
    <row r="1504" spans="1:3" ht="15.75">
      <c r="A1504" s="580" t="s">
        <v>3783</v>
      </c>
    </row>
    <row r="1505" spans="1:3">
      <c r="A1505" s="581" t="s">
        <v>3132</v>
      </c>
    </row>
    <row r="1506" spans="1:3">
      <c r="A1506" t="s">
        <v>3133</v>
      </c>
    </row>
    <row r="1508" spans="1:3">
      <c r="A1508" s="582" t="s">
        <v>3784</v>
      </c>
      <c r="B1508" s="582"/>
      <c r="C1508" s="582" t="s">
        <v>3785</v>
      </c>
    </row>
    <row r="1509" spans="1:3">
      <c r="A1509" t="s">
        <v>3157</v>
      </c>
      <c r="B1509" t="s">
        <v>3158</v>
      </c>
      <c r="C1509" t="s">
        <v>3223</v>
      </c>
    </row>
    <row r="1511" spans="1:3">
      <c r="A1511" s="583" t="s">
        <v>3139</v>
      </c>
    </row>
    <row r="1512" spans="1:3">
      <c r="A1512" t="s">
        <v>3786</v>
      </c>
    </row>
    <row r="1514" spans="1:3">
      <c r="A1514" s="583" t="s">
        <v>3141</v>
      </c>
    </row>
    <row r="1515" spans="1:3">
      <c r="A1515" t="s">
        <v>3787</v>
      </c>
    </row>
    <row r="1517" spans="1:3">
      <c r="A1517" s="583" t="s">
        <v>3146</v>
      </c>
    </row>
    <row r="1518" spans="1:3">
      <c r="A1518" t="s">
        <v>3788</v>
      </c>
    </row>
    <row r="1520" spans="1:3">
      <c r="A1520" s="583" t="s">
        <v>3149</v>
      </c>
    </row>
    <row r="1521" spans="1:3">
      <c r="A1521" t="s">
        <v>3164</v>
      </c>
    </row>
    <row r="1522" spans="1:3">
      <c r="A1522" t="s">
        <v>3151</v>
      </c>
    </row>
    <row r="1524" spans="1:3" ht="15.75">
      <c r="A1524" s="580" t="s">
        <v>3673</v>
      </c>
    </row>
    <row r="1525" spans="1:3">
      <c r="A1525" s="581" t="s">
        <v>3132</v>
      </c>
    </row>
    <row r="1526" spans="1:3">
      <c r="A1526" t="s">
        <v>3133</v>
      </c>
    </row>
    <row r="1528" spans="1:3">
      <c r="A1528" s="582" t="s">
        <v>3789</v>
      </c>
      <c r="B1528" s="582"/>
      <c r="C1528" s="582" t="s">
        <v>3790</v>
      </c>
    </row>
    <row r="1529" spans="1:3">
      <c r="A1529" t="s">
        <v>3136</v>
      </c>
      <c r="B1529" t="s">
        <v>3762</v>
      </c>
      <c r="C1529" t="s">
        <v>3791</v>
      </c>
    </row>
    <row r="1531" spans="1:3">
      <c r="A1531" s="583" t="s">
        <v>3139</v>
      </c>
    </row>
    <row r="1532" spans="1:3">
      <c r="A1532" t="s">
        <v>3282</v>
      </c>
    </row>
    <row r="1534" spans="1:3">
      <c r="A1534" s="583" t="s">
        <v>3141</v>
      </c>
    </row>
    <row r="1535" spans="1:3">
      <c r="A1535" t="s">
        <v>3792</v>
      </c>
    </row>
    <row r="1536" spans="1:3">
      <c r="A1536" t="s">
        <v>3793</v>
      </c>
    </row>
    <row r="1538" spans="1:1">
      <c r="A1538" s="583" t="s">
        <v>3146</v>
      </c>
    </row>
    <row r="1539" spans="1:1">
      <c r="A1539" t="s">
        <v>3794</v>
      </c>
    </row>
    <row r="1540" spans="1:1">
      <c r="A1540" t="s">
        <v>3795</v>
      </c>
    </row>
    <row r="1542" spans="1:1">
      <c r="A1542" s="583" t="s">
        <v>3149</v>
      </c>
    </row>
    <row r="1543" spans="1:1">
      <c r="A1543" t="s">
        <v>3150</v>
      </c>
    </row>
    <row r="1544" spans="1:1">
      <c r="A1544" t="s">
        <v>3151</v>
      </c>
    </row>
    <row r="1546" spans="1:1">
      <c r="A1546" t="s">
        <v>3129</v>
      </c>
    </row>
    <row r="1547" spans="1:1" ht="18.75">
      <c r="A1547" s="579" t="s">
        <v>3796</v>
      </c>
    </row>
    <row r="1548" spans="1:1">
      <c r="A1548" t="s">
        <v>3129</v>
      </c>
    </row>
    <row r="1550" spans="1:1" ht="15.75">
      <c r="A1550" s="580" t="s">
        <v>3783</v>
      </c>
    </row>
    <row r="1551" spans="1:1">
      <c r="A1551" s="581" t="s">
        <v>3132</v>
      </c>
    </row>
    <row r="1552" spans="1:1">
      <c r="A1552" t="s">
        <v>3133</v>
      </c>
    </row>
    <row r="1554" spans="1:3">
      <c r="A1554" s="582" t="s">
        <v>3797</v>
      </c>
      <c r="B1554" s="582"/>
      <c r="C1554" s="582" t="s">
        <v>3798</v>
      </c>
    </row>
    <row r="1555" spans="1:3">
      <c r="A1555" t="s">
        <v>3136</v>
      </c>
      <c r="B1555" t="s">
        <v>3799</v>
      </c>
      <c r="C1555" t="s">
        <v>3223</v>
      </c>
    </row>
    <row r="1557" spans="1:3">
      <c r="A1557" s="583" t="s">
        <v>3139</v>
      </c>
    </row>
    <row r="1558" spans="1:3">
      <c r="A1558" t="s">
        <v>3224</v>
      </c>
    </row>
    <row r="1560" spans="1:3">
      <c r="A1560" s="583" t="s">
        <v>3141</v>
      </c>
    </row>
    <row r="1561" spans="1:3">
      <c r="A1561" t="s">
        <v>3172</v>
      </c>
    </row>
    <row r="1562" spans="1:3">
      <c r="A1562" t="s">
        <v>3800</v>
      </c>
    </row>
    <row r="1564" spans="1:3">
      <c r="A1564" s="583" t="s">
        <v>3146</v>
      </c>
    </row>
    <row r="1565" spans="1:3">
      <c r="A1565" t="s">
        <v>3237</v>
      </c>
    </row>
    <row r="1566" spans="1:3">
      <c r="A1566" t="s">
        <v>3801</v>
      </c>
    </row>
    <row r="1568" spans="1:3">
      <c r="A1568" s="583" t="s">
        <v>3149</v>
      </c>
    </row>
    <row r="1569" spans="1:1">
      <c r="A1569" t="s">
        <v>3239</v>
      </c>
    </row>
    <row r="1570" spans="1:1">
      <c r="A1570" t="s">
        <v>3802</v>
      </c>
    </row>
    <row r="1571" spans="1:1">
      <c r="A1571" t="s">
        <v>3151</v>
      </c>
    </row>
    <row r="1573" spans="1:1">
      <c r="A1573" t="s">
        <v>3129</v>
      </c>
    </row>
    <row r="1574" spans="1:1">
      <c r="A1574" t="s">
        <v>3803</v>
      </c>
    </row>
    <row r="1575" spans="1:1">
      <c r="A1575" t="s">
        <v>3129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23926b-379a-49b0-b8a9-72d8a957d101" xsi:nil="true"/>
    <lcf76f155ced4ddcb4097134ff3c332f xmlns="5198a440-9818-4a5b-93a0-3a6291aad84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5B6ABDB12C29F45A64F075B2E4522C8" ma:contentTypeVersion="17" ma:contentTypeDescription="Create a new document." ma:contentTypeScope="" ma:versionID="ad92e10abeb5986dc2aca6636d93bd7d">
  <xsd:schema xmlns:xsd="http://www.w3.org/2001/XMLSchema" xmlns:xs="http://www.w3.org/2001/XMLSchema" xmlns:p="http://schemas.microsoft.com/office/2006/metadata/properties" xmlns:ns2="5198a440-9818-4a5b-93a0-3a6291aad84d" xmlns:ns3="cd23926b-379a-49b0-b8a9-72d8a957d101" targetNamespace="http://schemas.microsoft.com/office/2006/metadata/properties" ma:root="true" ma:fieldsID="df1be7950db4605886903b9413472dee" ns2:_="" ns3:_="">
    <xsd:import namespace="5198a440-9818-4a5b-93a0-3a6291aad84d"/>
    <xsd:import namespace="cd23926b-379a-49b0-b8a9-72d8a957d10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8a440-9818-4a5b-93a0-3a6291aad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452bb7-58dd-49e7-8a24-adf1385a2b0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23926b-379a-49b0-b8a9-72d8a957d10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0d0b49a-31ab-4726-a7f6-45546f0b7cf5}" ma:internalName="TaxCatchAll" ma:showField="CatchAllData" ma:web="cd23926b-379a-49b0-b8a9-72d8a957d1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66DBCFD-6B1D-491B-8EC3-312BC5434287}"/>
</file>

<file path=customXml/itemProps2.xml><?xml version="1.0" encoding="utf-8"?>
<ds:datastoreItem xmlns:ds="http://schemas.openxmlformats.org/officeDocument/2006/customXml" ds:itemID="{FA40BEAF-9A8B-484E-8700-0D0E82AB8C29}"/>
</file>

<file path=customXml/itemProps3.xml><?xml version="1.0" encoding="utf-8"?>
<ds:datastoreItem xmlns:ds="http://schemas.openxmlformats.org/officeDocument/2006/customXml" ds:itemID="{57757BFB-F919-4643-AD7A-A99077F61638}"/>
</file>

<file path=customXml/itemProps4.xml><?xml version="1.0" encoding="utf-8"?>
<ds:datastoreItem xmlns:ds="http://schemas.openxmlformats.org/officeDocument/2006/customXml" ds:itemID="{7549A733-057A-484F-A4FD-1E8E866237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Erika Guimarães</dc:creator>
  <cp:keywords/>
  <dc:description/>
  <cp:lastModifiedBy>Raphael Laurindo Bonini</cp:lastModifiedBy>
  <cp:revision/>
  <dcterms:created xsi:type="dcterms:W3CDTF">2021-05-07T14:26:20Z</dcterms:created>
  <dcterms:modified xsi:type="dcterms:W3CDTF">2026-06-03T22:01:57Z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0x01010045B6ABDB12C29F45A64F075B2E4522C8</vt:lpwstr>
  </property>
  <property fmtid="{D5CDD505-2E9C-101B-9397-08002B2CF9AE}" pid="3" name="MediaServiceImageTags">
    <vt:lpwstr/>
  </property>
</Properties>
</file>