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招财宝!$A$1:$Q$39</definedName>
    <definedName name="_xlnm._FilterDatabase" localSheetId="2" hidden="1">招财宝_王蕾!$A$1:$R$4</definedName>
  </definedNames>
  <calcPr calcId="152511"/>
</workbook>
</file>

<file path=xl/calcChain.xml><?xml version="1.0" encoding="utf-8"?>
<calcChain xmlns="http://schemas.openxmlformats.org/spreadsheetml/2006/main">
  <c r="J7" i="7" l="1"/>
  <c r="I7" i="7"/>
  <c r="G7" i="7"/>
  <c r="F7" i="7"/>
  <c r="Q4" i="7"/>
  <c r="P4" i="7"/>
  <c r="N4" i="7"/>
  <c r="M4" i="7"/>
  <c r="L4" i="7"/>
  <c r="K4" i="7"/>
  <c r="G43" i="2"/>
  <c r="F43" i="2"/>
  <c r="J43" i="2"/>
  <c r="N32" i="2"/>
  <c r="P32" i="2"/>
  <c r="Q32" i="2"/>
  <c r="L32" i="2"/>
  <c r="K32" i="2"/>
  <c r="J42" i="2" l="1"/>
  <c r="G42" i="2"/>
  <c r="F42" i="2"/>
  <c r="P30" i="2"/>
  <c r="Q30" i="2"/>
  <c r="N30" i="2"/>
  <c r="M30" i="2"/>
  <c r="L30" i="2"/>
  <c r="K30" i="2"/>
  <c r="J6" i="7" l="1"/>
  <c r="G6" i="7"/>
  <c r="I6" i="7" s="1"/>
  <c r="F6" i="7"/>
  <c r="Q2" i="7"/>
  <c r="Q3" i="7"/>
  <c r="P3" i="7"/>
  <c r="M3" i="7"/>
  <c r="L3" i="7"/>
  <c r="K3" i="7"/>
  <c r="N3" i="7" l="1"/>
  <c r="J5" i="7"/>
  <c r="I5" i="7"/>
  <c r="G5" i="7"/>
  <c r="F5" i="7"/>
  <c r="J41" i="2"/>
  <c r="G41" i="2"/>
  <c r="F41" i="2"/>
  <c r="Q31" i="2"/>
  <c r="P31" i="2"/>
  <c r="N31" i="2"/>
  <c r="K31" i="2"/>
  <c r="Q29" i="2" l="1"/>
  <c r="P29" i="2"/>
  <c r="L29" i="2"/>
  <c r="K29" i="2"/>
  <c r="J40" i="2"/>
  <c r="G40" i="2"/>
  <c r="F40" i="2"/>
  <c r="Q28" i="2"/>
  <c r="P28" i="2"/>
  <c r="N28" i="2"/>
  <c r="L28" i="2"/>
  <c r="K28" i="2"/>
  <c r="J39" i="2" l="1"/>
  <c r="F39" i="2"/>
  <c r="M26" i="2" l="1"/>
  <c r="L26" i="2"/>
  <c r="K26" i="2"/>
  <c r="J38" i="2"/>
  <c r="F38" i="2"/>
  <c r="N29" i="2"/>
  <c r="H33" i="2" l="1"/>
  <c r="H15" i="2"/>
  <c r="H3" i="2"/>
  <c r="N26" i="2"/>
  <c r="F37" i="2"/>
  <c r="J37" i="2"/>
  <c r="Q26" i="2" l="1"/>
  <c r="P26" i="2"/>
  <c r="J36" i="2"/>
  <c r="N25" i="2"/>
  <c r="Q25" i="2" s="1"/>
  <c r="M25" i="2"/>
  <c r="L25" i="2"/>
  <c r="K25" i="2"/>
  <c r="P25" i="2" l="1"/>
  <c r="J35" i="2"/>
  <c r="J34" i="2" l="1"/>
  <c r="L24" i="2"/>
  <c r="K24" i="2"/>
  <c r="N24" i="2" s="1"/>
  <c r="Q24" i="2" s="1"/>
  <c r="P24" i="2" l="1"/>
  <c r="G3" i="7"/>
  <c r="J3" i="7"/>
  <c r="G4" i="7" l="1"/>
  <c r="I4" i="7" s="1"/>
  <c r="I3" i="7"/>
  <c r="N2" i="7"/>
  <c r="M23" i="2" l="1"/>
  <c r="L23" i="2"/>
  <c r="K23" i="2"/>
  <c r="N23" i="2" s="1"/>
  <c r="Q23" i="2" s="1"/>
  <c r="P23" i="2" l="1"/>
  <c r="L27" i="2"/>
  <c r="K27" i="2"/>
  <c r="N27" i="2" s="1"/>
  <c r="M22" i="2" l="1"/>
  <c r="N22" i="2" s="1"/>
  <c r="L22" i="2"/>
  <c r="K22" i="2"/>
  <c r="P22" i="2" l="1"/>
  <c r="Q22" i="2"/>
  <c r="K18" i="1"/>
  <c r="K19" i="1" s="1"/>
  <c r="O13" i="2"/>
  <c r="O12" i="2"/>
  <c r="N13" i="2"/>
  <c r="N12" i="2"/>
  <c r="Q12" i="2" s="1"/>
  <c r="L12" i="2"/>
  <c r="K12" i="2"/>
  <c r="M9" i="2"/>
  <c r="K9" i="2"/>
  <c r="N9" i="2" s="1"/>
  <c r="Q9" i="2" s="1"/>
  <c r="B18" i="1"/>
  <c r="B19" i="1" s="1"/>
  <c r="H18" i="1"/>
  <c r="H19" i="1" s="1"/>
  <c r="E18" i="1"/>
  <c r="E19" i="1" s="1"/>
  <c r="Q13" i="2" l="1"/>
  <c r="P13" i="2"/>
  <c r="P9" i="2"/>
  <c r="P12" i="2"/>
  <c r="K20" i="1"/>
  <c r="K21" i="1" s="1"/>
  <c r="B20" i="1"/>
  <c r="B21" i="1" s="1"/>
  <c r="H20" i="1"/>
  <c r="H21" i="1" s="1"/>
  <c r="E20" i="1"/>
  <c r="E21" i="1" s="1"/>
  <c r="I2" i="7" l="1"/>
  <c r="P2" i="7"/>
  <c r="G17" i="4" l="1"/>
  <c r="G16" i="4"/>
  <c r="E16" i="4"/>
  <c r="N21" i="2"/>
  <c r="Q21" i="2" s="1"/>
  <c r="P21" i="2" l="1"/>
  <c r="O5" i="2"/>
  <c r="K5" i="2"/>
  <c r="N5" i="2" s="1"/>
  <c r="Q5" i="2" l="1"/>
  <c r="P5" i="2"/>
  <c r="L20" i="2"/>
  <c r="M20" i="2"/>
  <c r="K20" i="2"/>
  <c r="N20" i="2" l="1"/>
  <c r="Q20" i="2" s="1"/>
  <c r="G15" i="4"/>
  <c r="N11" i="2"/>
  <c r="Q11" i="2" s="1"/>
  <c r="N10" i="2"/>
  <c r="Q10" i="2" s="1"/>
  <c r="N8" i="2"/>
  <c r="Q8" i="2" s="1"/>
  <c r="N7" i="2"/>
  <c r="Q7" i="2" s="1"/>
  <c r="N6" i="2"/>
  <c r="Q6" i="2" s="1"/>
  <c r="N4" i="2"/>
  <c r="N3" i="2"/>
  <c r="Q3" i="2" s="1"/>
  <c r="N2" i="2"/>
  <c r="Q2" i="2" s="1"/>
  <c r="P20" i="2" l="1"/>
  <c r="P6" i="2"/>
  <c r="P10" i="2"/>
  <c r="P11" i="2"/>
  <c r="P3" i="2"/>
  <c r="P8" i="2"/>
  <c r="Q4" i="2"/>
  <c r="P2" i="2"/>
  <c r="P7" i="2"/>
  <c r="J2" i="5"/>
  <c r="K16" i="2"/>
  <c r="N16" i="2" s="1"/>
  <c r="L17" i="2"/>
  <c r="L19" i="2"/>
  <c r="L18" i="2"/>
  <c r="K18" i="2"/>
  <c r="N18" i="2" s="1"/>
  <c r="K19" i="2"/>
  <c r="N19" i="2" s="1"/>
  <c r="K17" i="2"/>
  <c r="N17" i="2" s="1"/>
  <c r="L15" i="2"/>
  <c r="K15" i="2"/>
  <c r="N15" i="2" s="1"/>
  <c r="L14" i="2"/>
  <c r="K14" i="2"/>
  <c r="N14" i="2" s="1"/>
  <c r="D4" i="2"/>
  <c r="P4" i="2" s="1"/>
  <c r="E4" i="6"/>
  <c r="E5" i="6" s="1"/>
  <c r="E3" i="6"/>
  <c r="G3" i="6" s="1"/>
  <c r="G2" i="6"/>
  <c r="Q15" i="2" l="1"/>
  <c r="P15" i="2"/>
  <c r="Q19" i="2"/>
  <c r="P19" i="2"/>
  <c r="Q18" i="2"/>
  <c r="P18" i="2"/>
  <c r="Q16" i="2"/>
  <c r="P16" i="2"/>
  <c r="Q14" i="2"/>
  <c r="P14" i="2"/>
  <c r="Q17" i="2"/>
  <c r="P17" i="2"/>
  <c r="F3" i="5"/>
  <c r="J3" i="5" s="1"/>
  <c r="H2" i="5"/>
  <c r="E6" i="6"/>
  <c r="G6" i="6" s="1"/>
  <c r="G5" i="6"/>
  <c r="G4" i="6"/>
  <c r="G14" i="4"/>
  <c r="G13" i="4"/>
  <c r="G12" i="4"/>
  <c r="H3" i="5" l="1"/>
  <c r="I2" i="2"/>
  <c r="G3" i="2"/>
  <c r="G4" i="2" s="1"/>
  <c r="G5" i="2" l="1"/>
  <c r="I4" i="2"/>
  <c r="I3" i="2"/>
  <c r="G6" i="4"/>
  <c r="G5" i="4"/>
  <c r="G4" i="4"/>
  <c r="G3" i="4"/>
  <c r="G2" i="4"/>
  <c r="G6" i="2" l="1"/>
  <c r="G7" i="2" s="1"/>
  <c r="I5" i="2"/>
  <c r="G7" i="4"/>
  <c r="G8" i="2" l="1"/>
  <c r="I7" i="2"/>
  <c r="I6" i="2"/>
  <c r="G8" i="4"/>
  <c r="I8" i="2" l="1"/>
  <c r="G9" i="2"/>
  <c r="G9" i="4"/>
  <c r="I9" i="2" l="1"/>
  <c r="G10" i="2"/>
  <c r="B6" i="1"/>
  <c r="I10" i="2" l="1"/>
  <c r="G11" i="2"/>
  <c r="G10" i="4"/>
  <c r="B7" i="1"/>
  <c r="B8" i="1" s="1"/>
  <c r="B9" i="1" s="1"/>
  <c r="G12" i="2" l="1"/>
  <c r="I11" i="2"/>
  <c r="G11" i="4"/>
  <c r="I12" i="2" l="1"/>
  <c r="G13" i="2"/>
  <c r="I13" i="2" l="1"/>
  <c r="G14" i="2"/>
  <c r="I14" i="2" l="1"/>
  <c r="G15" i="2"/>
  <c r="G16" i="2" l="1"/>
  <c r="I15" i="2"/>
  <c r="I16" i="2" l="1"/>
  <c r="G17" i="2"/>
  <c r="I17" i="2" l="1"/>
  <c r="G18" i="2"/>
  <c r="I18" i="2" l="1"/>
  <c r="G19" i="2"/>
  <c r="G20" i="2" l="1"/>
  <c r="I19" i="2"/>
  <c r="G21" i="2" l="1"/>
  <c r="I20" i="2"/>
  <c r="I21" i="2" l="1"/>
  <c r="G22" i="2"/>
  <c r="G23" i="2" l="1"/>
  <c r="I22" i="2"/>
  <c r="G24" i="2" l="1"/>
  <c r="I23" i="2"/>
  <c r="G25" i="2" l="1"/>
  <c r="I24" i="2"/>
  <c r="G27" i="2" l="1"/>
  <c r="I25" i="2"/>
  <c r="G26" i="2" l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I27" i="2"/>
</calcChain>
</file>

<file path=xl/sharedStrings.xml><?xml version="1.0" encoding="utf-8"?>
<sst xmlns="http://schemas.openxmlformats.org/spreadsheetml/2006/main" count="194" uniqueCount="81">
  <si>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</si>
  <si>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</si>
  <si>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</si>
  <si>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</si>
  <si>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</si>
  <si>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</si>
  <si>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</si>
  <si>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</si>
  <si>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</si>
  <si>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</si>
  <si>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</si>
  <si>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</si>
  <si>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</si>
  <si>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</si>
  <si>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</si>
  <si>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</si>
  <si>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</si>
  <si>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</si>
  <si>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</si>
  <si>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</si>
  <si>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</si>
  <si>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</si>
  <si>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</si>
  <si>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</si>
  <si>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</si>
  <si>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</si>
  <si>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</si>
  <si>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</si>
  <si>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</si>
  <si>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</si>
  <si>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</si>
  <si>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</si>
  <si>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</si>
  <si>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</si>
  <si>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</si>
  <si>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</si>
  <si>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</si>
  <si>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</si>
  <si>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</si>
  <si>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</si>
  <si>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</si>
  <si>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</si>
  <si>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</si>
  <si>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</si>
  <si>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</si>
  <si>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</si>
  <si>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</si>
  <si>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</si>
  <si>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</si>
  <si>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</si>
  <si>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</si>
  <si>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</si>
  <si>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</si>
  <si>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</si>
  <si>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</si>
  <si>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</si>
  <si>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</si>
  <si>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</si>
  <si>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</si>
  <si>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富德生命人寿e理财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</si>
  <si>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</si>
  <si>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</si>
  <si>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</si>
  <si>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富德生命人寿e理财</t>
    <phoneticPr fontId="1" type="noConversion"/>
  </si>
  <si>
    <t>正德稳溢1号</t>
    <phoneticPr fontId="1" type="noConversion"/>
  </si>
  <si>
    <t>正德稳溢1号</t>
    <phoneticPr fontId="1" type="noConversion"/>
  </si>
  <si>
    <t>富德生命人寿e理财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</si>
  <si>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</si>
  <si>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</si>
  <si>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</si>
  <si>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2014.11-12,2015.01-05</t>
    <phoneticPr fontId="1" type="noConversion"/>
  </si>
  <si>
    <t>2015.03-05</t>
    <phoneticPr fontId="1" type="noConversion"/>
  </si>
  <si>
    <t>2015.02-05</t>
  </si>
  <si>
    <t>2015.02-05</t>
    <phoneticPr fontId="1" type="noConversion"/>
  </si>
  <si>
    <t>2015.05-05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</si>
  <si>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</si>
  <si>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</si>
  <si>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</si>
  <si>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</si>
  <si>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</si>
  <si>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富德生命人寿e理财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</si>
</sst>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K17" sqref="K17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1491.84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6.65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10160.81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20.32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10140.49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45.98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Normal="100" workbookViewId="0">
      <pane xSplit="5" ySplit="1" topLeftCell="L17" activePane="bottomRight" state="frozen"/>
      <selection pane="topRight" activeCell="F1" sqref="F1"/>
      <selection pane="bottomLeft" activeCell="A2" sqref="A2"/>
      <selection pane="bottomRight" activeCell="N46" sqref="N46"/>
    </sheetView>
  </sheetViews>
  <sheetFormatPr defaultRowHeight="13.5" x14ac:dyDescent="0.15"/>
  <cols>
    <col min="1" max="1" width="22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0.5" bestFit="1" customWidth="1"/>
    <col min="8" max="8" width="9.75" bestFit="1" customWidth="1"/>
    <col min="10" max="10" width="12" bestFit="1" customWidth="1"/>
    <col min="11" max="11" width="10.5" style="2" bestFit="1" customWidth="1"/>
    <col min="12" max="12" width="13" bestFit="1" customWidth="1"/>
    <col min="13" max="13" width="7.125" bestFit="1" customWidth="1"/>
    <col min="14" max="14" width="9.5" customWidth="1"/>
    <col min="15" max="15" width="9.75" bestFit="1" customWidth="1"/>
    <col min="16" max="16" width="11.875" bestFit="1" customWidth="1"/>
    <col min="18" max="18" width="23.875" bestFit="1" customWidth="1"/>
  </cols>
  <sheetData>
    <row r="1" spans="1:18" s="3" customFormat="1" x14ac:dyDescent="0.15">
      <c r="B1" s="3" t="s">
        <v>44</v>
      </c>
      <c r="C1" s="3" t="s">
        <v>69</v>
      </c>
      <c r="D1" s="3" t="s">
        <v>18</v>
      </c>
      <c r="E1" s="3" t="s">
        <v>14</v>
      </c>
      <c r="F1" s="3" t="s">
        <v>30</v>
      </c>
      <c r="G1" s="3" t="s">
        <v>15</v>
      </c>
      <c r="H1" s="3" t="s">
        <v>16</v>
      </c>
      <c r="I1" s="3" t="s">
        <v>17</v>
      </c>
      <c r="J1" s="3" t="s">
        <v>35</v>
      </c>
      <c r="K1" s="4" t="s">
        <v>36</v>
      </c>
      <c r="L1" s="3" t="s">
        <v>37</v>
      </c>
      <c r="M1" s="3" t="s">
        <v>38</v>
      </c>
      <c r="N1" s="3" t="s">
        <v>46</v>
      </c>
      <c r="O1" s="3" t="s">
        <v>56</v>
      </c>
      <c r="P1" s="3" t="s">
        <v>48</v>
      </c>
      <c r="Q1" s="3" t="s">
        <v>57</v>
      </c>
      <c r="R1" s="3" t="s">
        <v>68</v>
      </c>
    </row>
    <row r="2" spans="1:18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42176</v>
      </c>
      <c r="H2">
        <v>72.44</v>
      </c>
      <c r="I2">
        <f t="shared" ref="I2:I25" si="0">ROUND(H2*365/(G2-F2)/D2*100,2)</f>
        <v>6.27</v>
      </c>
      <c r="J2" s="1">
        <v>42055</v>
      </c>
      <c r="K2">
        <v>2034.81</v>
      </c>
      <c r="L2">
        <v>215.47</v>
      </c>
      <c r="M2">
        <v>4.07</v>
      </c>
      <c r="N2">
        <f t="shared" ref="N2:N9" si="1">K2-M2</f>
        <v>2030.74</v>
      </c>
      <c r="O2">
        <v>0.01</v>
      </c>
      <c r="P2">
        <f t="shared" ref="P2:P9" si="2">ROUND((N2-D2)/D2*365/(J2-E2)*100,2)</f>
        <v>6.23</v>
      </c>
      <c r="Q2">
        <f t="shared" ref="Q2:Q26" si="3">N2+O2-D2</f>
        <v>30.75</v>
      </c>
    </row>
    <row r="3" spans="1:18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f t="shared" ref="G3:G43" si="4">G2</f>
        <v>42176</v>
      </c>
      <c r="H3">
        <f>H2</f>
        <v>72.44</v>
      </c>
      <c r="I3">
        <f t="shared" si="0"/>
        <v>6.27</v>
      </c>
      <c r="J3" s="1">
        <v>42055</v>
      </c>
      <c r="K3">
        <v>2052.64</v>
      </c>
      <c r="L3">
        <v>197.64</v>
      </c>
      <c r="M3">
        <v>4.1100000000000003</v>
      </c>
      <c r="N3">
        <f t="shared" si="1"/>
        <v>2048.5299999999997</v>
      </c>
      <c r="O3">
        <v>0.01</v>
      </c>
      <c r="P3">
        <f t="shared" si="2"/>
        <v>9.84</v>
      </c>
      <c r="Q3">
        <f t="shared" si="3"/>
        <v>48.539999999999964</v>
      </c>
    </row>
    <row r="4" spans="1:18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f t="shared" si="4"/>
        <v>42176</v>
      </c>
      <c r="H4">
        <v>87.9</v>
      </c>
      <c r="I4">
        <f t="shared" si="0"/>
        <v>6.27</v>
      </c>
      <c r="J4" s="1">
        <v>42055</v>
      </c>
      <c r="K4">
        <v>2490.7199999999998</v>
      </c>
      <c r="L4">
        <v>239.82</v>
      </c>
      <c r="M4">
        <v>4.9800000000000004</v>
      </c>
      <c r="N4">
        <f t="shared" si="1"/>
        <v>2485.7399999999998</v>
      </c>
      <c r="O4">
        <v>0.01</v>
      </c>
      <c r="P4">
        <f t="shared" si="2"/>
        <v>9.84</v>
      </c>
      <c r="Q4">
        <f t="shared" si="3"/>
        <v>58.900000000000091</v>
      </c>
    </row>
    <row r="5" spans="1:18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f t="shared" si="4"/>
        <v>42176</v>
      </c>
      <c r="H5">
        <v>73.459999999999994</v>
      </c>
      <c r="I5">
        <f t="shared" si="0"/>
        <v>6.6</v>
      </c>
      <c r="J5" s="1">
        <v>42155</v>
      </c>
      <c r="K5">
        <f>1907.6</f>
        <v>1907.6</v>
      </c>
      <c r="L5">
        <v>192.52</v>
      </c>
      <c r="M5">
        <v>3.82</v>
      </c>
      <c r="N5">
        <f t="shared" si="1"/>
        <v>1903.78</v>
      </c>
      <c r="O5">
        <f>176.86</f>
        <v>176.86</v>
      </c>
      <c r="P5">
        <f t="shared" si="2"/>
        <v>-9.6</v>
      </c>
      <c r="Q5">
        <f t="shared" si="3"/>
        <v>80.639999999999873</v>
      </c>
      <c r="R5" t="s">
        <v>70</v>
      </c>
    </row>
    <row r="6" spans="1:18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f t="shared" si="4"/>
        <v>42176</v>
      </c>
      <c r="H6">
        <v>31.6</v>
      </c>
      <c r="I6">
        <f t="shared" si="0"/>
        <v>6.95</v>
      </c>
      <c r="J6" s="1">
        <v>42059</v>
      </c>
      <c r="K6">
        <v>1040.56</v>
      </c>
      <c r="L6">
        <v>98.42</v>
      </c>
      <c r="M6">
        <v>2.0699999999999998</v>
      </c>
      <c r="N6">
        <f t="shared" si="1"/>
        <v>1038.49</v>
      </c>
      <c r="O6">
        <v>0.02</v>
      </c>
      <c r="P6">
        <f t="shared" si="2"/>
        <v>28.67</v>
      </c>
      <c r="Q6">
        <f t="shared" si="3"/>
        <v>38.509999999999991</v>
      </c>
    </row>
    <row r="7" spans="1:18" x14ac:dyDescent="0.15">
      <c r="A7" t="s">
        <v>19</v>
      </c>
      <c r="B7">
        <v>365</v>
      </c>
      <c r="C7" t="s">
        <v>75</v>
      </c>
      <c r="D7">
        <v>1000</v>
      </c>
      <c r="E7" s="1">
        <v>42055</v>
      </c>
      <c r="F7" s="1">
        <v>42056</v>
      </c>
      <c r="G7" s="1">
        <f t="shared" si="4"/>
        <v>42176</v>
      </c>
      <c r="H7">
        <v>22.41</v>
      </c>
      <c r="I7">
        <f t="shared" si="0"/>
        <v>6.82</v>
      </c>
      <c r="J7" s="1">
        <v>42132</v>
      </c>
      <c r="K7">
        <v>980.51</v>
      </c>
      <c r="L7">
        <v>44.47</v>
      </c>
      <c r="M7">
        <v>1.94</v>
      </c>
      <c r="N7">
        <f t="shared" si="1"/>
        <v>978.56999999999994</v>
      </c>
      <c r="O7">
        <v>44.02</v>
      </c>
      <c r="P7">
        <f t="shared" si="2"/>
        <v>-10.16</v>
      </c>
      <c r="Q7">
        <f t="shared" si="3"/>
        <v>22.589999999999918</v>
      </c>
      <c r="R7" t="s">
        <v>73</v>
      </c>
    </row>
    <row r="8" spans="1:18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f t="shared" si="4"/>
        <v>42176</v>
      </c>
      <c r="H8">
        <v>22.18</v>
      </c>
      <c r="I8">
        <f t="shared" si="0"/>
        <v>6.75</v>
      </c>
      <c r="J8" s="1">
        <v>42132</v>
      </c>
      <c r="K8">
        <v>980.51</v>
      </c>
      <c r="L8">
        <v>44.48</v>
      </c>
      <c r="M8">
        <v>1.96</v>
      </c>
      <c r="N8">
        <f t="shared" si="1"/>
        <v>978.55</v>
      </c>
      <c r="O8">
        <v>44.01</v>
      </c>
      <c r="P8">
        <f t="shared" si="2"/>
        <v>-10.17</v>
      </c>
      <c r="Q8">
        <f t="shared" si="3"/>
        <v>22.559999999999945</v>
      </c>
      <c r="R8" t="s">
        <v>73</v>
      </c>
    </row>
    <row r="9" spans="1:18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f t="shared" si="4"/>
        <v>42176</v>
      </c>
      <c r="H9">
        <v>89.33</v>
      </c>
      <c r="I9">
        <f t="shared" si="0"/>
        <v>6.79</v>
      </c>
      <c r="J9" s="1">
        <v>42162</v>
      </c>
      <c r="K9">
        <f>3609.97</f>
        <v>3609.97</v>
      </c>
      <c r="L9">
        <v>690.29</v>
      </c>
      <c r="M9">
        <f>7.22</f>
        <v>7.22</v>
      </c>
      <c r="N9">
        <f t="shared" si="1"/>
        <v>3602.75</v>
      </c>
      <c r="O9">
        <v>586.17999999999995</v>
      </c>
      <c r="P9">
        <f t="shared" si="2"/>
        <v>-33.880000000000003</v>
      </c>
      <c r="Q9">
        <f t="shared" si="3"/>
        <v>188.93000000000029</v>
      </c>
      <c r="R9" t="s">
        <v>73</v>
      </c>
    </row>
    <row r="10" spans="1:18" x14ac:dyDescent="0.15">
      <c r="A10" t="s">
        <v>34</v>
      </c>
      <c r="B10">
        <v>365</v>
      </c>
      <c r="C10" t="s">
        <v>75</v>
      </c>
      <c r="D10">
        <v>2000</v>
      </c>
      <c r="E10" s="1">
        <v>42055</v>
      </c>
      <c r="F10" s="1">
        <v>42056</v>
      </c>
      <c r="G10" s="1">
        <f t="shared" si="4"/>
        <v>42176</v>
      </c>
      <c r="H10">
        <v>44.81</v>
      </c>
      <c r="I10">
        <f t="shared" si="0"/>
        <v>6.81</v>
      </c>
      <c r="J10" s="1">
        <v>42132</v>
      </c>
      <c r="K10">
        <v>1961.02</v>
      </c>
      <c r="L10">
        <v>88.95</v>
      </c>
      <c r="M10">
        <v>3.9</v>
      </c>
      <c r="N10">
        <f>K10-M10</f>
        <v>1957.12</v>
      </c>
      <c r="O10">
        <v>88.03</v>
      </c>
      <c r="P10">
        <f>ROUND((N10-D10)/D10*365/(J10-E10)*100,2)</f>
        <v>-10.16</v>
      </c>
      <c r="Q10">
        <f t="shared" si="3"/>
        <v>45.149999999999864</v>
      </c>
      <c r="R10" t="s">
        <v>73</v>
      </c>
    </row>
    <row r="11" spans="1:18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f t="shared" si="4"/>
        <v>42176</v>
      </c>
      <c r="H11">
        <v>21.43</v>
      </c>
      <c r="I11">
        <f t="shared" si="0"/>
        <v>6.74</v>
      </c>
      <c r="J11" s="1">
        <v>42132</v>
      </c>
      <c r="K11">
        <v>980</v>
      </c>
      <c r="L11">
        <v>44.99</v>
      </c>
      <c r="M11">
        <v>1.96</v>
      </c>
      <c r="N11">
        <f>K11-M11</f>
        <v>978.04</v>
      </c>
      <c r="O11">
        <v>44.01</v>
      </c>
      <c r="P11">
        <f>ROUND((N11-D11)/D11*365/(J11-E11)*100,2)</f>
        <v>-10.98</v>
      </c>
      <c r="Q11">
        <f t="shared" si="3"/>
        <v>22.049999999999955</v>
      </c>
      <c r="R11" t="s">
        <v>72</v>
      </c>
    </row>
    <row r="12" spans="1:18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f t="shared" si="4"/>
        <v>42176</v>
      </c>
      <c r="H12">
        <v>63.74</v>
      </c>
      <c r="I12">
        <f t="shared" si="0"/>
        <v>6.74</v>
      </c>
      <c r="J12" s="1">
        <v>42162</v>
      </c>
      <c r="K12">
        <f>2705.28</f>
        <v>2705.28</v>
      </c>
      <c r="L12">
        <f>519.89</f>
        <v>519.89</v>
      </c>
      <c r="M12">
        <v>5.39</v>
      </c>
      <c r="N12">
        <f>K12-M12</f>
        <v>2699.8900000000003</v>
      </c>
      <c r="O12">
        <f>439.66</f>
        <v>439.66</v>
      </c>
      <c r="P12">
        <f>ROUND((N12-D12)/D12*365/(J12-E12)*100,2)</f>
        <v>-35.799999999999997</v>
      </c>
      <c r="Q12">
        <f t="shared" si="3"/>
        <v>139.55000000000018</v>
      </c>
      <c r="R12" t="s">
        <v>72</v>
      </c>
    </row>
    <row r="13" spans="1:18" x14ac:dyDescent="0.15">
      <c r="A13" t="s">
        <v>40</v>
      </c>
      <c r="B13">
        <v>1096</v>
      </c>
      <c r="C13" t="s">
        <v>75</v>
      </c>
      <c r="D13">
        <v>2000</v>
      </c>
      <c r="E13" s="1">
        <v>42060</v>
      </c>
      <c r="F13" s="1">
        <v>42061</v>
      </c>
      <c r="G13" s="1">
        <f t="shared" si="4"/>
        <v>42176</v>
      </c>
      <c r="H13">
        <v>42.92</v>
      </c>
      <c r="I13">
        <f t="shared" si="0"/>
        <v>6.81</v>
      </c>
      <c r="J13" s="1">
        <v>42162</v>
      </c>
      <c r="K13">
        <v>1803.52</v>
      </c>
      <c r="L13">
        <v>346.6</v>
      </c>
      <c r="M13">
        <v>3.61</v>
      </c>
      <c r="N13">
        <f>K13-M13</f>
        <v>1799.91</v>
      </c>
      <c r="O13">
        <f>293.1</f>
        <v>293.10000000000002</v>
      </c>
      <c r="P13">
        <f>ROUND((N13-D13)/D13*365/(J13-E13)*100,2)</f>
        <v>-35.799999999999997</v>
      </c>
      <c r="Q13">
        <f t="shared" si="3"/>
        <v>93.010000000000218</v>
      </c>
      <c r="R13" t="s">
        <v>73</v>
      </c>
    </row>
    <row r="14" spans="1:18" x14ac:dyDescent="0.15">
      <c r="A14" t="s">
        <v>67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f t="shared" si="4"/>
        <v>42176</v>
      </c>
      <c r="H14">
        <v>60.17</v>
      </c>
      <c r="I14">
        <f t="shared" si="0"/>
        <v>6.78</v>
      </c>
      <c r="J14" s="1">
        <v>42132</v>
      </c>
      <c r="K14">
        <f>3899.22</f>
        <v>3899.22</v>
      </c>
      <c r="L14">
        <f>200.77</f>
        <v>200.77</v>
      </c>
      <c r="M14">
        <v>7.79</v>
      </c>
      <c r="N14">
        <f t="shared" ref="N14:N26" si="5">K14-M14</f>
        <v>3891.43</v>
      </c>
      <c r="O14">
        <v>178.41</v>
      </c>
      <c r="P14">
        <f t="shared" ref="P14:P26" si="6">ROUND((N14-D14)/D14*365/(J14-E14)*100,2)</f>
        <v>-26.07</v>
      </c>
      <c r="Q14">
        <f t="shared" si="3"/>
        <v>69.839999999999691</v>
      </c>
      <c r="R14" t="s">
        <v>71</v>
      </c>
    </row>
    <row r="15" spans="1:18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f t="shared" si="4"/>
        <v>42176</v>
      </c>
      <c r="H15">
        <f>H14</f>
        <v>60.17</v>
      </c>
      <c r="I15">
        <f t="shared" si="0"/>
        <v>6.78</v>
      </c>
      <c r="J15" s="1">
        <v>42132</v>
      </c>
      <c r="K15">
        <f>3898.89</f>
        <v>3898.89</v>
      </c>
      <c r="L15">
        <f>201.37</f>
        <v>201.37</v>
      </c>
      <c r="M15">
        <v>7.8</v>
      </c>
      <c r="N15">
        <f t="shared" si="5"/>
        <v>3891.0899999999997</v>
      </c>
      <c r="O15">
        <v>178.14</v>
      </c>
      <c r="P15">
        <f t="shared" si="6"/>
        <v>-26.15</v>
      </c>
      <c r="Q15">
        <f t="shared" si="3"/>
        <v>69.229999999999563</v>
      </c>
      <c r="R15" t="s">
        <v>71</v>
      </c>
    </row>
    <row r="16" spans="1:18" x14ac:dyDescent="0.15">
      <c r="A16" t="s">
        <v>23</v>
      </c>
      <c r="B16">
        <v>1096</v>
      </c>
      <c r="C16" t="s">
        <v>76</v>
      </c>
      <c r="D16">
        <v>10000</v>
      </c>
      <c r="E16" s="1">
        <v>42132</v>
      </c>
      <c r="F16" s="1">
        <v>42133</v>
      </c>
      <c r="G16" s="1">
        <f t="shared" si="4"/>
        <v>42176</v>
      </c>
      <c r="H16">
        <v>82.62</v>
      </c>
      <c r="I16">
        <f t="shared" si="0"/>
        <v>7.01</v>
      </c>
      <c r="J16" s="1">
        <v>42144</v>
      </c>
      <c r="K16" s="2">
        <f>10240.28</f>
        <v>10240.280000000001</v>
      </c>
      <c r="L16">
        <v>2027.32</v>
      </c>
      <c r="M16">
        <v>20.48</v>
      </c>
      <c r="N16">
        <f t="shared" si="5"/>
        <v>10219.800000000001</v>
      </c>
      <c r="O16">
        <v>0.01</v>
      </c>
      <c r="P16">
        <f t="shared" si="6"/>
        <v>66.86</v>
      </c>
      <c r="Q16">
        <f t="shared" si="3"/>
        <v>219.81000000000131</v>
      </c>
      <c r="R16" t="s">
        <v>74</v>
      </c>
    </row>
    <row r="17" spans="1:18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f t="shared" si="4"/>
        <v>42176</v>
      </c>
      <c r="H17">
        <v>16.12</v>
      </c>
      <c r="I17">
        <f t="shared" si="0"/>
        <v>6.84</v>
      </c>
      <c r="J17" s="1">
        <v>42143</v>
      </c>
      <c r="K17" s="2">
        <f>2034.82</f>
        <v>2034.82</v>
      </c>
      <c r="L17">
        <f>106.15</f>
        <v>106.15</v>
      </c>
      <c r="M17">
        <v>4.0599999999999996</v>
      </c>
      <c r="N17">
        <f t="shared" si="5"/>
        <v>2030.76</v>
      </c>
      <c r="O17">
        <v>0.03</v>
      </c>
      <c r="P17">
        <f t="shared" si="6"/>
        <v>51.03</v>
      </c>
      <c r="Q17">
        <f t="shared" si="3"/>
        <v>30.789999999999964</v>
      </c>
      <c r="R17" t="s">
        <v>74</v>
      </c>
    </row>
    <row r="18" spans="1:18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f t="shared" si="4"/>
        <v>42176</v>
      </c>
      <c r="H18">
        <v>40.29</v>
      </c>
      <c r="I18">
        <f t="shared" si="0"/>
        <v>6.84</v>
      </c>
      <c r="J18" s="1">
        <v>42143</v>
      </c>
      <c r="K18" s="2">
        <f>5087.05</f>
        <v>5087.05</v>
      </c>
      <c r="L18">
        <f>265.43</f>
        <v>265.43</v>
      </c>
      <c r="M18">
        <v>10.14</v>
      </c>
      <c r="N18">
        <f t="shared" si="5"/>
        <v>5076.91</v>
      </c>
      <c r="O18">
        <v>0.02</v>
      </c>
      <c r="P18">
        <f t="shared" si="6"/>
        <v>51.04</v>
      </c>
      <c r="Q18">
        <f t="shared" si="3"/>
        <v>76.930000000000291</v>
      </c>
      <c r="R18" t="s">
        <v>74</v>
      </c>
    </row>
    <row r="19" spans="1:18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f t="shared" si="4"/>
        <v>42176</v>
      </c>
      <c r="H19">
        <v>56.41</v>
      </c>
      <c r="I19">
        <f t="shared" si="0"/>
        <v>6.84</v>
      </c>
      <c r="J19" s="1">
        <v>42143</v>
      </c>
      <c r="K19" s="2">
        <f>7121.87</f>
        <v>7121.87</v>
      </c>
      <c r="L19">
        <f>371.62</f>
        <v>371.62</v>
      </c>
      <c r="M19">
        <v>14.24</v>
      </c>
      <c r="N19">
        <f t="shared" si="5"/>
        <v>7107.63</v>
      </c>
      <c r="O19">
        <v>0.01</v>
      </c>
      <c r="P19">
        <f t="shared" si="6"/>
        <v>51.02</v>
      </c>
      <c r="Q19">
        <f t="shared" si="3"/>
        <v>107.64000000000033</v>
      </c>
      <c r="R19" t="s">
        <v>74</v>
      </c>
    </row>
    <row r="20" spans="1:18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f t="shared" si="4"/>
        <v>42176</v>
      </c>
      <c r="H20">
        <v>60.73</v>
      </c>
      <c r="I20">
        <f t="shared" si="0"/>
        <v>6.93</v>
      </c>
      <c r="J20" s="1">
        <v>42154</v>
      </c>
      <c r="K20" s="2">
        <f>10173.4</f>
        <v>10173.4</v>
      </c>
      <c r="L20">
        <f>543.75</f>
        <v>543.75</v>
      </c>
      <c r="M20">
        <f>20.35</f>
        <v>20.350000000000001</v>
      </c>
      <c r="N20">
        <f t="shared" si="5"/>
        <v>10153.049999999999</v>
      </c>
      <c r="O20">
        <v>0.01</v>
      </c>
      <c r="P20">
        <f t="shared" si="6"/>
        <v>50.78</v>
      </c>
      <c r="Q20">
        <f t="shared" si="3"/>
        <v>153.05999999999949</v>
      </c>
      <c r="R20" t="s">
        <v>74</v>
      </c>
    </row>
    <row r="21" spans="1:18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f t="shared" si="4"/>
        <v>42176</v>
      </c>
      <c r="H21">
        <v>58.82</v>
      </c>
      <c r="I21">
        <f t="shared" si="0"/>
        <v>6.93</v>
      </c>
      <c r="J21" s="1">
        <v>42155</v>
      </c>
      <c r="K21" s="2">
        <v>10177.17</v>
      </c>
      <c r="L21">
        <v>539.91</v>
      </c>
      <c r="M21">
        <v>20.23</v>
      </c>
      <c r="N21">
        <f t="shared" si="5"/>
        <v>10156.94</v>
      </c>
      <c r="O21">
        <v>0.08</v>
      </c>
      <c r="P21">
        <f t="shared" si="6"/>
        <v>52.08</v>
      </c>
      <c r="Q21">
        <f t="shared" si="3"/>
        <v>157.02000000000044</v>
      </c>
      <c r="R21" t="s">
        <v>74</v>
      </c>
    </row>
    <row r="22" spans="1:18" x14ac:dyDescent="0.15">
      <c r="A22" t="s">
        <v>77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f t="shared" si="4"/>
        <v>42176</v>
      </c>
      <c r="H22">
        <v>47.83</v>
      </c>
      <c r="I22">
        <f t="shared" si="0"/>
        <v>6.93</v>
      </c>
      <c r="J22" s="1">
        <v>42165</v>
      </c>
      <c r="K22" s="2">
        <f>12184.19</f>
        <v>12184.19</v>
      </c>
      <c r="L22">
        <f>673.79</f>
        <v>673.79</v>
      </c>
      <c r="M22">
        <f>24.36</f>
        <v>24.36</v>
      </c>
      <c r="N22">
        <f t="shared" si="5"/>
        <v>12159.83</v>
      </c>
      <c r="O22">
        <v>0.02</v>
      </c>
      <c r="P22">
        <f t="shared" si="6"/>
        <v>44.2</v>
      </c>
      <c r="Q22">
        <f t="shared" si="3"/>
        <v>159.85000000000036</v>
      </c>
      <c r="R22" t="s">
        <v>74</v>
      </c>
    </row>
    <row r="23" spans="1:18" x14ac:dyDescent="0.15">
      <c r="A23" t="s">
        <v>77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f t="shared" si="4"/>
        <v>42176</v>
      </c>
      <c r="H23">
        <v>49.34</v>
      </c>
      <c r="I23">
        <f t="shared" si="0"/>
        <v>6.93</v>
      </c>
      <c r="J23" s="1">
        <v>42168</v>
      </c>
      <c r="K23" s="2">
        <f>5988+4990+2186.04</f>
        <v>13164.04</v>
      </c>
      <c r="L23">
        <f>339.41+278.15+121.51</f>
        <v>739.06999999999994</v>
      </c>
      <c r="M23">
        <f>12+9.99+4.38</f>
        <v>26.37</v>
      </c>
      <c r="N23">
        <f t="shared" si="5"/>
        <v>13137.67</v>
      </c>
      <c r="O23">
        <v>0.01</v>
      </c>
      <c r="P23">
        <f t="shared" si="6"/>
        <v>29.73</v>
      </c>
      <c r="Q23">
        <f t="shared" si="3"/>
        <v>137.68000000000029</v>
      </c>
      <c r="R23" t="s">
        <v>74</v>
      </c>
    </row>
    <row r="24" spans="1:18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1">
        <f t="shared" si="4"/>
        <v>42176</v>
      </c>
      <c r="H24">
        <v>21.14</v>
      </c>
      <c r="I24">
        <f t="shared" si="0"/>
        <v>7.42</v>
      </c>
      <c r="J24" s="7">
        <v>42173</v>
      </c>
      <c r="K24" s="2">
        <f>8100.34</f>
        <v>8100.34</v>
      </c>
      <c r="L24">
        <f>472.45</f>
        <v>472.45</v>
      </c>
      <c r="M24">
        <v>16.2</v>
      </c>
      <c r="N24">
        <f t="shared" si="5"/>
        <v>8084.14</v>
      </c>
      <c r="O24">
        <v>0.01</v>
      </c>
      <c r="P24">
        <f t="shared" si="6"/>
        <v>34.9</v>
      </c>
      <c r="Q24">
        <f t="shared" si="3"/>
        <v>84.150000000000546</v>
      </c>
    </row>
    <row r="25" spans="1:18" x14ac:dyDescent="0.15">
      <c r="A25" s="5" t="s">
        <v>59</v>
      </c>
      <c r="B25">
        <v>366</v>
      </c>
      <c r="C25">
        <v>7.25</v>
      </c>
      <c r="D25">
        <v>20000</v>
      </c>
      <c r="E25" s="1">
        <v>42164</v>
      </c>
      <c r="F25" s="1">
        <v>42165</v>
      </c>
      <c r="G25" s="1">
        <f t="shared" si="4"/>
        <v>42176</v>
      </c>
      <c r="H25">
        <v>42.92</v>
      </c>
      <c r="I25">
        <f t="shared" si="0"/>
        <v>7.12</v>
      </c>
      <c r="J25" s="7">
        <v>42175</v>
      </c>
      <c r="K25" s="2">
        <f>15000+5267.89</f>
        <v>20267.89</v>
      </c>
      <c r="L25">
        <f>874.85+307.25</f>
        <v>1182.0999999999999</v>
      </c>
      <c r="M25">
        <f>29.99+10.54</f>
        <v>40.53</v>
      </c>
      <c r="N25">
        <f t="shared" si="5"/>
        <v>20227.36</v>
      </c>
      <c r="O25">
        <v>0.01</v>
      </c>
      <c r="P25">
        <f t="shared" si="6"/>
        <v>37.72</v>
      </c>
      <c r="Q25">
        <f t="shared" si="3"/>
        <v>227.36999999999898</v>
      </c>
    </row>
    <row r="26" spans="1:18" x14ac:dyDescent="0.15">
      <c r="A26" s="5" t="s">
        <v>59</v>
      </c>
      <c r="B26">
        <v>366</v>
      </c>
      <c r="C26">
        <v>7.25</v>
      </c>
      <c r="D26">
        <v>12000</v>
      </c>
      <c r="E26" s="1">
        <v>42165</v>
      </c>
      <c r="F26" s="1">
        <v>42166</v>
      </c>
      <c r="G26" s="1">
        <f>G27</f>
        <v>42176</v>
      </c>
      <c r="H26">
        <v>23.41</v>
      </c>
      <c r="J26" s="7">
        <v>42177</v>
      </c>
      <c r="K26" s="2">
        <f>6000+1000+5164.96</f>
        <v>12164.96</v>
      </c>
      <c r="L26">
        <f>348.78+57.86+298.36</f>
        <v>705</v>
      </c>
      <c r="M26">
        <f>12+2+10.32</f>
        <v>24.32</v>
      </c>
      <c r="N26">
        <f t="shared" si="5"/>
        <v>12140.64</v>
      </c>
      <c r="O26">
        <v>0.04</v>
      </c>
      <c r="P26">
        <f t="shared" si="6"/>
        <v>35.65</v>
      </c>
      <c r="Q26">
        <f t="shared" si="3"/>
        <v>140.68000000000029</v>
      </c>
    </row>
    <row r="27" spans="1:18" x14ac:dyDescent="0.15">
      <c r="A27" t="s">
        <v>60</v>
      </c>
      <c r="B27">
        <v>540</v>
      </c>
      <c r="D27">
        <v>5000</v>
      </c>
      <c r="E27" s="1">
        <v>42164</v>
      </c>
      <c r="F27" s="1">
        <v>42164</v>
      </c>
      <c r="G27" s="1">
        <f>G25</f>
        <v>42176</v>
      </c>
      <c r="H27">
        <v>0</v>
      </c>
      <c r="I27">
        <f>ROUND(H27*365/(G27-F27)/D27*100,2)</f>
        <v>0</v>
      </c>
      <c r="J27" s="1">
        <v>42165</v>
      </c>
      <c r="K27" s="2">
        <f>4539.49</f>
        <v>4539.49</v>
      </c>
      <c r="L27">
        <f>460.5</f>
        <v>460.5</v>
      </c>
      <c r="M27">
        <v>9.08</v>
      </c>
      <c r="N27">
        <f t="shared" ref="N27:N32" si="7">K27-M27</f>
        <v>4530.41</v>
      </c>
    </row>
    <row r="28" spans="1:18" x14ac:dyDescent="0.15">
      <c r="A28" s="5" t="s">
        <v>59</v>
      </c>
      <c r="B28">
        <v>366</v>
      </c>
      <c r="C28">
        <v>7.25</v>
      </c>
      <c r="D28">
        <v>5000</v>
      </c>
      <c r="E28" s="1">
        <v>42165</v>
      </c>
      <c r="F28" s="1">
        <v>42166</v>
      </c>
      <c r="G28" s="1">
        <f>G26</f>
        <v>42176</v>
      </c>
      <c r="H28">
        <v>9.75</v>
      </c>
      <c r="J28" s="7">
        <v>42179</v>
      </c>
      <c r="K28" s="2">
        <f>5067.93</f>
        <v>5067.93</v>
      </c>
      <c r="L28">
        <f>294.56</f>
        <v>294.56</v>
      </c>
      <c r="M28">
        <v>10.130000000000001</v>
      </c>
      <c r="N28">
        <f t="shared" si="7"/>
        <v>5057.8</v>
      </c>
      <c r="O28">
        <v>0.01</v>
      </c>
      <c r="P28">
        <f t="shared" ref="P28" si="8">ROUND((N28-D28)/D28*365/(J28-E28)*100,2)</f>
        <v>30.14</v>
      </c>
      <c r="Q28">
        <f t="shared" ref="Q28" si="9">N28+O28-D28</f>
        <v>57.8100000000004</v>
      </c>
    </row>
    <row r="29" spans="1:18" x14ac:dyDescent="0.15">
      <c r="A29" s="5" t="s">
        <v>59</v>
      </c>
      <c r="B29">
        <v>366</v>
      </c>
      <c r="C29">
        <v>7.25</v>
      </c>
      <c r="D29">
        <v>6000</v>
      </c>
      <c r="E29" s="1">
        <v>42166</v>
      </c>
      <c r="F29" s="1">
        <v>42167</v>
      </c>
      <c r="G29" s="1">
        <f t="shared" si="4"/>
        <v>42176</v>
      </c>
      <c r="H29">
        <v>10.53</v>
      </c>
      <c r="J29" s="7">
        <v>42178</v>
      </c>
      <c r="K29" s="2">
        <f>1000+5082.45</f>
        <v>6082.45</v>
      </c>
      <c r="L29">
        <f>57.86+294.61</f>
        <v>352.47</v>
      </c>
      <c r="M29">
        <v>12.16</v>
      </c>
      <c r="N29">
        <f t="shared" si="7"/>
        <v>6070.29</v>
      </c>
      <c r="O29">
        <v>0.01</v>
      </c>
      <c r="P29">
        <f t="shared" ref="P29:P30" si="10">ROUND((N29-D29)/D29*365/(J29-E29)*100,2)</f>
        <v>35.630000000000003</v>
      </c>
      <c r="Q29">
        <f t="shared" ref="Q29:Q30" si="11">N29+O29-D29</f>
        <v>70.300000000000182</v>
      </c>
    </row>
    <row r="30" spans="1:18" x14ac:dyDescent="0.15">
      <c r="A30" s="5" t="s">
        <v>61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1">
        <f t="shared" si="4"/>
        <v>42176</v>
      </c>
      <c r="H30">
        <v>8.4600000000000009</v>
      </c>
      <c r="J30" s="7">
        <v>42181</v>
      </c>
      <c r="K30" s="2">
        <f>5067.38</f>
        <v>5067.38</v>
      </c>
      <c r="L30">
        <f>290.61</f>
        <v>290.61</v>
      </c>
      <c r="M30">
        <f>10.13</f>
        <v>10.130000000000001</v>
      </c>
      <c r="N30">
        <f t="shared" si="7"/>
        <v>5057.25</v>
      </c>
      <c r="O30">
        <v>0.01</v>
      </c>
      <c r="P30">
        <f t="shared" si="10"/>
        <v>29.85</v>
      </c>
      <c r="Q30">
        <f t="shared" si="11"/>
        <v>57.260000000000218</v>
      </c>
    </row>
    <row r="31" spans="1:18" x14ac:dyDescent="0.15">
      <c r="A31" s="5" t="s">
        <v>63</v>
      </c>
      <c r="B31">
        <v>366</v>
      </c>
      <c r="C31">
        <v>7.35</v>
      </c>
      <c r="D31">
        <v>5000</v>
      </c>
      <c r="E31" s="1">
        <v>42169</v>
      </c>
      <c r="F31" s="1">
        <v>42170</v>
      </c>
      <c r="G31" s="1">
        <f t="shared" si="4"/>
        <v>42176</v>
      </c>
      <c r="H31">
        <v>5.85</v>
      </c>
      <c r="J31" s="7">
        <v>42180</v>
      </c>
      <c r="K31" s="2">
        <f>5068.88</f>
        <v>5068.88</v>
      </c>
      <c r="L31">
        <v>298.60000000000002</v>
      </c>
      <c r="M31">
        <v>10.130000000000001</v>
      </c>
      <c r="N31">
        <f t="shared" si="7"/>
        <v>5058.75</v>
      </c>
      <c r="O31">
        <v>0.02</v>
      </c>
      <c r="P31">
        <f t="shared" ref="P31:P32" si="12">ROUND((N31-D31)/D31*365/(J31-E31)*100,2)</f>
        <v>38.99</v>
      </c>
      <c r="Q31">
        <f t="shared" ref="Q31:Q32" si="13">N31+O31-D31</f>
        <v>58.770000000000437</v>
      </c>
    </row>
    <row r="32" spans="1:18" x14ac:dyDescent="0.15">
      <c r="A32" s="5" t="s">
        <v>19</v>
      </c>
      <c r="B32">
        <v>366</v>
      </c>
      <c r="C32">
        <v>7.5</v>
      </c>
      <c r="D32">
        <v>5000</v>
      </c>
      <c r="E32" s="1">
        <v>42170</v>
      </c>
      <c r="F32" s="1">
        <v>42171</v>
      </c>
      <c r="G32" s="1">
        <f t="shared" si="4"/>
        <v>42176</v>
      </c>
      <c r="H32">
        <v>5.97</v>
      </c>
      <c r="J32" s="7">
        <v>42182</v>
      </c>
      <c r="K32" s="2">
        <f>5085.64</f>
        <v>5085.6400000000003</v>
      </c>
      <c r="L32">
        <f>289.35</f>
        <v>289.35000000000002</v>
      </c>
      <c r="M32">
        <v>10.17</v>
      </c>
      <c r="N32">
        <f t="shared" si="7"/>
        <v>5075.47</v>
      </c>
      <c r="O32">
        <v>0.01</v>
      </c>
      <c r="P32">
        <f t="shared" si="12"/>
        <v>45.91</v>
      </c>
      <c r="Q32">
        <f t="shared" si="13"/>
        <v>75.480000000000473</v>
      </c>
    </row>
    <row r="33" spans="1:10" x14ac:dyDescent="0.15">
      <c r="A33" s="3" t="s">
        <v>19</v>
      </c>
      <c r="B33">
        <v>366</v>
      </c>
      <c r="C33">
        <v>7.5</v>
      </c>
      <c r="D33">
        <v>5000</v>
      </c>
      <c r="E33" s="1">
        <v>42170</v>
      </c>
      <c r="F33" s="1">
        <v>42171</v>
      </c>
      <c r="G33" s="1">
        <f t="shared" si="4"/>
        <v>42176</v>
      </c>
      <c r="H33">
        <f>H32</f>
        <v>5.97</v>
      </c>
      <c r="J33" s="6">
        <v>42183</v>
      </c>
    </row>
    <row r="34" spans="1:10" x14ac:dyDescent="0.15">
      <c r="A34" s="3" t="s">
        <v>64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1">
        <f t="shared" si="4"/>
        <v>42176</v>
      </c>
      <c r="H34">
        <v>3.17</v>
      </c>
      <c r="J34" s="6">
        <f t="shared" ref="J34:J39" si="14">E34+11</f>
        <v>42184</v>
      </c>
    </row>
    <row r="35" spans="1:10" x14ac:dyDescent="0.15">
      <c r="A35" s="3" t="s">
        <v>65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1">
        <f t="shared" si="4"/>
        <v>42176</v>
      </c>
      <c r="H35">
        <v>0</v>
      </c>
      <c r="J35" s="6">
        <f t="shared" si="14"/>
        <v>42185</v>
      </c>
    </row>
    <row r="36" spans="1:10" x14ac:dyDescent="0.15">
      <c r="A36" s="3" t="s">
        <v>19</v>
      </c>
      <c r="B36">
        <v>366</v>
      </c>
      <c r="C36">
        <v>7.6</v>
      </c>
      <c r="D36">
        <v>10000</v>
      </c>
      <c r="E36" s="1">
        <v>42175</v>
      </c>
      <c r="F36" s="1">
        <v>42176</v>
      </c>
      <c r="G36" s="1">
        <f t="shared" si="4"/>
        <v>42176</v>
      </c>
      <c r="H36">
        <v>0</v>
      </c>
      <c r="J36" s="6">
        <f t="shared" si="14"/>
        <v>42186</v>
      </c>
    </row>
    <row r="37" spans="1:10" x14ac:dyDescent="0.15">
      <c r="A37" s="3" t="s">
        <v>19</v>
      </c>
      <c r="B37">
        <v>366</v>
      </c>
      <c r="C37">
        <v>7.6</v>
      </c>
      <c r="D37">
        <v>6000</v>
      </c>
      <c r="E37" s="1">
        <v>42176</v>
      </c>
      <c r="F37" s="1">
        <f t="shared" ref="F37:F43" si="15">E37+1</f>
        <v>42177</v>
      </c>
      <c r="G37" s="1">
        <f t="shared" si="4"/>
        <v>42176</v>
      </c>
      <c r="H37">
        <v>0</v>
      </c>
      <c r="J37" s="6">
        <f t="shared" si="14"/>
        <v>42187</v>
      </c>
    </row>
    <row r="38" spans="1:10" x14ac:dyDescent="0.15">
      <c r="A38" s="3" t="s">
        <v>19</v>
      </c>
      <c r="B38">
        <v>366</v>
      </c>
      <c r="C38">
        <v>7.6</v>
      </c>
      <c r="D38">
        <v>7000</v>
      </c>
      <c r="E38" s="1">
        <v>42177</v>
      </c>
      <c r="F38" s="1">
        <f t="shared" si="15"/>
        <v>42178</v>
      </c>
      <c r="G38" s="1">
        <f t="shared" si="4"/>
        <v>42176</v>
      </c>
      <c r="H38">
        <v>0</v>
      </c>
      <c r="J38" s="6">
        <f t="shared" si="14"/>
        <v>42188</v>
      </c>
    </row>
    <row r="39" spans="1:10" x14ac:dyDescent="0.15">
      <c r="A39" s="3" t="s">
        <v>19</v>
      </c>
      <c r="B39">
        <v>366</v>
      </c>
      <c r="C39">
        <v>7.6</v>
      </c>
      <c r="D39">
        <v>5000</v>
      </c>
      <c r="E39" s="1">
        <v>42178</v>
      </c>
      <c r="F39" s="1">
        <f t="shared" si="15"/>
        <v>42179</v>
      </c>
      <c r="G39" s="1">
        <f t="shared" si="4"/>
        <v>42176</v>
      </c>
      <c r="H39">
        <v>0</v>
      </c>
      <c r="J39" s="6">
        <f t="shared" si="14"/>
        <v>42189</v>
      </c>
    </row>
    <row r="40" spans="1:10" x14ac:dyDescent="0.15">
      <c r="A40" s="3" t="s">
        <v>19</v>
      </c>
      <c r="B40">
        <v>366</v>
      </c>
      <c r="C40">
        <v>7.6</v>
      </c>
      <c r="D40">
        <v>5000</v>
      </c>
      <c r="E40" s="1">
        <v>42179</v>
      </c>
      <c r="F40" s="1">
        <f t="shared" si="15"/>
        <v>42180</v>
      </c>
      <c r="G40" s="1">
        <f t="shared" si="4"/>
        <v>42176</v>
      </c>
      <c r="H40">
        <v>0</v>
      </c>
      <c r="J40" s="6">
        <f t="shared" ref="J40" si="16">E40+11</f>
        <v>42190</v>
      </c>
    </row>
    <row r="41" spans="1:10" x14ac:dyDescent="0.15">
      <c r="A41" s="3" t="s">
        <v>79</v>
      </c>
      <c r="B41">
        <v>366</v>
      </c>
      <c r="C41">
        <v>7.61</v>
      </c>
      <c r="D41">
        <v>5000</v>
      </c>
      <c r="E41" s="1">
        <v>42180</v>
      </c>
      <c r="F41" s="1">
        <f t="shared" si="15"/>
        <v>42181</v>
      </c>
      <c r="G41" s="1">
        <f t="shared" si="4"/>
        <v>42176</v>
      </c>
      <c r="H41">
        <v>0</v>
      </c>
      <c r="J41" s="6">
        <f t="shared" ref="J41" si="17">E41+11</f>
        <v>42191</v>
      </c>
    </row>
    <row r="42" spans="1:10" x14ac:dyDescent="0.15">
      <c r="A42" s="3" t="s">
        <v>59</v>
      </c>
      <c r="B42">
        <v>366</v>
      </c>
      <c r="C42">
        <v>7.35</v>
      </c>
      <c r="D42">
        <v>5000</v>
      </c>
      <c r="E42" s="1">
        <v>42181</v>
      </c>
      <c r="F42" s="1">
        <f t="shared" si="15"/>
        <v>42182</v>
      </c>
      <c r="G42" s="1">
        <f t="shared" si="4"/>
        <v>42176</v>
      </c>
      <c r="H42">
        <v>0</v>
      </c>
      <c r="J42" s="6">
        <f t="shared" ref="J42:J43" si="18">E42+11</f>
        <v>42192</v>
      </c>
    </row>
    <row r="43" spans="1:10" x14ac:dyDescent="0.15">
      <c r="A43" s="3" t="s">
        <v>80</v>
      </c>
      <c r="B43">
        <v>366</v>
      </c>
      <c r="C43">
        <v>7.35</v>
      </c>
      <c r="D43">
        <v>5000</v>
      </c>
      <c r="E43" s="1">
        <v>42182</v>
      </c>
      <c r="F43" s="1">
        <f t="shared" si="15"/>
        <v>42183</v>
      </c>
      <c r="G43" s="1">
        <f t="shared" si="4"/>
        <v>42176</v>
      </c>
      <c r="H43">
        <v>0</v>
      </c>
      <c r="J43" s="6">
        <f t="shared" si="18"/>
        <v>42193</v>
      </c>
    </row>
  </sheetData>
  <autoFilter ref="A1:Q3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5" sqref="D5:D7"/>
    </sheetView>
  </sheetViews>
  <sheetFormatPr defaultRowHeight="13.5" x14ac:dyDescent="0.15"/>
  <cols>
    <col min="1" max="1" width="22.5" bestFit="1" customWidth="1"/>
    <col min="2" max="2" width="10" bestFit="1" customWidth="1"/>
    <col min="4" max="4" width="9.75" bestFit="1" customWidth="1"/>
    <col min="5" max="5" width="11.625" bestFit="1" customWidth="1"/>
    <col min="6" max="6" width="11.625" customWidth="1"/>
    <col min="7" max="8" width="10.5" bestFit="1" customWidth="1"/>
    <col min="10" max="10" width="12" bestFit="1" customWidth="1"/>
    <col min="11" max="11" width="10.5" style="2" bestFit="1" customWidth="1"/>
    <col min="12" max="12" width="13.125" customWidth="1"/>
    <col min="13" max="13" width="7.75" bestFit="1" customWidth="1"/>
    <col min="14" max="14" width="9.5" customWidth="1"/>
    <col min="15" max="15" width="15.125" bestFit="1" customWidth="1"/>
    <col min="16" max="16" width="11.875" bestFit="1" customWidth="1"/>
  </cols>
  <sheetData>
    <row r="1" spans="1:18" s="3" customFormat="1" x14ac:dyDescent="0.15">
      <c r="B1" s="3" t="s">
        <v>44</v>
      </c>
      <c r="C1" s="3" t="s">
        <v>78</v>
      </c>
      <c r="D1" s="3" t="s">
        <v>18</v>
      </c>
      <c r="E1" s="3" t="s">
        <v>14</v>
      </c>
      <c r="F1" s="3" t="s">
        <v>30</v>
      </c>
      <c r="G1" s="3" t="s">
        <v>15</v>
      </c>
      <c r="H1" s="3" t="s">
        <v>16</v>
      </c>
      <c r="I1" s="3" t="s">
        <v>17</v>
      </c>
      <c r="J1" s="3" t="s">
        <v>28</v>
      </c>
      <c r="K1" s="4" t="s">
        <v>36</v>
      </c>
      <c r="L1" s="3" t="s">
        <v>37</v>
      </c>
      <c r="M1" s="3" t="s">
        <v>38</v>
      </c>
      <c r="N1" s="3" t="s">
        <v>46</v>
      </c>
      <c r="O1" s="3" t="s">
        <v>56</v>
      </c>
      <c r="P1" s="3" t="s">
        <v>48</v>
      </c>
      <c r="Q1" s="3" t="s">
        <v>57</v>
      </c>
      <c r="R1" s="3" t="s">
        <v>68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42176</v>
      </c>
      <c r="H2">
        <v>51.89</v>
      </c>
      <c r="I2">
        <f t="shared" ref="I2:I4" si="0">ROUND(H2*365/(G2-F2)/D2*100,2)</f>
        <v>6.96</v>
      </c>
      <c r="J2" s="1">
        <v>42169</v>
      </c>
      <c r="K2">
        <v>16251.66</v>
      </c>
      <c r="L2">
        <v>900.3</v>
      </c>
      <c r="M2">
        <v>32.47</v>
      </c>
      <c r="N2">
        <f>K2-M2</f>
        <v>16219.19</v>
      </c>
      <c r="O2">
        <v>0.04</v>
      </c>
      <c r="P2">
        <f t="shared" ref="P2" si="1">ROUND((N2-D2)/D2*365/(J2-E2)*100,2)</f>
        <v>45.46</v>
      </c>
      <c r="Q2">
        <f>N2-D2+O2</f>
        <v>219.2300000000005</v>
      </c>
    </row>
    <row r="3" spans="1:18" x14ac:dyDescent="0.15">
      <c r="A3" s="5" t="s">
        <v>62</v>
      </c>
      <c r="B3">
        <v>366</v>
      </c>
      <c r="C3">
        <v>7.31</v>
      </c>
      <c r="D3">
        <v>16000</v>
      </c>
      <c r="E3" s="1">
        <v>42169</v>
      </c>
      <c r="F3" s="1">
        <v>42170</v>
      </c>
      <c r="G3" s="1">
        <f>G2</f>
        <v>42176</v>
      </c>
      <c r="H3">
        <v>22.28</v>
      </c>
      <c r="I3">
        <f t="shared" si="0"/>
        <v>8.4700000000000006</v>
      </c>
      <c r="J3" s="7">
        <f>E3+11</f>
        <v>42180</v>
      </c>
      <c r="K3" s="2">
        <f>10000+6218.99</f>
        <v>16218.99</v>
      </c>
      <c r="L3">
        <f>589.09+361.51</f>
        <v>950.6</v>
      </c>
      <c r="M3">
        <f>19.99+12.43</f>
        <v>32.42</v>
      </c>
      <c r="N3">
        <f>K3-M3</f>
        <v>16186.57</v>
      </c>
      <c r="O3">
        <v>0.01</v>
      </c>
      <c r="P3">
        <f t="shared" ref="P3" si="2">ROUND((N3-D3)/D3*365/(J3-E3)*100,2)</f>
        <v>38.69</v>
      </c>
      <c r="Q3">
        <f>N3-D3+O3</f>
        <v>186.5799999999997</v>
      </c>
    </row>
    <row r="4" spans="1:18" x14ac:dyDescent="0.15">
      <c r="A4" s="5" t="s">
        <v>66</v>
      </c>
      <c r="B4">
        <v>366</v>
      </c>
      <c r="C4">
        <v>7.35</v>
      </c>
      <c r="D4">
        <v>22000</v>
      </c>
      <c r="E4" s="1">
        <v>42169</v>
      </c>
      <c r="F4" s="1">
        <v>42170</v>
      </c>
      <c r="G4" s="1">
        <f>G3</f>
        <v>42176</v>
      </c>
      <c r="H4">
        <v>25.75</v>
      </c>
      <c r="I4">
        <f t="shared" si="0"/>
        <v>7.12</v>
      </c>
      <c r="J4" s="7">
        <v>42182</v>
      </c>
      <c r="K4" s="2">
        <f>22348.98</f>
        <v>22348.98</v>
      </c>
      <c r="L4">
        <f>1268.01</f>
        <v>1268.01</v>
      </c>
      <c r="M4">
        <f>44.7</f>
        <v>44.7</v>
      </c>
      <c r="N4">
        <f>K4-M4</f>
        <v>22304.28</v>
      </c>
      <c r="O4">
        <v>0.01</v>
      </c>
      <c r="P4">
        <f t="shared" ref="P4" si="3">ROUND((N4-D4)/D4*365/(J4-E4)*100,2)</f>
        <v>38.83</v>
      </c>
      <c r="Q4">
        <f>N4-D4+O4</f>
        <v>304.28999999999883</v>
      </c>
    </row>
    <row r="5" spans="1:18" x14ac:dyDescent="0.15">
      <c r="A5" s="3" t="s">
        <v>79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1">
        <f>G4</f>
        <v>42176</v>
      </c>
      <c r="H5">
        <v>0</v>
      </c>
      <c r="I5">
        <f t="shared" ref="I5" si="4">ROUND(H5*365/(G5-F5)/D5*100,2)</f>
        <v>0</v>
      </c>
      <c r="J5" s="6">
        <f>E5+11</f>
        <v>42191</v>
      </c>
    </row>
    <row r="6" spans="1:18" x14ac:dyDescent="0.15">
      <c r="A6" s="3" t="s">
        <v>79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1">
        <f>G5</f>
        <v>42176</v>
      </c>
      <c r="H6">
        <v>0</v>
      </c>
      <c r="I6">
        <f t="shared" ref="I6" si="5">ROUND(H6*365/(G6-F6)/D6*100,2)</f>
        <v>0</v>
      </c>
      <c r="J6" s="6">
        <f>E6+11</f>
        <v>42191</v>
      </c>
    </row>
    <row r="7" spans="1:18" x14ac:dyDescent="0.15">
      <c r="A7" s="3" t="s">
        <v>59</v>
      </c>
      <c r="B7">
        <v>366</v>
      </c>
      <c r="C7">
        <v>7.35</v>
      </c>
      <c r="D7">
        <v>23000</v>
      </c>
      <c r="E7" s="1">
        <v>42182</v>
      </c>
      <c r="F7" s="1">
        <f>E7+1</f>
        <v>42183</v>
      </c>
      <c r="G7" s="1">
        <f>G6</f>
        <v>42176</v>
      </c>
      <c r="H7">
        <v>0</v>
      </c>
      <c r="I7">
        <f t="shared" ref="I7" si="6">ROUND(H7*365/(G7-F7)/D7*100,2)</f>
        <v>0</v>
      </c>
      <c r="J7" s="6">
        <f>E7+11</f>
        <v>42193</v>
      </c>
    </row>
  </sheetData>
  <autoFilter ref="A1:R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6" sqref="H6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42176</v>
      </c>
      <c r="G2">
        <v>55.38</v>
      </c>
      <c r="H2">
        <f>ROUND(G2*365/(F2-E2)/C2*100,2)</f>
        <v>6.13</v>
      </c>
      <c r="I2">
        <v>50</v>
      </c>
      <c r="J2">
        <f>ROUND((G2+I2)*365/(F2-D2)/C2*100,2)</f>
        <v>11.31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42176</v>
      </c>
      <c r="G3">
        <v>53.7</v>
      </c>
      <c r="H3">
        <f>ROUND(G3*365/(F3-E3)/C3*100,2)</f>
        <v>6.13</v>
      </c>
      <c r="I3">
        <v>50</v>
      </c>
      <c r="J3">
        <f>ROUND((G3+I3)*365/(F3-D3)/C3*100,2)</f>
        <v>11.47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2015-06-27T04:23:15Z</dcterms:modified>
</cp:coreProperties>
</file>