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4"/>
  </bookViews>
  <sheets>
    <sheet name="试算" sheetId="1" r:id="rId1"/>
    <sheet name="招财宝" sheetId="2" r:id="rId2"/>
    <sheet name="招财宝_王蕾" sheetId="7" r:id="rId3"/>
    <sheet name="招财宝-其他" sheetId="11" r:id="rId4"/>
    <sheet name="资产_王蕾" sheetId="12" r:id="rId5"/>
    <sheet name="王蕾_资产统计" sheetId="13" r:id="rId6"/>
  </sheets>
  <definedNames>
    <definedName name="_xlnm._FilterDatabase" localSheetId="1" hidden="1">招财宝!$A$1:$L$189</definedName>
    <definedName name="_xlnm._FilterDatabase" localSheetId="2" hidden="1">招财宝_王蕾!$A$1:$L$120</definedName>
  </definedNames>
  <calcPr calcId="152511"/>
</workbook>
</file>

<file path=xl/calcChain.xml><?xml version="1.0" encoding="utf-8"?>
<calcChain xmlns="http://schemas.openxmlformats.org/spreadsheetml/2006/main">
  <c r="C84" i="12" l="1"/>
  <c r="C86" i="12" s="1"/>
  <c r="E86" i="12" s="1"/>
  <c r="C68" i="12" l="1"/>
  <c r="C70" i="12"/>
  <c r="C73" i="12" l="1"/>
  <c r="C75" i="12" s="1"/>
  <c r="E75" i="12" s="1"/>
  <c r="C57" i="12" l="1"/>
  <c r="C60" i="12" l="1"/>
  <c r="C62" i="12" l="1"/>
  <c r="C64" i="12" s="1"/>
  <c r="E64" i="12" s="1"/>
  <c r="C46" i="12" l="1"/>
  <c r="C48" i="12" l="1"/>
  <c r="C49" i="12" l="1"/>
  <c r="C51" i="12" l="1"/>
  <c r="C53" i="12" s="1"/>
  <c r="E53" i="12" s="1"/>
  <c r="C35" i="12" l="1"/>
  <c r="C37" i="12"/>
  <c r="C38" i="12" l="1"/>
  <c r="C40" i="12" l="1"/>
  <c r="C42" i="12" s="1"/>
  <c r="E42" i="12" s="1"/>
  <c r="C25" i="12" l="1"/>
  <c r="C26" i="12" l="1"/>
  <c r="C27" i="12" l="1"/>
  <c r="C29" i="12" s="1"/>
  <c r="C31" i="12" l="1"/>
  <c r="E31" i="12" s="1"/>
  <c r="C13" i="12" l="1"/>
  <c r="C16" i="12"/>
  <c r="C15" i="12" l="1"/>
  <c r="C14" i="12" l="1"/>
  <c r="C18" i="12" l="1"/>
  <c r="C20" i="12" s="1"/>
  <c r="E20" i="12" s="1"/>
  <c r="C2" i="12" l="1"/>
  <c r="H189" i="2" l="1"/>
  <c r="K189" i="2" s="1"/>
  <c r="H188" i="2" l="1"/>
  <c r="K120" i="7"/>
  <c r="K119" i="7"/>
  <c r="H119" i="7"/>
  <c r="K187" i="2"/>
  <c r="G187" i="2"/>
  <c r="J187" i="2" s="1"/>
  <c r="G188" i="2"/>
  <c r="J188" i="2" l="1"/>
  <c r="K188" i="2"/>
  <c r="C7" i="12" l="1"/>
  <c r="H185" i="2" l="1"/>
  <c r="K185" i="2" s="1"/>
  <c r="H184" i="2" l="1"/>
  <c r="K184" i="2" s="1"/>
  <c r="H186" i="2"/>
  <c r="K186" i="2" s="1"/>
  <c r="K118" i="7"/>
  <c r="J118" i="7"/>
  <c r="H118" i="7"/>
  <c r="J184" i="2" l="1"/>
  <c r="G189" i="2"/>
  <c r="J189" i="2" s="1"/>
  <c r="F189" i="2"/>
  <c r="H183" i="2"/>
  <c r="K183" i="2" s="1"/>
  <c r="F188" i="2" l="1"/>
  <c r="G120" i="7"/>
  <c r="J120" i="7" s="1"/>
  <c r="F120" i="7"/>
  <c r="K117" i="7"/>
  <c r="H117" i="7"/>
  <c r="K106" i="7" l="1"/>
  <c r="J106" i="7"/>
  <c r="H106" i="7"/>
  <c r="F187" i="2" l="1"/>
  <c r="G119" i="7"/>
  <c r="J119" i="7" s="1"/>
  <c r="F119" i="7"/>
  <c r="K116" i="7"/>
  <c r="H116" i="7"/>
  <c r="G186" i="2" l="1"/>
  <c r="J186" i="2" s="1"/>
  <c r="F186" i="2"/>
  <c r="G185" i="2" l="1"/>
  <c r="J185" i="2" s="1"/>
  <c r="F185" i="2"/>
  <c r="H182" i="2"/>
  <c r="K182" i="2" s="1"/>
  <c r="F118" i="7" l="1"/>
  <c r="F184" i="2"/>
  <c r="G183" i="2" l="1"/>
  <c r="J183" i="2" s="1"/>
  <c r="F183" i="2"/>
  <c r="G117" i="7" l="1"/>
  <c r="J117" i="7" s="1"/>
  <c r="F117" i="7"/>
  <c r="I5" i="13" l="1"/>
  <c r="D3" i="13"/>
  <c r="D2" i="13"/>
  <c r="B4" i="13"/>
  <c r="B2" i="13"/>
  <c r="C9" i="12" l="1"/>
  <c r="E9" i="12" s="1"/>
  <c r="G116" i="7"/>
  <c r="J116" i="7" s="1"/>
  <c r="F116" i="7"/>
  <c r="F182" i="2" l="1"/>
  <c r="G182" i="2"/>
  <c r="J182" i="2" s="1"/>
  <c r="D4" i="13" l="1"/>
  <c r="I4" i="13" l="1"/>
  <c r="I3" i="13" l="1"/>
  <c r="K115" i="7" l="1"/>
  <c r="J115" i="7"/>
  <c r="H115" i="7"/>
  <c r="H176" i="2" l="1"/>
  <c r="K176" i="2" s="1"/>
  <c r="J176" i="2" l="1"/>
  <c r="E2" i="13"/>
  <c r="I2" i="13" s="1"/>
  <c r="K178" i="2" l="1"/>
  <c r="H178" i="2"/>
  <c r="J178" i="2" s="1"/>
  <c r="H181" i="2"/>
  <c r="K181" i="2" s="1"/>
  <c r="K177" i="2"/>
  <c r="H177" i="2"/>
  <c r="J177" i="2" s="1"/>
  <c r="J181" i="2" l="1"/>
  <c r="H179" i="2"/>
  <c r="J179" i="2" s="1"/>
  <c r="H180" i="2"/>
  <c r="K180" i="2" s="1"/>
  <c r="K179" i="2" l="1"/>
  <c r="J180" i="2"/>
  <c r="K114" i="7"/>
  <c r="J114" i="7"/>
  <c r="H114" i="7"/>
  <c r="F181" i="2"/>
  <c r="F180" i="2"/>
  <c r="F179" i="2"/>
  <c r="F178" i="2"/>
  <c r="F177" i="2"/>
  <c r="K113" i="7"/>
  <c r="G113" i="7"/>
  <c r="J113" i="7" s="1"/>
  <c r="H113" i="7"/>
  <c r="H175" i="2"/>
  <c r="K175" i="2" s="1"/>
  <c r="K112" i="7"/>
  <c r="J112" i="7"/>
  <c r="K111" i="7"/>
  <c r="J111" i="7"/>
  <c r="K110" i="7"/>
  <c r="J110" i="7"/>
  <c r="K109" i="7"/>
  <c r="J109" i="7"/>
  <c r="H111" i="7"/>
  <c r="H110" i="7"/>
  <c r="G174" i="2"/>
  <c r="K172" i="2"/>
  <c r="J172" i="2"/>
  <c r="J168" i="2"/>
  <c r="K161" i="2"/>
  <c r="J161" i="2"/>
  <c r="H169" i="2"/>
  <c r="J169" i="2" s="1"/>
  <c r="H109" i="7"/>
  <c r="H112" i="7"/>
  <c r="H174" i="2"/>
  <c r="K174" i="2" s="1"/>
  <c r="H173" i="2"/>
  <c r="J173" i="2" s="1"/>
  <c r="H172" i="2"/>
  <c r="H168" i="2"/>
  <c r="K168" i="2" s="1"/>
  <c r="H167" i="2"/>
  <c r="J167" i="2" s="1"/>
  <c r="H164" i="2"/>
  <c r="J164" i="2" s="1"/>
  <c r="H161" i="2"/>
  <c r="H166" i="2"/>
  <c r="K166" i="2" s="1"/>
  <c r="K108" i="7"/>
  <c r="J108" i="7"/>
  <c r="K107" i="7"/>
  <c r="J107" i="7"/>
  <c r="K105" i="7"/>
  <c r="J105" i="7"/>
  <c r="K103" i="7"/>
  <c r="J103" i="7"/>
  <c r="H108" i="7"/>
  <c r="H107" i="7"/>
  <c r="H105" i="7"/>
  <c r="H103" i="7"/>
  <c r="H160" i="2"/>
  <c r="K160" i="2" s="1"/>
  <c r="H163" i="2"/>
  <c r="K163" i="2" s="1"/>
  <c r="H162" i="2"/>
  <c r="K171" i="2"/>
  <c r="G165" i="2"/>
  <c r="H171" i="2"/>
  <c r="J171" i="2" s="1"/>
  <c r="H170" i="2"/>
  <c r="K170" i="2" s="1"/>
  <c r="F170" i="2"/>
  <c r="H165" i="2"/>
  <c r="K165" i="2" s="1"/>
  <c r="H159" i="2"/>
  <c r="F176" i="2"/>
  <c r="K158" i="2"/>
  <c r="G158" i="2"/>
  <c r="H158" i="2"/>
  <c r="F115" i="7"/>
  <c r="F114" i="7"/>
  <c r="K104" i="7"/>
  <c r="G104" i="7"/>
  <c r="J104" i="7" s="1"/>
  <c r="K102" i="7"/>
  <c r="G102" i="7"/>
  <c r="J102" i="7"/>
  <c r="H104" i="7"/>
  <c r="H102" i="7"/>
  <c r="G175" i="2"/>
  <c r="F175" i="2"/>
  <c r="K159" i="2"/>
  <c r="H157" i="2"/>
  <c r="K157" i="2" s="1"/>
  <c r="F113" i="7"/>
  <c r="K101" i="7"/>
  <c r="H101" i="7"/>
  <c r="F112" i="7"/>
  <c r="K100" i="7"/>
  <c r="K99" i="7"/>
  <c r="H100" i="7"/>
  <c r="H99" i="7"/>
  <c r="F174" i="2"/>
  <c r="H152" i="2"/>
  <c r="K152" i="2" s="1"/>
  <c r="F173" i="2"/>
  <c r="K150" i="2"/>
  <c r="H151" i="2"/>
  <c r="K151" i="2" s="1"/>
  <c r="H150" i="2"/>
  <c r="F111" i="7"/>
  <c r="K98" i="7"/>
  <c r="K97" i="7"/>
  <c r="H97" i="7"/>
  <c r="H98" i="7"/>
  <c r="F172" i="2"/>
  <c r="H148" i="2"/>
  <c r="K148" i="2" s="1"/>
  <c r="H149" i="2"/>
  <c r="K149" i="2" s="1"/>
  <c r="F110" i="7"/>
  <c r="F109" i="7"/>
  <c r="K96" i="7"/>
  <c r="K94" i="7"/>
  <c r="K93" i="7"/>
  <c r="H94" i="7"/>
  <c r="H96" i="7"/>
  <c r="H93" i="7"/>
  <c r="F169" i="2"/>
  <c r="F168" i="2"/>
  <c r="F167" i="2"/>
  <c r="H146" i="2"/>
  <c r="K146" i="2" s="1"/>
  <c r="H145" i="2"/>
  <c r="K145" i="2" s="1"/>
  <c r="H144" i="2"/>
  <c r="K144" i="2" s="1"/>
  <c r="H142" i="2"/>
  <c r="K142" i="2" s="1"/>
  <c r="H141" i="2"/>
  <c r="F166" i="2"/>
  <c r="H139" i="2"/>
  <c r="K139" i="2" s="1"/>
  <c r="H138" i="2"/>
  <c r="K138" i="2" s="1"/>
  <c r="H136" i="2"/>
  <c r="K136" i="2" s="1"/>
  <c r="H134" i="2"/>
  <c r="K134" i="2" s="1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H137" i="2"/>
  <c r="K137" i="2" s="1"/>
  <c r="F108" i="7"/>
  <c r="K88" i="7"/>
  <c r="H88" i="7"/>
  <c r="H135" i="2"/>
  <c r="K135" i="2" s="1"/>
  <c r="F107" i="7"/>
  <c r="K86" i="7"/>
  <c r="G86" i="7"/>
  <c r="J86" i="7"/>
  <c r="H86" i="7"/>
  <c r="F161" i="2"/>
  <c r="F160" i="2"/>
  <c r="F105" i="7"/>
  <c r="K133" i="2"/>
  <c r="H133" i="2"/>
  <c r="K84" i="7"/>
  <c r="H84" i="7"/>
  <c r="K132" i="2"/>
  <c r="H156" i="2"/>
  <c r="H153" i="2"/>
  <c r="J153" i="2" s="1"/>
  <c r="H154" i="2"/>
  <c r="K154" i="2" s="1"/>
  <c r="H155" i="2"/>
  <c r="J155" i="2" s="1"/>
  <c r="H132" i="2"/>
  <c r="H131" i="2"/>
  <c r="K131" i="2" s="1"/>
  <c r="F104" i="7"/>
  <c r="F103" i="7"/>
  <c r="K83" i="7"/>
  <c r="K82" i="7"/>
  <c r="H83" i="7"/>
  <c r="H82" i="7"/>
  <c r="G159" i="2"/>
  <c r="J159" i="2" s="1"/>
  <c r="F159" i="2"/>
  <c r="F158" i="2"/>
  <c r="G157" i="2"/>
  <c r="F157" i="2"/>
  <c r="D156" i="2"/>
  <c r="J156" i="2" s="1"/>
  <c r="H129" i="2"/>
  <c r="K129" i="2" s="1"/>
  <c r="H130" i="2"/>
  <c r="K130" i="2" s="1"/>
  <c r="F102" i="7"/>
  <c r="G101" i="7"/>
  <c r="J101" i="7"/>
  <c r="F101" i="7"/>
  <c r="K81" i="7"/>
  <c r="K80" i="7"/>
  <c r="H80" i="7"/>
  <c r="H81" i="7"/>
  <c r="G152" i="2"/>
  <c r="F152" i="2"/>
  <c r="H128" i="2"/>
  <c r="K128" i="2" s="1"/>
  <c r="H127" i="2"/>
  <c r="K127" i="2" s="1"/>
  <c r="H147" i="2"/>
  <c r="K147" i="2" s="1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 s="1"/>
  <c r="F98" i="7"/>
  <c r="G97" i="7"/>
  <c r="J97" i="7"/>
  <c r="F97" i="7"/>
  <c r="K77" i="7"/>
  <c r="K76" i="7"/>
  <c r="H76" i="7"/>
  <c r="H77" i="7"/>
  <c r="G151" i="2"/>
  <c r="J151" i="2" s="1"/>
  <c r="F151" i="2"/>
  <c r="G150" i="2"/>
  <c r="J150" i="2" s="1"/>
  <c r="F150" i="2"/>
  <c r="G149" i="2"/>
  <c r="J149" i="2" s="1"/>
  <c r="F149" i="2"/>
  <c r="G148" i="2"/>
  <c r="J148" i="2" s="1"/>
  <c r="F148" i="2"/>
  <c r="F147" i="2"/>
  <c r="H126" i="2"/>
  <c r="K126" i="2" s="1"/>
  <c r="H124" i="2"/>
  <c r="K124" i="2" s="1"/>
  <c r="H123" i="2"/>
  <c r="K123" i="2" s="1"/>
  <c r="H125" i="2"/>
  <c r="K125" i="2" s="1"/>
  <c r="H140" i="2"/>
  <c r="H143" i="2"/>
  <c r="J143" i="2" s="1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 s="1"/>
  <c r="F146" i="2"/>
  <c r="G145" i="2"/>
  <c r="F145" i="2"/>
  <c r="G144" i="2"/>
  <c r="J144" i="2" s="1"/>
  <c r="F144" i="2"/>
  <c r="G142" i="2"/>
  <c r="F142" i="2"/>
  <c r="F141" i="2"/>
  <c r="F140" i="2"/>
  <c r="D140" i="2"/>
  <c r="K120" i="2"/>
  <c r="K119" i="2"/>
  <c r="K118" i="2"/>
  <c r="H120" i="2"/>
  <c r="H119" i="2"/>
  <c r="H118" i="2"/>
  <c r="H117" i="2"/>
  <c r="K117" i="2" s="1"/>
  <c r="G94" i="7"/>
  <c r="J94" i="7"/>
  <c r="F94" i="7"/>
  <c r="G93" i="7"/>
  <c r="J93" i="7"/>
  <c r="F93" i="7"/>
  <c r="F91" i="7"/>
  <c r="G91" i="7"/>
  <c r="J91" i="7"/>
  <c r="G92" i="7"/>
  <c r="J92" i="7" s="1"/>
  <c r="F92" i="7"/>
  <c r="K73" i="7"/>
  <c r="K72" i="7"/>
  <c r="H73" i="7"/>
  <c r="H72" i="7"/>
  <c r="G139" i="2"/>
  <c r="F139" i="2"/>
  <c r="K71" i="7"/>
  <c r="G90" i="7"/>
  <c r="J90" i="7"/>
  <c r="F90" i="7"/>
  <c r="K70" i="7"/>
  <c r="H71" i="7"/>
  <c r="H70" i="7"/>
  <c r="K116" i="2"/>
  <c r="H115" i="2"/>
  <c r="K115" i="2" s="1"/>
  <c r="H116" i="2"/>
  <c r="K69" i="7"/>
  <c r="K68" i="7"/>
  <c r="H69" i="7"/>
  <c r="H68" i="7"/>
  <c r="G138" i="2"/>
  <c r="F138" i="2"/>
  <c r="G137" i="2"/>
  <c r="F137" i="2"/>
  <c r="K114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 s="1"/>
  <c r="F87" i="7"/>
  <c r="F86" i="7"/>
  <c r="K65" i="7"/>
  <c r="K64" i="7"/>
  <c r="K63" i="7"/>
  <c r="H64" i="7"/>
  <c r="H65" i="7"/>
  <c r="H63" i="7"/>
  <c r="G136" i="2"/>
  <c r="F136" i="2"/>
  <c r="G135" i="2"/>
  <c r="F135" i="2"/>
  <c r="K112" i="2"/>
  <c r="H111" i="2"/>
  <c r="K111" i="2" s="1"/>
  <c r="H112" i="2"/>
  <c r="G85" i="7"/>
  <c r="J85" i="7"/>
  <c r="F85" i="7"/>
  <c r="G84" i="7"/>
  <c r="J84" i="7" s="1"/>
  <c r="F84" i="7"/>
  <c r="H62" i="7"/>
  <c r="K62" i="7"/>
  <c r="K61" i="7"/>
  <c r="H61" i="7"/>
  <c r="G134" i="2"/>
  <c r="J134" i="2" s="1"/>
  <c r="F134" i="2"/>
  <c r="G133" i="2"/>
  <c r="J133" i="2" s="1"/>
  <c r="F133" i="2"/>
  <c r="H109" i="2"/>
  <c r="K109" i="2" s="1"/>
  <c r="H110" i="2"/>
  <c r="K110" i="2" s="1"/>
  <c r="G132" i="2"/>
  <c r="F132" i="2"/>
  <c r="G131" i="2"/>
  <c r="F131" i="2"/>
  <c r="G83" i="7"/>
  <c r="J83" i="7"/>
  <c r="F83" i="7"/>
  <c r="G82" i="7"/>
  <c r="J82" i="7" s="1"/>
  <c r="F82" i="7"/>
  <c r="K60" i="7"/>
  <c r="K59" i="7"/>
  <c r="H60" i="7"/>
  <c r="H59" i="7"/>
  <c r="K108" i="2"/>
  <c r="H107" i="2"/>
  <c r="K107" i="2" s="1"/>
  <c r="H108" i="2"/>
  <c r="G81" i="7"/>
  <c r="J81" i="7"/>
  <c r="F81" i="7"/>
  <c r="G80" i="7"/>
  <c r="J80" i="7"/>
  <c r="F80" i="7"/>
  <c r="K58" i="7"/>
  <c r="K57" i="7"/>
  <c r="H57" i="7"/>
  <c r="H58" i="7"/>
  <c r="G130" i="2"/>
  <c r="F130" i="2"/>
  <c r="G129" i="2"/>
  <c r="J129" i="2" s="1"/>
  <c r="F129" i="2"/>
  <c r="H103" i="2"/>
  <c r="K103" i="2" s="1"/>
  <c r="H104" i="2"/>
  <c r="K104" i="2" s="1"/>
  <c r="H106" i="2"/>
  <c r="K106" i="2" s="1"/>
  <c r="H105" i="2"/>
  <c r="K105" i="2" s="1"/>
  <c r="G128" i="2"/>
  <c r="F128" i="2"/>
  <c r="G127" i="2"/>
  <c r="F127" i="2"/>
  <c r="H101" i="2"/>
  <c r="K101" i="2" s="1"/>
  <c r="H102" i="2"/>
  <c r="K102" i="2" s="1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 s="1"/>
  <c r="F76" i="7"/>
  <c r="G126" i="2"/>
  <c r="F126" i="2"/>
  <c r="G125" i="2"/>
  <c r="F125" i="2"/>
  <c r="G124" i="2"/>
  <c r="J124" i="2"/>
  <c r="F124" i="2"/>
  <c r="G123" i="2"/>
  <c r="F123" i="2"/>
  <c r="H99" i="2"/>
  <c r="K99" i="2" s="1"/>
  <c r="H100" i="2"/>
  <c r="K100" i="2" s="1"/>
  <c r="K53" i="7"/>
  <c r="K52" i="7"/>
  <c r="H53" i="7"/>
  <c r="H52" i="7"/>
  <c r="G75" i="7"/>
  <c r="J75" i="7"/>
  <c r="F75" i="7"/>
  <c r="G74" i="7"/>
  <c r="J74" i="7"/>
  <c r="F74" i="7"/>
  <c r="G122" i="2"/>
  <c r="J122" i="2" s="1"/>
  <c r="F122" i="2"/>
  <c r="G121" i="2"/>
  <c r="J121" i="2" s="1"/>
  <c r="F121" i="2"/>
  <c r="H98" i="2"/>
  <c r="K98" i="2" s="1"/>
  <c r="H97" i="2"/>
  <c r="K97" i="2" s="1"/>
  <c r="K5" i="11"/>
  <c r="J5" i="11"/>
  <c r="J2" i="11"/>
  <c r="K2" i="11"/>
  <c r="J3" i="11"/>
  <c r="K3" i="11"/>
  <c r="D4" i="11"/>
  <c r="K4" i="11"/>
  <c r="J4" i="11"/>
  <c r="G120" i="2"/>
  <c r="J120" i="2" s="1"/>
  <c r="F120" i="2"/>
  <c r="G119" i="2"/>
  <c r="F119" i="2"/>
  <c r="H96" i="2"/>
  <c r="K96" i="2"/>
  <c r="H95" i="2"/>
  <c r="K95" i="2" s="1"/>
  <c r="G73" i="7"/>
  <c r="J73" i="7"/>
  <c r="F73" i="7"/>
  <c r="G72" i="7"/>
  <c r="J72" i="7"/>
  <c r="F72" i="7"/>
  <c r="H50" i="7"/>
  <c r="K50" i="7"/>
  <c r="H51" i="7"/>
  <c r="K51" i="7"/>
  <c r="G71" i="7"/>
  <c r="J71" i="7" s="1"/>
  <c r="F71" i="7"/>
  <c r="G70" i="7"/>
  <c r="J70" i="7"/>
  <c r="F70" i="7"/>
  <c r="H49" i="7"/>
  <c r="G118" i="2"/>
  <c r="F118" i="2"/>
  <c r="G117" i="2"/>
  <c r="F117" i="2"/>
  <c r="H93" i="2"/>
  <c r="K93" i="2"/>
  <c r="K49" i="7"/>
  <c r="K48" i="7"/>
  <c r="H48" i="7"/>
  <c r="H94" i="2"/>
  <c r="K94" i="2" s="1"/>
  <c r="G69" i="7"/>
  <c r="J69" i="7"/>
  <c r="F69" i="7"/>
  <c r="G68" i="7"/>
  <c r="J68" i="7" s="1"/>
  <c r="F68" i="7"/>
  <c r="H47" i="7"/>
  <c r="K47" i="7"/>
  <c r="G116" i="2"/>
  <c r="J116" i="2" s="1"/>
  <c r="F116" i="2"/>
  <c r="G115" i="2"/>
  <c r="F115" i="2"/>
  <c r="H92" i="2"/>
  <c r="K92" i="2"/>
  <c r="H91" i="2"/>
  <c r="K91" i="2" s="1"/>
  <c r="G67" i="7"/>
  <c r="J67" i="7" s="1"/>
  <c r="F67" i="7"/>
  <c r="G66" i="7"/>
  <c r="J66" i="7"/>
  <c r="F66" i="7"/>
  <c r="K45" i="7"/>
  <c r="H46" i="7"/>
  <c r="K46" i="7"/>
  <c r="H45" i="7"/>
  <c r="G114" i="2"/>
  <c r="J114" i="2" s="1"/>
  <c r="F114" i="2"/>
  <c r="G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 s="1"/>
  <c r="F63" i="7"/>
  <c r="H44" i="7"/>
  <c r="G112" i="2"/>
  <c r="J112" i="2" s="1"/>
  <c r="F112" i="2"/>
  <c r="G111" i="2"/>
  <c r="F111" i="2"/>
  <c r="H88" i="2"/>
  <c r="K44" i="7"/>
  <c r="K43" i="7"/>
  <c r="H43" i="7"/>
  <c r="K88" i="2"/>
  <c r="H87" i="2"/>
  <c r="K87" i="2" s="1"/>
  <c r="G110" i="2"/>
  <c r="F110" i="2"/>
  <c r="G109" i="2"/>
  <c r="F109" i="2"/>
  <c r="H86" i="2"/>
  <c r="K86" i="2"/>
  <c r="H85" i="2"/>
  <c r="K85" i="2" s="1"/>
  <c r="G62" i="7"/>
  <c r="J62" i="7"/>
  <c r="F62" i="7"/>
  <c r="G61" i="7"/>
  <c r="J61" i="7" s="1"/>
  <c r="F61" i="7"/>
  <c r="H42" i="7"/>
  <c r="K42" i="7"/>
  <c r="H41" i="7"/>
  <c r="K41" i="7"/>
  <c r="G108" i="2"/>
  <c r="J108" i="2" s="1"/>
  <c r="F108" i="2"/>
  <c r="G107" i="2"/>
  <c r="J107" i="2" s="1"/>
  <c r="F107" i="2"/>
  <c r="H83" i="2"/>
  <c r="K83" i="2" s="1"/>
  <c r="G60" i="7"/>
  <c r="J60" i="7" s="1"/>
  <c r="F60" i="7"/>
  <c r="G59" i="7"/>
  <c r="J59" i="7"/>
  <c r="F59" i="7"/>
  <c r="H40" i="7"/>
  <c r="K40" i="7"/>
  <c r="H39" i="7"/>
  <c r="K39" i="7"/>
  <c r="H84" i="2"/>
  <c r="K84" i="2" s="1"/>
  <c r="G106" i="2"/>
  <c r="F106" i="2"/>
  <c r="G105" i="2"/>
  <c r="F105" i="2"/>
  <c r="K38" i="7"/>
  <c r="H38" i="7"/>
  <c r="H37" i="7"/>
  <c r="K37" i="7"/>
  <c r="G58" i="7"/>
  <c r="J58" i="7"/>
  <c r="F58" i="7"/>
  <c r="G57" i="7"/>
  <c r="J57" i="7"/>
  <c r="F57" i="7"/>
  <c r="G104" i="2"/>
  <c r="F104" i="2"/>
  <c r="G103" i="2"/>
  <c r="F103" i="2"/>
  <c r="G102" i="2"/>
  <c r="F102" i="2"/>
  <c r="G101" i="2"/>
  <c r="F101" i="2"/>
  <c r="G100" i="2"/>
  <c r="F100" i="2"/>
  <c r="F78" i="2"/>
  <c r="H78" i="2"/>
  <c r="K78" i="2" s="1"/>
  <c r="H82" i="2"/>
  <c r="K82" i="2"/>
  <c r="H81" i="2"/>
  <c r="K81" i="2" s="1"/>
  <c r="H80" i="2"/>
  <c r="K80" i="2"/>
  <c r="H79" i="2"/>
  <c r="K79" i="2" s="1"/>
  <c r="G56" i="7"/>
  <c r="J56" i="7"/>
  <c r="F56" i="7"/>
  <c r="H35" i="7"/>
  <c r="K35" i="7"/>
  <c r="G55" i="7"/>
  <c r="J55" i="7" s="1"/>
  <c r="F55" i="7"/>
  <c r="G54" i="7"/>
  <c r="J54" i="7"/>
  <c r="F54" i="7"/>
  <c r="K33" i="7"/>
  <c r="H33" i="7"/>
  <c r="H34" i="7"/>
  <c r="K34" i="7"/>
  <c r="G99" i="2"/>
  <c r="F99" i="2"/>
  <c r="H77" i="2"/>
  <c r="K77" i="2" s="1"/>
  <c r="H32" i="7"/>
  <c r="G53" i="7"/>
  <c r="J53" i="7"/>
  <c r="F53" i="7"/>
  <c r="G52" i="7"/>
  <c r="J52" i="7"/>
  <c r="F52" i="7"/>
  <c r="G98" i="2"/>
  <c r="F98" i="2"/>
  <c r="G97" i="2"/>
  <c r="J97" i="2" s="1"/>
  <c r="F97" i="2"/>
  <c r="H76" i="2"/>
  <c r="K76" i="2"/>
  <c r="H75" i="2"/>
  <c r="K75" i="2" s="1"/>
  <c r="K32" i="7"/>
  <c r="K31" i="7"/>
  <c r="H31" i="7"/>
  <c r="G96" i="2"/>
  <c r="F96" i="2"/>
  <c r="G95" i="2"/>
  <c r="J95" i="2" s="1"/>
  <c r="F95" i="2"/>
  <c r="H74" i="2"/>
  <c r="K74" i="2" s="1"/>
  <c r="H73" i="2"/>
  <c r="K73" i="2"/>
  <c r="G51" i="7"/>
  <c r="J51" i="7"/>
  <c r="F51" i="7"/>
  <c r="G50" i="7"/>
  <c r="J50" i="7" s="1"/>
  <c r="F50" i="7"/>
  <c r="H30" i="7"/>
  <c r="K30" i="7"/>
  <c r="H29" i="7"/>
  <c r="K29" i="7"/>
  <c r="H70" i="2"/>
  <c r="H71" i="2"/>
  <c r="K71" i="2"/>
  <c r="H72" i="2"/>
  <c r="K72" i="2"/>
  <c r="K70" i="2"/>
  <c r="G94" i="2"/>
  <c r="J94" i="2" s="1"/>
  <c r="F94" i="2"/>
  <c r="G93" i="2"/>
  <c r="F93" i="2"/>
  <c r="G49" i="7"/>
  <c r="J49" i="7"/>
  <c r="F49" i="7"/>
  <c r="G48" i="7"/>
  <c r="J48" i="7" s="1"/>
  <c r="F48" i="7"/>
  <c r="H28" i="7"/>
  <c r="K28" i="7"/>
  <c r="H27" i="7"/>
  <c r="K27" i="7"/>
  <c r="G92" i="2"/>
  <c r="F92" i="2"/>
  <c r="H68" i="2"/>
  <c r="K68" i="2" s="1"/>
  <c r="G91" i="2"/>
  <c r="F91" i="2"/>
  <c r="H69" i="2"/>
  <c r="K69" i="2" s="1"/>
  <c r="F47" i="7"/>
  <c r="G47" i="7"/>
  <c r="J47" i="7"/>
  <c r="H26" i="7"/>
  <c r="K26" i="7"/>
  <c r="K25" i="7"/>
  <c r="K24" i="7"/>
  <c r="H24" i="7"/>
  <c r="G46" i="7"/>
  <c r="J46" i="7"/>
  <c r="F46" i="7"/>
  <c r="G45" i="7"/>
  <c r="J45" i="7" s="1"/>
  <c r="F45" i="7"/>
  <c r="H25" i="7"/>
  <c r="G90" i="2"/>
  <c r="F90" i="2"/>
  <c r="G89" i="2"/>
  <c r="F89" i="2"/>
  <c r="H67" i="2"/>
  <c r="K67" i="2"/>
  <c r="H66" i="2"/>
  <c r="K66" i="2"/>
  <c r="G88" i="2"/>
  <c r="F88" i="2"/>
  <c r="G87" i="2"/>
  <c r="F87" i="2"/>
  <c r="H65" i="2"/>
  <c r="K65" i="2"/>
  <c r="H64" i="2"/>
  <c r="K64" i="2"/>
  <c r="G44" i="7"/>
  <c r="J44" i="7" s="1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F86" i="2"/>
  <c r="G85" i="2"/>
  <c r="F85" i="2"/>
  <c r="H63" i="2"/>
  <c r="K63" i="2"/>
  <c r="H62" i="2"/>
  <c r="K62" i="2"/>
  <c r="G84" i="2"/>
  <c r="F84" i="2"/>
  <c r="G83" i="2"/>
  <c r="F83" i="2"/>
  <c r="H61" i="2"/>
  <c r="K61" i="2"/>
  <c r="H60" i="2"/>
  <c r="K60" i="2"/>
  <c r="G40" i="7"/>
  <c r="J40" i="7" s="1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F82" i="2"/>
  <c r="G81" i="2"/>
  <c r="F81" i="2"/>
  <c r="F36" i="7"/>
  <c r="G35" i="7"/>
  <c r="J35" i="7"/>
  <c r="F35" i="7"/>
  <c r="H15" i="7"/>
  <c r="K15" i="7"/>
  <c r="H58" i="2"/>
  <c r="K58" i="2"/>
  <c r="G80" i="2"/>
  <c r="F80" i="2"/>
  <c r="G79" i="2"/>
  <c r="F79" i="2"/>
  <c r="H59" i="2"/>
  <c r="K59" i="2"/>
  <c r="H14" i="7"/>
  <c r="K14" i="7"/>
  <c r="G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 s="1"/>
  <c r="F31" i="7"/>
  <c r="G76" i="2"/>
  <c r="F76" i="2"/>
  <c r="G75" i="2"/>
  <c r="J75" i="2" s="1"/>
  <c r="F75" i="2"/>
  <c r="K55" i="2"/>
  <c r="K53" i="2"/>
  <c r="K54" i="2"/>
  <c r="G74" i="2"/>
  <c r="J74" i="2" s="1"/>
  <c r="F74" i="2"/>
  <c r="G73" i="2"/>
  <c r="F73" i="2"/>
  <c r="K52" i="2"/>
  <c r="G30" i="7"/>
  <c r="J30" i="7"/>
  <c r="F30" i="7"/>
  <c r="G29" i="7"/>
  <c r="J29" i="7"/>
  <c r="F29" i="7"/>
  <c r="K10" i="7"/>
  <c r="K9" i="7"/>
  <c r="G72" i="2"/>
  <c r="J72" i="2" s="1"/>
  <c r="F72" i="2"/>
  <c r="G28" i="7"/>
  <c r="J28" i="7"/>
  <c r="F28" i="7"/>
  <c r="G27" i="7"/>
  <c r="J27" i="7" s="1"/>
  <c r="F27" i="7"/>
  <c r="G71" i="2"/>
  <c r="F71" i="2"/>
  <c r="G70" i="2"/>
  <c r="J70" i="2" s="1"/>
  <c r="F70" i="2"/>
  <c r="K51" i="2"/>
  <c r="G69" i="2"/>
  <c r="F69" i="2"/>
  <c r="G68" i="2"/>
  <c r="F68" i="2"/>
  <c r="K50" i="2"/>
  <c r="G26" i="7"/>
  <c r="J26" i="7"/>
  <c r="F26" i="7"/>
  <c r="K8" i="7"/>
  <c r="K7" i="7"/>
  <c r="J8" i="7"/>
  <c r="J7" i="7"/>
  <c r="G25" i="7"/>
  <c r="J25" i="7" s="1"/>
  <c r="F25" i="7"/>
  <c r="G24" i="7"/>
  <c r="J24" i="7"/>
  <c r="F24" i="7"/>
  <c r="G67" i="2"/>
  <c r="F67" i="2"/>
  <c r="G66" i="2"/>
  <c r="F66" i="2"/>
  <c r="K49" i="2"/>
  <c r="G49" i="2"/>
  <c r="J49" i="2" s="1"/>
  <c r="G65" i="2"/>
  <c r="J65" i="2" s="1"/>
  <c r="F65" i="2"/>
  <c r="G64" i="2"/>
  <c r="J64" i="2" s="1"/>
  <c r="F64" i="2"/>
  <c r="K48" i="2"/>
  <c r="K47" i="2"/>
  <c r="G23" i="7"/>
  <c r="J23" i="7"/>
  <c r="F23" i="7"/>
  <c r="G22" i="7"/>
  <c r="J22" i="7"/>
  <c r="F22" i="7"/>
  <c r="G63" i="2"/>
  <c r="J63" i="2" s="1"/>
  <c r="F63" i="2"/>
  <c r="G62" i="2"/>
  <c r="J62" i="2" s="1"/>
  <c r="F62" i="2"/>
  <c r="K46" i="2"/>
  <c r="K45" i="2"/>
  <c r="G21" i="7"/>
  <c r="J21" i="7"/>
  <c r="F21" i="7"/>
  <c r="G20" i="7"/>
  <c r="J20" i="7"/>
  <c r="F20" i="7"/>
  <c r="G19" i="7"/>
  <c r="J19" i="7" s="1"/>
  <c r="F19" i="7"/>
  <c r="G61" i="2"/>
  <c r="F61" i="2"/>
  <c r="G60" i="2"/>
  <c r="J60" i="2" s="1"/>
  <c r="F60" i="2"/>
  <c r="K44" i="2"/>
  <c r="G18" i="7"/>
  <c r="J18" i="7" s="1"/>
  <c r="F18" i="7"/>
  <c r="K43" i="2"/>
  <c r="G17" i="7"/>
  <c r="J17" i="7" s="1"/>
  <c r="F17" i="7"/>
  <c r="G16" i="7"/>
  <c r="J16" i="7"/>
  <c r="F16" i="7"/>
  <c r="G59" i="2"/>
  <c r="F59" i="2"/>
  <c r="G58" i="2"/>
  <c r="F58" i="2"/>
  <c r="G57" i="2"/>
  <c r="J57" i="2" s="1"/>
  <c r="F57" i="2"/>
  <c r="K42" i="2"/>
  <c r="K41" i="2"/>
  <c r="K5" i="7"/>
  <c r="J5" i="7"/>
  <c r="G15" i="7"/>
  <c r="J15" i="7" s="1"/>
  <c r="F15" i="7"/>
  <c r="G14" i="7"/>
  <c r="J14" i="7"/>
  <c r="F14" i="7"/>
  <c r="G13" i="7"/>
  <c r="J13" i="7"/>
  <c r="F13" i="7"/>
  <c r="G12" i="7"/>
  <c r="J12" i="7"/>
  <c r="F12" i="7"/>
  <c r="G11" i="7"/>
  <c r="J11" i="7" s="1"/>
  <c r="F11" i="7"/>
  <c r="G56" i="2"/>
  <c r="F56" i="2"/>
  <c r="K40" i="2"/>
  <c r="K39" i="2"/>
  <c r="J39" i="2"/>
  <c r="G55" i="2"/>
  <c r="J55" i="2" s="1"/>
  <c r="F55" i="2"/>
  <c r="K38" i="2"/>
  <c r="G54" i="2"/>
  <c r="J54" i="2" s="1"/>
  <c r="F54" i="2"/>
  <c r="G53" i="2"/>
  <c r="J53" i="2" s="1"/>
  <c r="F53" i="2"/>
  <c r="G10" i="7"/>
  <c r="J10" i="7"/>
  <c r="F10" i="7"/>
  <c r="K6" i="7"/>
  <c r="J6" i="7"/>
  <c r="G52" i="2"/>
  <c r="J52" i="2" s="1"/>
  <c r="F52" i="2"/>
  <c r="K37" i="2"/>
  <c r="G51" i="2"/>
  <c r="J51" i="2" s="1"/>
  <c r="F51" i="2"/>
  <c r="K36" i="2"/>
  <c r="G9" i="7"/>
  <c r="J9" i="7"/>
  <c r="F9" i="7"/>
  <c r="G50" i="2"/>
  <c r="J50" i="2" s="1"/>
  <c r="F50" i="2"/>
  <c r="K35" i="2"/>
  <c r="G35" i="2"/>
  <c r="J35" i="2" s="1"/>
  <c r="F49" i="2"/>
  <c r="K34" i="2"/>
  <c r="G34" i="2"/>
  <c r="J34" i="2" s="1"/>
  <c r="F8" i="7"/>
  <c r="G48" i="2"/>
  <c r="J48" i="2" s="1"/>
  <c r="F48" i="2"/>
  <c r="G47" i="2"/>
  <c r="J47" i="2" s="1"/>
  <c r="F47" i="2"/>
  <c r="K33" i="2"/>
  <c r="G46" i="2"/>
  <c r="J46" i="2" s="1"/>
  <c r="F46" i="2"/>
  <c r="G45" i="2"/>
  <c r="J45" i="2" s="1"/>
  <c r="F45" i="2"/>
  <c r="K32" i="2"/>
  <c r="G44" i="2"/>
  <c r="J44" i="2" s="1"/>
  <c r="F44" i="2"/>
  <c r="K31" i="2"/>
  <c r="G43" i="2"/>
  <c r="J43" i="2" s="1"/>
  <c r="F43" i="2"/>
  <c r="K30" i="2"/>
  <c r="G30" i="2"/>
  <c r="J30" i="2" s="1"/>
  <c r="G42" i="2"/>
  <c r="J42" i="2"/>
  <c r="F42" i="2"/>
  <c r="G41" i="2"/>
  <c r="J41" i="2" s="1"/>
  <c r="F41" i="2"/>
  <c r="K29" i="2"/>
  <c r="F40" i="2"/>
  <c r="G40" i="2"/>
  <c r="J40" i="2" s="1"/>
  <c r="K28" i="2"/>
  <c r="J28" i="2"/>
  <c r="F39" i="2"/>
  <c r="F7" i="7"/>
  <c r="F38" i="2"/>
  <c r="G38" i="2"/>
  <c r="J38" i="2" s="1"/>
  <c r="J27" i="2"/>
  <c r="K4" i="7"/>
  <c r="J4" i="7"/>
  <c r="K27" i="2"/>
  <c r="G37" i="2"/>
  <c r="J37" i="2" s="1"/>
  <c r="F37" i="2"/>
  <c r="J25" i="2"/>
  <c r="K25" i="2"/>
  <c r="F6" i="7"/>
  <c r="F5" i="7"/>
  <c r="G36" i="2"/>
  <c r="J36" i="2" s="1"/>
  <c r="F36" i="2"/>
  <c r="K26" i="2"/>
  <c r="K3" i="7"/>
  <c r="J26" i="2"/>
  <c r="F35" i="2"/>
  <c r="K23" i="2"/>
  <c r="J23" i="2"/>
  <c r="F34" i="2"/>
  <c r="G33" i="2"/>
  <c r="J33" i="2" s="1"/>
  <c r="F33" i="2"/>
  <c r="K24" i="2"/>
  <c r="J24" i="2"/>
  <c r="F32" i="2"/>
  <c r="G32" i="2"/>
  <c r="J32" i="2" s="1"/>
  <c r="K22" i="2"/>
  <c r="J22" i="2"/>
  <c r="G31" i="2"/>
  <c r="J31" i="2" s="1"/>
  <c r="K21" i="2"/>
  <c r="J21" i="2"/>
  <c r="G29" i="2"/>
  <c r="J29" i="2" s="1"/>
  <c r="K20" i="2"/>
  <c r="J20" i="2"/>
  <c r="G3" i="7"/>
  <c r="J3" i="7"/>
  <c r="K2" i="7"/>
  <c r="K19" i="2"/>
  <c r="J19" i="2"/>
  <c r="K18" i="2"/>
  <c r="J18" i="2"/>
  <c r="K18" i="1"/>
  <c r="K19" i="1"/>
  <c r="I9" i="2"/>
  <c r="K9" i="2" s="1"/>
  <c r="I8" i="2"/>
  <c r="K8" i="2" s="1"/>
  <c r="K5" i="2"/>
  <c r="B18" i="1"/>
  <c r="B19" i="1"/>
  <c r="H18" i="1"/>
  <c r="H19" i="1"/>
  <c r="E18" i="1"/>
  <c r="E19" i="1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 s="1"/>
  <c r="J2" i="2"/>
  <c r="K16" i="2"/>
  <c r="K7" i="2"/>
  <c r="K6" i="2"/>
  <c r="K4" i="2"/>
  <c r="K3" i="2"/>
  <c r="J16" i="2"/>
  <c r="J6" i="2"/>
  <c r="J7" i="2"/>
  <c r="J4" i="2"/>
  <c r="J3" i="2"/>
  <c r="K11" i="2"/>
  <c r="J11" i="2"/>
  <c r="K15" i="2"/>
  <c r="J15" i="2"/>
  <c r="K14" i="2"/>
  <c r="J14" i="2"/>
  <c r="K12" i="2"/>
  <c r="J12" i="2"/>
  <c r="K10" i="2"/>
  <c r="J10" i="2"/>
  <c r="K13" i="2"/>
  <c r="J13" i="2"/>
  <c r="B6" i="1"/>
  <c r="B7" i="1"/>
  <c r="B8" i="1"/>
  <c r="B9" i="1"/>
  <c r="J113" i="2" l="1"/>
  <c r="J163" i="2"/>
  <c r="J111" i="2"/>
  <c r="J115" i="2"/>
  <c r="K113" i="2"/>
  <c r="J56" i="2"/>
  <c r="J61" i="2"/>
  <c r="J76" i="2"/>
  <c r="J93" i="2"/>
  <c r="J136" i="2"/>
  <c r="J147" i="2"/>
  <c r="J160" i="2"/>
  <c r="J59" i="2"/>
  <c r="J67" i="2"/>
  <c r="J89" i="2"/>
  <c r="J91" i="2"/>
  <c r="J96" i="2"/>
  <c r="J99" i="2"/>
  <c r="J78" i="2"/>
  <c r="J101" i="2"/>
  <c r="J103" i="2"/>
  <c r="J106" i="2"/>
  <c r="J109" i="2"/>
  <c r="J117" i="2"/>
  <c r="J119" i="2"/>
  <c r="J157" i="2"/>
  <c r="K155" i="2"/>
  <c r="J166" i="2"/>
  <c r="K140" i="2"/>
  <c r="J140" i="2"/>
  <c r="J126" i="2"/>
  <c r="K156" i="2"/>
  <c r="K141" i="2"/>
  <c r="J141" i="2"/>
  <c r="J170" i="2"/>
  <c r="K167" i="2"/>
  <c r="J71" i="2"/>
  <c r="J92" i="2"/>
  <c r="J131" i="2"/>
  <c r="J138" i="2"/>
  <c r="K153" i="2"/>
  <c r="K173" i="2"/>
  <c r="J68" i="2"/>
  <c r="J79" i="2"/>
  <c r="J81" i="2"/>
  <c r="J83" i="2"/>
  <c r="J85" i="2"/>
  <c r="J87" i="2"/>
  <c r="J110" i="2"/>
  <c r="J118" i="2"/>
  <c r="J125" i="2"/>
  <c r="J127" i="2"/>
  <c r="J139" i="2"/>
  <c r="K143" i="2"/>
  <c r="J154" i="2"/>
  <c r="K162" i="2"/>
  <c r="J162" i="2"/>
  <c r="K164" i="2"/>
  <c r="K169" i="2"/>
  <c r="J174" i="2"/>
  <c r="J58" i="2"/>
  <c r="J66" i="2"/>
  <c r="J69" i="2"/>
  <c r="J73" i="2"/>
  <c r="J77" i="2"/>
  <c r="J80" i="2"/>
  <c r="J82" i="2"/>
  <c r="J84" i="2"/>
  <c r="J86" i="2"/>
  <c r="J88" i="2"/>
  <c r="J90" i="2"/>
  <c r="J98" i="2"/>
  <c r="J100" i="2"/>
  <c r="J102" i="2"/>
  <c r="J104" i="2"/>
  <c r="J105" i="2"/>
  <c r="J123" i="2"/>
  <c r="J128" i="2"/>
  <c r="J130" i="2"/>
  <c r="J132" i="2"/>
  <c r="J135" i="2"/>
  <c r="J137" i="2"/>
  <c r="J142" i="2"/>
  <c r="J145" i="2"/>
  <c r="J152" i="2"/>
  <c r="J175" i="2"/>
  <c r="J158" i="2"/>
  <c r="J165" i="2"/>
</calcChain>
</file>

<file path=xl/sharedStrings.xml><?xml version="1.0" encoding="utf-8"?>
<sst xmlns="http://schemas.openxmlformats.org/spreadsheetml/2006/main" count="640" uniqueCount="151">
  <si>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</si>
  <si>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</si>
  <si>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</si>
  <si>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</si>
  <si>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</si>
  <si>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</si>
  <si>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</si>
  <si>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</si>
  <si>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</si>
  <si>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</si>
  <si>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</si>
  <si>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</si>
  <si>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</si>
  <si>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</si>
  <si>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</si>
  <si>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</si>
  <si>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</si>
  <si>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</si>
  <si>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</si>
  <si>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</si>
  <si>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</si>
  <si>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</si>
  <si>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</si>
  <si>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</si>
  <si>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</si>
  <si>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</si>
  <si>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</si>
  <si>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</si>
  <si>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</si>
  <si>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</si>
  <si>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</si>
  <si>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</si>
  <si>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</si>
  <si>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</si>
  <si>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</si>
  <si>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</si>
  <si>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</si>
  <si>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</si>
  <si>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</si>
  <si>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</si>
  <si>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</si>
  <si>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</si>
  <si>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</si>
  <si>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</si>
  <si>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</si>
  <si>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</si>
  <si>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</si>
  <si>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</si>
  <si>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</si>
  <si>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</si>
  <si>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</si>
  <si>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</si>
  <si>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</si>
  <si>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</si>
  <si>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</si>
  <si>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</si>
  <si>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</si>
  <si>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</si>
  <si>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</si>
  <si>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</si>
  <si>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</si>
  <si>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</si>
  <si>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</si>
  <si>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</si>
  <si>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</si>
  <si>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</si>
  <si>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</si>
  <si>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</si>
  <si>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</si>
  <si>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</si>
  <si>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</si>
  <si>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</si>
  <si>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</si>
  <si>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</si>
  <si>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</si>
  <si>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</si>
  <si>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</si>
  <si>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</si>
  <si>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</si>
  <si>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</si>
  <si>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</si>
  <si>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</si>
  <si>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</si>
  <si>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</si>
  <si>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</si>
  <si>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2015.07-07</t>
    <phoneticPr fontId="1" type="noConversion"/>
  </si>
  <si>
    <t>2015.08-08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</si>
  <si>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</si>
  <si>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</si>
  <si>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</si>
  <si>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</si>
  <si>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</si>
  <si>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</si>
  <si>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</si>
  <si>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</si>
  <si>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</si>
  <si>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</si>
  <si>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</si>
  <si>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</si>
  <si>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</si>
  <si>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</si>
  <si>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</si>
  <si>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</si>
  <si>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</si>
  <si>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</si>
  <si>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</si>
  <si>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</si>
  <si>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</si>
  <si>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</si>
  <si>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</si>
  <si>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</si>
  <si>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</si>
  <si>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</si>
  <si>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</si>
  <si>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</si>
  <si>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</si>
  <si>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</si>
  <si>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日期</t>
    <phoneticPr fontId="1" type="noConversion"/>
  </si>
  <si>
    <t>余额宝</t>
    <phoneticPr fontId="1" type="noConversion"/>
  </si>
  <si>
    <t>钱大掌柜</t>
    <phoneticPr fontId="1" type="noConversion"/>
  </si>
  <si>
    <t>京东金融</t>
    <phoneticPr fontId="1" type="noConversion"/>
  </si>
  <si>
    <t>中新大东方恒大稳盈2号</t>
    <phoneticPr fontId="1" type="noConversion"/>
  </si>
  <si>
    <t>陆金所-保险/票据/基金</t>
    <phoneticPr fontId="1" type="noConversion"/>
  </si>
  <si>
    <t>招财宝</t>
    <phoneticPr fontId="1" type="noConversion"/>
  </si>
  <si>
    <t>陆金所-&gt;P2P/变现通</t>
    <phoneticPr fontId="1" type="noConversion"/>
  </si>
  <si>
    <t>陆金所-&gt;余额/零活宝</t>
    <phoneticPr fontId="1" type="noConversion"/>
  </si>
  <si>
    <t>合计</t>
    <phoneticPr fontId="1" type="noConversion"/>
  </si>
  <si>
    <t>理财通-招商招利月度理财</t>
    <phoneticPr fontId="1" type="noConversion"/>
  </si>
  <si>
    <t>余额宝</t>
    <phoneticPr fontId="1" type="noConversion"/>
  </si>
  <si>
    <t>上月</t>
    <phoneticPr fontId="1" type="noConversion"/>
  </si>
  <si>
    <t>增长</t>
    <phoneticPr fontId="1" type="noConversion"/>
  </si>
  <si>
    <t>增长率</t>
    <phoneticPr fontId="1" type="noConversion"/>
  </si>
  <si>
    <t>日期</t>
    <phoneticPr fontId="1" type="noConversion"/>
  </si>
  <si>
    <t>产品</t>
    <phoneticPr fontId="1" type="noConversion"/>
  </si>
  <si>
    <t>金额</t>
    <phoneticPr fontId="1" type="noConversion"/>
  </si>
  <si>
    <t>陆金所-变现通</t>
    <phoneticPr fontId="1" type="noConversion"/>
  </si>
  <si>
    <t>陆金所-余额</t>
    <phoneticPr fontId="1" type="noConversion"/>
  </si>
  <si>
    <t>稳盈-安e 16010287786</t>
    <phoneticPr fontId="1" type="noConversion"/>
  </si>
  <si>
    <t>稳盈-安e 16010348890</t>
    <phoneticPr fontId="1" type="noConversion"/>
  </si>
  <si>
    <t>稳盈-安e 16010279653</t>
    <phoneticPr fontId="1" type="noConversion"/>
  </si>
  <si>
    <t>稳盈-安e 16011383258</t>
    <phoneticPr fontId="1" type="noConversion"/>
  </si>
  <si>
    <t>借入的资金</t>
    <phoneticPr fontId="1" type="noConversion"/>
  </si>
  <si>
    <t>到期</t>
    <phoneticPr fontId="1" type="noConversion"/>
  </si>
  <si>
    <t>到期</t>
    <phoneticPr fontId="1" type="noConversion"/>
  </si>
  <si>
    <t>到期</t>
    <phoneticPr fontId="1" type="noConversion"/>
  </si>
  <si>
    <t>活期</t>
    <phoneticPr fontId="1" type="noConversion"/>
  </si>
  <si>
    <t>到期</t>
    <phoneticPr fontId="1" type="noConversion"/>
  </si>
  <si>
    <t>点金计划 160113135291</t>
    <phoneticPr fontId="1" type="noConversion"/>
  </si>
  <si>
    <t>点金计划 15122551256</t>
    <phoneticPr fontId="1" type="noConversion"/>
  </si>
  <si>
    <t>本月特殊，补上个月的200+年终奖1200</t>
    <phoneticPr fontId="1" type="noConversion"/>
  </si>
  <si>
    <t>借出的资金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</si>
</sst>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36</v>
      </c>
      <c r="B14">
        <v>716</v>
      </c>
      <c r="D14" t="s">
        <v>36</v>
      </c>
      <c r="E14">
        <v>1502.56</v>
      </c>
      <c r="G14" t="s">
        <v>36</v>
      </c>
      <c r="H14">
        <v>2284.81</v>
      </c>
      <c r="J14" t="s">
        <v>36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9"/>
  <sheetViews>
    <sheetView zoomScaleNormal="100" workbookViewId="0">
      <pane xSplit="5" ySplit="1" topLeftCell="F28" activePane="bottomRight" state="frozen"/>
      <selection pane="topRight" activeCell="F1" sqref="F1"/>
      <selection pane="bottomLeft" activeCell="A2" sqref="A2"/>
      <selection pane="bottomRight" activeCell="K20" sqref="K20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8" width="11.75" bestFit="1" customWidth="1"/>
    <col min="9" max="9" width="11.75" style="12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31</v>
      </c>
      <c r="C1" s="2" t="s">
        <v>47</v>
      </c>
      <c r="D1" s="2" t="s">
        <v>15</v>
      </c>
      <c r="E1" s="2" t="s">
        <v>14</v>
      </c>
      <c r="F1" s="2" t="s">
        <v>21</v>
      </c>
      <c r="G1" s="2" t="s">
        <v>26</v>
      </c>
      <c r="H1" s="2" t="s">
        <v>33</v>
      </c>
      <c r="I1" s="11" t="s">
        <v>37</v>
      </c>
      <c r="J1" s="2" t="s">
        <v>34</v>
      </c>
      <c r="K1" s="2" t="s">
        <v>38</v>
      </c>
      <c r="L1" s="2" t="s">
        <v>143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 s="1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</row>
    <row r="3" spans="1:12" x14ac:dyDescent="0.15">
      <c r="A3" t="s">
        <v>16</v>
      </c>
      <c r="B3">
        <v>365</v>
      </c>
      <c r="C3" t="s">
        <v>48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 s="12">
        <v>44.33</v>
      </c>
      <c r="J3">
        <f t="shared" si="0"/>
        <v>-10.16</v>
      </c>
      <c r="K3">
        <f t="shared" si="1"/>
        <v>22.899999999999977</v>
      </c>
      <c r="L3" t="s">
        <v>144</v>
      </c>
    </row>
    <row r="4" spans="1:12" x14ac:dyDescent="0.15">
      <c r="A4" t="s">
        <v>17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 s="12">
        <v>44.01</v>
      </c>
      <c r="J4">
        <f t="shared" si="0"/>
        <v>-10.17</v>
      </c>
      <c r="K4">
        <f t="shared" si="1"/>
        <v>22.559999999999945</v>
      </c>
      <c r="L4" t="s">
        <v>142</v>
      </c>
    </row>
    <row r="5" spans="1:12" hidden="1" x14ac:dyDescent="0.15">
      <c r="A5" t="s">
        <v>24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 s="12">
        <v>586.17999999999995</v>
      </c>
      <c r="J5">
        <f t="shared" si="0"/>
        <v>-33.880000000000003</v>
      </c>
      <c r="K5">
        <f t="shared" si="1"/>
        <v>188.93000000000029</v>
      </c>
    </row>
    <row r="6" spans="1:12" x14ac:dyDescent="0.15">
      <c r="A6" t="s">
        <v>25</v>
      </c>
      <c r="B6">
        <v>365</v>
      </c>
      <c r="C6" t="s">
        <v>48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 s="12">
        <v>88.63</v>
      </c>
      <c r="J6">
        <f t="shared" si="0"/>
        <v>-10.16</v>
      </c>
      <c r="K6">
        <f t="shared" si="1"/>
        <v>45.75</v>
      </c>
      <c r="L6" t="s">
        <v>144</v>
      </c>
    </row>
    <row r="7" spans="1:12" x14ac:dyDescent="0.15">
      <c r="A7" t="s">
        <v>23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 s="12">
        <v>44.01</v>
      </c>
      <c r="J7">
        <f t="shared" si="0"/>
        <v>-10.98</v>
      </c>
      <c r="K7">
        <f t="shared" si="1"/>
        <v>22.049999999999955</v>
      </c>
      <c r="L7" t="s">
        <v>146</v>
      </c>
    </row>
    <row r="8" spans="1:12" hidden="1" x14ac:dyDescent="0.15">
      <c r="A8" t="s">
        <v>27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 s="12">
        <f>439.66</f>
        <v>439.66</v>
      </c>
      <c r="J8">
        <f t="shared" si="0"/>
        <v>-35.799999999999997</v>
      </c>
      <c r="K8">
        <f t="shared" si="1"/>
        <v>139.55000000000018</v>
      </c>
      <c r="L8" t="s">
        <v>142</v>
      </c>
    </row>
    <row r="9" spans="1:12" hidden="1" x14ac:dyDescent="0.15">
      <c r="A9" t="s">
        <v>28</v>
      </c>
      <c r="B9">
        <v>1096</v>
      </c>
      <c r="C9" t="s">
        <v>48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 s="12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142</v>
      </c>
    </row>
    <row r="10" spans="1:12" x14ac:dyDescent="0.15">
      <c r="A10" t="s">
        <v>45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 s="12">
        <v>178.41</v>
      </c>
      <c r="J10">
        <f t="shared" si="0"/>
        <v>-26.07</v>
      </c>
      <c r="K10">
        <f t="shared" si="1"/>
        <v>69.839999999999691</v>
      </c>
      <c r="L10" t="s">
        <v>142</v>
      </c>
    </row>
    <row r="11" spans="1:12" x14ac:dyDescent="0.15">
      <c r="A11" t="s">
        <v>29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 s="12">
        <v>178.14</v>
      </c>
      <c r="J11">
        <f t="shared" si="0"/>
        <v>-26.15</v>
      </c>
      <c r="K11">
        <f t="shared" si="1"/>
        <v>69.229999999999563</v>
      </c>
      <c r="L11" t="s">
        <v>142</v>
      </c>
    </row>
    <row r="12" spans="1:12" hidden="1" x14ac:dyDescent="0.15">
      <c r="A12" t="s">
        <v>18</v>
      </c>
      <c r="B12">
        <v>1096</v>
      </c>
      <c r="C12" t="s">
        <v>49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 s="12">
        <v>0.01</v>
      </c>
      <c r="J12">
        <f t="shared" si="0"/>
        <v>66.86</v>
      </c>
      <c r="K12">
        <f t="shared" si="1"/>
        <v>219.81000000000131</v>
      </c>
    </row>
    <row r="13" spans="1:12" x14ac:dyDescent="0.15">
      <c r="A13" t="s">
        <v>19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 s="12">
        <v>0.03</v>
      </c>
      <c r="J13">
        <f t="shared" si="0"/>
        <v>51.03</v>
      </c>
      <c r="K13">
        <f t="shared" si="1"/>
        <v>30.789999999999964</v>
      </c>
      <c r="L13" t="s">
        <v>142</v>
      </c>
    </row>
    <row r="14" spans="1:12" x14ac:dyDescent="0.15">
      <c r="A14" t="s">
        <v>30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 s="12">
        <v>0.02</v>
      </c>
      <c r="J14">
        <f t="shared" si="0"/>
        <v>51.04</v>
      </c>
      <c r="K14">
        <f t="shared" si="1"/>
        <v>76.930000000000291</v>
      </c>
      <c r="L14" t="s">
        <v>142</v>
      </c>
    </row>
    <row r="15" spans="1:12" x14ac:dyDescent="0.15">
      <c r="A15" t="s">
        <v>30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 s="12">
        <v>0.01</v>
      </c>
      <c r="J15">
        <f t="shared" si="0"/>
        <v>51.02</v>
      </c>
      <c r="K15">
        <f t="shared" si="1"/>
        <v>107.64000000000033</v>
      </c>
      <c r="L15" t="s">
        <v>142</v>
      </c>
    </row>
    <row r="16" spans="1:12" x14ac:dyDescent="0.15">
      <c r="A16" t="s">
        <v>22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 s="12">
        <v>0.01</v>
      </c>
      <c r="J16">
        <f t="shared" si="0"/>
        <v>50.78</v>
      </c>
      <c r="K16">
        <f t="shared" si="1"/>
        <v>153.05999999999949</v>
      </c>
      <c r="L16" t="s">
        <v>142</v>
      </c>
    </row>
    <row r="17" spans="1:12" x14ac:dyDescent="0.15">
      <c r="A17" t="s">
        <v>32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 s="12">
        <v>0.08</v>
      </c>
      <c r="J17">
        <f t="shared" si="0"/>
        <v>52.08</v>
      </c>
      <c r="K17">
        <f t="shared" si="1"/>
        <v>157.02000000000044</v>
      </c>
      <c r="L17" t="s">
        <v>142</v>
      </c>
    </row>
    <row r="18" spans="1:12" x14ac:dyDescent="0.15">
      <c r="A18" t="s">
        <v>50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 s="12">
        <v>0.02</v>
      </c>
      <c r="J18">
        <f t="shared" si="0"/>
        <v>44.2</v>
      </c>
      <c r="K18">
        <f t="shared" si="1"/>
        <v>159.85000000000036</v>
      </c>
      <c r="L18" t="s">
        <v>142</v>
      </c>
    </row>
    <row r="19" spans="1:12" x14ac:dyDescent="0.15">
      <c r="A19" t="s">
        <v>50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 s="12">
        <v>0.01</v>
      </c>
      <c r="J19">
        <f t="shared" si="0"/>
        <v>29.73</v>
      </c>
      <c r="K19">
        <f t="shared" si="1"/>
        <v>137.68000000000029</v>
      </c>
      <c r="L19" t="s">
        <v>142</v>
      </c>
    </row>
    <row r="20" spans="1:12" x14ac:dyDescent="0.15">
      <c r="A20" s="3" t="s">
        <v>39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4">
        <v>42173</v>
      </c>
      <c r="H20">
        <v>8084.14</v>
      </c>
      <c r="I20" s="12">
        <v>0.01</v>
      </c>
      <c r="J20">
        <f t="shared" si="0"/>
        <v>34.9</v>
      </c>
      <c r="K20">
        <f t="shared" si="1"/>
        <v>84.150000000000546</v>
      </c>
    </row>
    <row r="21" spans="1:12" x14ac:dyDescent="0.15">
      <c r="A21" s="3" t="s">
        <v>64</v>
      </c>
      <c r="B21">
        <v>366</v>
      </c>
      <c r="C21" t="s">
        <v>62</v>
      </c>
      <c r="D21">
        <v>20000</v>
      </c>
      <c r="E21" s="1">
        <v>42164</v>
      </c>
      <c r="F21" s="1">
        <v>42165</v>
      </c>
      <c r="G21" s="4">
        <v>42175</v>
      </c>
      <c r="H21">
        <v>20227.36</v>
      </c>
      <c r="I21" s="12">
        <v>0.01</v>
      </c>
      <c r="J21">
        <f t="shared" si="0"/>
        <v>37.72</v>
      </c>
      <c r="K21">
        <f t="shared" si="1"/>
        <v>227.36999999999898</v>
      </c>
    </row>
    <row r="22" spans="1:12" x14ac:dyDescent="0.15">
      <c r="A22" s="3" t="s">
        <v>64</v>
      </c>
      <c r="B22">
        <v>366</v>
      </c>
      <c r="C22" t="s">
        <v>62</v>
      </c>
      <c r="D22">
        <v>12000</v>
      </c>
      <c r="E22" s="1">
        <v>42165</v>
      </c>
      <c r="F22" s="1">
        <v>42166</v>
      </c>
      <c r="G22" s="4">
        <v>42177</v>
      </c>
      <c r="H22">
        <v>12140.64</v>
      </c>
      <c r="I22" s="12">
        <v>0.04</v>
      </c>
      <c r="J22">
        <f t="shared" si="0"/>
        <v>35.65</v>
      </c>
      <c r="K22">
        <f t="shared" si="1"/>
        <v>140.68000000000029</v>
      </c>
    </row>
    <row r="23" spans="1:12" x14ac:dyDescent="0.15">
      <c r="A23" s="3" t="s">
        <v>64</v>
      </c>
      <c r="B23">
        <v>366</v>
      </c>
      <c r="C23" t="s">
        <v>62</v>
      </c>
      <c r="D23">
        <v>5000</v>
      </c>
      <c r="E23" s="1">
        <v>42165</v>
      </c>
      <c r="F23" s="1">
        <v>42166</v>
      </c>
      <c r="G23" s="4">
        <v>42179</v>
      </c>
      <c r="H23">
        <v>5057.8</v>
      </c>
      <c r="I23" s="12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</row>
    <row r="24" spans="1:12" x14ac:dyDescent="0.15">
      <c r="A24" s="3" t="s">
        <v>64</v>
      </c>
      <c r="B24">
        <v>366</v>
      </c>
      <c r="C24" t="s">
        <v>62</v>
      </c>
      <c r="D24">
        <v>6000</v>
      </c>
      <c r="E24" s="1">
        <v>42166</v>
      </c>
      <c r="F24" s="1">
        <v>42167</v>
      </c>
      <c r="G24" s="4">
        <v>42178</v>
      </c>
      <c r="H24">
        <v>6070.29</v>
      </c>
      <c r="I24" s="12">
        <v>0.01</v>
      </c>
      <c r="J24">
        <f t="shared" si="2"/>
        <v>35.630000000000003</v>
      </c>
      <c r="K24">
        <f t="shared" si="3"/>
        <v>70.300000000000182</v>
      </c>
    </row>
    <row r="25" spans="1:12" x14ac:dyDescent="0.15">
      <c r="A25" s="3" t="s">
        <v>41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4">
        <v>42181</v>
      </c>
      <c r="H25">
        <v>5057.25</v>
      </c>
      <c r="I25" s="12">
        <v>0.01</v>
      </c>
      <c r="J25">
        <f t="shared" si="2"/>
        <v>29.85</v>
      </c>
      <c r="K25">
        <f t="shared" si="3"/>
        <v>57.260000000000218</v>
      </c>
    </row>
    <row r="26" spans="1:12" x14ac:dyDescent="0.15">
      <c r="A26" s="3" t="s">
        <v>64</v>
      </c>
      <c r="B26">
        <v>366</v>
      </c>
      <c r="C26" t="s">
        <v>63</v>
      </c>
      <c r="D26">
        <v>5000</v>
      </c>
      <c r="E26" s="1">
        <v>42169</v>
      </c>
      <c r="F26" s="1">
        <v>42170</v>
      </c>
      <c r="G26" s="4">
        <v>42180</v>
      </c>
      <c r="H26">
        <v>5058.75</v>
      </c>
      <c r="I26" s="12">
        <v>0.02</v>
      </c>
      <c r="J26">
        <f t="shared" si="2"/>
        <v>38.99</v>
      </c>
      <c r="K26">
        <f t="shared" si="3"/>
        <v>58.770000000000437</v>
      </c>
    </row>
    <row r="27" spans="1:12" x14ac:dyDescent="0.15">
      <c r="A27" s="3" t="s">
        <v>16</v>
      </c>
      <c r="B27">
        <v>366</v>
      </c>
      <c r="C27" t="s">
        <v>57</v>
      </c>
      <c r="D27">
        <v>5000</v>
      </c>
      <c r="E27" s="1">
        <v>42170</v>
      </c>
      <c r="F27" s="1">
        <v>42171</v>
      </c>
      <c r="G27" s="4">
        <v>42182</v>
      </c>
      <c r="H27">
        <v>5075.47</v>
      </c>
      <c r="I27" s="12">
        <v>0.01</v>
      </c>
      <c r="J27">
        <f t="shared" si="2"/>
        <v>45.91</v>
      </c>
      <c r="K27">
        <f t="shared" si="3"/>
        <v>75.480000000000473</v>
      </c>
    </row>
    <row r="28" spans="1:12" x14ac:dyDescent="0.15">
      <c r="A28" s="3" t="s">
        <v>16</v>
      </c>
      <c r="B28">
        <v>366</v>
      </c>
      <c r="C28" t="s">
        <v>57</v>
      </c>
      <c r="D28">
        <v>5000</v>
      </c>
      <c r="E28" s="1">
        <v>42170</v>
      </c>
      <c r="F28" s="1">
        <v>42171</v>
      </c>
      <c r="G28" s="4">
        <v>42183</v>
      </c>
      <c r="H28">
        <v>5077.6400000000003</v>
      </c>
      <c r="I28" s="12">
        <v>0.02</v>
      </c>
      <c r="J28">
        <f t="shared" si="2"/>
        <v>43.6</v>
      </c>
      <c r="K28">
        <f t="shared" si="3"/>
        <v>77.660000000000764</v>
      </c>
    </row>
    <row r="29" spans="1:12" x14ac:dyDescent="0.15">
      <c r="A29" s="3" t="s">
        <v>43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4">
        <f t="shared" ref="G29:G34" si="4">E29+11</f>
        <v>42184</v>
      </c>
      <c r="H29">
        <v>8122.53</v>
      </c>
      <c r="I29" s="12">
        <v>0.02</v>
      </c>
      <c r="J29">
        <f t="shared" si="2"/>
        <v>50.82</v>
      </c>
      <c r="K29">
        <f t="shared" si="3"/>
        <v>122.55000000000018</v>
      </c>
    </row>
    <row r="30" spans="1:12" x14ac:dyDescent="0.15">
      <c r="A30" s="3" t="s">
        <v>44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4">
        <f t="shared" si="4"/>
        <v>42185</v>
      </c>
      <c r="H30">
        <v>4057.52</v>
      </c>
      <c r="I30" s="12">
        <v>0.01</v>
      </c>
      <c r="J30">
        <f t="shared" si="2"/>
        <v>47.72</v>
      </c>
      <c r="K30">
        <f t="shared" si="3"/>
        <v>57.5300000000002</v>
      </c>
    </row>
    <row r="31" spans="1:12" x14ac:dyDescent="0.15">
      <c r="A31" s="3" t="s">
        <v>16</v>
      </c>
      <c r="B31">
        <v>366</v>
      </c>
      <c r="C31" t="s">
        <v>58</v>
      </c>
      <c r="D31">
        <v>10000</v>
      </c>
      <c r="E31" s="1">
        <v>42175</v>
      </c>
      <c r="F31" s="1">
        <v>42176</v>
      </c>
      <c r="G31" s="4">
        <f t="shared" si="4"/>
        <v>42186</v>
      </c>
      <c r="H31">
        <v>10158.84</v>
      </c>
      <c r="I31" s="12">
        <v>0.03</v>
      </c>
      <c r="J31">
        <f t="shared" si="2"/>
        <v>52.71</v>
      </c>
      <c r="K31">
        <f t="shared" si="3"/>
        <v>158.8700000000008</v>
      </c>
    </row>
    <row r="32" spans="1:12" x14ac:dyDescent="0.15">
      <c r="A32" s="3" t="s">
        <v>16</v>
      </c>
      <c r="B32">
        <v>366</v>
      </c>
      <c r="C32" t="s">
        <v>58</v>
      </c>
      <c r="D32">
        <v>6000</v>
      </c>
      <c r="E32" s="1">
        <v>42176</v>
      </c>
      <c r="F32" s="1">
        <f t="shared" ref="F32:F38" si="5">E32+1</f>
        <v>42177</v>
      </c>
      <c r="G32" s="4">
        <f t="shared" si="4"/>
        <v>42187</v>
      </c>
      <c r="H32">
        <v>6108.83</v>
      </c>
      <c r="I32" s="12">
        <v>0.01</v>
      </c>
      <c r="J32">
        <f t="shared" si="2"/>
        <v>60.19</v>
      </c>
      <c r="K32">
        <f t="shared" si="3"/>
        <v>108.84000000000015</v>
      </c>
    </row>
    <row r="33" spans="1:11" x14ac:dyDescent="0.15">
      <c r="A33" s="3" t="s">
        <v>16</v>
      </c>
      <c r="B33">
        <v>366</v>
      </c>
      <c r="C33" t="s">
        <v>58</v>
      </c>
      <c r="D33">
        <v>7000</v>
      </c>
      <c r="E33" s="1">
        <v>42177</v>
      </c>
      <c r="F33" s="1">
        <f t="shared" si="5"/>
        <v>42178</v>
      </c>
      <c r="G33" s="4">
        <f t="shared" si="4"/>
        <v>42188</v>
      </c>
      <c r="H33">
        <v>7127.02</v>
      </c>
      <c r="I33" s="12">
        <v>0.04</v>
      </c>
      <c r="J33">
        <f t="shared" si="2"/>
        <v>60.21</v>
      </c>
      <c r="K33">
        <f t="shared" si="3"/>
        <v>127.0600000000004</v>
      </c>
    </row>
    <row r="34" spans="1:11" x14ac:dyDescent="0.15">
      <c r="A34" s="3" t="s">
        <v>16</v>
      </c>
      <c r="B34">
        <v>366</v>
      </c>
      <c r="C34" t="s">
        <v>58</v>
      </c>
      <c r="D34">
        <v>5000</v>
      </c>
      <c r="E34" s="1">
        <v>42178</v>
      </c>
      <c r="F34" s="1">
        <f t="shared" si="5"/>
        <v>42179</v>
      </c>
      <c r="G34" s="4">
        <f t="shared" si="4"/>
        <v>42189</v>
      </c>
      <c r="H34">
        <v>5095.87</v>
      </c>
      <c r="I34" s="12">
        <v>0.02</v>
      </c>
      <c r="J34">
        <f t="shared" si="2"/>
        <v>63.62</v>
      </c>
      <c r="K34">
        <f t="shared" si="3"/>
        <v>95.890000000000327</v>
      </c>
    </row>
    <row r="35" spans="1:11" x14ac:dyDescent="0.15">
      <c r="A35" s="3" t="s">
        <v>16</v>
      </c>
      <c r="B35">
        <v>366</v>
      </c>
      <c r="C35" t="s">
        <v>58</v>
      </c>
      <c r="D35">
        <v>5000</v>
      </c>
      <c r="E35" s="1">
        <v>42179</v>
      </c>
      <c r="F35" s="1">
        <f t="shared" si="5"/>
        <v>42180</v>
      </c>
      <c r="G35" s="4">
        <f t="shared" ref="G35" si="6">E35+11</f>
        <v>42190</v>
      </c>
      <c r="H35">
        <v>5095.87</v>
      </c>
      <c r="I35" s="12">
        <v>0.01</v>
      </c>
      <c r="J35">
        <f t="shared" si="2"/>
        <v>63.62</v>
      </c>
      <c r="K35">
        <f t="shared" si="3"/>
        <v>95.880000000000109</v>
      </c>
    </row>
    <row r="36" spans="1:11" x14ac:dyDescent="0.15">
      <c r="A36" s="3" t="s">
        <v>52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4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</row>
    <row r="37" spans="1:11" x14ac:dyDescent="0.15">
      <c r="A37" s="3" t="s">
        <v>64</v>
      </c>
      <c r="B37">
        <v>366</v>
      </c>
      <c r="C37" t="s">
        <v>63</v>
      </c>
      <c r="D37">
        <v>5000</v>
      </c>
      <c r="E37" s="1">
        <v>42181</v>
      </c>
      <c r="F37" s="1">
        <f t="shared" si="5"/>
        <v>42182</v>
      </c>
      <c r="G37" s="4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</row>
    <row r="38" spans="1:11" x14ac:dyDescent="0.15">
      <c r="A38" s="3" t="s">
        <v>64</v>
      </c>
      <c r="B38">
        <v>366</v>
      </c>
      <c r="C38" t="s">
        <v>63</v>
      </c>
      <c r="D38">
        <v>5000</v>
      </c>
      <c r="E38" s="1">
        <v>42182</v>
      </c>
      <c r="F38" s="1">
        <f t="shared" si="5"/>
        <v>42183</v>
      </c>
      <c r="G38" s="4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</row>
    <row r="39" spans="1:11" x14ac:dyDescent="0.15">
      <c r="A39" s="3" t="s">
        <v>64</v>
      </c>
      <c r="B39">
        <v>366</v>
      </c>
      <c r="C39" t="s">
        <v>63</v>
      </c>
      <c r="D39">
        <v>1000</v>
      </c>
      <c r="E39" s="1">
        <v>42182</v>
      </c>
      <c r="F39" s="1">
        <f t="shared" ref="F39:F40" si="9">E39+1</f>
        <v>42183</v>
      </c>
      <c r="G39" s="4">
        <v>42194</v>
      </c>
      <c r="H39">
        <v>1013.6800000000001</v>
      </c>
      <c r="J39">
        <f t="shared" si="2"/>
        <v>41.61</v>
      </c>
      <c r="K39">
        <f t="shared" si="3"/>
        <v>13.680000000000064</v>
      </c>
    </row>
    <row r="40" spans="1:11" x14ac:dyDescent="0.15">
      <c r="A40" s="3" t="s">
        <v>53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4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</row>
    <row r="41" spans="1:11" x14ac:dyDescent="0.15">
      <c r="A41" s="3" t="s">
        <v>16</v>
      </c>
      <c r="B41">
        <v>366</v>
      </c>
      <c r="C41" t="s">
        <v>59</v>
      </c>
      <c r="D41">
        <v>10000</v>
      </c>
      <c r="E41" s="1">
        <v>42184</v>
      </c>
      <c r="F41" s="1">
        <f t="shared" ref="F41:F42" si="11">E41+1</f>
        <v>42185</v>
      </c>
      <c r="G41" s="4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</row>
    <row r="42" spans="1:11" x14ac:dyDescent="0.15">
      <c r="A42" s="3" t="s">
        <v>16</v>
      </c>
      <c r="B42">
        <v>366</v>
      </c>
      <c r="C42" t="s">
        <v>59</v>
      </c>
      <c r="D42">
        <v>8000</v>
      </c>
      <c r="E42" s="1">
        <v>42184</v>
      </c>
      <c r="F42" s="1">
        <f t="shared" si="11"/>
        <v>42185</v>
      </c>
      <c r="G42" s="4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</row>
    <row r="43" spans="1:11" x14ac:dyDescent="0.15">
      <c r="A43" s="3" t="s">
        <v>54</v>
      </c>
      <c r="B43">
        <v>366</v>
      </c>
      <c r="C43" t="s">
        <v>59</v>
      </c>
      <c r="D43">
        <v>4000</v>
      </c>
      <c r="E43" s="1">
        <v>42185</v>
      </c>
      <c r="F43" s="1">
        <f t="shared" ref="F43" si="13">E43+1</f>
        <v>42186</v>
      </c>
      <c r="G43" s="4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</row>
    <row r="44" spans="1:11" x14ac:dyDescent="0.15">
      <c r="A44" s="3" t="s">
        <v>55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4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</row>
    <row r="45" spans="1:11" x14ac:dyDescent="0.15">
      <c r="A45" s="3" t="s">
        <v>56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4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</row>
    <row r="46" spans="1:11" x14ac:dyDescent="0.15">
      <c r="A46" s="3" t="s">
        <v>43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4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</row>
    <row r="47" spans="1:11" x14ac:dyDescent="0.15">
      <c r="A47" s="3" t="s">
        <v>61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4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</row>
    <row r="48" spans="1:11" x14ac:dyDescent="0.15">
      <c r="A48" s="3" t="s">
        <v>43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4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</row>
    <row r="49" spans="1:11" x14ac:dyDescent="0.15">
      <c r="A49" s="3" t="s">
        <v>43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4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</row>
    <row r="50" spans="1:11" x14ac:dyDescent="0.15">
      <c r="A50" s="3" t="s">
        <v>43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4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</row>
    <row r="51" spans="1:11" x14ac:dyDescent="0.15">
      <c r="A51" s="3" t="s">
        <v>43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4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</row>
    <row r="52" spans="1:11" hidden="1" x14ac:dyDescent="0.15">
      <c r="A52" s="3" t="s">
        <v>65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4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</row>
    <row r="53" spans="1:11" hidden="1" x14ac:dyDescent="0.15">
      <c r="A53" s="3" t="s">
        <v>65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4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</row>
    <row r="54" spans="1:11" x14ac:dyDescent="0.15">
      <c r="A54" s="3" t="s">
        <v>43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4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</row>
    <row r="55" spans="1:11" hidden="1" x14ac:dyDescent="0.15">
      <c r="A55" s="3" t="s">
        <v>65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4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</row>
    <row r="56" spans="1:11" x14ac:dyDescent="0.15">
      <c r="A56" s="3" t="s">
        <v>43</v>
      </c>
      <c r="B56" s="3">
        <v>366</v>
      </c>
      <c r="C56" s="3">
        <v>7.65</v>
      </c>
      <c r="D56" s="3">
        <v>2000</v>
      </c>
      <c r="E56" s="4">
        <v>42194</v>
      </c>
      <c r="F56" s="4">
        <f t="shared" ref="F56:F57" si="35">E56+1</f>
        <v>42195</v>
      </c>
      <c r="G56" s="4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</row>
    <row r="57" spans="1:11" hidden="1" x14ac:dyDescent="0.15">
      <c r="A57" s="3" t="s">
        <v>65</v>
      </c>
      <c r="B57" s="3">
        <v>731</v>
      </c>
      <c r="C57" s="3">
        <v>7.25</v>
      </c>
      <c r="D57" s="3">
        <v>3000</v>
      </c>
      <c r="E57" s="4">
        <v>42194</v>
      </c>
      <c r="F57" s="4">
        <f t="shared" si="35"/>
        <v>42195</v>
      </c>
      <c r="G57" s="4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</row>
    <row r="58" spans="1:11" x14ac:dyDescent="0.15">
      <c r="A58" s="3" t="s">
        <v>43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4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</row>
    <row r="59" spans="1:11" hidden="1" x14ac:dyDescent="0.15">
      <c r="A59" s="3" t="s">
        <v>65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4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</row>
    <row r="60" spans="1:11" x14ac:dyDescent="0.15">
      <c r="A60" s="3" t="s">
        <v>43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4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</row>
    <row r="61" spans="1:11" hidden="1" x14ac:dyDescent="0.15">
      <c r="A61" s="3" t="s">
        <v>66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4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</row>
    <row r="62" spans="1:11" x14ac:dyDescent="0.15">
      <c r="A62" s="3" t="s">
        <v>73</v>
      </c>
      <c r="B62">
        <v>366</v>
      </c>
      <c r="C62" t="s">
        <v>79</v>
      </c>
      <c r="D62">
        <v>6000</v>
      </c>
      <c r="E62" s="1">
        <v>42198</v>
      </c>
      <c r="F62" s="1">
        <f t="shared" ref="F62:F63" si="47">E62+1</f>
        <v>42199</v>
      </c>
      <c r="G62" s="4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</row>
    <row r="63" spans="1:11" hidden="1" x14ac:dyDescent="0.15">
      <c r="A63" s="3" t="s">
        <v>68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4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</row>
    <row r="64" spans="1:11" x14ac:dyDescent="0.15">
      <c r="A64" s="3" t="s">
        <v>73</v>
      </c>
      <c r="B64">
        <v>366</v>
      </c>
      <c r="C64" t="s">
        <v>79</v>
      </c>
      <c r="D64">
        <v>3000</v>
      </c>
      <c r="E64" s="1">
        <v>42199</v>
      </c>
      <c r="F64" s="1">
        <f t="shared" ref="F64:F65" si="51">E64+1</f>
        <v>42200</v>
      </c>
      <c r="G64" s="4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</row>
    <row r="65" spans="1:11" hidden="1" x14ac:dyDescent="0.15">
      <c r="A65" s="3" t="s">
        <v>66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4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</row>
    <row r="66" spans="1:11" x14ac:dyDescent="0.15">
      <c r="A66" s="3" t="s">
        <v>73</v>
      </c>
      <c r="B66">
        <v>366</v>
      </c>
      <c r="C66" t="s">
        <v>79</v>
      </c>
      <c r="D66">
        <v>2000</v>
      </c>
      <c r="E66" s="1">
        <v>42200</v>
      </c>
      <c r="F66" s="1">
        <f t="shared" ref="F66:F67" si="55">E66+1</f>
        <v>42201</v>
      </c>
      <c r="G66" s="4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</row>
    <row r="67" spans="1:11" hidden="1" x14ac:dyDescent="0.15">
      <c r="A67" s="3" t="s">
        <v>66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4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</row>
    <row r="68" spans="1:11" x14ac:dyDescent="0.15">
      <c r="A68" s="3" t="s">
        <v>73</v>
      </c>
      <c r="B68">
        <v>366</v>
      </c>
      <c r="C68" t="s">
        <v>79</v>
      </c>
      <c r="D68">
        <v>3000</v>
      </c>
      <c r="E68" s="1">
        <v>42201</v>
      </c>
      <c r="F68" s="1">
        <f t="shared" ref="F68:F69" si="59">E68+1</f>
        <v>42202</v>
      </c>
      <c r="G68" s="4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</row>
    <row r="69" spans="1:11" hidden="1" x14ac:dyDescent="0.15">
      <c r="A69" s="3" t="s">
        <v>66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4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</row>
    <row r="70" spans="1:11" x14ac:dyDescent="0.15">
      <c r="A70" s="3" t="s">
        <v>73</v>
      </c>
      <c r="B70">
        <v>366</v>
      </c>
      <c r="C70" t="s">
        <v>79</v>
      </c>
      <c r="D70">
        <v>3000</v>
      </c>
      <c r="E70" s="1">
        <v>42202</v>
      </c>
      <c r="F70" s="1">
        <f t="shared" ref="F70:F71" si="63">E70+1</f>
        <v>42203</v>
      </c>
      <c r="G70" s="4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</row>
    <row r="71" spans="1:11" hidden="1" x14ac:dyDescent="0.15">
      <c r="A71" s="3" t="s">
        <v>66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4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</row>
    <row r="72" spans="1:11" hidden="1" x14ac:dyDescent="0.15">
      <c r="A72" s="3" t="s">
        <v>66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4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</row>
    <row r="73" spans="1:11" x14ac:dyDescent="0.15">
      <c r="A73" s="3" t="s">
        <v>73</v>
      </c>
      <c r="B73">
        <v>366</v>
      </c>
      <c r="C73" t="s">
        <v>79</v>
      </c>
      <c r="D73">
        <v>2000</v>
      </c>
      <c r="E73" s="1">
        <v>42203</v>
      </c>
      <c r="F73" s="1">
        <f t="shared" si="67"/>
        <v>42204</v>
      </c>
      <c r="G73" s="4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</row>
    <row r="74" spans="1:11" hidden="1" x14ac:dyDescent="0.15">
      <c r="A74" s="3" t="s">
        <v>66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4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</row>
    <row r="75" spans="1:11" x14ac:dyDescent="0.15">
      <c r="A75" s="3" t="s">
        <v>73</v>
      </c>
      <c r="B75">
        <v>366</v>
      </c>
      <c r="C75" t="s">
        <v>79</v>
      </c>
      <c r="D75">
        <v>15000</v>
      </c>
      <c r="E75" s="1">
        <v>42204</v>
      </c>
      <c r="F75" s="1">
        <f t="shared" ref="F75:F76" si="73">E75+1</f>
        <v>42205</v>
      </c>
      <c r="G75" s="4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</row>
    <row r="76" spans="1:11" hidden="1" x14ac:dyDescent="0.15">
      <c r="A76" s="3" t="s">
        <v>66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4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</row>
    <row r="77" spans="1:11" x14ac:dyDescent="0.15">
      <c r="A77" s="3" t="s">
        <v>73</v>
      </c>
      <c r="B77">
        <v>366</v>
      </c>
      <c r="C77" t="s">
        <v>79</v>
      </c>
      <c r="D77">
        <v>5000</v>
      </c>
      <c r="E77" s="1">
        <v>42205</v>
      </c>
      <c r="F77" s="1">
        <f t="shared" ref="F77:F78" si="77">E77+1</f>
        <v>42206</v>
      </c>
      <c r="G77" s="4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</row>
    <row r="78" spans="1:11" hidden="1" x14ac:dyDescent="0.15">
      <c r="A78" s="3" t="s">
        <v>66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4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</row>
    <row r="79" spans="1:11" x14ac:dyDescent="0.15">
      <c r="A79" s="3" t="s">
        <v>74</v>
      </c>
      <c r="B79">
        <v>366</v>
      </c>
      <c r="C79" t="s">
        <v>81</v>
      </c>
      <c r="D79">
        <v>4000</v>
      </c>
      <c r="E79" s="1">
        <v>42206</v>
      </c>
      <c r="F79" s="1">
        <f t="shared" ref="F79:F80" si="83">E79+1</f>
        <v>42207</v>
      </c>
      <c r="G79" s="4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</row>
    <row r="80" spans="1:11" hidden="1" x14ac:dyDescent="0.15">
      <c r="A80" s="3" t="s">
        <v>66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4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</row>
    <row r="81" spans="1:11" x14ac:dyDescent="0.15">
      <c r="A81" s="3" t="s">
        <v>74</v>
      </c>
      <c r="B81">
        <v>366</v>
      </c>
      <c r="C81" t="s">
        <v>81</v>
      </c>
      <c r="D81">
        <v>4000</v>
      </c>
      <c r="E81" s="1">
        <v>42207</v>
      </c>
      <c r="F81" s="1">
        <f t="shared" ref="F81:F82" si="89">E81+1</f>
        <v>42208</v>
      </c>
      <c r="G81" s="4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</row>
    <row r="82" spans="1:11" hidden="1" x14ac:dyDescent="0.15">
      <c r="A82" s="3" t="s">
        <v>70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4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</row>
    <row r="83" spans="1:11" x14ac:dyDescent="0.15">
      <c r="A83" s="3" t="s">
        <v>74</v>
      </c>
      <c r="B83">
        <v>366</v>
      </c>
      <c r="C83" t="s">
        <v>81</v>
      </c>
      <c r="D83">
        <v>4000</v>
      </c>
      <c r="E83" s="1">
        <v>42208</v>
      </c>
      <c r="F83" s="1">
        <f t="shared" ref="F83:F84" si="93">E83+1</f>
        <v>42209</v>
      </c>
      <c r="G83" s="4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</row>
    <row r="84" spans="1:11" hidden="1" x14ac:dyDescent="0.15">
      <c r="A84" s="3" t="s">
        <v>65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4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</row>
    <row r="85" spans="1:11" x14ac:dyDescent="0.15">
      <c r="A85" s="3" t="s">
        <v>74</v>
      </c>
      <c r="B85">
        <v>366</v>
      </c>
      <c r="C85" t="s">
        <v>81</v>
      </c>
      <c r="D85">
        <v>5000</v>
      </c>
      <c r="E85" s="1">
        <v>42209</v>
      </c>
      <c r="F85" s="1">
        <f t="shared" ref="F85:F86" si="97">E85+1</f>
        <v>42210</v>
      </c>
      <c r="G85" s="4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</row>
    <row r="86" spans="1:11" hidden="1" x14ac:dyDescent="0.15">
      <c r="A86" s="3" t="s">
        <v>65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4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</row>
    <row r="87" spans="1:11" x14ac:dyDescent="0.15">
      <c r="A87" s="3" t="s">
        <v>74</v>
      </c>
      <c r="B87">
        <v>366</v>
      </c>
      <c r="C87" t="s">
        <v>81</v>
      </c>
      <c r="D87">
        <v>2000</v>
      </c>
      <c r="E87" s="1">
        <v>42210</v>
      </c>
      <c r="F87" s="1">
        <f t="shared" ref="F87:F90" si="101">E87+1</f>
        <v>42211</v>
      </c>
      <c r="G87" s="4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</row>
    <row r="88" spans="1:11" hidden="1" x14ac:dyDescent="0.15">
      <c r="A88" s="3" t="s">
        <v>65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4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</row>
    <row r="89" spans="1:11" x14ac:dyDescent="0.15">
      <c r="A89" s="3" t="s">
        <v>74</v>
      </c>
      <c r="B89">
        <v>366</v>
      </c>
      <c r="C89" t="s">
        <v>81</v>
      </c>
      <c r="D89">
        <v>2000</v>
      </c>
      <c r="E89" s="1">
        <v>42211</v>
      </c>
      <c r="F89" s="1">
        <f t="shared" si="101"/>
        <v>42212</v>
      </c>
      <c r="G89" s="4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</row>
    <row r="90" spans="1:11" hidden="1" x14ac:dyDescent="0.15">
      <c r="A90" s="3" t="s">
        <v>66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4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</row>
    <row r="91" spans="1:11" x14ac:dyDescent="0.15">
      <c r="A91" s="3" t="s">
        <v>74</v>
      </c>
      <c r="B91">
        <v>366</v>
      </c>
      <c r="C91" t="s">
        <v>81</v>
      </c>
      <c r="D91">
        <v>2000</v>
      </c>
      <c r="E91" s="1">
        <v>42212</v>
      </c>
      <c r="F91" s="1">
        <f t="shared" ref="F91:F92" si="107">E91+1</f>
        <v>42213</v>
      </c>
      <c r="G91" s="4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</row>
    <row r="92" spans="1:11" hidden="1" x14ac:dyDescent="0.15">
      <c r="A92" s="3" t="s">
        <v>65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4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</row>
    <row r="93" spans="1:11" x14ac:dyDescent="0.15">
      <c r="A93" s="3" t="s">
        <v>75</v>
      </c>
      <c r="B93">
        <v>366</v>
      </c>
      <c r="C93" t="s">
        <v>82</v>
      </c>
      <c r="D93">
        <v>4000</v>
      </c>
      <c r="E93" s="1">
        <v>42213</v>
      </c>
      <c r="F93" s="1">
        <f t="shared" ref="F93:F94" si="111">E93+1</f>
        <v>42214</v>
      </c>
      <c r="G93" s="4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</row>
    <row r="94" spans="1:11" hidden="1" x14ac:dyDescent="0.15">
      <c r="A94" s="3" t="s">
        <v>65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4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</row>
    <row r="95" spans="1:11" x14ac:dyDescent="0.15">
      <c r="A95" s="3" t="s">
        <v>75</v>
      </c>
      <c r="B95">
        <v>366</v>
      </c>
      <c r="C95" t="s">
        <v>82</v>
      </c>
      <c r="D95">
        <v>2000</v>
      </c>
      <c r="E95" s="1">
        <v>42214</v>
      </c>
      <c r="F95" s="1">
        <f t="shared" ref="F95:F96" si="115">E95+1</f>
        <v>42215</v>
      </c>
      <c r="G95" s="4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</row>
    <row r="96" spans="1:11" hidden="1" x14ac:dyDescent="0.15">
      <c r="A96" s="3" t="s">
        <v>65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4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</row>
    <row r="97" spans="1:11" x14ac:dyDescent="0.15">
      <c r="A97" s="3" t="s">
        <v>76</v>
      </c>
      <c r="B97">
        <v>366</v>
      </c>
      <c r="C97" t="s">
        <v>83</v>
      </c>
      <c r="D97">
        <v>8000</v>
      </c>
      <c r="E97" s="1">
        <v>42215</v>
      </c>
      <c r="F97" s="1">
        <f t="shared" ref="F97:F98" si="119">E97+1</f>
        <v>42216</v>
      </c>
      <c r="G97" s="4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</row>
    <row r="98" spans="1:11" hidden="1" x14ac:dyDescent="0.15">
      <c r="A98" s="3" t="s">
        <v>65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4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</row>
    <row r="99" spans="1:11" x14ac:dyDescent="0.15">
      <c r="A99" s="3" t="s">
        <v>76</v>
      </c>
      <c r="B99">
        <v>366</v>
      </c>
      <c r="C99" t="s">
        <v>83</v>
      </c>
      <c r="D99">
        <v>4000</v>
      </c>
      <c r="E99" s="1">
        <v>42216</v>
      </c>
      <c r="F99" s="1">
        <f t="shared" ref="F99:F100" si="123">E99+1</f>
        <v>42217</v>
      </c>
      <c r="G99" s="4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</row>
    <row r="100" spans="1:11" hidden="1" x14ac:dyDescent="0.15">
      <c r="A100" s="3" t="s">
        <v>65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4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1" x14ac:dyDescent="0.15">
      <c r="A101" s="3" t="s">
        <v>77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4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1" hidden="1" x14ac:dyDescent="0.15">
      <c r="A102" s="3" t="s">
        <v>65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4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1" x14ac:dyDescent="0.15">
      <c r="A103" s="3" t="s">
        <v>77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4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1" hidden="1" x14ac:dyDescent="0.15">
      <c r="A104" s="3" t="s">
        <v>65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4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1" x14ac:dyDescent="0.15">
      <c r="A105" s="3" t="s">
        <v>77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4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1" hidden="1" x14ac:dyDescent="0.15">
      <c r="A106" s="3" t="s">
        <v>65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4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1" x14ac:dyDescent="0.15">
      <c r="A107" s="3" t="s">
        <v>76</v>
      </c>
      <c r="B107">
        <v>366</v>
      </c>
      <c r="C107" t="s">
        <v>83</v>
      </c>
      <c r="D107">
        <v>5000</v>
      </c>
      <c r="E107" s="1">
        <v>42219</v>
      </c>
      <c r="F107" s="1">
        <f t="shared" si="135"/>
        <v>42220</v>
      </c>
      <c r="G107" s="4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</row>
    <row r="108" spans="1:11" hidden="1" x14ac:dyDescent="0.15">
      <c r="A108" s="3" t="s">
        <v>65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4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1" x14ac:dyDescent="0.15">
      <c r="A109" s="3" t="s">
        <v>76</v>
      </c>
      <c r="B109">
        <v>366</v>
      </c>
      <c r="C109" t="s">
        <v>83</v>
      </c>
      <c r="D109">
        <v>7000</v>
      </c>
      <c r="E109" s="1">
        <v>42220</v>
      </c>
      <c r="F109" s="1">
        <f t="shared" ref="F109:F110" si="139">E109+1</f>
        <v>42221</v>
      </c>
      <c r="G109" s="4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</row>
    <row r="110" spans="1:11" hidden="1" x14ac:dyDescent="0.15">
      <c r="A110" s="3" t="s">
        <v>65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4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1" x14ac:dyDescent="0.15">
      <c r="A111" s="3" t="s">
        <v>76</v>
      </c>
      <c r="B111">
        <v>366</v>
      </c>
      <c r="C111" t="s">
        <v>83</v>
      </c>
      <c r="D111">
        <v>6000</v>
      </c>
      <c r="E111" s="1">
        <v>42221</v>
      </c>
      <c r="F111" s="1">
        <f t="shared" ref="F111:F112" si="143">E111+1</f>
        <v>42222</v>
      </c>
      <c r="G111" s="4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</row>
    <row r="112" spans="1:11" hidden="1" x14ac:dyDescent="0.15">
      <c r="A112" s="3" t="s">
        <v>65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4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1" x14ac:dyDescent="0.15">
      <c r="A113" s="3" t="s">
        <v>76</v>
      </c>
      <c r="B113">
        <v>366</v>
      </c>
      <c r="C113" t="s">
        <v>83</v>
      </c>
      <c r="D113">
        <v>7000</v>
      </c>
      <c r="E113" s="1">
        <v>42222</v>
      </c>
      <c r="F113" s="1">
        <f t="shared" ref="F113:F114" si="147">E113+1</f>
        <v>42223</v>
      </c>
      <c r="G113" s="4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</row>
    <row r="114" spans="1:11" hidden="1" x14ac:dyDescent="0.15">
      <c r="A114" s="3" t="s">
        <v>65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4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1" x14ac:dyDescent="0.15">
      <c r="A115" s="3" t="s">
        <v>76</v>
      </c>
      <c r="B115">
        <v>366</v>
      </c>
      <c r="C115" t="s">
        <v>83</v>
      </c>
      <c r="D115">
        <v>7000</v>
      </c>
      <c r="E115" s="1">
        <v>42223</v>
      </c>
      <c r="F115" s="1">
        <f t="shared" ref="F115:F116" si="151">E115+1</f>
        <v>42224</v>
      </c>
      <c r="G115" s="4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</row>
    <row r="116" spans="1:11" hidden="1" x14ac:dyDescent="0.15">
      <c r="A116" s="3" t="s">
        <v>65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4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1" x14ac:dyDescent="0.15">
      <c r="A117" s="3" t="s">
        <v>76</v>
      </c>
      <c r="B117">
        <v>366</v>
      </c>
      <c r="C117" t="s">
        <v>83</v>
      </c>
      <c r="D117">
        <v>6000</v>
      </c>
      <c r="E117" s="1">
        <v>42224</v>
      </c>
      <c r="F117" s="1">
        <f t="shared" ref="F117:F118" si="155">E117+1</f>
        <v>42225</v>
      </c>
      <c r="G117" s="4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</row>
    <row r="118" spans="1:11" hidden="1" x14ac:dyDescent="0.15">
      <c r="A118" s="3" t="s">
        <v>65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4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1" x14ac:dyDescent="0.15">
      <c r="A119" s="3" t="s">
        <v>76</v>
      </c>
      <c r="B119">
        <v>366</v>
      </c>
      <c r="C119" t="s">
        <v>83</v>
      </c>
      <c r="D119">
        <v>6000</v>
      </c>
      <c r="E119" s="1">
        <v>42225</v>
      </c>
      <c r="F119" s="1">
        <f t="shared" ref="F119:F120" si="159">E119+1</f>
        <v>42226</v>
      </c>
      <c r="G119" s="4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</row>
    <row r="120" spans="1:11" hidden="1" x14ac:dyDescent="0.15">
      <c r="A120" s="3" t="s">
        <v>65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4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1" x14ac:dyDescent="0.15">
      <c r="A121" s="3" t="s">
        <v>43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4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1" hidden="1" x14ac:dyDescent="0.15">
      <c r="A122" s="3" t="s">
        <v>65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4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1" x14ac:dyDescent="0.15">
      <c r="A123" s="3" t="s">
        <v>43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4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1" hidden="1" x14ac:dyDescent="0.15">
      <c r="A124" s="3" t="s">
        <v>65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4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1" x14ac:dyDescent="0.15">
      <c r="A125" s="3" t="s">
        <v>43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4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1" hidden="1" x14ac:dyDescent="0.15">
      <c r="A126" s="3" t="s">
        <v>65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4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1" x14ac:dyDescent="0.15">
      <c r="A127" s="3" t="s">
        <v>43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4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1" hidden="1" x14ac:dyDescent="0.15">
      <c r="A128" s="3" t="s">
        <v>65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4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2" x14ac:dyDescent="0.15">
      <c r="A129" s="3" t="s">
        <v>43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4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2" hidden="1" x14ac:dyDescent="0.15">
      <c r="A130" s="3" t="s">
        <v>65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4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2" x14ac:dyDescent="0.15">
      <c r="A131" s="3" t="s">
        <v>43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4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2" hidden="1" x14ac:dyDescent="0.15">
      <c r="A132" s="3" t="s">
        <v>65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4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2" x14ac:dyDescent="0.15">
      <c r="A133" s="3" t="s">
        <v>43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4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2" hidden="1" x14ac:dyDescent="0.15">
      <c r="A134" s="3" t="s">
        <v>65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4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2" x14ac:dyDescent="0.15">
      <c r="A135" s="3" t="s">
        <v>43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4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2" hidden="1" x14ac:dyDescent="0.15">
      <c r="A136" s="3" t="s">
        <v>65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4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2" x14ac:dyDescent="0.15">
      <c r="A137" s="3" t="s">
        <v>43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4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2" hidden="1" x14ac:dyDescent="0.15">
      <c r="A138" s="3" t="s">
        <v>65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4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2" hidden="1" x14ac:dyDescent="0.15">
      <c r="A139" s="3" t="s">
        <v>87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4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2" hidden="1" x14ac:dyDescent="0.15">
      <c r="A140" s="3" t="s">
        <v>89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4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2" hidden="1" x14ac:dyDescent="0.15">
      <c r="A141" s="3" t="s">
        <v>90</v>
      </c>
      <c r="B141" s="3">
        <v>180</v>
      </c>
      <c r="C141" s="3">
        <v>6.8</v>
      </c>
      <c r="D141" s="3">
        <v>6000</v>
      </c>
      <c r="E141" s="4">
        <v>42235</v>
      </c>
      <c r="F141" s="4">
        <f t="shared" ref="F141:F142" si="205">E141+1</f>
        <v>42236</v>
      </c>
      <c r="G141" s="4">
        <v>42247</v>
      </c>
      <c r="H141" s="3">
        <f>2681.7-2.68*2+3385.75-3.07*2</f>
        <v>6055.95</v>
      </c>
      <c r="I141" s="13">
        <v>0.51</v>
      </c>
      <c r="J141" s="3">
        <f t="shared" si="203"/>
        <v>28.36</v>
      </c>
      <c r="K141" s="3">
        <f t="shared" si="204"/>
        <v>56.460000000000036</v>
      </c>
      <c r="L141" t="s">
        <v>142</v>
      </c>
    </row>
    <row r="142" spans="1:12" hidden="1" x14ac:dyDescent="0.15">
      <c r="A142" s="3" t="s">
        <v>87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4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2" hidden="1" x14ac:dyDescent="0.15">
      <c r="A143" s="3" t="s">
        <v>91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4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2" hidden="1" x14ac:dyDescent="0.15">
      <c r="A144" s="3" t="s">
        <v>92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4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hidden="1" x14ac:dyDescent="0.15">
      <c r="A145" s="3" t="s">
        <v>92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4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hidden="1" x14ac:dyDescent="0.15">
      <c r="A146" s="3" t="s">
        <v>65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4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x14ac:dyDescent="0.15">
      <c r="A147" s="3" t="s">
        <v>93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4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hidden="1" x14ac:dyDescent="0.15">
      <c r="A148" s="3" t="s">
        <v>65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4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hidden="1" x14ac:dyDescent="0.15">
      <c r="A149" s="3" t="s">
        <v>65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4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88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4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hidden="1" x14ac:dyDescent="0.15">
      <c r="A151" s="3" t="s">
        <v>65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4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hidden="1" x14ac:dyDescent="0.15">
      <c r="A152" s="3" t="s">
        <v>65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4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hidden="1" x14ac:dyDescent="0.15">
      <c r="A153" s="3" t="s">
        <v>94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4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hidden="1" x14ac:dyDescent="0.15">
      <c r="A154" s="3" t="s">
        <v>95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4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hidden="1" x14ac:dyDescent="0.15">
      <c r="A155" s="3" t="s">
        <v>96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4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hidden="1" x14ac:dyDescent="0.15">
      <c r="A156" s="3" t="s">
        <v>97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4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52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4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hidden="1" x14ac:dyDescent="0.15">
      <c r="A158" s="3" t="s">
        <v>65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4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52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4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hidden="1" x14ac:dyDescent="0.15">
      <c r="A160" s="3" t="s">
        <v>100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4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101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4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hidden="1" x14ac:dyDescent="0.15">
      <c r="A162" s="3" t="s">
        <v>103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4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hidden="1" x14ac:dyDescent="0.15">
      <c r="A163" s="3" t="s">
        <v>104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4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98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4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hidden="1" x14ac:dyDescent="0.15">
      <c r="A165" s="3" t="s">
        <v>105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4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98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4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106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4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106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4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106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4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hidden="1" x14ac:dyDescent="0.15">
      <c r="A170" s="3" t="s">
        <v>110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4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hidden="1" x14ac:dyDescent="0.15">
      <c r="A171" s="3" t="s">
        <v>108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4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106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4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106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4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106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4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106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4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106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4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hidden="1" x14ac:dyDescent="0.15">
      <c r="A177" s="3" t="s">
        <v>111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4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hidden="1" x14ac:dyDescent="0.15">
      <c r="A178" s="3" t="s">
        <v>113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4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hidden="1" x14ac:dyDescent="0.15">
      <c r="A179" s="3" t="s">
        <v>114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4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hidden="1" x14ac:dyDescent="0.15">
      <c r="A180" s="3" t="s">
        <v>115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4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hidden="1" x14ac:dyDescent="0.15">
      <c r="A181" s="3" t="s">
        <v>116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4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  <row r="182" spans="1:11" x14ac:dyDescent="0.15">
      <c r="A182" s="3" t="s">
        <v>121</v>
      </c>
      <c r="B182">
        <v>366</v>
      </c>
      <c r="C182">
        <v>6.5</v>
      </c>
      <c r="D182">
        <v>47000</v>
      </c>
      <c r="E182" s="1">
        <v>42337</v>
      </c>
      <c r="F182" s="1">
        <f t="shared" ref="F182:F187" si="267">E182+1</f>
        <v>42338</v>
      </c>
      <c r="G182" s="4">
        <f t="shared" ref="G182:G187" si="268">E182+11</f>
        <v>42348</v>
      </c>
      <c r="H182">
        <f>47410.01-47.39*2</f>
        <v>47315.23</v>
      </c>
      <c r="J182">
        <f t="shared" ref="J182" si="269">ROUND((H182-D182)/D182*365/(G182-E182)*100,2)</f>
        <v>22.26</v>
      </c>
      <c r="K182">
        <f t="shared" ref="K182" si="270">H182+I182-D182</f>
        <v>315.2300000000032</v>
      </c>
    </row>
    <row r="183" spans="1:11" x14ac:dyDescent="0.15">
      <c r="A183" s="3" t="s">
        <v>121</v>
      </c>
      <c r="B183">
        <v>366</v>
      </c>
      <c r="C183">
        <v>6.5</v>
      </c>
      <c r="D183">
        <v>9000</v>
      </c>
      <c r="E183" s="1">
        <v>42344</v>
      </c>
      <c r="F183" s="1">
        <f t="shared" si="267"/>
        <v>42345</v>
      </c>
      <c r="G183" s="4">
        <f t="shared" si="268"/>
        <v>42355</v>
      </c>
      <c r="H183">
        <f>9071.8-9.06*2</f>
        <v>9053.6799999999985</v>
      </c>
      <c r="J183">
        <f t="shared" ref="J183" si="271">ROUND((H183-D183)/D183*365/(G183-E183)*100,2)</f>
        <v>19.79</v>
      </c>
      <c r="K183">
        <f t="shared" ref="K183" si="272">H183+I183-D183</f>
        <v>53.679999999998472</v>
      </c>
    </row>
    <row r="184" spans="1:11" x14ac:dyDescent="0.15">
      <c r="A184" s="3" t="s">
        <v>121</v>
      </c>
      <c r="B184">
        <v>366</v>
      </c>
      <c r="C184">
        <v>7</v>
      </c>
      <c r="D184">
        <v>19000</v>
      </c>
      <c r="E184" s="1">
        <v>42347</v>
      </c>
      <c r="F184" s="1">
        <f t="shared" si="267"/>
        <v>42348</v>
      </c>
      <c r="G184" s="4">
        <v>42359</v>
      </c>
      <c r="H184">
        <f>19221.39-19.21*2</f>
        <v>19182.97</v>
      </c>
      <c r="J184">
        <f t="shared" ref="J184" si="273">ROUND((H184-D184)/D184*365/(G184-E184)*100,2)</f>
        <v>29.29</v>
      </c>
      <c r="K184">
        <f t="shared" ref="K184" si="274">H184+I184-D184</f>
        <v>182.97000000000116</v>
      </c>
    </row>
    <row r="185" spans="1:11" x14ac:dyDescent="0.15">
      <c r="A185" s="3" t="s">
        <v>121</v>
      </c>
      <c r="B185">
        <v>366</v>
      </c>
      <c r="C185">
        <v>7</v>
      </c>
      <c r="D185">
        <v>43000</v>
      </c>
      <c r="E185" s="1">
        <v>42348</v>
      </c>
      <c r="F185" s="1">
        <f t="shared" si="267"/>
        <v>42349</v>
      </c>
      <c r="G185" s="4">
        <f t="shared" si="268"/>
        <v>42359</v>
      </c>
      <c r="H185">
        <f>43494.38-43.47*2</f>
        <v>43407.439999999995</v>
      </c>
      <c r="J185">
        <f t="shared" ref="J185" si="275">ROUND((H185-D185)/D185*365/(G185-E185)*100,2)</f>
        <v>31.44</v>
      </c>
      <c r="K185">
        <f t="shared" ref="K185" si="276">H185+I185-D185</f>
        <v>407.43999999999505</v>
      </c>
    </row>
    <row r="186" spans="1:11" x14ac:dyDescent="0.15">
      <c r="A186" s="3" t="s">
        <v>121</v>
      </c>
      <c r="B186">
        <v>366</v>
      </c>
      <c r="C186">
        <v>7</v>
      </c>
      <c r="D186">
        <v>10000</v>
      </c>
      <c r="E186" s="1">
        <v>42348</v>
      </c>
      <c r="F186" s="1">
        <f t="shared" si="267"/>
        <v>42349</v>
      </c>
      <c r="G186" s="4">
        <f t="shared" si="268"/>
        <v>42359</v>
      </c>
      <c r="H186">
        <f>10114.97-10.11*2</f>
        <v>10094.75</v>
      </c>
      <c r="J186">
        <f t="shared" ref="J186" si="277">ROUND((H186-D186)/D186*365/(G186-E186)*100,2)</f>
        <v>31.44</v>
      </c>
      <c r="K186">
        <f t="shared" ref="K186" si="278">H186+I186-D186</f>
        <v>94.75</v>
      </c>
    </row>
    <row r="187" spans="1:11" x14ac:dyDescent="0.15">
      <c r="A187" s="3" t="s">
        <v>121</v>
      </c>
      <c r="B187">
        <v>366</v>
      </c>
      <c r="C187">
        <v>7</v>
      </c>
      <c r="D187">
        <v>10000</v>
      </c>
      <c r="E187" s="1">
        <v>42349</v>
      </c>
      <c r="F187" s="1">
        <f t="shared" si="267"/>
        <v>42350</v>
      </c>
      <c r="G187" s="4">
        <f t="shared" si="268"/>
        <v>42360</v>
      </c>
      <c r="H187">
        <v>10088.23</v>
      </c>
      <c r="J187">
        <f t="shared" ref="J187:J188" si="279">ROUND((H187-D187)/D187*365/(G187-E187)*100,2)</f>
        <v>29.28</v>
      </c>
      <c r="K187">
        <f t="shared" ref="K187:K188" si="280">H187+I187-D187</f>
        <v>88.229999999999563</v>
      </c>
    </row>
    <row r="188" spans="1:11" x14ac:dyDescent="0.15">
      <c r="A188" s="3" t="s">
        <v>121</v>
      </c>
      <c r="B188">
        <v>366</v>
      </c>
      <c r="C188">
        <v>7</v>
      </c>
      <c r="D188">
        <v>84000</v>
      </c>
      <c r="E188" s="1">
        <v>42354</v>
      </c>
      <c r="F188" s="1">
        <f t="shared" ref="F188" si="281">E188+1</f>
        <v>42355</v>
      </c>
      <c r="G188" s="4">
        <f t="shared" ref="G188" si="282">E188+11</f>
        <v>42365</v>
      </c>
      <c r="H188">
        <f>98414.67-98.41*2-13163.22</f>
        <v>85054.62999999999</v>
      </c>
      <c r="J188">
        <f t="shared" si="279"/>
        <v>41.66</v>
      </c>
      <c r="K188">
        <f t="shared" si="280"/>
        <v>1054.6299999999901</v>
      </c>
    </row>
    <row r="189" spans="1:11" x14ac:dyDescent="0.15">
      <c r="A189" s="3" t="s">
        <v>121</v>
      </c>
      <c r="B189">
        <v>366</v>
      </c>
      <c r="C189">
        <v>7</v>
      </c>
      <c r="D189">
        <v>11000</v>
      </c>
      <c r="E189" s="1">
        <v>42355</v>
      </c>
      <c r="F189" s="1">
        <f t="shared" ref="F189" si="283">E189+1</f>
        <v>42356</v>
      </c>
      <c r="G189" s="4">
        <f t="shared" ref="G189" si="284">E189+11</f>
        <v>42366</v>
      </c>
      <c r="H189">
        <f>11157.33-11.15*2</f>
        <v>11135.03</v>
      </c>
      <c r="J189">
        <f t="shared" ref="J189" si="285">ROUND((H189-D189)/D189*365/(G189-E189)*100,2)</f>
        <v>40.729999999999997</v>
      </c>
      <c r="K189">
        <f t="shared" ref="K189" si="286">H189+I189-D189</f>
        <v>135.03000000000065</v>
      </c>
    </row>
  </sheetData>
  <autoFilter ref="A1:L189">
    <filterColumn colId="1">
      <filters>
        <filter val="365"/>
        <filter val="366"/>
      </filters>
    </filterColumn>
    <filterColumn colId="11">
      <filters blank="1"/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20"/>
  <sheetViews>
    <sheetView zoomScaleNormal="100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H120" sqref="H120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31</v>
      </c>
      <c r="C1" s="2" t="s">
        <v>51</v>
      </c>
      <c r="D1" s="2" t="s">
        <v>15</v>
      </c>
      <c r="E1" s="2" t="s">
        <v>14</v>
      </c>
      <c r="F1" s="2" t="s">
        <v>21</v>
      </c>
      <c r="G1" s="2" t="s">
        <v>20</v>
      </c>
      <c r="H1" s="2" t="s">
        <v>33</v>
      </c>
      <c r="I1" s="2" t="s">
        <v>37</v>
      </c>
      <c r="J1" s="2" t="s">
        <v>34</v>
      </c>
      <c r="K1" s="2" t="s">
        <v>38</v>
      </c>
      <c r="L1" s="2" t="s">
        <v>46</v>
      </c>
    </row>
    <row r="2" spans="1:12" x14ac:dyDescent="0.15">
      <c r="A2" t="s">
        <v>35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84</v>
      </c>
    </row>
    <row r="3" spans="1:12" x14ac:dyDescent="0.15">
      <c r="A3" s="3" t="s">
        <v>42</v>
      </c>
      <c r="B3">
        <v>366</v>
      </c>
      <c r="C3" t="s">
        <v>60</v>
      </c>
      <c r="D3">
        <v>16000</v>
      </c>
      <c r="E3" s="1">
        <v>42169</v>
      </c>
      <c r="F3" s="1">
        <v>42170</v>
      </c>
      <c r="G3" s="4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84</v>
      </c>
    </row>
    <row r="4" spans="1:12" x14ac:dyDescent="0.15">
      <c r="A4" s="3" t="s">
        <v>64</v>
      </c>
      <c r="B4">
        <v>366</v>
      </c>
      <c r="C4" t="s">
        <v>63</v>
      </c>
      <c r="D4">
        <v>22000</v>
      </c>
      <c r="E4" s="1">
        <v>42169</v>
      </c>
      <c r="F4" s="1">
        <v>42170</v>
      </c>
      <c r="G4" s="4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78</v>
      </c>
    </row>
    <row r="5" spans="1:12" x14ac:dyDescent="0.15">
      <c r="A5" s="3" t="s">
        <v>52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4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84</v>
      </c>
    </row>
    <row r="6" spans="1:12" x14ac:dyDescent="0.15">
      <c r="A6" s="3" t="s">
        <v>52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4">
        <v>42192</v>
      </c>
      <c r="H6">
        <v>6108.5</v>
      </c>
      <c r="J6">
        <f t="shared" si="0"/>
        <v>55</v>
      </c>
      <c r="K6">
        <f t="shared" si="1"/>
        <v>108.5</v>
      </c>
      <c r="L6" t="s">
        <v>84</v>
      </c>
    </row>
    <row r="7" spans="1:12" x14ac:dyDescent="0.15">
      <c r="A7" s="3" t="s">
        <v>64</v>
      </c>
      <c r="B7">
        <v>366</v>
      </c>
      <c r="C7" t="s">
        <v>63</v>
      </c>
      <c r="D7">
        <v>23000</v>
      </c>
      <c r="E7" s="1">
        <v>42182</v>
      </c>
      <c r="F7" s="1">
        <f>E7+1</f>
        <v>42183</v>
      </c>
      <c r="G7" s="4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78</v>
      </c>
    </row>
    <row r="8" spans="1:12" x14ac:dyDescent="0.15">
      <c r="A8" s="3" t="s">
        <v>43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4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85</v>
      </c>
    </row>
    <row r="9" spans="1:12" x14ac:dyDescent="0.15">
      <c r="A9" s="3" t="s">
        <v>43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4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85</v>
      </c>
    </row>
    <row r="10" spans="1:12" hidden="1" x14ac:dyDescent="0.15">
      <c r="A10" s="3" t="s">
        <v>65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4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85</v>
      </c>
    </row>
    <row r="11" spans="1:12" hidden="1" x14ac:dyDescent="0.15">
      <c r="A11" s="3" t="s">
        <v>65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4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85</v>
      </c>
    </row>
    <row r="12" spans="1:12" x14ac:dyDescent="0.15">
      <c r="A12" s="3" t="s">
        <v>43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4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85</v>
      </c>
    </row>
    <row r="13" spans="1:12" hidden="1" x14ac:dyDescent="0.15">
      <c r="A13" s="3" t="s">
        <v>65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4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85</v>
      </c>
    </row>
    <row r="14" spans="1:12" x14ac:dyDescent="0.15">
      <c r="A14" s="3" t="s">
        <v>43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4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85</v>
      </c>
    </row>
    <row r="15" spans="1:12" hidden="1" x14ac:dyDescent="0.15">
      <c r="A15" s="3" t="s">
        <v>65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4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85</v>
      </c>
    </row>
    <row r="16" spans="1:12" x14ac:dyDescent="0.15">
      <c r="A16" s="3" t="s">
        <v>43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4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85</v>
      </c>
    </row>
    <row r="17" spans="1:12" hidden="1" x14ac:dyDescent="0.15">
      <c r="A17" s="3" t="s">
        <v>65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4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85</v>
      </c>
    </row>
    <row r="18" spans="1:12" x14ac:dyDescent="0.15">
      <c r="A18" s="3" t="s">
        <v>43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4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85</v>
      </c>
    </row>
    <row r="19" spans="1:12" hidden="1" x14ac:dyDescent="0.15">
      <c r="A19" s="3" t="s">
        <v>66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4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85</v>
      </c>
    </row>
    <row r="20" spans="1:12" x14ac:dyDescent="0.15">
      <c r="A20" s="3" t="s">
        <v>67</v>
      </c>
      <c r="B20">
        <v>366</v>
      </c>
      <c r="C20" t="s">
        <v>79</v>
      </c>
      <c r="D20">
        <v>3000</v>
      </c>
      <c r="E20" s="1">
        <v>42198</v>
      </c>
      <c r="F20" s="1">
        <f t="shared" ref="F20:F21" si="25">E20+1</f>
        <v>42199</v>
      </c>
      <c r="G20" s="4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80</v>
      </c>
    </row>
    <row r="21" spans="1:12" hidden="1" x14ac:dyDescent="0.15">
      <c r="A21" s="3" t="s">
        <v>68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4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85</v>
      </c>
    </row>
    <row r="22" spans="1:12" x14ac:dyDescent="0.15">
      <c r="A22" s="3" t="s">
        <v>67</v>
      </c>
      <c r="B22" s="3">
        <v>366</v>
      </c>
      <c r="C22" t="s">
        <v>79</v>
      </c>
      <c r="D22" s="3">
        <v>3000</v>
      </c>
      <c r="E22" s="4">
        <v>42199</v>
      </c>
      <c r="F22" s="4">
        <f t="shared" ref="F22:F23" si="29">E22+1</f>
        <v>42200</v>
      </c>
      <c r="G22" s="4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80</v>
      </c>
    </row>
    <row r="23" spans="1:12" hidden="1" x14ac:dyDescent="0.15">
      <c r="A23" s="3" t="s">
        <v>66</v>
      </c>
      <c r="B23" s="3">
        <v>731</v>
      </c>
      <c r="C23" s="3">
        <v>7.2</v>
      </c>
      <c r="D23" s="3">
        <v>1000</v>
      </c>
      <c r="E23" s="4">
        <v>42199</v>
      </c>
      <c r="F23" s="4">
        <f t="shared" si="29"/>
        <v>42200</v>
      </c>
      <c r="G23" s="4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85</v>
      </c>
    </row>
    <row r="24" spans="1:12" x14ac:dyDescent="0.15">
      <c r="A24" s="3" t="s">
        <v>67</v>
      </c>
      <c r="B24">
        <v>366</v>
      </c>
      <c r="C24" t="s">
        <v>79</v>
      </c>
      <c r="D24">
        <v>2000</v>
      </c>
      <c r="E24" s="1">
        <v>42200</v>
      </c>
      <c r="F24" s="1">
        <f t="shared" ref="F24:F25" si="33">E24+1</f>
        <v>42201</v>
      </c>
      <c r="G24" s="4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80</v>
      </c>
    </row>
    <row r="25" spans="1:12" hidden="1" x14ac:dyDescent="0.15">
      <c r="A25" s="3" t="s">
        <v>66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4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85</v>
      </c>
    </row>
    <row r="26" spans="1:12" hidden="1" x14ac:dyDescent="0.15">
      <c r="A26" s="3" t="s">
        <v>66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4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85</v>
      </c>
    </row>
    <row r="27" spans="1:12" x14ac:dyDescent="0.15">
      <c r="A27" s="3" t="s">
        <v>67</v>
      </c>
      <c r="B27">
        <v>366</v>
      </c>
      <c r="C27" t="s">
        <v>79</v>
      </c>
      <c r="D27">
        <v>2000</v>
      </c>
      <c r="E27" s="1">
        <v>42202</v>
      </c>
      <c r="F27" s="1">
        <f t="shared" si="37"/>
        <v>42203</v>
      </c>
      <c r="G27" s="4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80</v>
      </c>
    </row>
    <row r="28" spans="1:12" hidden="1" x14ac:dyDescent="0.15">
      <c r="A28" s="3" t="s">
        <v>66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4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85</v>
      </c>
    </row>
    <row r="29" spans="1:12" x14ac:dyDescent="0.15">
      <c r="A29" s="3" t="s">
        <v>67</v>
      </c>
      <c r="B29">
        <v>366</v>
      </c>
      <c r="C29" t="s">
        <v>79</v>
      </c>
      <c r="D29">
        <v>2000</v>
      </c>
      <c r="E29" s="1">
        <v>42203</v>
      </c>
      <c r="F29" s="1">
        <f t="shared" ref="F29:F30" si="43">E29+1</f>
        <v>42204</v>
      </c>
      <c r="G29" s="4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80</v>
      </c>
    </row>
    <row r="30" spans="1:12" hidden="1" x14ac:dyDescent="0.15">
      <c r="A30" s="3" t="s">
        <v>66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4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85</v>
      </c>
    </row>
    <row r="31" spans="1:12" x14ac:dyDescent="0.15">
      <c r="A31" s="3" t="s">
        <v>67</v>
      </c>
      <c r="B31">
        <v>366</v>
      </c>
      <c r="C31" t="s">
        <v>79</v>
      </c>
      <c r="D31">
        <v>2000</v>
      </c>
      <c r="E31" s="1">
        <v>42204</v>
      </c>
      <c r="F31" s="1">
        <f t="shared" ref="F31:F32" si="47">E31+1</f>
        <v>42205</v>
      </c>
      <c r="G31" s="4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80</v>
      </c>
    </row>
    <row r="32" spans="1:12" hidden="1" x14ac:dyDescent="0.15">
      <c r="A32" s="3" t="s">
        <v>66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4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85</v>
      </c>
    </row>
    <row r="33" spans="1:12" x14ac:dyDescent="0.15">
      <c r="A33" s="3" t="s">
        <v>67</v>
      </c>
      <c r="B33">
        <v>366</v>
      </c>
      <c r="C33" t="s">
        <v>79</v>
      </c>
      <c r="D33">
        <v>2000</v>
      </c>
      <c r="E33" s="1">
        <v>42205</v>
      </c>
      <c r="F33" s="1">
        <f t="shared" ref="F33:F34" si="51">E33+1</f>
        <v>42206</v>
      </c>
      <c r="G33" s="4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80</v>
      </c>
    </row>
    <row r="34" spans="1:12" hidden="1" x14ac:dyDescent="0.15">
      <c r="A34" s="3" t="s">
        <v>66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4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85</v>
      </c>
    </row>
    <row r="35" spans="1:12" x14ac:dyDescent="0.15">
      <c r="A35" s="3" t="s">
        <v>69</v>
      </c>
      <c r="B35">
        <v>366</v>
      </c>
      <c r="C35" t="s">
        <v>81</v>
      </c>
      <c r="D35">
        <v>2000</v>
      </c>
      <c r="E35" s="1">
        <v>42206</v>
      </c>
      <c r="F35" s="1">
        <f t="shared" ref="F35:F36" si="55">E35+1</f>
        <v>42207</v>
      </c>
      <c r="G35" s="4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80</v>
      </c>
    </row>
    <row r="36" spans="1:12" hidden="1" x14ac:dyDescent="0.15">
      <c r="A36" s="3" t="s">
        <v>66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4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85</v>
      </c>
    </row>
    <row r="37" spans="1:12" x14ac:dyDescent="0.15">
      <c r="A37" s="3" t="s">
        <v>69</v>
      </c>
      <c r="B37">
        <v>366</v>
      </c>
      <c r="C37" t="s">
        <v>81</v>
      </c>
      <c r="D37">
        <v>2000</v>
      </c>
      <c r="E37" s="1">
        <v>42207</v>
      </c>
      <c r="F37" s="1">
        <f t="shared" ref="F37:F38" si="61">E37+1</f>
        <v>42208</v>
      </c>
      <c r="G37" s="4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80</v>
      </c>
    </row>
    <row r="38" spans="1:12" hidden="1" x14ac:dyDescent="0.15">
      <c r="A38" s="3" t="s">
        <v>65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4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85</v>
      </c>
    </row>
    <row r="39" spans="1:12" x14ac:dyDescent="0.15">
      <c r="A39" s="3" t="s">
        <v>69</v>
      </c>
      <c r="B39">
        <v>366</v>
      </c>
      <c r="C39" t="s">
        <v>81</v>
      </c>
      <c r="D39">
        <v>2000</v>
      </c>
      <c r="E39" s="1">
        <v>42208</v>
      </c>
      <c r="F39" s="1">
        <f t="shared" ref="F39:F40" si="65">E39+1</f>
        <v>42209</v>
      </c>
      <c r="G39" s="4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80</v>
      </c>
    </row>
    <row r="40" spans="1:12" hidden="1" x14ac:dyDescent="0.15">
      <c r="A40" s="3" t="s">
        <v>65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4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85</v>
      </c>
    </row>
    <row r="41" spans="1:12" x14ac:dyDescent="0.15">
      <c r="A41" s="3" t="s">
        <v>69</v>
      </c>
      <c r="B41">
        <v>366</v>
      </c>
      <c r="C41" t="s">
        <v>81</v>
      </c>
      <c r="D41">
        <v>1000</v>
      </c>
      <c r="E41" s="1">
        <v>42209</v>
      </c>
      <c r="F41" s="1">
        <f t="shared" ref="F41:F42" si="69">E41+1</f>
        <v>42210</v>
      </c>
      <c r="G41" s="4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80</v>
      </c>
    </row>
    <row r="42" spans="1:12" hidden="1" x14ac:dyDescent="0.15">
      <c r="A42" s="3" t="s">
        <v>65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4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85</v>
      </c>
    </row>
    <row r="43" spans="1:12" x14ac:dyDescent="0.15">
      <c r="A43" s="3" t="s">
        <v>69</v>
      </c>
      <c r="B43">
        <v>366</v>
      </c>
      <c r="C43" t="s">
        <v>81</v>
      </c>
      <c r="D43">
        <v>1000</v>
      </c>
      <c r="E43" s="1">
        <v>42210</v>
      </c>
      <c r="F43" s="1">
        <f t="shared" ref="F43:F44" si="73">E43+1</f>
        <v>42211</v>
      </c>
      <c r="G43" s="4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80</v>
      </c>
    </row>
    <row r="44" spans="1:12" hidden="1" x14ac:dyDescent="0.15">
      <c r="A44" s="3" t="s">
        <v>65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4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85</v>
      </c>
    </row>
    <row r="45" spans="1:12" x14ac:dyDescent="0.15">
      <c r="A45" s="3" t="s">
        <v>69</v>
      </c>
      <c r="B45">
        <v>366</v>
      </c>
      <c r="C45" t="s">
        <v>81</v>
      </c>
      <c r="D45">
        <v>1000</v>
      </c>
      <c r="E45" s="1">
        <v>42211</v>
      </c>
      <c r="F45" s="1">
        <f t="shared" ref="F45:F47" si="77">E45+1</f>
        <v>42212</v>
      </c>
      <c r="G45" s="4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80</v>
      </c>
    </row>
    <row r="46" spans="1:12" hidden="1" x14ac:dyDescent="0.15">
      <c r="A46" s="3" t="s">
        <v>66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4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85</v>
      </c>
    </row>
    <row r="47" spans="1:12" hidden="1" x14ac:dyDescent="0.15">
      <c r="A47" s="3" t="s">
        <v>71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4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85</v>
      </c>
    </row>
    <row r="48" spans="1:12" x14ac:dyDescent="0.15">
      <c r="A48" s="3" t="s">
        <v>72</v>
      </c>
      <c r="B48">
        <v>366</v>
      </c>
      <c r="C48" t="s">
        <v>82</v>
      </c>
      <c r="D48">
        <v>1000</v>
      </c>
      <c r="E48" s="1">
        <v>42213</v>
      </c>
      <c r="F48" s="1">
        <f t="shared" ref="F48:F49" si="83">E48+1</f>
        <v>42214</v>
      </c>
      <c r="G48" s="4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80</v>
      </c>
    </row>
    <row r="49" spans="1:12" hidden="1" x14ac:dyDescent="0.15">
      <c r="A49" s="3" t="s">
        <v>65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4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85</v>
      </c>
    </row>
    <row r="50" spans="1:12" x14ac:dyDescent="0.15">
      <c r="A50" s="3" t="s">
        <v>72</v>
      </c>
      <c r="B50">
        <v>366</v>
      </c>
      <c r="C50" t="s">
        <v>82</v>
      </c>
      <c r="D50">
        <v>2000</v>
      </c>
      <c r="E50" s="1">
        <v>42214</v>
      </c>
      <c r="F50" s="1">
        <f t="shared" ref="F50:F51" si="87">E50+1</f>
        <v>42215</v>
      </c>
      <c r="G50" s="4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80</v>
      </c>
    </row>
    <row r="51" spans="1:12" hidden="1" x14ac:dyDescent="0.15">
      <c r="A51" s="3" t="s">
        <v>65</v>
      </c>
      <c r="B51">
        <v>731</v>
      </c>
      <c r="C51" t="s">
        <v>83</v>
      </c>
      <c r="D51">
        <v>3000</v>
      </c>
      <c r="E51" s="1">
        <v>42214</v>
      </c>
      <c r="F51" s="1">
        <f t="shared" si="87"/>
        <v>42215</v>
      </c>
      <c r="G51" s="4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85</v>
      </c>
    </row>
    <row r="52" spans="1:12" x14ac:dyDescent="0.15">
      <c r="A52" s="3" t="s">
        <v>43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4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85</v>
      </c>
    </row>
    <row r="53" spans="1:12" hidden="1" x14ac:dyDescent="0.15">
      <c r="A53" s="3" t="s">
        <v>65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4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85</v>
      </c>
    </row>
    <row r="54" spans="1:12" x14ac:dyDescent="0.15">
      <c r="A54" s="3" t="s">
        <v>72</v>
      </c>
      <c r="B54">
        <v>366</v>
      </c>
      <c r="C54" t="s">
        <v>83</v>
      </c>
      <c r="D54">
        <v>2000</v>
      </c>
      <c r="E54" s="1">
        <v>42216</v>
      </c>
      <c r="F54" s="1">
        <f t="shared" si="91"/>
        <v>42217</v>
      </c>
      <c r="G54" s="4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80</v>
      </c>
    </row>
    <row r="55" spans="1:12" hidden="1" x14ac:dyDescent="0.15">
      <c r="A55" s="3" t="s">
        <v>65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4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43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4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43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4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hidden="1" x14ac:dyDescent="0.15">
      <c r="A58" s="3" t="s">
        <v>65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4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72</v>
      </c>
      <c r="B59">
        <v>366</v>
      </c>
      <c r="C59" t="s">
        <v>83</v>
      </c>
      <c r="D59">
        <v>2000</v>
      </c>
      <c r="E59" s="1">
        <v>42219</v>
      </c>
      <c r="F59" s="1">
        <f t="shared" si="97"/>
        <v>42220</v>
      </c>
      <c r="G59" s="4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80</v>
      </c>
    </row>
    <row r="60" spans="1:12" hidden="1" x14ac:dyDescent="0.15">
      <c r="A60" s="3" t="s">
        <v>65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4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72</v>
      </c>
      <c r="B61">
        <v>366</v>
      </c>
      <c r="C61" t="s">
        <v>83</v>
      </c>
      <c r="D61">
        <v>2000</v>
      </c>
      <c r="E61" s="1">
        <v>42220</v>
      </c>
      <c r="F61" s="1">
        <f t="shared" ref="F61:F62" si="105">E61+1</f>
        <v>42221</v>
      </c>
      <c r="G61" s="4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80</v>
      </c>
    </row>
    <row r="62" spans="1:12" hidden="1" x14ac:dyDescent="0.15">
      <c r="A62" s="3" t="s">
        <v>65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4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72</v>
      </c>
      <c r="B63">
        <v>366</v>
      </c>
      <c r="C63" t="s">
        <v>83</v>
      </c>
      <c r="D63">
        <v>2000</v>
      </c>
      <c r="E63" s="1">
        <v>42221</v>
      </c>
      <c r="F63" s="1">
        <f t="shared" ref="F63:F64" si="109">E63+1</f>
        <v>42222</v>
      </c>
      <c r="G63" s="4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80</v>
      </c>
    </row>
    <row r="64" spans="1:12" hidden="1" x14ac:dyDescent="0.15">
      <c r="A64" s="3" t="s">
        <v>65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4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72</v>
      </c>
      <c r="B65">
        <v>366</v>
      </c>
      <c r="C65" t="s">
        <v>83</v>
      </c>
      <c r="D65">
        <v>2000</v>
      </c>
      <c r="E65" s="1">
        <v>42221</v>
      </c>
      <c r="F65" s="1">
        <f t="shared" ref="F65:F67" si="113">E65+1</f>
        <v>42222</v>
      </c>
      <c r="G65" s="4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80</v>
      </c>
    </row>
    <row r="66" spans="1:12" x14ac:dyDescent="0.15">
      <c r="A66" s="3" t="s">
        <v>72</v>
      </c>
      <c r="B66">
        <v>366</v>
      </c>
      <c r="C66" t="s">
        <v>83</v>
      </c>
      <c r="D66">
        <v>3000</v>
      </c>
      <c r="E66" s="1">
        <v>42222</v>
      </c>
      <c r="F66" s="1">
        <f t="shared" si="113"/>
        <v>42223</v>
      </c>
      <c r="G66" s="4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80</v>
      </c>
    </row>
    <row r="67" spans="1:12" hidden="1" x14ac:dyDescent="0.15">
      <c r="A67" s="3" t="s">
        <v>65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4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72</v>
      </c>
      <c r="B68">
        <v>366</v>
      </c>
      <c r="C68" t="s">
        <v>83</v>
      </c>
      <c r="D68">
        <v>2000</v>
      </c>
      <c r="E68" s="1">
        <v>42223</v>
      </c>
      <c r="F68" s="1">
        <f t="shared" ref="F68:F69" si="117">E68+1</f>
        <v>42224</v>
      </c>
      <c r="G68" s="4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80</v>
      </c>
    </row>
    <row r="69" spans="1:12" hidden="1" x14ac:dyDescent="0.15">
      <c r="A69" s="3" t="s">
        <v>65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4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72</v>
      </c>
      <c r="B70">
        <v>366</v>
      </c>
      <c r="C70" t="s">
        <v>83</v>
      </c>
      <c r="D70">
        <v>2000</v>
      </c>
      <c r="E70" s="1">
        <v>42224</v>
      </c>
      <c r="F70" s="1">
        <f t="shared" ref="F70:F71" si="121">E70+1</f>
        <v>42225</v>
      </c>
      <c r="G70" s="4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86</v>
      </c>
    </row>
    <row r="71" spans="1:12" hidden="1" x14ac:dyDescent="0.15">
      <c r="A71" s="3" t="s">
        <v>65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4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72</v>
      </c>
      <c r="B72">
        <v>366</v>
      </c>
      <c r="C72" t="s">
        <v>83</v>
      </c>
      <c r="D72">
        <v>3000</v>
      </c>
      <c r="E72" s="1">
        <v>42225</v>
      </c>
      <c r="F72" s="1">
        <f t="shared" ref="F72:F75" si="127">E72+1</f>
        <v>42226</v>
      </c>
      <c r="G72" s="4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86</v>
      </c>
    </row>
    <row r="73" spans="1:12" hidden="1" x14ac:dyDescent="0.15">
      <c r="A73" s="3" t="s">
        <v>65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4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43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4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hidden="1" x14ac:dyDescent="0.15">
      <c r="A75" s="3" t="s">
        <v>65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4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43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4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hidden="1" x14ac:dyDescent="0.15">
      <c r="A77" s="3" t="s">
        <v>65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4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43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4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hidden="1" x14ac:dyDescent="0.15">
      <c r="A79" s="3" t="s">
        <v>65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4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43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4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hidden="1" x14ac:dyDescent="0.15">
      <c r="A81" s="3" t="s">
        <v>65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4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43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4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hidden="1" x14ac:dyDescent="0.15">
      <c r="A83" s="3" t="s">
        <v>65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4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43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4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hidden="1" x14ac:dyDescent="0.15">
      <c r="A85" s="3" t="s">
        <v>65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4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43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4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hidden="1" x14ac:dyDescent="0.15">
      <c r="A87" s="3" t="s">
        <v>65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4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43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4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hidden="1" x14ac:dyDescent="0.15">
      <c r="A89" s="3" t="s">
        <v>65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4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hidden="1" x14ac:dyDescent="0.15">
      <c r="A90" s="3" t="s">
        <v>87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4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88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4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hidden="1" x14ac:dyDescent="0.15">
      <c r="A92" s="3" t="s">
        <v>87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4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88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4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hidden="1" x14ac:dyDescent="0.15">
      <c r="A94" s="3" t="s">
        <v>87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4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88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4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hidden="1" x14ac:dyDescent="0.15">
      <c r="A96" s="3" t="s">
        <v>65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4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88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4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hidden="1" x14ac:dyDescent="0.15">
      <c r="A98" s="3" t="s">
        <v>65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4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88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4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hidden="1" x14ac:dyDescent="0.15">
      <c r="A100" s="3" t="s">
        <v>65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4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52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4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hidden="1" x14ac:dyDescent="0.15">
      <c r="A102" s="3" t="s">
        <v>65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4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98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4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hidden="1" x14ac:dyDescent="0.15">
      <c r="A104" s="3" t="s">
        <v>99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4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98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4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hidden="1" x14ac:dyDescent="0.15">
      <c r="A106" s="3" t="s">
        <v>102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v>42347</v>
      </c>
      <c r="H106">
        <f>121.08</f>
        <v>121.08</v>
      </c>
      <c r="J106">
        <f t="shared" ref="J106" si="202">ROUND((H106-D106)/D106*365/(G106-E106)*100,2)</f>
        <v>12.12</v>
      </c>
      <c r="K106">
        <f t="shared" ref="K106" si="203">H106-D106+I106</f>
        <v>4.0799999999999983</v>
      </c>
    </row>
    <row r="107" spans="1:11" x14ac:dyDescent="0.15">
      <c r="A107" s="3" t="s">
        <v>98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4">E107+1</f>
        <v>42244</v>
      </c>
      <c r="G107" s="4">
        <v>42261</v>
      </c>
      <c r="H107">
        <f>3057.01-6.1</f>
        <v>3050.9100000000003</v>
      </c>
      <c r="J107">
        <f t="shared" ref="J107:J112" si="205">ROUND((H107-D107)/D107*365/(G107-E107)*100,2)</f>
        <v>34.409999999999997</v>
      </c>
      <c r="K107">
        <f t="shared" ref="K107:K112" si="206">H107-D107+I107</f>
        <v>50.910000000000309</v>
      </c>
    </row>
    <row r="108" spans="1:11" x14ac:dyDescent="0.15">
      <c r="A108" s="3" t="s">
        <v>98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7">E108+1</f>
        <v>42245</v>
      </c>
      <c r="G108" s="4">
        <v>42261</v>
      </c>
      <c r="H108">
        <f>2037.67-4.06</f>
        <v>2033.6100000000001</v>
      </c>
      <c r="J108">
        <f t="shared" si="205"/>
        <v>36.08</v>
      </c>
      <c r="K108">
        <f t="shared" si="206"/>
        <v>33.610000000000127</v>
      </c>
    </row>
    <row r="109" spans="1:11" x14ac:dyDescent="0.15">
      <c r="A109" s="3" t="s">
        <v>98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8">E109+1</f>
        <v>42247</v>
      </c>
      <c r="G109" s="4">
        <v>42261</v>
      </c>
      <c r="H109">
        <f>10356.58+3901.62-10.34*2-3.9*2</f>
        <v>14229.720000000001</v>
      </c>
      <c r="J109">
        <f t="shared" si="205"/>
        <v>39.93</v>
      </c>
      <c r="K109">
        <f t="shared" si="206"/>
        <v>229.72000000000116</v>
      </c>
    </row>
    <row r="110" spans="1:11" x14ac:dyDescent="0.15">
      <c r="A110" s="3" t="s">
        <v>107</v>
      </c>
      <c r="B110">
        <v>366</v>
      </c>
      <c r="C110">
        <v>7.7</v>
      </c>
      <c r="D110">
        <v>7000</v>
      </c>
      <c r="E110" s="1">
        <v>42248</v>
      </c>
      <c r="F110" s="1">
        <f t="shared" si="208"/>
        <v>42249</v>
      </c>
      <c r="G110" s="4">
        <v>42261</v>
      </c>
      <c r="H110">
        <f>7107.48-14.2</f>
        <v>7093.28</v>
      </c>
      <c r="J110">
        <f t="shared" si="205"/>
        <v>37.409999999999997</v>
      </c>
      <c r="K110">
        <f t="shared" si="206"/>
        <v>93.279999999999745</v>
      </c>
    </row>
    <row r="111" spans="1:11" x14ac:dyDescent="0.15">
      <c r="A111" s="3" t="s">
        <v>106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9">E111+1</f>
        <v>42250</v>
      </c>
      <c r="G111" s="4">
        <v>42261</v>
      </c>
      <c r="H111">
        <f>3961.13+100-7.92-0.2</f>
        <v>4053.01</v>
      </c>
      <c r="J111">
        <f t="shared" si="205"/>
        <v>40.31</v>
      </c>
      <c r="K111">
        <f t="shared" si="206"/>
        <v>53.010000000000218</v>
      </c>
    </row>
    <row r="112" spans="1:11" x14ac:dyDescent="0.15">
      <c r="A112" s="3" t="s">
        <v>106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10">E112+1</f>
        <v>42251</v>
      </c>
      <c r="G112" s="4">
        <v>42261</v>
      </c>
      <c r="H112">
        <f>7105.18-7.1*2</f>
        <v>7090.9800000000005</v>
      </c>
      <c r="J112">
        <f t="shared" si="205"/>
        <v>43.13</v>
      </c>
      <c r="K112">
        <f t="shared" si="206"/>
        <v>90.980000000000473</v>
      </c>
    </row>
    <row r="113" spans="1:11" x14ac:dyDescent="0.15">
      <c r="A113" s="3" t="s">
        <v>106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1">E113+1</f>
        <v>42252</v>
      </c>
      <c r="G113" s="4">
        <f t="shared" ref="G113" si="212">E113+11</f>
        <v>42262</v>
      </c>
      <c r="H113">
        <f>4056.74-4.05*2</f>
        <v>4048.64</v>
      </c>
      <c r="J113">
        <f t="shared" ref="J113" si="213">ROUND((H113-D113)/D113*365/(G113-E113)*100,2)</f>
        <v>40.35</v>
      </c>
      <c r="K113">
        <f t="shared" ref="K113" si="214">H113-D113+I113</f>
        <v>48.639999999999873</v>
      </c>
    </row>
    <row r="114" spans="1:11" hidden="1" x14ac:dyDescent="0.15">
      <c r="A114" s="3" t="s">
        <v>109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9" si="215">E114+1</f>
        <v>42254</v>
      </c>
      <c r="G114" s="4">
        <v>42267</v>
      </c>
      <c r="H114">
        <f>373.13-0.37*2</f>
        <v>372.39</v>
      </c>
      <c r="J114">
        <f t="shared" ref="J114" si="216">ROUND((H114-D114)/D114*365/(G114-E114)*100,2)</f>
        <v>16.84</v>
      </c>
      <c r="K114">
        <f t="shared" ref="K114" si="217">H114-D114+I114</f>
        <v>2.3899999999999864</v>
      </c>
    </row>
    <row r="115" spans="1:11" x14ac:dyDescent="0.15">
      <c r="A115" s="3" t="s">
        <v>106</v>
      </c>
      <c r="B115">
        <v>366</v>
      </c>
      <c r="C115">
        <v>7.7</v>
      </c>
      <c r="D115">
        <v>4000</v>
      </c>
      <c r="E115" s="1">
        <v>42253</v>
      </c>
      <c r="F115" s="1">
        <f t="shared" si="215"/>
        <v>42254</v>
      </c>
      <c r="G115" s="4">
        <v>42287</v>
      </c>
      <c r="H115">
        <f>4114.31-4.1*2</f>
        <v>4106.1100000000006</v>
      </c>
      <c r="J115">
        <f t="shared" ref="J115" si="218">ROUND((H115-D115)/D115*365/(G115-E115)*100,2)</f>
        <v>28.48</v>
      </c>
      <c r="K115">
        <f t="shared" ref="K115" si="219">H115-D115+I115</f>
        <v>106.11000000000058</v>
      </c>
    </row>
    <row r="116" spans="1:11" x14ac:dyDescent="0.15">
      <c r="A116" s="3" t="s">
        <v>121</v>
      </c>
      <c r="B116">
        <v>366</v>
      </c>
      <c r="C116">
        <v>6.5</v>
      </c>
      <c r="D116">
        <v>20000</v>
      </c>
      <c r="E116" s="1">
        <v>42338</v>
      </c>
      <c r="F116" s="1">
        <f t="shared" si="215"/>
        <v>42339</v>
      </c>
      <c r="G116" s="4">
        <f>E116+11</f>
        <v>42349</v>
      </c>
      <c r="H116">
        <f>16875+3256.41-16.87*2-3.24*2</f>
        <v>20091.189999999999</v>
      </c>
      <c r="J116">
        <f t="shared" ref="J116" si="220">ROUND((H116-D116)/D116*365/(G116-E116)*100,2)</f>
        <v>15.13</v>
      </c>
      <c r="K116">
        <f t="shared" ref="K116" si="221">H116-D116+I116</f>
        <v>91.18999999999869</v>
      </c>
    </row>
    <row r="117" spans="1:11" x14ac:dyDescent="0.15">
      <c r="A117" s="3" t="s">
        <v>121</v>
      </c>
      <c r="B117">
        <v>366</v>
      </c>
      <c r="C117">
        <v>6.5</v>
      </c>
      <c r="D117">
        <v>13000</v>
      </c>
      <c r="E117" s="1">
        <v>42343</v>
      </c>
      <c r="F117" s="1">
        <f t="shared" si="215"/>
        <v>42344</v>
      </c>
      <c r="G117" s="4">
        <f>E117+11</f>
        <v>42354</v>
      </c>
      <c r="H117">
        <f>13096.47-13.09*2</f>
        <v>13070.289999999999</v>
      </c>
      <c r="J117">
        <f t="shared" ref="J117" si="222">ROUND((H117-D117)/D117*365/(G117-E117)*100,2)</f>
        <v>17.940000000000001</v>
      </c>
      <c r="K117">
        <f t="shared" ref="K117" si="223">H117-D117+I117</f>
        <v>70.289999999999054</v>
      </c>
    </row>
    <row r="118" spans="1:11" x14ac:dyDescent="0.15">
      <c r="A118" s="3" t="s">
        <v>121</v>
      </c>
      <c r="B118">
        <v>366</v>
      </c>
      <c r="C118">
        <v>7</v>
      </c>
      <c r="D118">
        <v>5000</v>
      </c>
      <c r="E118" s="1">
        <v>42347</v>
      </c>
      <c r="F118" s="1">
        <f t="shared" si="215"/>
        <v>42348</v>
      </c>
      <c r="G118" s="4">
        <v>42359</v>
      </c>
      <c r="H118">
        <f>5058.26-5.05*2</f>
        <v>5048.16</v>
      </c>
      <c r="J118">
        <f t="shared" ref="J118" si="224">ROUND((H118-D118)/D118*365/(G118-E118)*100,2)</f>
        <v>29.3</v>
      </c>
      <c r="K118">
        <f t="shared" ref="K118" si="225">H118-D118+I118</f>
        <v>48.159999999999854</v>
      </c>
    </row>
    <row r="119" spans="1:11" x14ac:dyDescent="0.15">
      <c r="A119" s="3" t="s">
        <v>121</v>
      </c>
      <c r="B119">
        <v>366</v>
      </c>
      <c r="C119">
        <v>7</v>
      </c>
      <c r="D119">
        <v>30000</v>
      </c>
      <c r="E119" s="1">
        <v>42349</v>
      </c>
      <c r="F119" s="1">
        <f t="shared" si="215"/>
        <v>42350</v>
      </c>
      <c r="G119" s="4">
        <f>E119+11</f>
        <v>42360</v>
      </c>
      <c r="H119">
        <f>40433.79-10088.23-40.43*2</f>
        <v>30264.7</v>
      </c>
      <c r="J119">
        <f t="shared" ref="J119:J120" si="226">ROUND((H119-D119)/D119*365/(G119-E119)*100,2)</f>
        <v>29.28</v>
      </c>
      <c r="K119">
        <f t="shared" ref="K119:K120" si="227">H119-D119+I119</f>
        <v>264.70000000000073</v>
      </c>
    </row>
    <row r="120" spans="1:11" x14ac:dyDescent="0.15">
      <c r="A120" s="3" t="s">
        <v>121</v>
      </c>
      <c r="B120">
        <v>366</v>
      </c>
      <c r="C120">
        <v>7</v>
      </c>
      <c r="D120">
        <v>13000</v>
      </c>
      <c r="E120" s="1">
        <v>42354</v>
      </c>
      <c r="F120" s="1">
        <f t="shared" ref="F120" si="228">E120+1</f>
        <v>42355</v>
      </c>
      <c r="G120" s="4">
        <f>E120+11</f>
        <v>42365</v>
      </c>
      <c r="H120">
        <v>13163.22</v>
      </c>
      <c r="J120">
        <f t="shared" si="226"/>
        <v>41.66</v>
      </c>
      <c r="K120">
        <f t="shared" si="227"/>
        <v>163.21999999999935</v>
      </c>
    </row>
  </sheetData>
  <autoFilter ref="A1:L120">
    <filterColumn colId="1">
      <filters>
        <filter val="366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31</v>
      </c>
      <c r="C1" s="2" t="s">
        <v>47</v>
      </c>
      <c r="D1" s="2" t="s">
        <v>15</v>
      </c>
      <c r="E1" s="2" t="s">
        <v>14</v>
      </c>
      <c r="F1" s="2" t="s">
        <v>21</v>
      </c>
      <c r="G1" s="2" t="s">
        <v>20</v>
      </c>
      <c r="H1" s="2" t="s">
        <v>33</v>
      </c>
      <c r="I1" s="2" t="s">
        <v>37</v>
      </c>
      <c r="J1" s="2" t="s">
        <v>34</v>
      </c>
      <c r="K1" s="2" t="s">
        <v>38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40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abSelected="1" topLeftCell="A66" workbookViewId="0">
      <selection activeCell="C83" sqref="C83"/>
    </sheetView>
  </sheetViews>
  <sheetFormatPr defaultRowHeight="13.5" x14ac:dyDescent="0.15"/>
  <cols>
    <col min="1" max="1" width="9.625" bestFit="1" customWidth="1"/>
    <col min="2" max="2" width="29.875" bestFit="1" customWidth="1"/>
    <col min="3" max="3" width="9.5" bestFit="1" customWidth="1"/>
    <col min="4" max="4" width="13" customWidth="1"/>
    <col min="5" max="5" width="12.625" customWidth="1"/>
    <col min="6" max="6" width="36.5" bestFit="1" customWidth="1"/>
    <col min="7" max="7" width="11.5" customWidth="1"/>
  </cols>
  <sheetData>
    <row r="1" spans="1:5" s="5" customFormat="1" x14ac:dyDescent="0.15">
      <c r="A1" s="5" t="s">
        <v>132</v>
      </c>
      <c r="B1" s="5" t="s">
        <v>133</v>
      </c>
      <c r="C1" s="5" t="s">
        <v>134</v>
      </c>
    </row>
    <row r="2" spans="1:5" x14ac:dyDescent="0.15">
      <c r="A2" s="6">
        <v>2015.12</v>
      </c>
      <c r="B2" s="7" t="s">
        <v>128</v>
      </c>
      <c r="C2" s="7">
        <f>36924.94</f>
        <v>36924.94</v>
      </c>
      <c r="D2" s="7"/>
      <c r="E2" s="7"/>
    </row>
    <row r="3" spans="1:5" x14ac:dyDescent="0.15">
      <c r="A3" s="6">
        <v>2015.12</v>
      </c>
      <c r="B3" s="7" t="s">
        <v>127</v>
      </c>
      <c r="C3" s="7">
        <v>2000</v>
      </c>
      <c r="D3" s="6"/>
      <c r="E3" s="7"/>
    </row>
    <row r="4" spans="1:5" x14ac:dyDescent="0.15">
      <c r="A4" s="6">
        <v>2015.12</v>
      </c>
      <c r="B4" s="7" t="s">
        <v>135</v>
      </c>
      <c r="C4" s="7">
        <v>20000</v>
      </c>
      <c r="D4" s="6"/>
      <c r="E4" s="7"/>
    </row>
    <row r="5" spans="1:5" x14ac:dyDescent="0.15">
      <c r="A5" s="6">
        <v>2015.12</v>
      </c>
      <c r="B5" s="7" t="s">
        <v>136</v>
      </c>
      <c r="C5" s="7">
        <v>15</v>
      </c>
      <c r="D5" s="6"/>
      <c r="E5" s="7"/>
    </row>
    <row r="6" spans="1:5" x14ac:dyDescent="0.15">
      <c r="A6" s="6"/>
      <c r="B6" s="7"/>
      <c r="C6" s="7"/>
      <c r="D6" s="6"/>
      <c r="E6" s="7"/>
    </row>
    <row r="7" spans="1:5" x14ac:dyDescent="0.15">
      <c r="A7" s="6">
        <v>2015.12</v>
      </c>
      <c r="B7" s="7" t="s">
        <v>126</v>
      </c>
      <c r="C7" s="7">
        <f>SUM(C2:C6)</f>
        <v>58939.94</v>
      </c>
      <c r="D7" s="7"/>
      <c r="E7" s="7"/>
    </row>
    <row r="8" spans="1:5" x14ac:dyDescent="0.15">
      <c r="A8" s="6">
        <v>2015.12</v>
      </c>
      <c r="B8" s="7" t="s">
        <v>129</v>
      </c>
      <c r="C8" s="7">
        <v>56161.21</v>
      </c>
      <c r="D8" s="7"/>
      <c r="E8" s="7"/>
    </row>
    <row r="9" spans="1:5" x14ac:dyDescent="0.15">
      <c r="A9" s="6">
        <v>2015.12</v>
      </c>
      <c r="B9" s="7" t="s">
        <v>130</v>
      </c>
      <c r="C9" s="7">
        <f>C7-C8</f>
        <v>2778.7300000000032</v>
      </c>
      <c r="D9" s="7" t="s">
        <v>131</v>
      </c>
      <c r="E9" s="8">
        <f>(C9-2000)/C8</f>
        <v>1.3865976178219865E-2</v>
      </c>
    </row>
    <row r="12" spans="1:5" x14ac:dyDescent="0.15">
      <c r="A12" s="5" t="s">
        <v>117</v>
      </c>
      <c r="B12" s="5" t="s">
        <v>133</v>
      </c>
      <c r="C12" s="5" t="s">
        <v>0</v>
      </c>
      <c r="D12" s="5"/>
      <c r="E12" s="5"/>
    </row>
    <row r="13" spans="1:5" x14ac:dyDescent="0.15">
      <c r="A13" s="6">
        <v>2016.01</v>
      </c>
      <c r="B13" s="7" t="s">
        <v>118</v>
      </c>
      <c r="C13" s="7">
        <f>10836.81-9259.22+7203.8</f>
        <v>8781.39</v>
      </c>
      <c r="D13" s="7"/>
      <c r="E13" s="7"/>
    </row>
    <row r="14" spans="1:5" x14ac:dyDescent="0.15">
      <c r="A14" s="6">
        <v>2016.01</v>
      </c>
      <c r="B14" s="7" t="s">
        <v>137</v>
      </c>
      <c r="C14" s="7">
        <f>36035.24</f>
        <v>36035.24</v>
      </c>
      <c r="D14" s="6"/>
      <c r="E14" s="7"/>
    </row>
    <row r="15" spans="1:5" x14ac:dyDescent="0.15">
      <c r="A15" s="6">
        <v>2016.01</v>
      </c>
      <c r="B15" s="7" t="s">
        <v>138</v>
      </c>
      <c r="C15" s="7">
        <f>7469.22</f>
        <v>7469.22</v>
      </c>
      <c r="D15" s="6"/>
      <c r="E15" s="7"/>
    </row>
    <row r="16" spans="1:5" x14ac:dyDescent="0.15">
      <c r="A16" s="6">
        <v>2016.01</v>
      </c>
      <c r="B16" s="7" t="s">
        <v>139</v>
      </c>
      <c r="C16" s="7">
        <f>9259.22</f>
        <v>9259.2199999999993</v>
      </c>
      <c r="D16" s="6"/>
      <c r="E16" s="7"/>
    </row>
    <row r="17" spans="1:5" x14ac:dyDescent="0.15">
      <c r="A17" s="6"/>
      <c r="B17" s="7"/>
      <c r="C17" s="7"/>
      <c r="D17" s="6"/>
      <c r="E17" s="7"/>
    </row>
    <row r="18" spans="1:5" x14ac:dyDescent="0.15">
      <c r="A18" s="6">
        <v>2016.01</v>
      </c>
      <c r="B18" s="7" t="s">
        <v>112</v>
      </c>
      <c r="C18" s="7">
        <f>SUM(C13:C17)</f>
        <v>61545.07</v>
      </c>
      <c r="D18" s="7"/>
      <c r="E18" s="7"/>
    </row>
    <row r="19" spans="1:5" x14ac:dyDescent="0.15">
      <c r="A19" s="6">
        <v>2016.01</v>
      </c>
      <c r="B19" s="7" t="s">
        <v>129</v>
      </c>
      <c r="C19" s="7">
        <v>58939.94</v>
      </c>
      <c r="D19" s="7"/>
      <c r="E19" s="7"/>
    </row>
    <row r="20" spans="1:5" x14ac:dyDescent="0.15">
      <c r="A20" s="6">
        <v>2016.01</v>
      </c>
      <c r="B20" s="7" t="s">
        <v>130</v>
      </c>
      <c r="C20" s="7">
        <f>C18-C19</f>
        <v>2605.1299999999974</v>
      </c>
      <c r="D20" s="7" t="s">
        <v>131</v>
      </c>
      <c r="E20" s="8">
        <f>(C20-2000)/C19</f>
        <v>1.0266892026018305E-2</v>
      </c>
    </row>
    <row r="23" spans="1:5" x14ac:dyDescent="0.15">
      <c r="A23" s="5" t="s">
        <v>117</v>
      </c>
      <c r="B23" s="5" t="s">
        <v>133</v>
      </c>
      <c r="C23" s="5" t="s">
        <v>0</v>
      </c>
      <c r="D23" s="5"/>
      <c r="E23" s="5"/>
    </row>
    <row r="24" spans="1:5" x14ac:dyDescent="0.15">
      <c r="A24" s="6">
        <v>2016.02</v>
      </c>
      <c r="B24" s="9" t="s">
        <v>141</v>
      </c>
      <c r="C24" s="10">
        <v>-130</v>
      </c>
      <c r="D24" s="5"/>
      <c r="E24" s="5"/>
    </row>
    <row r="25" spans="1:5" x14ac:dyDescent="0.15">
      <c r="A25" s="6">
        <v>2016.02</v>
      </c>
      <c r="B25" s="9" t="s">
        <v>145</v>
      </c>
      <c r="C25" s="10">
        <f>21.05</f>
        <v>21.05</v>
      </c>
      <c r="D25" s="5"/>
      <c r="E25" s="5"/>
    </row>
    <row r="26" spans="1:5" x14ac:dyDescent="0.15">
      <c r="A26" s="6">
        <v>2016.02</v>
      </c>
      <c r="B26" s="7" t="s">
        <v>140</v>
      </c>
      <c r="C26" s="7">
        <f>29264.37</f>
        <v>29264.37</v>
      </c>
      <c r="D26" s="7"/>
      <c r="E26" s="7"/>
    </row>
    <row r="27" spans="1:5" x14ac:dyDescent="0.15">
      <c r="A27" s="6">
        <v>2016.02</v>
      </c>
      <c r="B27" s="7" t="s">
        <v>137</v>
      </c>
      <c r="C27" s="7">
        <f>35026.64</f>
        <v>35026.639999999999</v>
      </c>
      <c r="D27" s="6"/>
      <c r="E27" s="7"/>
    </row>
    <row r="28" spans="1:5" x14ac:dyDescent="0.15">
      <c r="A28" s="6"/>
      <c r="B28" s="7"/>
      <c r="C28" s="7"/>
      <c r="D28" s="6"/>
      <c r="E28" s="7"/>
    </row>
    <row r="29" spans="1:5" x14ac:dyDescent="0.15">
      <c r="A29" s="6">
        <v>2016.02</v>
      </c>
      <c r="B29" s="7" t="s">
        <v>112</v>
      </c>
      <c r="C29" s="7">
        <f>SUM(C24:C28)</f>
        <v>64182.06</v>
      </c>
      <c r="D29" s="7"/>
      <c r="E29" s="7"/>
    </row>
    <row r="30" spans="1:5" x14ac:dyDescent="0.15">
      <c r="A30" s="6">
        <v>2016.02</v>
      </c>
      <c r="B30" s="7" t="s">
        <v>129</v>
      </c>
      <c r="C30" s="7">
        <v>61545.07</v>
      </c>
      <c r="D30" s="7"/>
      <c r="E30" s="7"/>
    </row>
    <row r="31" spans="1:5" x14ac:dyDescent="0.15">
      <c r="A31" s="6">
        <v>2016.02</v>
      </c>
      <c r="B31" s="7" t="s">
        <v>130</v>
      </c>
      <c r="C31" s="7">
        <f>C29-C30</f>
        <v>2636.989999999998</v>
      </c>
      <c r="D31" s="7" t="s">
        <v>131</v>
      </c>
      <c r="E31" s="8">
        <f>(C31-2000)/C30</f>
        <v>1.0349976041947762E-2</v>
      </c>
    </row>
    <row r="34" spans="1:5" x14ac:dyDescent="0.15">
      <c r="A34" s="5" t="s">
        <v>117</v>
      </c>
      <c r="B34" s="5" t="s">
        <v>133</v>
      </c>
      <c r="C34" s="5" t="s">
        <v>0</v>
      </c>
      <c r="D34" s="5"/>
      <c r="E34" s="5"/>
    </row>
    <row r="35" spans="1:5" x14ac:dyDescent="0.15">
      <c r="A35" s="6">
        <v>2016.03</v>
      </c>
      <c r="B35" s="9" t="s">
        <v>141</v>
      </c>
      <c r="C35" s="10">
        <f>-28185.01+1243.28</f>
        <v>-26941.73</v>
      </c>
      <c r="D35" s="5"/>
      <c r="E35" s="5"/>
    </row>
    <row r="36" spans="1:5" x14ac:dyDescent="0.15">
      <c r="A36" s="6">
        <v>2016.03</v>
      </c>
      <c r="B36" s="9" t="s">
        <v>145</v>
      </c>
      <c r="C36" s="10">
        <v>0</v>
      </c>
      <c r="D36" s="5"/>
      <c r="E36" s="5"/>
    </row>
    <row r="37" spans="1:5" x14ac:dyDescent="0.15">
      <c r="A37" s="6">
        <v>2016.03</v>
      </c>
      <c r="B37" s="7" t="s">
        <v>148</v>
      </c>
      <c r="C37" s="7">
        <f>46296.02</f>
        <v>46296.02</v>
      </c>
      <c r="D37" s="7"/>
      <c r="E37" s="7"/>
    </row>
    <row r="38" spans="1:5" x14ac:dyDescent="0.15">
      <c r="A38" s="6">
        <v>2016.03</v>
      </c>
      <c r="B38" s="7" t="s">
        <v>147</v>
      </c>
      <c r="C38" s="7">
        <f>47489.3</f>
        <v>47489.3</v>
      </c>
      <c r="D38" s="7"/>
      <c r="E38" s="7"/>
    </row>
    <row r="39" spans="1:5" x14ac:dyDescent="0.15">
      <c r="A39" s="6"/>
      <c r="B39" s="7"/>
      <c r="C39" s="7"/>
      <c r="D39" s="6"/>
      <c r="E39" s="7"/>
    </row>
    <row r="40" spans="1:5" x14ac:dyDescent="0.15">
      <c r="A40" s="6">
        <v>2016.03</v>
      </c>
      <c r="B40" s="7" t="s">
        <v>112</v>
      </c>
      <c r="C40" s="7">
        <f>SUM(C35:C39)</f>
        <v>66843.59</v>
      </c>
      <c r="D40" s="7"/>
      <c r="E40" s="7"/>
    </row>
    <row r="41" spans="1:5" x14ac:dyDescent="0.15">
      <c r="A41" s="6">
        <v>2016.03</v>
      </c>
      <c r="B41" s="7" t="s">
        <v>129</v>
      </c>
      <c r="C41" s="7">
        <v>64182.06</v>
      </c>
      <c r="D41" s="7"/>
      <c r="E41" s="7"/>
    </row>
    <row r="42" spans="1:5" x14ac:dyDescent="0.15">
      <c r="A42" s="6">
        <v>2016.03</v>
      </c>
      <c r="B42" s="7" t="s">
        <v>130</v>
      </c>
      <c r="C42" s="7">
        <f>C40-C41</f>
        <v>2661.5299999999988</v>
      </c>
      <c r="D42" s="7" t="s">
        <v>131</v>
      </c>
      <c r="E42" s="8">
        <f>(C42-2000)/C41</f>
        <v>1.0307085811829642E-2</v>
      </c>
    </row>
    <row r="45" spans="1:5" x14ac:dyDescent="0.15">
      <c r="A45" s="5" t="s">
        <v>117</v>
      </c>
      <c r="B45" s="5" t="s">
        <v>133</v>
      </c>
      <c r="C45" s="5" t="s">
        <v>0</v>
      </c>
      <c r="D45" s="5"/>
      <c r="E45" s="5"/>
    </row>
    <row r="46" spans="1:5" x14ac:dyDescent="0.15">
      <c r="A46" s="6">
        <v>2016.04</v>
      </c>
      <c r="B46" s="9" t="s">
        <v>141</v>
      </c>
      <c r="C46" s="10">
        <f>-21380+1200</f>
        <v>-20180</v>
      </c>
      <c r="D46" s="5"/>
      <c r="E46" s="5"/>
    </row>
    <row r="47" spans="1:5" x14ac:dyDescent="0.15">
      <c r="A47" s="6">
        <v>2016.04</v>
      </c>
      <c r="B47" s="9" t="s">
        <v>145</v>
      </c>
      <c r="C47" s="10">
        <v>0</v>
      </c>
      <c r="D47" s="5"/>
      <c r="E47" s="5"/>
    </row>
    <row r="48" spans="1:5" x14ac:dyDescent="0.15">
      <c r="A48" s="6">
        <v>2016.04</v>
      </c>
      <c r="B48" s="7" t="s">
        <v>148</v>
      </c>
      <c r="C48" s="7">
        <f>46296.02-1251.99</f>
        <v>45044.03</v>
      </c>
      <c r="D48" s="7"/>
      <c r="E48" s="7"/>
    </row>
    <row r="49" spans="1:6" x14ac:dyDescent="0.15">
      <c r="A49" s="6">
        <v>2016.04</v>
      </c>
      <c r="B49" s="7" t="s">
        <v>147</v>
      </c>
      <c r="C49" s="7">
        <f>47489.3-1243.28</f>
        <v>46246.020000000004</v>
      </c>
      <c r="D49" s="7"/>
      <c r="E49" s="7"/>
    </row>
    <row r="50" spans="1:6" x14ac:dyDescent="0.15">
      <c r="A50" s="6"/>
      <c r="B50" s="7"/>
      <c r="C50" s="7"/>
      <c r="D50" s="6"/>
      <c r="E50" s="7"/>
    </row>
    <row r="51" spans="1:6" x14ac:dyDescent="0.15">
      <c r="A51" s="6">
        <v>2016.04</v>
      </c>
      <c r="B51" s="7" t="s">
        <v>112</v>
      </c>
      <c r="C51" s="7">
        <f>SUM(C46:C50)</f>
        <v>71110.05</v>
      </c>
      <c r="D51" s="7"/>
      <c r="E51" s="7"/>
    </row>
    <row r="52" spans="1:6" x14ac:dyDescent="0.15">
      <c r="A52" s="6">
        <v>2016.04</v>
      </c>
      <c r="B52" s="7" t="s">
        <v>129</v>
      </c>
      <c r="C52" s="7">
        <v>66843.59</v>
      </c>
      <c r="D52" s="7"/>
      <c r="E52" s="7"/>
    </row>
    <row r="53" spans="1:6" x14ac:dyDescent="0.15">
      <c r="A53" s="6">
        <v>2016.04</v>
      </c>
      <c r="B53" s="7" t="s">
        <v>130</v>
      </c>
      <c r="C53" s="7">
        <f>C51-C52</f>
        <v>4266.4600000000064</v>
      </c>
      <c r="D53" s="7" t="s">
        <v>131</v>
      </c>
      <c r="E53" s="8">
        <f>(C53-3600)/C52</f>
        <v>9.970439947944245E-3</v>
      </c>
      <c r="F53" t="s">
        <v>149</v>
      </c>
    </row>
    <row r="56" spans="1:6" x14ac:dyDescent="0.15">
      <c r="A56" s="5" t="s">
        <v>117</v>
      </c>
      <c r="B56" s="5" t="s">
        <v>133</v>
      </c>
      <c r="C56" s="5" t="s">
        <v>0</v>
      </c>
      <c r="D56" s="5"/>
      <c r="E56" s="5"/>
    </row>
    <row r="57" spans="1:6" x14ac:dyDescent="0.15">
      <c r="A57" s="6">
        <v>2016.05</v>
      </c>
      <c r="B57" s="9" t="s">
        <v>141</v>
      </c>
      <c r="C57" s="10">
        <f>-21380+1200+2000+1576.05+1576.06+25</f>
        <v>-15002.890000000001</v>
      </c>
      <c r="D57" s="5"/>
      <c r="E57" s="5"/>
    </row>
    <row r="58" spans="1:6" x14ac:dyDescent="0.15">
      <c r="A58" s="6">
        <v>2016.05</v>
      </c>
      <c r="B58" s="9" t="s">
        <v>145</v>
      </c>
      <c r="C58" s="10">
        <v>0</v>
      </c>
      <c r="D58" s="5"/>
      <c r="E58" s="5"/>
    </row>
    <row r="59" spans="1:6" x14ac:dyDescent="0.15">
      <c r="A59" s="6">
        <v>2016.05</v>
      </c>
      <c r="B59" s="7" t="s">
        <v>148</v>
      </c>
      <c r="C59" s="7">
        <v>43783.28</v>
      </c>
      <c r="D59" s="7"/>
      <c r="E59" s="7"/>
    </row>
    <row r="60" spans="1:6" x14ac:dyDescent="0.15">
      <c r="A60" s="6">
        <v>2016.05</v>
      </c>
      <c r="B60" s="7" t="s">
        <v>147</v>
      </c>
      <c r="C60" s="7">
        <f>45044.04</f>
        <v>45044.04</v>
      </c>
      <c r="D60" s="7"/>
      <c r="E60" s="7"/>
    </row>
    <row r="61" spans="1:6" x14ac:dyDescent="0.15">
      <c r="A61" s="6"/>
      <c r="B61" s="7"/>
      <c r="C61" s="7"/>
      <c r="D61" s="6"/>
      <c r="E61" s="7"/>
    </row>
    <row r="62" spans="1:6" x14ac:dyDescent="0.15">
      <c r="A62" s="6">
        <v>2016.05</v>
      </c>
      <c r="B62" s="7" t="s">
        <v>112</v>
      </c>
      <c r="C62" s="7">
        <f>SUM(C57:C61)</f>
        <v>73824.429999999993</v>
      </c>
      <c r="D62" s="7"/>
      <c r="E62" s="7"/>
    </row>
    <row r="63" spans="1:6" x14ac:dyDescent="0.15">
      <c r="A63" s="6">
        <v>2016.05</v>
      </c>
      <c r="B63" s="7" t="s">
        <v>129</v>
      </c>
      <c r="C63" s="7">
        <v>71110.05</v>
      </c>
      <c r="D63" s="7"/>
      <c r="E63" s="7"/>
    </row>
    <row r="64" spans="1:6" x14ac:dyDescent="0.15">
      <c r="A64" s="6">
        <v>2016.05</v>
      </c>
      <c r="B64" s="7" t="s">
        <v>130</v>
      </c>
      <c r="C64" s="7">
        <f>C62-C63</f>
        <v>2714.3799999999901</v>
      </c>
      <c r="D64" s="7" t="s">
        <v>131</v>
      </c>
      <c r="E64" s="8">
        <f>(C64-2000)/C63</f>
        <v>1.0046118656926695E-2</v>
      </c>
    </row>
    <row r="67" spans="1:5" x14ac:dyDescent="0.15">
      <c r="A67" s="5" t="s">
        <v>117</v>
      </c>
      <c r="B67" s="5" t="s">
        <v>133</v>
      </c>
      <c r="C67" s="5" t="s">
        <v>0</v>
      </c>
      <c r="D67" s="5"/>
      <c r="E67" s="5"/>
    </row>
    <row r="68" spans="1:5" x14ac:dyDescent="0.15">
      <c r="A68" s="6">
        <v>2016.06</v>
      </c>
      <c r="B68" s="9" t="s">
        <v>141</v>
      </c>
      <c r="C68" s="10">
        <f>-13002.89+1576.05+1577.15+112</f>
        <v>-9737.69</v>
      </c>
      <c r="D68" s="5"/>
      <c r="E68" s="5"/>
    </row>
    <row r="69" spans="1:5" x14ac:dyDescent="0.15">
      <c r="A69" s="6">
        <v>2016.06</v>
      </c>
      <c r="B69" s="9" t="s">
        <v>145</v>
      </c>
      <c r="C69" s="10">
        <v>0</v>
      </c>
      <c r="D69" s="5"/>
      <c r="E69" s="5"/>
    </row>
    <row r="70" spans="1:5" x14ac:dyDescent="0.15">
      <c r="A70" s="6">
        <v>2016.06</v>
      </c>
      <c r="B70" s="7" t="s">
        <v>148</v>
      </c>
      <c r="C70" s="7">
        <f>50000-7486.3</f>
        <v>42513.7</v>
      </c>
      <c r="D70" s="7"/>
      <c r="E70" s="7"/>
    </row>
    <row r="71" spans="1:5" x14ac:dyDescent="0.15">
      <c r="A71" s="6">
        <v>2016.06</v>
      </c>
      <c r="B71" s="7" t="s">
        <v>147</v>
      </c>
      <c r="C71" s="7">
        <v>43783.29</v>
      </c>
      <c r="D71" s="7"/>
      <c r="E71" s="7"/>
    </row>
    <row r="72" spans="1:5" x14ac:dyDescent="0.15">
      <c r="A72" s="6"/>
      <c r="B72" s="7"/>
      <c r="C72" s="7"/>
      <c r="D72" s="6"/>
      <c r="E72" s="7"/>
    </row>
    <row r="73" spans="1:5" x14ac:dyDescent="0.15">
      <c r="A73" s="6">
        <v>2016.06</v>
      </c>
      <c r="B73" s="7" t="s">
        <v>112</v>
      </c>
      <c r="C73" s="7">
        <f>SUM(C68:C72)</f>
        <v>76559.299999999988</v>
      </c>
      <c r="D73" s="7"/>
      <c r="E73" s="7"/>
    </row>
    <row r="74" spans="1:5" x14ac:dyDescent="0.15">
      <c r="A74" s="6">
        <v>2016.06</v>
      </c>
      <c r="B74" s="7" t="s">
        <v>129</v>
      </c>
      <c r="C74" s="7">
        <v>73824.429999999993</v>
      </c>
      <c r="D74" s="7"/>
      <c r="E74" s="7"/>
    </row>
    <row r="75" spans="1:5" x14ac:dyDescent="0.15">
      <c r="A75" s="6">
        <v>2016.06</v>
      </c>
      <c r="B75" s="7" t="s">
        <v>130</v>
      </c>
      <c r="C75" s="7">
        <f>C73-C74</f>
        <v>2734.8699999999953</v>
      </c>
      <c r="D75" s="7" t="s">
        <v>131</v>
      </c>
      <c r="E75" s="8">
        <f>(C75-2000)/C74</f>
        <v>9.9542929081876484E-3</v>
      </c>
    </row>
    <row r="78" spans="1:5" x14ac:dyDescent="0.15">
      <c r="A78" s="5" t="s">
        <v>117</v>
      </c>
      <c r="B78" s="5" t="s">
        <v>133</v>
      </c>
      <c r="C78" s="5" t="s">
        <v>0</v>
      </c>
      <c r="D78" s="5"/>
      <c r="E78" s="5"/>
    </row>
    <row r="79" spans="1:5" x14ac:dyDescent="0.15">
      <c r="A79" s="6">
        <v>2016.07</v>
      </c>
      <c r="B79" s="9" t="s">
        <v>141</v>
      </c>
      <c r="C79" s="10">
        <v>0</v>
      </c>
      <c r="D79" s="5"/>
      <c r="E79" s="5"/>
    </row>
    <row r="80" spans="1:5" x14ac:dyDescent="0.15">
      <c r="A80" s="6">
        <v>2016.07</v>
      </c>
      <c r="B80" s="9" t="s">
        <v>150</v>
      </c>
      <c r="C80" s="10">
        <v>32702.38</v>
      </c>
      <c r="D80" s="5"/>
      <c r="E80" s="5"/>
    </row>
    <row r="81" spans="1:5" x14ac:dyDescent="0.15">
      <c r="A81" s="6">
        <v>2016.07</v>
      </c>
      <c r="B81" s="9" t="s">
        <v>145</v>
      </c>
      <c r="C81" s="10">
        <v>2000</v>
      </c>
      <c r="D81" s="5"/>
      <c r="E81" s="5"/>
    </row>
    <row r="82" spans="1:5" x14ac:dyDescent="0.15">
      <c r="A82" s="6">
        <v>2016.07</v>
      </c>
      <c r="B82" s="7" t="s">
        <v>147</v>
      </c>
      <c r="C82" s="7">
        <v>43783.29</v>
      </c>
      <c r="D82" s="7"/>
      <c r="E82" s="7"/>
    </row>
    <row r="83" spans="1:5" x14ac:dyDescent="0.15">
      <c r="A83" s="6"/>
      <c r="B83" s="7"/>
      <c r="C83" s="7"/>
      <c r="D83" s="6"/>
      <c r="E83" s="7"/>
    </row>
    <row r="84" spans="1:5" x14ac:dyDescent="0.15">
      <c r="A84" s="6">
        <v>2016.07</v>
      </c>
      <c r="B84" s="7" t="s">
        <v>112</v>
      </c>
      <c r="C84" s="7">
        <f>SUM(C79:C83)</f>
        <v>78485.670000000013</v>
      </c>
      <c r="D84" s="7"/>
      <c r="E84" s="7"/>
    </row>
    <row r="85" spans="1:5" x14ac:dyDescent="0.15">
      <c r="A85" s="6">
        <v>2016.07</v>
      </c>
      <c r="B85" s="7" t="s">
        <v>129</v>
      </c>
      <c r="C85" s="7">
        <v>76559.3</v>
      </c>
      <c r="D85" s="7"/>
      <c r="E85" s="7"/>
    </row>
    <row r="86" spans="1:5" x14ac:dyDescent="0.15">
      <c r="A86" s="6">
        <v>2016.07</v>
      </c>
      <c r="B86" s="7" t="s">
        <v>130</v>
      </c>
      <c r="C86" s="7">
        <f>C84-C85</f>
        <v>1926.3700000000099</v>
      </c>
      <c r="D86" s="7" t="s">
        <v>131</v>
      </c>
      <c r="E86" s="8">
        <f>(C86-2000)/C85</f>
        <v>-9.6173815591299948E-4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I4" sqref="I4"/>
    </sheetView>
  </sheetViews>
  <sheetFormatPr defaultRowHeight="13.5" x14ac:dyDescent="0.15"/>
  <cols>
    <col min="1" max="1" width="11.625" bestFit="1" customWidth="1"/>
    <col min="2" max="2" width="13.125" bestFit="1" customWidth="1"/>
    <col min="3" max="3" width="20.875" customWidth="1"/>
    <col min="4" max="4" width="19.75" bestFit="1" customWidth="1"/>
    <col min="5" max="5" width="19.875" customWidth="1"/>
  </cols>
  <sheetData>
    <row r="1" spans="1:9" x14ac:dyDescent="0.15">
      <c r="A1" t="s">
        <v>117</v>
      </c>
      <c r="B1" t="s">
        <v>123</v>
      </c>
      <c r="C1" t="s">
        <v>122</v>
      </c>
      <c r="D1" t="s">
        <v>124</v>
      </c>
      <c r="E1" t="s">
        <v>125</v>
      </c>
      <c r="F1" t="s">
        <v>118</v>
      </c>
      <c r="G1" t="s">
        <v>119</v>
      </c>
      <c r="H1" t="s">
        <v>120</v>
      </c>
      <c r="I1" t="s">
        <v>112</v>
      </c>
    </row>
    <row r="2" spans="1:9" x14ac:dyDescent="0.15">
      <c r="A2" s="1">
        <v>42278</v>
      </c>
      <c r="B2">
        <f>4000+117</f>
        <v>4117</v>
      </c>
      <c r="C2">
        <v>20000</v>
      </c>
      <c r="D2">
        <f>21868.09+10000-2914.99</f>
        <v>28953.1</v>
      </c>
      <c r="E2">
        <f>29-8</f>
        <v>21</v>
      </c>
      <c r="F2">
        <v>0</v>
      </c>
      <c r="G2">
        <v>0</v>
      </c>
      <c r="H2">
        <v>0</v>
      </c>
      <c r="I2">
        <f>SUM(B2:H2)</f>
        <v>53091.1</v>
      </c>
    </row>
    <row r="3" spans="1:9" x14ac:dyDescent="0.15">
      <c r="A3" s="1">
        <v>42305</v>
      </c>
      <c r="B3">
        <v>117</v>
      </c>
      <c r="C3">
        <v>0</v>
      </c>
      <c r="D3">
        <f>21296.18+1006.07</f>
        <v>22302.25</v>
      </c>
      <c r="E3">
        <v>31191.34</v>
      </c>
      <c r="F3">
        <v>0</v>
      </c>
      <c r="G3">
        <v>0</v>
      </c>
      <c r="H3">
        <v>0</v>
      </c>
      <c r="I3">
        <f>SUM(B3:H3)</f>
        <v>53610.59</v>
      </c>
    </row>
    <row r="4" spans="1:9" x14ac:dyDescent="0.15">
      <c r="A4" s="1">
        <v>42338</v>
      </c>
      <c r="B4">
        <f>20000+117</f>
        <v>20117</v>
      </c>
      <c r="C4">
        <v>0</v>
      </c>
      <c r="D4">
        <f>20720.27</f>
        <v>20720.27</v>
      </c>
      <c r="E4">
        <v>0</v>
      </c>
      <c r="F4">
        <v>15323.94</v>
      </c>
      <c r="G4">
        <v>0</v>
      </c>
      <c r="H4">
        <v>0</v>
      </c>
      <c r="I4">
        <f>SUM(B4:H4)</f>
        <v>56161.210000000006</v>
      </c>
    </row>
    <row r="5" spans="1:9" x14ac:dyDescent="0.15">
      <c r="A5" s="1">
        <v>42343</v>
      </c>
      <c r="B5">
        <v>33117</v>
      </c>
      <c r="C5">
        <v>10000</v>
      </c>
      <c r="D5">
        <v>0</v>
      </c>
      <c r="E5">
        <v>0</v>
      </c>
      <c r="F5">
        <v>15114.67</v>
      </c>
      <c r="G5">
        <v>0</v>
      </c>
      <c r="H5">
        <v>0</v>
      </c>
      <c r="I5">
        <f>SUM(B5:H5)</f>
        <v>58231.67</v>
      </c>
    </row>
    <row r="6" spans="1:9" x14ac:dyDescent="0.15">
      <c r="A6" s="1">
        <v>42360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试算</vt:lpstr>
      <vt:lpstr>招财宝</vt:lpstr>
      <vt:lpstr>招财宝_王蕾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2016-07-05T13:52:36Z</dcterms:modified>
</cp:coreProperties>
</file>