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1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招财宝!$A$1:$L$189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C25" i="12" l="1"/>
  <c r="C28" i="12" l="1"/>
  <c r="C26" i="12" l="1"/>
  <c r="C30" i="12" l="1"/>
  <c r="E30" i="12" s="1"/>
  <c r="C13" i="12" l="1"/>
  <c r="C16" i="12"/>
  <c r="C15" i="12" l="1"/>
  <c r="C14" i="12" l="1"/>
  <c r="C18" i="12" l="1"/>
  <c r="C20" i="12" s="1"/>
  <c r="E20" i="12" s="1"/>
  <c r="C2" i="12" l="1"/>
  <c r="K189" i="2" l="1"/>
  <c r="H189" i="2"/>
  <c r="H188" i="2" l="1"/>
  <c r="K120" i="7"/>
  <c r="J120" i="7"/>
  <c r="K119" i="7"/>
  <c r="J119" i="7"/>
  <c r="H119" i="7"/>
  <c r="K187" i="2"/>
  <c r="G187" i="2"/>
  <c r="J187" i="2" s="1"/>
  <c r="G188" i="2"/>
  <c r="J188" i="2" l="1"/>
  <c r="K188" i="2"/>
  <c r="C7" i="12" l="1"/>
  <c r="K185" i="2" l="1"/>
  <c r="H185" i="2"/>
  <c r="K186" i="2" l="1"/>
  <c r="K184" i="2"/>
  <c r="J184" i="2"/>
  <c r="H184" i="2"/>
  <c r="H186" i="2"/>
  <c r="K118" i="7"/>
  <c r="J118" i="7"/>
  <c r="H118" i="7"/>
  <c r="G189" i="2" l="1"/>
  <c r="J189" i="2" s="1"/>
  <c r="F189" i="2"/>
  <c r="K183" i="2"/>
  <c r="H183" i="2"/>
  <c r="F188" i="2" l="1"/>
  <c r="G120" i="7"/>
  <c r="F120" i="7"/>
  <c r="K117" i="7"/>
  <c r="J117" i="7"/>
  <c r="H117" i="7"/>
  <c r="K106" i="7" l="1"/>
  <c r="J106" i="7"/>
  <c r="H106" i="7"/>
  <c r="F187" i="2" l="1"/>
  <c r="G119" i="7"/>
  <c r="F119" i="7"/>
  <c r="K116" i="7"/>
  <c r="J116" i="7"/>
  <c r="H116" i="7"/>
  <c r="G186" i="2" l="1"/>
  <c r="J186" i="2" s="1"/>
  <c r="F186" i="2"/>
  <c r="G185" i="2" l="1"/>
  <c r="J185" i="2" s="1"/>
  <c r="F185" i="2"/>
  <c r="K182" i="2"/>
  <c r="H182" i="2"/>
  <c r="F118" i="7" l="1"/>
  <c r="F184" i="2"/>
  <c r="G183" i="2" l="1"/>
  <c r="J183" i="2" s="1"/>
  <c r="F183" i="2"/>
  <c r="G117" i="7" l="1"/>
  <c r="F117" i="7"/>
  <c r="I5" i="13" l="1"/>
  <c r="D3" i="13"/>
  <c r="D2" i="13"/>
  <c r="B4" i="13"/>
  <c r="B2" i="13"/>
  <c r="C9" i="12" l="1"/>
  <c r="E9" i="12" s="1"/>
  <c r="G116" i="7"/>
  <c r="F116" i="7"/>
  <c r="F182" i="2" l="1"/>
  <c r="G182" i="2"/>
  <c r="J182" i="2" s="1"/>
  <c r="D4" i="13" l="1"/>
  <c r="I4" i="13" l="1"/>
  <c r="I3" i="13" l="1"/>
  <c r="K115" i="7" l="1"/>
  <c r="J115" i="7"/>
  <c r="H115" i="7"/>
  <c r="K176" i="2" l="1"/>
  <c r="J176" i="2"/>
  <c r="H176" i="2"/>
  <c r="E2" i="13" l="1"/>
  <c r="I2" i="13" s="1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K114" i="7" l="1"/>
  <c r="J114" i="7"/>
  <c r="H114" i="7"/>
  <c r="F181" i="2"/>
  <c r="F180" i="2"/>
  <c r="F179" i="2"/>
  <c r="F178" i="2"/>
  <c r="F177" i="2"/>
  <c r="K113" i="7"/>
  <c r="G113" i="7"/>
  <c r="J113" i="7"/>
  <c r="H113" i="7"/>
  <c r="K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 s="1"/>
  <c r="H171" i="2"/>
  <c r="H170" i="2"/>
  <c r="F170" i="2"/>
  <c r="H165" i="2"/>
  <c r="H159" i="2"/>
  <c r="F176" i="2"/>
  <c r="K158" i="2"/>
  <c r="G158" i="2"/>
  <c r="J158" i="2"/>
  <c r="H158" i="2"/>
  <c r="F115" i="7"/>
  <c r="F114" i="7"/>
  <c r="K104" i="7"/>
  <c r="G104" i="7"/>
  <c r="J104" i="7"/>
  <c r="K102" i="7"/>
  <c r="G102" i="7"/>
  <c r="J102" i="7"/>
  <c r="H104" i="7"/>
  <c r="H102" i="7"/>
  <c r="G175" i="2"/>
  <c r="J175" i="2" s="1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 s="1"/>
  <c r="F159" i="2"/>
  <c r="F158" i="2"/>
  <c r="G157" i="2"/>
  <c r="J157" i="2" s="1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 s="1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 s="1"/>
  <c r="F151" i="2"/>
  <c r="G150" i="2"/>
  <c r="J150" i="2" s="1"/>
  <c r="F150" i="2"/>
  <c r="G149" i="2"/>
  <c r="J149" i="2" s="1"/>
  <c r="F149" i="2"/>
  <c r="G148" i="2"/>
  <c r="J148" i="2" s="1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 s="1"/>
  <c r="F145" i="2"/>
  <c r="G144" i="2"/>
  <c r="J144" i="2" s="1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 s="1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 s="1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 s="1"/>
  <c r="F134" i="2"/>
  <c r="G133" i="2"/>
  <c r="J133" i="2"/>
  <c r="F133" i="2"/>
  <c r="H109" i="2"/>
  <c r="H110" i="2"/>
  <c r="G132" i="2"/>
  <c r="J132" i="2" s="1"/>
  <c r="F132" i="2"/>
  <c r="G131" i="2"/>
  <c r="J131" i="2" s="1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 s="1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 s="1"/>
  <c r="F128" i="2"/>
  <c r="G127" i="2"/>
  <c r="J127" i="2" s="1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 s="1"/>
  <c r="F126" i="2"/>
  <c r="G125" i="2"/>
  <c r="J125" i="2"/>
  <c r="F125" i="2"/>
  <c r="G124" i="2"/>
  <c r="J124" i="2"/>
  <c r="F124" i="2"/>
  <c r="G123" i="2"/>
  <c r="J123" i="2" s="1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 s="1"/>
  <c r="F122" i="2"/>
  <c r="G121" i="2"/>
  <c r="J121" i="2" s="1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 s="1"/>
  <c r="F120" i="2"/>
  <c r="G119" i="2"/>
  <c r="J119" i="2" s="1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 s="1"/>
  <c r="F118" i="2"/>
  <c r="G117" i="2"/>
  <c r="J117" i="2" s="1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 s="1"/>
  <c r="F116" i="2"/>
  <c r="G115" i="2"/>
  <c r="J115" i="2" s="1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 s="1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 s="1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 s="1"/>
  <c r="F110" i="2"/>
  <c r="G109" i="2"/>
  <c r="J109" i="2" s="1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 s="1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 s="1"/>
  <c r="F105" i="2"/>
  <c r="K38" i="7"/>
  <c r="H38" i="7"/>
  <c r="H37" i="7"/>
  <c r="K37" i="7"/>
  <c r="G58" i="7"/>
  <c r="J58" i="7"/>
  <c r="F58" i="7"/>
  <c r="G57" i="7"/>
  <c r="J57" i="7"/>
  <c r="F57" i="7"/>
  <c r="G104" i="2"/>
  <c r="J104" i="2" s="1"/>
  <c r="F104" i="2"/>
  <c r="G103" i="2"/>
  <c r="J103" i="2" s="1"/>
  <c r="F103" i="2"/>
  <c r="G102" i="2"/>
  <c r="J102" i="2"/>
  <c r="F102" i="2"/>
  <c r="G101" i="2"/>
  <c r="J101" i="2" s="1"/>
  <c r="F101" i="2"/>
  <c r="G100" i="2"/>
  <c r="J100" i="2" s="1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 s="1"/>
  <c r="F97" i="2"/>
  <c r="H76" i="2"/>
  <c r="K76" i="2"/>
  <c r="H75" i="2"/>
  <c r="K75" i="2"/>
  <c r="K32" i="7"/>
  <c r="K31" i="7"/>
  <c r="H31" i="7"/>
  <c r="G96" i="2"/>
  <c r="J96" i="2" s="1"/>
  <c r="F96" i="2"/>
  <c r="G95" i="2"/>
  <c r="J95" i="2" s="1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 s="1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 s="1"/>
  <c r="F92" i="2"/>
  <c r="H68" i="2"/>
  <c r="K68" i="2"/>
  <c r="G91" i="2"/>
  <c r="J91" i="2" s="1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 s="1"/>
  <c r="F90" i="2"/>
  <c r="G89" i="2"/>
  <c r="J89" i="2" s="1"/>
  <c r="F89" i="2"/>
  <c r="H67" i="2"/>
  <c r="K67" i="2"/>
  <c r="H66" i="2"/>
  <c r="K66" i="2"/>
  <c r="G88" i="2"/>
  <c r="J88" i="2"/>
  <c r="F88" i="2"/>
  <c r="G87" i="2"/>
  <c r="J87" i="2" s="1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 s="1"/>
  <c r="F86" i="2"/>
  <c r="G85" i="2"/>
  <c r="J85" i="2"/>
  <c r="F85" i="2"/>
  <c r="H63" i="2"/>
  <c r="K63" i="2"/>
  <c r="H62" i="2"/>
  <c r="K62" i="2"/>
  <c r="G84" i="2"/>
  <c r="J84" i="2"/>
  <c r="F84" i="2"/>
  <c r="G83" i="2"/>
  <c r="J83" i="2" s="1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 s="1"/>
  <c r="F80" i="2"/>
  <c r="G79" i="2"/>
  <c r="J79" i="2" s="1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 s="1"/>
  <c r="F75" i="2"/>
  <c r="K55" i="2"/>
  <c r="K53" i="2"/>
  <c r="K54" i="2"/>
  <c r="G74" i="2"/>
  <c r="J74" i="2" s="1"/>
  <c r="F74" i="2"/>
  <c r="G73" i="2"/>
  <c r="J73" i="2" s="1"/>
  <c r="F73" i="2"/>
  <c r="K52" i="2"/>
  <c r="G30" i="7"/>
  <c r="J30" i="7"/>
  <c r="F30" i="7"/>
  <c r="G29" i="7"/>
  <c r="J29" i="7"/>
  <c r="F29" i="7"/>
  <c r="K10" i="7"/>
  <c r="K9" i="7"/>
  <c r="G72" i="2"/>
  <c r="J72" i="2" s="1"/>
  <c r="F72" i="2"/>
  <c r="G28" i="7"/>
  <c r="J28" i="7"/>
  <c r="F28" i="7"/>
  <c r="G27" i="7"/>
  <c r="J27" i="7"/>
  <c r="F27" i="7"/>
  <c r="G71" i="2"/>
  <c r="J71" i="2" s="1"/>
  <c r="F71" i="2"/>
  <c r="G70" i="2"/>
  <c r="J70" i="2" s="1"/>
  <c r="F70" i="2"/>
  <c r="K51" i="2"/>
  <c r="G69" i="2"/>
  <c r="J69" i="2" s="1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 s="1"/>
  <c r="F67" i="2"/>
  <c r="G66" i="2"/>
  <c r="J66" i="2"/>
  <c r="F66" i="2"/>
  <c r="K49" i="2"/>
  <c r="G49" i="2"/>
  <c r="J49" i="2"/>
  <c r="G65" i="2"/>
  <c r="J65" i="2" s="1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 s="1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 s="1"/>
  <c r="F59" i="2"/>
  <c r="G58" i="2"/>
  <c r="J58" i="2"/>
  <c r="F58" i="2"/>
  <c r="G57" i="2"/>
  <c r="J57" i="2" s="1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 s="1"/>
  <c r="F56" i="2"/>
  <c r="K40" i="2"/>
  <c r="K39" i="2"/>
  <c r="J39" i="2"/>
  <c r="G55" i="2"/>
  <c r="J55" i="2" s="1"/>
  <c r="F55" i="2"/>
  <c r="K38" i="2"/>
  <c r="G54" i="2"/>
  <c r="J54" i="2" s="1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 s="1"/>
  <c r="F50" i="2"/>
  <c r="K35" i="2"/>
  <c r="G35" i="2"/>
  <c r="J35" i="2" s="1"/>
  <c r="F49" i="2"/>
  <c r="K34" i="2"/>
  <c r="G34" i="2"/>
  <c r="J34" i="2" s="1"/>
  <c r="F8" i="7"/>
  <c r="G48" i="2"/>
  <c r="J48" i="2"/>
  <c r="F48" i="2"/>
  <c r="G47" i="2"/>
  <c r="J47" i="2" s="1"/>
  <c r="F47" i="2"/>
  <c r="K33" i="2"/>
  <c r="G46" i="2"/>
  <c r="J46" i="2" s="1"/>
  <c r="F46" i="2"/>
  <c r="G45" i="2"/>
  <c r="J45" i="2" s="1"/>
  <c r="F45" i="2"/>
  <c r="K32" i="2"/>
  <c r="G44" i="2"/>
  <c r="J44" i="2" s="1"/>
  <c r="F44" i="2"/>
  <c r="K31" i="2"/>
  <c r="G43" i="2"/>
  <c r="J43" i="2" s="1"/>
  <c r="F43" i="2"/>
  <c r="K30" i="2"/>
  <c r="G30" i="2"/>
  <c r="J30" i="2" s="1"/>
  <c r="G42" i="2"/>
  <c r="J42" i="2"/>
  <c r="F42" i="2"/>
  <c r="G41" i="2"/>
  <c r="J41" i="2" s="1"/>
  <c r="F41" i="2"/>
  <c r="K29" i="2"/>
  <c r="F40" i="2"/>
  <c r="G40" i="2"/>
  <c r="J40" i="2"/>
  <c r="K28" i="2"/>
  <c r="J28" i="2"/>
  <c r="F39" i="2"/>
  <c r="F7" i="7"/>
  <c r="F38" i="2"/>
  <c r="G38" i="2"/>
  <c r="J38" i="2" s="1"/>
  <c r="J27" i="2"/>
  <c r="K4" i="7"/>
  <c r="J4" i="7"/>
  <c r="K27" i="2"/>
  <c r="G37" i="2"/>
  <c r="J37" i="2" s="1"/>
  <c r="F37" i="2"/>
  <c r="J25" i="2"/>
  <c r="K25" i="2"/>
  <c r="F6" i="7"/>
  <c r="F5" i="7"/>
  <c r="G36" i="2"/>
  <c r="J36" i="2" s="1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 s="1"/>
  <c r="K22" i="2"/>
  <c r="J22" i="2"/>
  <c r="G31" i="2"/>
  <c r="J31" i="2" s="1"/>
  <c r="K21" i="2"/>
  <c r="J21" i="2"/>
  <c r="G29" i="2"/>
  <c r="J29" i="2" s="1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<sst xmlns="http://schemas.openxmlformats.org/spreadsheetml/2006/main" count="579" uniqueCount="152">
  <si>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</si>
  <si>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</si>
  <si>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</si>
  <si>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</si>
  <si>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</si>
  <si>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</si>
  <si>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</si>
  <si>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</si>
  <si>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</si>
  <si>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</si>
  <si>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</si>
  <si>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</si>
  <si>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</si>
  <si>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</si>
  <si>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</si>
  <si>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</si>
  <si>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</si>
  <si>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</si>
  <si>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</si>
  <si>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</si>
  <si>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</si>
  <si>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</si>
  <si>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</si>
  <si>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</si>
  <si>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</si>
  <si>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</si>
  <si>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</si>
  <si>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</si>
  <si>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</si>
  <si>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</si>
  <si>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</si>
  <si>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</si>
  <si>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</si>
  <si>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</si>
  <si>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</si>
  <si>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</si>
  <si>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</si>
  <si>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</si>
  <si>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</si>
  <si>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</si>
  <si>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</si>
  <si>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</si>
  <si>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</si>
  <si>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</si>
  <si>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</si>
  <si>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</si>
  <si>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</si>
  <si>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</si>
  <si>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</si>
  <si>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</si>
  <si>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</si>
  <si>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</si>
  <si>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</si>
  <si>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</si>
  <si>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</si>
  <si>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</si>
  <si>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</si>
  <si>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</si>
  <si>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</si>
  <si>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</si>
  <si>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</si>
  <si>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</si>
  <si>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</si>
  <si>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</si>
  <si>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</si>
  <si>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</si>
  <si>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</si>
  <si>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</si>
  <si>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</si>
  <si>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</si>
  <si>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</si>
  <si>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</si>
  <si>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</si>
  <si>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</si>
  <si>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</si>
  <si>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</si>
  <si>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</si>
  <si>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</si>
  <si>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</si>
  <si>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</si>
  <si>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</si>
  <si>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</si>
  <si>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</si>
  <si>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</si>
  <si>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</si>
  <si>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</si>
  <si>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</si>
  <si>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</si>
  <si>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</si>
  <si>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</si>
  <si>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</si>
  <si>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</si>
  <si>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</si>
  <si>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2015.07-07</t>
    <phoneticPr fontId="1" type="noConversion"/>
  </si>
  <si>
    <t>2015.08-08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</si>
  <si>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</si>
  <si>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</si>
  <si>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</si>
  <si>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</si>
  <si>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</si>
  <si>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</si>
  <si>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</si>
  <si>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</si>
  <si>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</si>
  <si>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</si>
  <si>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</si>
  <si>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</si>
  <si>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</si>
  <si>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</si>
  <si>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</si>
  <si>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</si>
  <si>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</si>
  <si>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</si>
  <si>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</si>
  <si>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</si>
  <si>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</si>
  <si>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</si>
  <si>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</si>
  <si>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</si>
  <si>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</si>
  <si>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</si>
  <si>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</si>
  <si>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</si>
  <si>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</si>
  <si>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</si>
  <si>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</si>
  <si>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</si>
  <si>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钱大掌柜</t>
    <phoneticPr fontId="1" type="noConversion"/>
  </si>
  <si>
    <t>京东金融</t>
    <phoneticPr fontId="1" type="noConversion"/>
  </si>
  <si>
    <t>中新大东方恒大稳盈2号</t>
    <phoneticPr fontId="1" type="noConversion"/>
  </si>
  <si>
    <t>陆金所-保险/票据/基金</t>
    <phoneticPr fontId="1" type="noConversion"/>
  </si>
  <si>
    <t>招财宝</t>
    <phoneticPr fontId="1" type="noConversion"/>
  </si>
  <si>
    <t>陆金所-&gt;P2P/变现通</t>
    <phoneticPr fontId="1" type="noConversion"/>
  </si>
  <si>
    <t>陆金所-&gt;余额/零活宝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</si>
  <si>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</si>
  <si>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</si>
  <si>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</si>
  <si>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</si>
  <si>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</si>
  <si>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</si>
  <si>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</si>
  <si>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</si>
  <si>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</si>
  <si>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</si>
  <si>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</si>
  <si>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</si>
  <si>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稳盈-安e 16010348890</t>
    <phoneticPr fontId="1" type="noConversion"/>
  </si>
  <si>
    <t>稳盈-安e 16010279653</t>
    <phoneticPr fontId="1" type="noConversion"/>
  </si>
  <si>
    <t>稳盈-安e 16011383258</t>
    <phoneticPr fontId="1" type="noConversion"/>
  </si>
  <si>
    <t>借入的资金</t>
    <phoneticPr fontId="1" type="noConversion"/>
  </si>
  <si>
    <t>到期</t>
    <phoneticPr fontId="1" type="noConversion"/>
  </si>
  <si>
    <t>到期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</si>
</sst>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"/>
  <sheetViews>
    <sheetView tabSelected="1" zoomScaleNormal="100" workbookViewId="0">
      <pane xSplit="5" ySplit="1" topLeftCell="G2" activePane="bottomRight" state="frozen"/>
      <selection pane="topRight" activeCell="F1" sqref="F1"/>
      <selection pane="bottomLeft" activeCell="A2" sqref="A2"/>
      <selection pane="bottomRight" activeCell="L2" sqref="L2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8" width="11.75" bestFit="1" customWidth="1"/>
    <col min="9" max="9" width="11.75" style="12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11" t="s">
        <v>45</v>
      </c>
      <c r="J1" s="2" t="s">
        <v>37</v>
      </c>
      <c r="K1" s="2" t="s">
        <v>46</v>
      </c>
      <c r="L1" s="2" t="s">
        <v>151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 s="1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 s="12">
        <v>44.02</v>
      </c>
      <c r="J3">
        <f t="shared" si="0"/>
        <v>-10.16</v>
      </c>
      <c r="K3">
        <f t="shared" si="1"/>
        <v>22.589999999999918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 s="12">
        <v>44.01</v>
      </c>
      <c r="J4">
        <f t="shared" si="0"/>
        <v>-10.17</v>
      </c>
      <c r="K4">
        <f t="shared" si="1"/>
        <v>22.559999999999945</v>
      </c>
    </row>
    <row r="5" spans="1:12" hidden="1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 s="12">
        <v>586.17999999999995</v>
      </c>
      <c r="J5">
        <f t="shared" si="0"/>
        <v>-33.880000000000003</v>
      </c>
      <c r="K5">
        <f t="shared" si="1"/>
        <v>188.93000000000029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 s="12">
        <v>88.03</v>
      </c>
      <c r="J6">
        <f t="shared" si="0"/>
        <v>-10.16</v>
      </c>
      <c r="K6">
        <f t="shared" si="1"/>
        <v>45.149999999999864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 s="12">
        <v>44.01</v>
      </c>
      <c r="J7">
        <f t="shared" si="0"/>
        <v>-10.98</v>
      </c>
      <c r="K7">
        <f t="shared" si="1"/>
        <v>22.049999999999955</v>
      </c>
    </row>
    <row r="8" spans="1:12" hidden="1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 s="12">
        <f>439.66</f>
        <v>439.66</v>
      </c>
      <c r="J8">
        <f t="shared" si="0"/>
        <v>-35.799999999999997</v>
      </c>
      <c r="K8">
        <f t="shared" si="1"/>
        <v>139.55000000000018</v>
      </c>
    </row>
    <row r="9" spans="1:12" hidden="1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 s="12">
        <f>293.1</f>
        <v>293.10000000000002</v>
      </c>
      <c r="J9">
        <f t="shared" si="0"/>
        <v>-35.799999999999997</v>
      </c>
      <c r="K9">
        <f t="shared" si="1"/>
        <v>93.010000000000218</v>
      </c>
    </row>
    <row r="10" spans="1:12" hidden="1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 s="12">
        <v>178.41</v>
      </c>
      <c r="J10">
        <f t="shared" si="0"/>
        <v>-26.07</v>
      </c>
      <c r="K10">
        <f t="shared" si="1"/>
        <v>69.839999999999691</v>
      </c>
    </row>
    <row r="11" spans="1:12" hidden="1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 s="12">
        <v>178.14</v>
      </c>
      <c r="J11">
        <f t="shared" si="0"/>
        <v>-26.15</v>
      </c>
      <c r="K11">
        <f t="shared" si="1"/>
        <v>69.229999999999563</v>
      </c>
    </row>
    <row r="12" spans="1:12" hidden="1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 s="12">
        <v>0.01</v>
      </c>
      <c r="J12">
        <f t="shared" si="0"/>
        <v>66.86</v>
      </c>
      <c r="K12">
        <f t="shared" si="1"/>
        <v>219.81000000000131</v>
      </c>
    </row>
    <row r="13" spans="1:12" hidden="1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 s="12">
        <v>0.03</v>
      </c>
      <c r="J13">
        <f t="shared" si="0"/>
        <v>51.03</v>
      </c>
      <c r="K13">
        <f t="shared" si="1"/>
        <v>30.789999999999964</v>
      </c>
    </row>
    <row r="14" spans="1:12" hidden="1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 s="12">
        <v>0.02</v>
      </c>
      <c r="J14">
        <f t="shared" si="0"/>
        <v>51.04</v>
      </c>
      <c r="K14">
        <f t="shared" si="1"/>
        <v>76.930000000000291</v>
      </c>
    </row>
    <row r="15" spans="1:12" hidden="1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 s="12">
        <v>0.01</v>
      </c>
      <c r="J15">
        <f t="shared" si="0"/>
        <v>51.02</v>
      </c>
      <c r="K15">
        <f t="shared" si="1"/>
        <v>107.64000000000033</v>
      </c>
    </row>
    <row r="16" spans="1:12" hidden="1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 s="12">
        <v>0.01</v>
      </c>
      <c r="J16">
        <f t="shared" si="0"/>
        <v>50.78</v>
      </c>
      <c r="K16">
        <f t="shared" si="1"/>
        <v>153.05999999999949</v>
      </c>
    </row>
    <row r="17" spans="1:11" hidden="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 s="12">
        <v>0.08</v>
      </c>
      <c r="J17">
        <f t="shared" si="0"/>
        <v>52.08</v>
      </c>
      <c r="K17">
        <f t="shared" si="1"/>
        <v>157.02000000000044</v>
      </c>
    </row>
    <row r="18" spans="1:11" hidden="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 s="12">
        <v>0.02</v>
      </c>
      <c r="J18">
        <f t="shared" si="0"/>
        <v>44.2</v>
      </c>
      <c r="K18">
        <f t="shared" si="1"/>
        <v>159.85000000000036</v>
      </c>
    </row>
    <row r="19" spans="1:11" hidden="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 s="12">
        <v>0.01</v>
      </c>
      <c r="J19">
        <f t="shared" si="0"/>
        <v>29.73</v>
      </c>
      <c r="K19">
        <f t="shared" si="1"/>
        <v>137.68000000000029</v>
      </c>
    </row>
    <row r="20" spans="1:11" hidden="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 s="12">
        <v>0.01</v>
      </c>
      <c r="J20">
        <f t="shared" si="0"/>
        <v>34.9</v>
      </c>
      <c r="K20">
        <f t="shared" si="1"/>
        <v>84.150000000000546</v>
      </c>
    </row>
    <row r="21" spans="1:11" hidden="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 s="12">
        <v>0.01</v>
      </c>
      <c r="J21">
        <f t="shared" si="0"/>
        <v>37.72</v>
      </c>
      <c r="K21">
        <f t="shared" si="1"/>
        <v>227.36999999999898</v>
      </c>
    </row>
    <row r="22" spans="1:11" hidden="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 s="12">
        <v>0.04</v>
      </c>
      <c r="J22">
        <f t="shared" si="0"/>
        <v>35.65</v>
      </c>
      <c r="K22">
        <f t="shared" si="1"/>
        <v>140.68000000000029</v>
      </c>
    </row>
    <row r="23" spans="1:11" hidden="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 s="12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</row>
    <row r="24" spans="1:11" hidden="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 s="12">
        <v>0.01</v>
      </c>
      <c r="J24">
        <f t="shared" si="2"/>
        <v>35.630000000000003</v>
      </c>
      <c r="K24">
        <f t="shared" si="3"/>
        <v>70.300000000000182</v>
      </c>
    </row>
    <row r="25" spans="1:11" hidden="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 s="12">
        <v>0.01</v>
      </c>
      <c r="J25">
        <f t="shared" si="2"/>
        <v>29.85</v>
      </c>
      <c r="K25">
        <f t="shared" si="3"/>
        <v>57.260000000000218</v>
      </c>
    </row>
    <row r="26" spans="1:11" hidden="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 s="12">
        <v>0.02</v>
      </c>
      <c r="J26">
        <f t="shared" si="2"/>
        <v>38.99</v>
      </c>
      <c r="K26">
        <f t="shared" si="3"/>
        <v>58.770000000000437</v>
      </c>
    </row>
    <row r="27" spans="1:11" hidden="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 s="12">
        <v>0.01</v>
      </c>
      <c r="J27">
        <f t="shared" si="2"/>
        <v>45.91</v>
      </c>
      <c r="K27">
        <f t="shared" si="3"/>
        <v>75.480000000000473</v>
      </c>
    </row>
    <row r="28" spans="1:11" hidden="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 s="12">
        <v>0.02</v>
      </c>
      <c r="J28">
        <f t="shared" si="2"/>
        <v>43.6</v>
      </c>
      <c r="K28">
        <f t="shared" si="3"/>
        <v>77.660000000000764</v>
      </c>
    </row>
    <row r="29" spans="1:11" hidden="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4">E29+11</f>
        <v>42184</v>
      </c>
      <c r="H29">
        <v>8122.53</v>
      </c>
      <c r="I29" s="12">
        <v>0.02</v>
      </c>
      <c r="J29">
        <f t="shared" si="2"/>
        <v>50.82</v>
      </c>
      <c r="K29">
        <f t="shared" si="3"/>
        <v>122.55000000000018</v>
      </c>
    </row>
    <row r="30" spans="1:11" hidden="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4"/>
        <v>42185</v>
      </c>
      <c r="H30">
        <v>4057.52</v>
      </c>
      <c r="I30" s="12">
        <v>0.01</v>
      </c>
      <c r="J30">
        <f t="shared" si="2"/>
        <v>47.72</v>
      </c>
      <c r="K30">
        <f t="shared" si="3"/>
        <v>57.5300000000002</v>
      </c>
    </row>
    <row r="31" spans="1:11" hidden="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4">
        <f t="shared" si="4"/>
        <v>42186</v>
      </c>
      <c r="H31">
        <v>10158.84</v>
      </c>
      <c r="I31" s="12">
        <v>0.03</v>
      </c>
      <c r="J31">
        <f t="shared" si="2"/>
        <v>52.71</v>
      </c>
      <c r="K31">
        <f t="shared" si="3"/>
        <v>158.8700000000008</v>
      </c>
    </row>
    <row r="32" spans="1:11" hidden="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4">
        <f t="shared" si="4"/>
        <v>42187</v>
      </c>
      <c r="H32">
        <v>6108.83</v>
      </c>
      <c r="I32" s="12">
        <v>0.01</v>
      </c>
      <c r="J32">
        <f t="shared" si="2"/>
        <v>60.19</v>
      </c>
      <c r="K32">
        <f t="shared" si="3"/>
        <v>108.84000000000015</v>
      </c>
    </row>
    <row r="33" spans="1:11" hidden="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4">
        <f t="shared" si="4"/>
        <v>42188</v>
      </c>
      <c r="H33">
        <v>7127.02</v>
      </c>
      <c r="I33" s="12">
        <v>0.04</v>
      </c>
      <c r="J33">
        <f t="shared" si="2"/>
        <v>60.21</v>
      </c>
      <c r="K33">
        <f t="shared" si="3"/>
        <v>127.0600000000004</v>
      </c>
    </row>
    <row r="34" spans="1:11" hidden="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4">
        <f t="shared" si="4"/>
        <v>42189</v>
      </c>
      <c r="H34">
        <v>5095.87</v>
      </c>
      <c r="I34" s="12">
        <v>0.02</v>
      </c>
      <c r="J34">
        <f t="shared" si="2"/>
        <v>63.62</v>
      </c>
      <c r="K34">
        <f t="shared" si="3"/>
        <v>95.890000000000327</v>
      </c>
    </row>
    <row r="35" spans="1:11" hidden="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4">
        <f t="shared" ref="G35" si="6">E35+11</f>
        <v>42190</v>
      </c>
      <c r="H35">
        <v>5095.87</v>
      </c>
      <c r="I35" s="12">
        <v>0.01</v>
      </c>
      <c r="J35">
        <f t="shared" si="2"/>
        <v>63.62</v>
      </c>
      <c r="K35">
        <f t="shared" si="3"/>
        <v>95.880000000000109</v>
      </c>
    </row>
    <row r="36" spans="1:11" hidden="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4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</row>
    <row r="37" spans="1:11" hidden="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4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</row>
    <row r="38" spans="1:11" hidden="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4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</row>
    <row r="39" spans="1:11" hidden="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4">
        <v>42194</v>
      </c>
      <c r="H39">
        <v>1013.6800000000001</v>
      </c>
      <c r="J39">
        <f t="shared" si="2"/>
        <v>41.61</v>
      </c>
      <c r="K39">
        <f t="shared" si="3"/>
        <v>13.680000000000064</v>
      </c>
    </row>
    <row r="40" spans="1:11" hidden="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4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</row>
    <row r="41" spans="1:11" hidden="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4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</row>
    <row r="42" spans="1:11" hidden="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4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</row>
    <row r="43" spans="1:11" hidden="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4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</row>
    <row r="44" spans="1:11" hidden="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4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</row>
    <row r="45" spans="1:11" hidden="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4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</row>
    <row r="46" spans="1:11" hidden="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4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</row>
    <row r="47" spans="1:11" hidden="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4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</row>
    <row r="48" spans="1:11" hidden="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4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</row>
    <row r="49" spans="1:11" hidden="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4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</row>
    <row r="50" spans="1:11" hidden="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4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</row>
    <row r="51" spans="1:11" hidden="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4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</row>
    <row r="52" spans="1:11" hidden="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4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</row>
    <row r="53" spans="1:11" hidden="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4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</row>
    <row r="54" spans="1:11" hidden="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4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</row>
    <row r="55" spans="1:11" hidden="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4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</row>
    <row r="56" spans="1:11" hidden="1" x14ac:dyDescent="0.15">
      <c r="A56" s="3" t="s">
        <v>51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5">E56+1</f>
        <v>42195</v>
      </c>
      <c r="G56" s="4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</row>
    <row r="57" spans="1:11" hidden="1" x14ac:dyDescent="0.15">
      <c r="A57" s="3" t="s">
        <v>73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5"/>
        <v>42195</v>
      </c>
      <c r="G57" s="4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</row>
    <row r="58" spans="1:11" hidden="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4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</row>
    <row r="59" spans="1:11" hidden="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4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</row>
    <row r="60" spans="1:11" hidden="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4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</row>
    <row r="61" spans="1:11" hidden="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4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</row>
    <row r="62" spans="1:11" hidden="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4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</row>
    <row r="63" spans="1:11" hidden="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4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</row>
    <row r="64" spans="1:11" hidden="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4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</row>
    <row r="65" spans="1:11" hidden="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4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</row>
    <row r="66" spans="1:11" hidden="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4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</row>
    <row r="67" spans="1:11" hidden="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4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</row>
    <row r="68" spans="1:11" hidden="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4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</row>
    <row r="69" spans="1:11" hidden="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4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</row>
    <row r="70" spans="1:11" hidden="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4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</row>
    <row r="71" spans="1:11" hidden="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4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</row>
    <row r="72" spans="1:11" hidden="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4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</row>
    <row r="73" spans="1:11" hidden="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4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</row>
    <row r="74" spans="1:11" hidden="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4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</row>
    <row r="75" spans="1:11" hidden="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4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</row>
    <row r="76" spans="1:11" hidden="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4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</row>
    <row r="77" spans="1:11" hidden="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4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</row>
    <row r="78" spans="1:11" hidden="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4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</row>
    <row r="79" spans="1:11" hidden="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4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</row>
    <row r="80" spans="1:11" hidden="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4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</row>
    <row r="81" spans="1:11" hidden="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4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</row>
    <row r="82" spans="1:11" hidden="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4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</row>
    <row r="83" spans="1:11" hidden="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4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</row>
    <row r="84" spans="1:11" hidden="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4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</row>
    <row r="85" spans="1:11" hidden="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4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</row>
    <row r="86" spans="1:11" hidden="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4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</row>
    <row r="87" spans="1:11" hidden="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4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</row>
    <row r="88" spans="1:11" hidden="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4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</row>
    <row r="89" spans="1:11" hidden="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4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</row>
    <row r="90" spans="1:11" hidden="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4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</row>
    <row r="91" spans="1:11" hidden="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4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</row>
    <row r="92" spans="1:11" hidden="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4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</row>
    <row r="93" spans="1:11" hidden="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4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</row>
    <row r="94" spans="1:11" hidden="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4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</row>
    <row r="95" spans="1:11" hidden="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4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</row>
    <row r="96" spans="1:11" hidden="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4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</row>
    <row r="97" spans="1:11" hidden="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4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</row>
    <row r="98" spans="1:11" hidden="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4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</row>
    <row r="99" spans="1:11" hidden="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4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</row>
    <row r="100" spans="1:11" hidden="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4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1" hidden="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4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1" hidden="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4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1" hidden="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4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1" hidden="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4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1" hidden="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4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1" hidden="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4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1" hidden="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4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</row>
    <row r="108" spans="1:11" hidden="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4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1" hidden="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4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</row>
    <row r="110" spans="1:11" hidden="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4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1" hidden="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4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</row>
    <row r="112" spans="1:11" hidden="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4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1" hidden="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4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</row>
    <row r="114" spans="1:11" hidden="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4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1" hidden="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4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</row>
    <row r="116" spans="1:11" hidden="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4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1" hidden="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4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</row>
    <row r="118" spans="1:11" hidden="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4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1" hidden="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4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</row>
    <row r="120" spans="1:11" hidden="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4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1" hidden="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4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1" hidden="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4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1" hidden="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4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1" hidden="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4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1" hidden="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4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1" hidden="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4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1" hidden="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4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1" hidden="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4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2" hidden="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4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2" hidden="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4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2" hidden="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4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2" hidden="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4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2" hidden="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4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2" hidden="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4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2" hidden="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4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2" hidden="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4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2" hidden="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4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2" hidden="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4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2" hidden="1" x14ac:dyDescent="0.15">
      <c r="A139" s="3" t="s">
        <v>95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4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2" hidden="1" x14ac:dyDescent="0.15">
      <c r="A140" s="3" t="s">
        <v>97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4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2" x14ac:dyDescent="0.15">
      <c r="A141" s="3" t="s">
        <v>98</v>
      </c>
      <c r="B141" s="3">
        <v>180</v>
      </c>
      <c r="C141" s="3">
        <v>6.8</v>
      </c>
      <c r="D141" s="3">
        <v>6000</v>
      </c>
      <c r="E141" s="4">
        <v>42235</v>
      </c>
      <c r="F141" s="4">
        <f t="shared" ref="F141:F142" si="205">E141+1</f>
        <v>42236</v>
      </c>
      <c r="G141" s="4">
        <v>42247</v>
      </c>
      <c r="H141" s="3">
        <f>2681.7-2.68*2+3385.75-3.07*2</f>
        <v>6055.95</v>
      </c>
      <c r="I141" s="13">
        <v>0.51</v>
      </c>
      <c r="J141" s="3">
        <f t="shared" si="203"/>
        <v>28.36</v>
      </c>
      <c r="K141" s="3">
        <f t="shared" si="204"/>
        <v>56.460000000000036</v>
      </c>
      <c r="L141" t="s">
        <v>150</v>
      </c>
    </row>
    <row r="142" spans="1:12" hidden="1" x14ac:dyDescent="0.15">
      <c r="A142" s="3" t="s">
        <v>95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4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2" hidden="1" x14ac:dyDescent="0.15">
      <c r="A143" s="3" t="s">
        <v>99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2" hidden="1" x14ac:dyDescent="0.15">
      <c r="A144" s="3" t="s">
        <v>100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4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100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4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4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hidden="1" x14ac:dyDescent="0.15">
      <c r="A147" s="3" t="s">
        <v>101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4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hidden="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4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hidden="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4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hidden="1" x14ac:dyDescent="0.15">
      <c r="A150" s="3" t="s">
        <v>96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4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hidden="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4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hidden="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4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102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103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104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105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hidden="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4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hidden="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4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hidden="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4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hidden="1" x14ac:dyDescent="0.15">
      <c r="A160" s="3" t="s">
        <v>108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4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hidden="1" x14ac:dyDescent="0.15">
      <c r="A161" s="3" t="s">
        <v>109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4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hidden="1" x14ac:dyDescent="0.15">
      <c r="A162" s="3" t="s">
        <v>111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hidden="1" x14ac:dyDescent="0.15">
      <c r="A163" s="3" t="s">
        <v>112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hidden="1" x14ac:dyDescent="0.15">
      <c r="A164" s="3" t="s">
        <v>106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4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hidden="1" x14ac:dyDescent="0.15">
      <c r="A165" s="3" t="s">
        <v>113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4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hidden="1" x14ac:dyDescent="0.15">
      <c r="A166" s="3" t="s">
        <v>106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4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hidden="1" x14ac:dyDescent="0.15">
      <c r="A167" s="3" t="s">
        <v>114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4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hidden="1" x14ac:dyDescent="0.15">
      <c r="A168" s="3" t="s">
        <v>114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4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hidden="1" x14ac:dyDescent="0.15">
      <c r="A169" s="3" t="s">
        <v>114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4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hidden="1" x14ac:dyDescent="0.15">
      <c r="A170" s="3" t="s">
        <v>118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4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hidden="1" x14ac:dyDescent="0.15">
      <c r="A171" s="3" t="s">
        <v>116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hidden="1" x14ac:dyDescent="0.15">
      <c r="A172" s="3" t="s">
        <v>114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4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hidden="1" x14ac:dyDescent="0.15">
      <c r="A173" s="3" t="s">
        <v>114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4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hidden="1" x14ac:dyDescent="0.15">
      <c r="A174" s="3" t="s">
        <v>114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4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hidden="1" x14ac:dyDescent="0.15">
      <c r="A175" s="3" t="s">
        <v>114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4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hidden="1" x14ac:dyDescent="0.15">
      <c r="A176" s="3" t="s">
        <v>114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hidden="1" x14ac:dyDescent="0.15">
      <c r="A177" s="3" t="s">
        <v>119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4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hidden="1" x14ac:dyDescent="0.15">
      <c r="A178" s="3" t="s">
        <v>121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4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hidden="1" x14ac:dyDescent="0.15">
      <c r="A179" s="3" t="s">
        <v>122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4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hidden="1" x14ac:dyDescent="0.15">
      <c r="A180" s="3" t="s">
        <v>123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4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hidden="1" x14ac:dyDescent="0.15">
      <c r="A181" s="3" t="s">
        <v>124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4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hidden="1" x14ac:dyDescent="0.15">
      <c r="A182" s="3" t="s">
        <v>129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67">E182+1</f>
        <v>42338</v>
      </c>
      <c r="G182" s="4">
        <f t="shared" ref="G182:G187" si="268">E182+11</f>
        <v>42348</v>
      </c>
      <c r="H182">
        <f>47410.01-47.39*2</f>
        <v>47315.23</v>
      </c>
      <c r="J182">
        <f t="shared" ref="J182" si="269">ROUND((H182-D182)/D182*365/(G182-E182)*100,2)</f>
        <v>22.26</v>
      </c>
      <c r="K182">
        <f t="shared" ref="K182" si="270">H182+I182-D182</f>
        <v>315.2300000000032</v>
      </c>
    </row>
    <row r="183" spans="1:11" hidden="1" x14ac:dyDescent="0.15">
      <c r="A183" s="3" t="s">
        <v>129</v>
      </c>
      <c r="B183">
        <v>366</v>
      </c>
      <c r="C183">
        <v>6.5</v>
      </c>
      <c r="D183">
        <v>9000</v>
      </c>
      <c r="E183" s="1">
        <v>42344</v>
      </c>
      <c r="F183" s="1">
        <f t="shared" si="267"/>
        <v>42345</v>
      </c>
      <c r="G183" s="4">
        <f t="shared" si="268"/>
        <v>42355</v>
      </c>
      <c r="H183">
        <f>9071.8-9.06*2</f>
        <v>9053.6799999999985</v>
      </c>
      <c r="J183">
        <f t="shared" ref="J183" si="271">ROUND((H183-D183)/D183*365/(G183-E183)*100,2)</f>
        <v>19.79</v>
      </c>
      <c r="K183">
        <f t="shared" ref="K183" si="272">H183+I183-D183</f>
        <v>53.679999999998472</v>
      </c>
    </row>
    <row r="184" spans="1:11" hidden="1" x14ac:dyDescent="0.15">
      <c r="A184" s="3" t="s">
        <v>129</v>
      </c>
      <c r="B184">
        <v>366</v>
      </c>
      <c r="C184">
        <v>7</v>
      </c>
      <c r="D184">
        <v>19000</v>
      </c>
      <c r="E184" s="1">
        <v>42347</v>
      </c>
      <c r="F184" s="1">
        <f t="shared" si="267"/>
        <v>42348</v>
      </c>
      <c r="G184" s="4">
        <v>42359</v>
      </c>
      <c r="H184">
        <f>19221.39-19.21*2</f>
        <v>19182.97</v>
      </c>
      <c r="J184">
        <f t="shared" ref="J184" si="273">ROUND((H184-D184)/D184*365/(G184-E184)*100,2)</f>
        <v>29.29</v>
      </c>
      <c r="K184">
        <f t="shared" ref="K184" si="274">H184+I184-D184</f>
        <v>182.97000000000116</v>
      </c>
    </row>
    <row r="185" spans="1:11" hidden="1" x14ac:dyDescent="0.15">
      <c r="A185" s="3" t="s">
        <v>129</v>
      </c>
      <c r="B185">
        <v>366</v>
      </c>
      <c r="C185">
        <v>7</v>
      </c>
      <c r="D185">
        <v>43000</v>
      </c>
      <c r="E185" s="1">
        <v>42348</v>
      </c>
      <c r="F185" s="1">
        <f t="shared" si="267"/>
        <v>42349</v>
      </c>
      <c r="G185" s="4">
        <f t="shared" si="268"/>
        <v>42359</v>
      </c>
      <c r="H185">
        <f>43494.38-43.47*2</f>
        <v>43407.439999999995</v>
      </c>
      <c r="J185">
        <f t="shared" ref="J185" si="275">ROUND((H185-D185)/D185*365/(G185-E185)*100,2)</f>
        <v>31.44</v>
      </c>
      <c r="K185">
        <f t="shared" ref="K185" si="276">H185+I185-D185</f>
        <v>407.43999999999505</v>
      </c>
    </row>
    <row r="186" spans="1:11" hidden="1" x14ac:dyDescent="0.15">
      <c r="A186" s="3" t="s">
        <v>129</v>
      </c>
      <c r="B186">
        <v>366</v>
      </c>
      <c r="C186">
        <v>7</v>
      </c>
      <c r="D186">
        <v>10000</v>
      </c>
      <c r="E186" s="1">
        <v>42348</v>
      </c>
      <c r="F186" s="1">
        <f t="shared" si="267"/>
        <v>42349</v>
      </c>
      <c r="G186" s="4">
        <f t="shared" si="268"/>
        <v>42359</v>
      </c>
      <c r="H186">
        <f>10114.97-10.11*2</f>
        <v>10094.75</v>
      </c>
      <c r="J186">
        <f t="shared" ref="J186" si="277">ROUND((H186-D186)/D186*365/(G186-E186)*100,2)</f>
        <v>31.44</v>
      </c>
      <c r="K186">
        <f t="shared" ref="K186" si="278">H186+I186-D186</f>
        <v>94.75</v>
      </c>
    </row>
    <row r="187" spans="1:11" hidden="1" x14ac:dyDescent="0.15">
      <c r="A187" s="3" t="s">
        <v>129</v>
      </c>
      <c r="B187">
        <v>366</v>
      </c>
      <c r="C187">
        <v>7</v>
      </c>
      <c r="D187">
        <v>10000</v>
      </c>
      <c r="E187" s="1">
        <v>42349</v>
      </c>
      <c r="F187" s="1">
        <f t="shared" si="267"/>
        <v>42350</v>
      </c>
      <c r="G187" s="4">
        <f t="shared" si="268"/>
        <v>42360</v>
      </c>
      <c r="H187">
        <v>10088.23</v>
      </c>
      <c r="J187">
        <f t="shared" ref="J187:J188" si="279">ROUND((H187-D187)/D187*365/(G187-E187)*100,2)</f>
        <v>29.28</v>
      </c>
      <c r="K187">
        <f t="shared" ref="K187:K188" si="280">H187+I187-D187</f>
        <v>88.229999999999563</v>
      </c>
    </row>
    <row r="188" spans="1:11" hidden="1" x14ac:dyDescent="0.15">
      <c r="A188" s="3" t="s">
        <v>129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1">E188+1</f>
        <v>42355</v>
      </c>
      <c r="G188" s="4">
        <f t="shared" ref="G188" si="282">E188+11</f>
        <v>42365</v>
      </c>
      <c r="H188">
        <f>98414.67-98.41*2-13163.22</f>
        <v>85054.62999999999</v>
      </c>
      <c r="J188">
        <f t="shared" si="279"/>
        <v>41.66</v>
      </c>
      <c r="K188">
        <f t="shared" si="280"/>
        <v>1054.6299999999901</v>
      </c>
    </row>
    <row r="189" spans="1:11" hidden="1" x14ac:dyDescent="0.15">
      <c r="A189" s="3" t="s">
        <v>129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3">E189+1</f>
        <v>42356</v>
      </c>
      <c r="G189" s="4">
        <f t="shared" ref="G189" si="284">E189+11</f>
        <v>42366</v>
      </c>
      <c r="H189">
        <f>11157.33-11.15*2</f>
        <v>11135.03</v>
      </c>
      <c r="J189">
        <f t="shared" ref="J189" si="285">ROUND((H189-D189)/D189*365/(G189-E189)*100,2)</f>
        <v>40.729999999999997</v>
      </c>
      <c r="K189">
        <f t="shared" ref="K189" si="286">H189+I189-D189</f>
        <v>135.03000000000065</v>
      </c>
    </row>
  </sheetData>
  <autoFilter ref="A1:L189">
    <filterColumn colId="11">
      <customFilters>
        <customFilter operator="notEqual" val=" "/>
      </custom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H120" sqref="H120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93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4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93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4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93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4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93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4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93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4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93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4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93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4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93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4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93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4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93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4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93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4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93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4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4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93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4">
        <v>42199</v>
      </c>
      <c r="F22" s="4">
        <f t="shared" ref="F22:F23" si="29">E22+1</f>
        <v>42200</v>
      </c>
      <c r="G22" s="4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29"/>
        <v>42200</v>
      </c>
      <c r="G23" s="4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93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4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4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93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4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93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4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4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93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4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4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93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4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4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93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4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4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93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4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4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93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4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4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93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4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4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93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4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4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93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4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4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93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4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4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93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4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93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4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4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93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4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4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93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4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93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4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93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4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4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4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4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4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4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4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4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4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4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4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4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4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4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4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4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4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94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4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4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94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4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4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4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4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4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4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4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4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4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4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4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4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4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4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4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4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4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95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4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96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4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95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4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96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4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95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4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96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4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4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96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4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4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96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4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4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4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4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106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4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107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4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106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4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3" t="s">
        <v>110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2">ROUND((H106-D106)/D106*365/(G106-E106)*100,2)</f>
        <v>12.12</v>
      </c>
      <c r="K106">
        <f t="shared" ref="K106" si="203">H106-D106+I106</f>
        <v>4.0799999999999983</v>
      </c>
    </row>
    <row r="107" spans="1:11" x14ac:dyDescent="0.15">
      <c r="A107" s="3" t="s">
        <v>106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4">E107+1</f>
        <v>42244</v>
      </c>
      <c r="G107" s="4">
        <v>42261</v>
      </c>
      <c r="H107">
        <f>3057.01-6.1</f>
        <v>3050.9100000000003</v>
      </c>
      <c r="J107">
        <f t="shared" ref="J107:J112" si="205">ROUND((H107-D107)/D107*365/(G107-E107)*100,2)</f>
        <v>34.409999999999997</v>
      </c>
      <c r="K107">
        <f t="shared" ref="K107:K112" si="206">H107-D107+I107</f>
        <v>50.910000000000309</v>
      </c>
    </row>
    <row r="108" spans="1:11" x14ac:dyDescent="0.15">
      <c r="A108" s="3" t="s">
        <v>106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7">E108+1</f>
        <v>42245</v>
      </c>
      <c r="G108" s="4">
        <v>42261</v>
      </c>
      <c r="H108">
        <f>2037.67-4.06</f>
        <v>2033.6100000000001</v>
      </c>
      <c r="J108">
        <f t="shared" si="205"/>
        <v>36.08</v>
      </c>
      <c r="K108">
        <f t="shared" si="206"/>
        <v>33.610000000000127</v>
      </c>
    </row>
    <row r="109" spans="1:11" x14ac:dyDescent="0.15">
      <c r="A109" s="3" t="s">
        <v>106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8">E109+1</f>
        <v>42247</v>
      </c>
      <c r="G109" s="4">
        <v>42261</v>
      </c>
      <c r="H109">
        <f>10356.58+3901.62-10.34*2-3.9*2</f>
        <v>14229.720000000001</v>
      </c>
      <c r="J109">
        <f t="shared" si="205"/>
        <v>39.93</v>
      </c>
      <c r="K109">
        <f t="shared" si="206"/>
        <v>229.72000000000116</v>
      </c>
    </row>
    <row r="110" spans="1:11" x14ac:dyDescent="0.15">
      <c r="A110" s="3" t="s">
        <v>115</v>
      </c>
      <c r="B110">
        <v>366</v>
      </c>
      <c r="C110">
        <v>7.7</v>
      </c>
      <c r="D110">
        <v>7000</v>
      </c>
      <c r="E110" s="1">
        <v>42248</v>
      </c>
      <c r="F110" s="1">
        <f t="shared" si="208"/>
        <v>42249</v>
      </c>
      <c r="G110" s="4">
        <v>42261</v>
      </c>
      <c r="H110">
        <f>7107.48-14.2</f>
        <v>7093.28</v>
      </c>
      <c r="J110">
        <f t="shared" si="205"/>
        <v>37.409999999999997</v>
      </c>
      <c r="K110">
        <f t="shared" si="206"/>
        <v>93.279999999999745</v>
      </c>
    </row>
    <row r="111" spans="1:11" x14ac:dyDescent="0.15">
      <c r="A111" s="3" t="s">
        <v>114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9">E111+1</f>
        <v>42250</v>
      </c>
      <c r="G111" s="4">
        <v>42261</v>
      </c>
      <c r="H111">
        <f>3961.13+100-7.92-0.2</f>
        <v>4053.01</v>
      </c>
      <c r="J111">
        <f t="shared" si="205"/>
        <v>40.31</v>
      </c>
      <c r="K111">
        <f t="shared" si="206"/>
        <v>53.010000000000218</v>
      </c>
    </row>
    <row r="112" spans="1:11" x14ac:dyDescent="0.15">
      <c r="A112" s="3" t="s">
        <v>114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0">E112+1</f>
        <v>42251</v>
      </c>
      <c r="G112" s="4">
        <v>42261</v>
      </c>
      <c r="H112">
        <f>7105.18-7.1*2</f>
        <v>7090.9800000000005</v>
      </c>
      <c r="J112">
        <f t="shared" si="205"/>
        <v>43.13</v>
      </c>
      <c r="K112">
        <f t="shared" si="206"/>
        <v>90.980000000000473</v>
      </c>
    </row>
    <row r="113" spans="1:11" x14ac:dyDescent="0.15">
      <c r="A113" s="3" t="s">
        <v>114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1">E113+1</f>
        <v>42252</v>
      </c>
      <c r="G113" s="4">
        <f t="shared" ref="G113" si="212">E113+11</f>
        <v>42262</v>
      </c>
      <c r="H113">
        <f>4056.74-4.05*2</f>
        <v>4048.64</v>
      </c>
      <c r="J113">
        <f t="shared" ref="J113" si="213">ROUND((H113-D113)/D113*365/(G113-E113)*100,2)</f>
        <v>40.35</v>
      </c>
      <c r="K113">
        <f t="shared" ref="K113" si="214">H113-D113+I113</f>
        <v>48.639999999999873</v>
      </c>
    </row>
    <row r="114" spans="1:11" x14ac:dyDescent="0.15">
      <c r="A114" s="3" t="s">
        <v>117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5">E114+1</f>
        <v>42254</v>
      </c>
      <c r="G114" s="4">
        <v>42267</v>
      </c>
      <c r="H114">
        <f>373.13-0.37*2</f>
        <v>372.39</v>
      </c>
      <c r="J114">
        <f t="shared" ref="J114" si="216">ROUND((H114-D114)/D114*365/(G114-E114)*100,2)</f>
        <v>16.84</v>
      </c>
      <c r="K114">
        <f t="shared" ref="K114" si="217">H114-D114+I114</f>
        <v>2.3899999999999864</v>
      </c>
    </row>
    <row r="115" spans="1:11" x14ac:dyDescent="0.15">
      <c r="A115" s="3" t="s">
        <v>114</v>
      </c>
      <c r="B115">
        <v>366</v>
      </c>
      <c r="C115">
        <v>7.7</v>
      </c>
      <c r="D115">
        <v>4000</v>
      </c>
      <c r="E115" s="1">
        <v>42253</v>
      </c>
      <c r="F115" s="1">
        <f t="shared" si="215"/>
        <v>42254</v>
      </c>
      <c r="G115" s="4">
        <v>42287</v>
      </c>
      <c r="H115">
        <f>4114.31-4.1*2</f>
        <v>4106.1100000000006</v>
      </c>
      <c r="J115">
        <f t="shared" ref="J115" si="218">ROUND((H115-D115)/D115*365/(G115-E115)*100,2)</f>
        <v>28.48</v>
      </c>
      <c r="K115">
        <f t="shared" ref="K115" si="219">H115-D115+I115</f>
        <v>106.11000000000058</v>
      </c>
    </row>
    <row r="116" spans="1:11" x14ac:dyDescent="0.15">
      <c r="A116" s="3" t="s">
        <v>129</v>
      </c>
      <c r="B116">
        <v>366</v>
      </c>
      <c r="C116">
        <v>6.5</v>
      </c>
      <c r="D116">
        <v>20000</v>
      </c>
      <c r="E116" s="1">
        <v>42338</v>
      </c>
      <c r="F116" s="1">
        <f t="shared" si="215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0">ROUND((H116-D116)/D116*365/(G116-E116)*100,2)</f>
        <v>15.13</v>
      </c>
      <c r="K116">
        <f t="shared" ref="K116" si="221">H116-D116+I116</f>
        <v>91.18999999999869</v>
      </c>
    </row>
    <row r="117" spans="1:11" x14ac:dyDescent="0.15">
      <c r="A117" s="3" t="s">
        <v>129</v>
      </c>
      <c r="B117">
        <v>366</v>
      </c>
      <c r="C117">
        <v>6.5</v>
      </c>
      <c r="D117">
        <v>13000</v>
      </c>
      <c r="E117" s="1">
        <v>42343</v>
      </c>
      <c r="F117" s="1">
        <f t="shared" si="215"/>
        <v>42344</v>
      </c>
      <c r="G117" s="4">
        <f>E117+11</f>
        <v>42354</v>
      </c>
      <c r="H117">
        <f>13096.47-13.09*2</f>
        <v>13070.289999999999</v>
      </c>
      <c r="J117">
        <f t="shared" ref="J117" si="222">ROUND((H117-D117)/D117*365/(G117-E117)*100,2)</f>
        <v>17.940000000000001</v>
      </c>
      <c r="K117">
        <f t="shared" ref="K117" si="223">H117-D117+I117</f>
        <v>70.289999999999054</v>
      </c>
    </row>
    <row r="118" spans="1:11" x14ac:dyDescent="0.15">
      <c r="A118" s="3" t="s">
        <v>129</v>
      </c>
      <c r="B118">
        <v>366</v>
      </c>
      <c r="C118">
        <v>7</v>
      </c>
      <c r="D118">
        <v>5000</v>
      </c>
      <c r="E118" s="1">
        <v>42347</v>
      </c>
      <c r="F118" s="1">
        <f t="shared" si="215"/>
        <v>42348</v>
      </c>
      <c r="G118" s="4">
        <v>42359</v>
      </c>
      <c r="H118">
        <f>5058.26-5.05*2</f>
        <v>5048.16</v>
      </c>
      <c r="J118">
        <f t="shared" ref="J118" si="224">ROUND((H118-D118)/D118*365/(G118-E118)*100,2)</f>
        <v>29.3</v>
      </c>
      <c r="K118">
        <f t="shared" ref="K118" si="225">H118-D118+I118</f>
        <v>48.159999999999854</v>
      </c>
    </row>
    <row r="119" spans="1:11" x14ac:dyDescent="0.15">
      <c r="A119" s="3" t="s">
        <v>129</v>
      </c>
      <c r="B119">
        <v>366</v>
      </c>
      <c r="C119">
        <v>7</v>
      </c>
      <c r="D119">
        <v>30000</v>
      </c>
      <c r="E119" s="1">
        <v>42349</v>
      </c>
      <c r="F119" s="1">
        <f t="shared" si="215"/>
        <v>42350</v>
      </c>
      <c r="G119" s="4">
        <f>E119+11</f>
        <v>42360</v>
      </c>
      <c r="H119">
        <f>40433.79-10088.23-40.43*2</f>
        <v>30264.7</v>
      </c>
      <c r="J119">
        <f t="shared" ref="J119:J120" si="226">ROUND((H119-D119)/D119*365/(G119-E119)*100,2)</f>
        <v>29.28</v>
      </c>
      <c r="K119">
        <f t="shared" ref="K119:K120" si="227">H119-D119+I119</f>
        <v>264.70000000000073</v>
      </c>
    </row>
    <row r="120" spans="1:11" x14ac:dyDescent="0.15">
      <c r="A120" s="3" t="s">
        <v>129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28">E120+1</f>
        <v>42355</v>
      </c>
      <c r="G120" s="4">
        <f>E120+11</f>
        <v>42365</v>
      </c>
      <c r="H120">
        <v>13163.22</v>
      </c>
      <c r="J120">
        <f t="shared" si="226"/>
        <v>41.66</v>
      </c>
      <c r="K120">
        <f t="shared" si="227"/>
        <v>163.21999999999935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3" workbookViewId="0">
      <selection activeCell="C25" sqref="C25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24.5" bestFit="1" customWidth="1"/>
    <col min="7" max="7" width="11.5" customWidth="1"/>
  </cols>
  <sheetData>
    <row r="1" spans="1:5" s="5" customFormat="1" x14ac:dyDescent="0.15">
      <c r="A1" s="5" t="s">
        <v>140</v>
      </c>
      <c r="B1" s="5" t="s">
        <v>141</v>
      </c>
      <c r="C1" s="5" t="s">
        <v>142</v>
      </c>
    </row>
    <row r="2" spans="1:5" x14ac:dyDescent="0.15">
      <c r="A2" s="6">
        <v>2015.12</v>
      </c>
      <c r="B2" s="7" t="s">
        <v>136</v>
      </c>
      <c r="C2" s="7">
        <f>36924.94</f>
        <v>36924.94</v>
      </c>
      <c r="D2" s="7"/>
      <c r="E2" s="7"/>
    </row>
    <row r="3" spans="1:5" x14ac:dyDescent="0.15">
      <c r="A3" s="6">
        <v>2015.12</v>
      </c>
      <c r="B3" s="7" t="s">
        <v>135</v>
      </c>
      <c r="C3" s="7">
        <v>2000</v>
      </c>
      <c r="D3" s="6"/>
      <c r="E3" s="7"/>
    </row>
    <row r="4" spans="1:5" x14ac:dyDescent="0.15">
      <c r="A4" s="6">
        <v>2015.12</v>
      </c>
      <c r="B4" s="7" t="s">
        <v>143</v>
      </c>
      <c r="C4" s="7">
        <v>20000</v>
      </c>
      <c r="D4" s="6"/>
      <c r="E4" s="7"/>
    </row>
    <row r="5" spans="1:5" x14ac:dyDescent="0.15">
      <c r="A5" s="6">
        <v>2015.12</v>
      </c>
      <c r="B5" s="7" t="s">
        <v>144</v>
      </c>
      <c r="C5" s="7">
        <v>15</v>
      </c>
      <c r="D5" s="6"/>
      <c r="E5" s="7"/>
    </row>
    <row r="6" spans="1:5" x14ac:dyDescent="0.15">
      <c r="A6" s="6"/>
      <c r="B6" s="7"/>
      <c r="C6" s="7"/>
      <c r="D6" s="6"/>
      <c r="E6" s="7"/>
    </row>
    <row r="7" spans="1:5" x14ac:dyDescent="0.15">
      <c r="A7" s="6">
        <v>2015.12</v>
      </c>
      <c r="B7" s="7" t="s">
        <v>134</v>
      </c>
      <c r="C7" s="7">
        <f>SUM(C2:C6)</f>
        <v>58939.94</v>
      </c>
      <c r="D7" s="7"/>
      <c r="E7" s="7"/>
    </row>
    <row r="8" spans="1:5" x14ac:dyDescent="0.15">
      <c r="A8" s="6">
        <v>2015.12</v>
      </c>
      <c r="B8" s="7" t="s">
        <v>137</v>
      </c>
      <c r="C8" s="7">
        <v>56161.21</v>
      </c>
      <c r="D8" s="7"/>
      <c r="E8" s="7"/>
    </row>
    <row r="9" spans="1:5" x14ac:dyDescent="0.15">
      <c r="A9" s="6">
        <v>2015.12</v>
      </c>
      <c r="B9" s="7" t="s">
        <v>138</v>
      </c>
      <c r="C9" s="7">
        <f>C7-C8</f>
        <v>2778.7300000000032</v>
      </c>
      <c r="D9" s="7" t="s">
        <v>139</v>
      </c>
      <c r="E9" s="8">
        <f>(C9-2000)/C8</f>
        <v>1.3865976178219865E-2</v>
      </c>
    </row>
    <row r="12" spans="1:5" x14ac:dyDescent="0.15">
      <c r="A12" s="5" t="s">
        <v>125</v>
      </c>
      <c r="B12" s="5" t="s">
        <v>141</v>
      </c>
      <c r="C12" s="5" t="s">
        <v>0</v>
      </c>
      <c r="D12" s="5"/>
      <c r="E12" s="5"/>
    </row>
    <row r="13" spans="1:5" x14ac:dyDescent="0.15">
      <c r="A13" s="6">
        <v>2016.01</v>
      </c>
      <c r="B13" s="7" t="s">
        <v>126</v>
      </c>
      <c r="C13" s="7">
        <f>10836.81-9259.22+7203.8</f>
        <v>8781.39</v>
      </c>
      <c r="D13" s="7"/>
      <c r="E13" s="7"/>
    </row>
    <row r="14" spans="1:5" x14ac:dyDescent="0.15">
      <c r="A14" s="6">
        <v>2016.01</v>
      </c>
      <c r="B14" s="7" t="s">
        <v>145</v>
      </c>
      <c r="C14" s="7">
        <f>36035.24</f>
        <v>36035.24</v>
      </c>
      <c r="D14" s="6"/>
      <c r="E14" s="7"/>
    </row>
    <row r="15" spans="1:5" x14ac:dyDescent="0.15">
      <c r="A15" s="6">
        <v>2016.01</v>
      </c>
      <c r="B15" s="7" t="s">
        <v>146</v>
      </c>
      <c r="C15" s="7">
        <f>7469.22</f>
        <v>7469.22</v>
      </c>
      <c r="D15" s="6"/>
      <c r="E15" s="7"/>
    </row>
    <row r="16" spans="1:5" x14ac:dyDescent="0.15">
      <c r="A16" s="6">
        <v>2016.01</v>
      </c>
      <c r="B16" s="7" t="s">
        <v>147</v>
      </c>
      <c r="C16" s="7">
        <f>9259.22</f>
        <v>9259.2199999999993</v>
      </c>
      <c r="D16" s="6"/>
      <c r="E16" s="7"/>
    </row>
    <row r="17" spans="1:5" x14ac:dyDescent="0.15">
      <c r="A17" s="6"/>
      <c r="B17" s="7"/>
      <c r="C17" s="7"/>
      <c r="D17" s="6"/>
      <c r="E17" s="7"/>
    </row>
    <row r="18" spans="1:5" x14ac:dyDescent="0.15">
      <c r="A18" s="6">
        <v>2016.01</v>
      </c>
      <c r="B18" s="7" t="s">
        <v>120</v>
      </c>
      <c r="C18" s="7">
        <f>SUM(C13:C17)</f>
        <v>61545.07</v>
      </c>
      <c r="D18" s="7"/>
      <c r="E18" s="7"/>
    </row>
    <row r="19" spans="1:5" x14ac:dyDescent="0.15">
      <c r="A19" s="6">
        <v>2016.01</v>
      </c>
      <c r="B19" s="7" t="s">
        <v>137</v>
      </c>
      <c r="C19" s="7">
        <v>58939.94</v>
      </c>
      <c r="D19" s="7"/>
      <c r="E19" s="7"/>
    </row>
    <row r="20" spans="1:5" x14ac:dyDescent="0.15">
      <c r="A20" s="6">
        <v>2016.01</v>
      </c>
      <c r="B20" s="7" t="s">
        <v>138</v>
      </c>
      <c r="C20" s="7">
        <f>C18-C19</f>
        <v>2605.1299999999974</v>
      </c>
      <c r="D20" s="7" t="s">
        <v>139</v>
      </c>
      <c r="E20" s="8">
        <f>(C20-2000)/C19</f>
        <v>1.0266892026018305E-2</v>
      </c>
    </row>
    <row r="23" spans="1:5" x14ac:dyDescent="0.15">
      <c r="A23" s="5" t="s">
        <v>125</v>
      </c>
      <c r="B23" s="5" t="s">
        <v>141</v>
      </c>
      <c r="C23" s="5" t="s">
        <v>0</v>
      </c>
      <c r="D23" s="5"/>
      <c r="E23" s="5"/>
    </row>
    <row r="24" spans="1:5" x14ac:dyDescent="0.15">
      <c r="A24" s="6">
        <v>2016.02</v>
      </c>
      <c r="B24" s="9" t="s">
        <v>149</v>
      </c>
      <c r="C24" s="10">
        <v>-130</v>
      </c>
      <c r="D24" s="5"/>
      <c r="E24" s="5"/>
    </row>
    <row r="25" spans="1:5" x14ac:dyDescent="0.15">
      <c r="A25" s="6">
        <v>2016.02</v>
      </c>
      <c r="B25" s="7" t="s">
        <v>148</v>
      </c>
      <c r="C25" s="7">
        <f>29264.37</f>
        <v>29264.37</v>
      </c>
      <c r="D25" s="7"/>
      <c r="E25" s="7"/>
    </row>
    <row r="26" spans="1:5" x14ac:dyDescent="0.15">
      <c r="A26" s="6">
        <v>2016.02</v>
      </c>
      <c r="B26" s="7" t="s">
        <v>145</v>
      </c>
      <c r="C26" s="7">
        <f>35026.64</f>
        <v>35026.639999999999</v>
      </c>
      <c r="D26" s="6"/>
      <c r="E26" s="7"/>
    </row>
    <row r="27" spans="1:5" x14ac:dyDescent="0.15">
      <c r="A27" s="6"/>
      <c r="B27" s="7"/>
      <c r="C27" s="7"/>
      <c r="D27" s="6"/>
      <c r="E27" s="7"/>
    </row>
    <row r="28" spans="1:5" x14ac:dyDescent="0.15">
      <c r="A28" s="6">
        <v>2016.02</v>
      </c>
      <c r="B28" s="7" t="s">
        <v>120</v>
      </c>
      <c r="C28" s="7">
        <f>SUM(C24:C27)</f>
        <v>64161.009999999995</v>
      </c>
      <c r="D28" s="7"/>
      <c r="E28" s="7"/>
    </row>
    <row r="29" spans="1:5" x14ac:dyDescent="0.15">
      <c r="A29" s="6">
        <v>2016.02</v>
      </c>
      <c r="B29" s="7" t="s">
        <v>137</v>
      </c>
      <c r="C29" s="7">
        <v>61545.07</v>
      </c>
      <c r="D29" s="7"/>
      <c r="E29" s="7"/>
    </row>
    <row r="30" spans="1:5" x14ac:dyDescent="0.15">
      <c r="A30" s="6">
        <v>2016.02</v>
      </c>
      <c r="B30" s="7" t="s">
        <v>138</v>
      </c>
      <c r="C30" s="7">
        <f>C28-C29</f>
        <v>2615.9399999999951</v>
      </c>
      <c r="D30" s="7" t="s">
        <v>139</v>
      </c>
      <c r="E30" s="8">
        <f>(C30-2000)/C29</f>
        <v>1.0007950271240167E-2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4" sqref="I4"/>
    </sheetView>
  </sheetViews>
  <sheetFormatPr defaultRowHeight="13.5" x14ac:dyDescent="0.15"/>
  <cols>
    <col min="1" max="1" width="11.625" bestFit="1" customWidth="1"/>
    <col min="2" max="2" width="13.125" bestFit="1" customWidth="1"/>
    <col min="3" max="3" width="20.875" customWidth="1"/>
    <col min="4" max="4" width="19.75" bestFit="1" customWidth="1"/>
    <col min="5" max="5" width="19.875" customWidth="1"/>
  </cols>
  <sheetData>
    <row r="1" spans="1:9" x14ac:dyDescent="0.15">
      <c r="A1" t="s">
        <v>125</v>
      </c>
      <c r="B1" t="s">
        <v>131</v>
      </c>
      <c r="C1" t="s">
        <v>130</v>
      </c>
      <c r="D1" t="s">
        <v>132</v>
      </c>
      <c r="E1" t="s">
        <v>133</v>
      </c>
      <c r="F1" t="s">
        <v>126</v>
      </c>
      <c r="G1" t="s">
        <v>127</v>
      </c>
      <c r="H1" t="s">
        <v>128</v>
      </c>
      <c r="I1" t="s">
        <v>120</v>
      </c>
    </row>
    <row r="2" spans="1:9" x14ac:dyDescent="0.15">
      <c r="A2" s="1">
        <v>42278</v>
      </c>
      <c r="B2">
        <f>4000+117</f>
        <v>4117</v>
      </c>
      <c r="C2">
        <v>20000</v>
      </c>
      <c r="D2">
        <f>21868.09+10000-2914.99</f>
        <v>28953.1</v>
      </c>
      <c r="E2">
        <f>29-8</f>
        <v>21</v>
      </c>
      <c r="F2">
        <v>0</v>
      </c>
      <c r="G2">
        <v>0</v>
      </c>
      <c r="H2">
        <v>0</v>
      </c>
      <c r="I2">
        <f>SUM(B2:H2)</f>
        <v>53091.1</v>
      </c>
    </row>
    <row r="3" spans="1:9" x14ac:dyDescent="0.15">
      <c r="A3" s="1">
        <v>42305</v>
      </c>
      <c r="B3">
        <v>117</v>
      </c>
      <c r="C3">
        <v>0</v>
      </c>
      <c r="D3">
        <f>21296.18+1006.07</f>
        <v>22302.25</v>
      </c>
      <c r="E3">
        <v>31191.34</v>
      </c>
      <c r="F3">
        <v>0</v>
      </c>
      <c r="G3">
        <v>0</v>
      </c>
      <c r="H3">
        <v>0</v>
      </c>
      <c r="I3">
        <f>SUM(B3:H3)</f>
        <v>53610.59</v>
      </c>
    </row>
    <row r="4" spans="1:9" x14ac:dyDescent="0.15">
      <c r="A4" s="1">
        <v>42338</v>
      </c>
      <c r="B4">
        <f>20000+117</f>
        <v>20117</v>
      </c>
      <c r="C4">
        <v>0</v>
      </c>
      <c r="D4">
        <f>20720.27</f>
        <v>20720.27</v>
      </c>
      <c r="E4">
        <v>0</v>
      </c>
      <c r="F4">
        <v>15323.94</v>
      </c>
      <c r="G4">
        <v>0</v>
      </c>
      <c r="H4">
        <v>0</v>
      </c>
      <c r="I4">
        <f>SUM(B4:H4)</f>
        <v>56161.210000000006</v>
      </c>
    </row>
    <row r="5" spans="1:9" x14ac:dyDescent="0.15">
      <c r="A5" s="1">
        <v>42343</v>
      </c>
      <c r="B5">
        <v>33117</v>
      </c>
      <c r="C5">
        <v>10000</v>
      </c>
      <c r="D5">
        <v>0</v>
      </c>
      <c r="E5">
        <v>0</v>
      </c>
      <c r="F5">
        <v>15114.67</v>
      </c>
      <c r="G5">
        <v>0</v>
      </c>
      <c r="H5">
        <v>0</v>
      </c>
      <c r="I5">
        <f>SUM(B5:H5)</f>
        <v>58231.67</v>
      </c>
    </row>
    <row r="6" spans="1:9" x14ac:dyDescent="0.15">
      <c r="A6" s="1">
        <v>42360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2016-02-20T05:59:42Z</dcterms:modified>
</cp:coreProperties>
</file>