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5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  <sheet name="资产_王蕾" sheetId="12" r:id="rId6"/>
    <sheet name="王蕾_资产统计" sheetId="13" r:id="rId7"/>
  </sheets>
  <definedNames>
    <definedName name="_xlnm._FilterDatabase" localSheetId="1" hidden="1">招财宝!$A$1:$L$176</definedName>
    <definedName name="_xlnm._FilterDatabase" localSheetId="2" hidden="1">招财宝_王蕾!$A$1:$L$115</definedName>
  </definedNames>
  <calcPr calcId="152511"/>
</workbook>
</file>

<file path=xl/calcChain.xml><?xml version="1.0" encoding="utf-8"?>
<calcChain xmlns="http://schemas.openxmlformats.org/spreadsheetml/2006/main">
  <c r="B11" i="12" l="1"/>
  <c r="B13" i="12"/>
  <c r="B5" i="12" l="1"/>
  <c r="K115" i="7" l="1"/>
  <c r="J115" i="7"/>
  <c r="H115" i="7"/>
  <c r="K176" i="2" l="1"/>
  <c r="J176" i="2"/>
  <c r="H176" i="2"/>
  <c r="L2" i="13" l="1"/>
  <c r="H2" i="13"/>
  <c r="F2" i="13"/>
  <c r="G2" i="13"/>
  <c r="K181" i="2" l="1"/>
  <c r="J181" i="2"/>
  <c r="K178" i="2"/>
  <c r="J178" i="2"/>
  <c r="H178" i="2"/>
  <c r="H181" i="2"/>
  <c r="K177" i="2"/>
  <c r="J177" i="2"/>
  <c r="H177" i="2"/>
  <c r="K180" i="2" l="1"/>
  <c r="J180" i="2"/>
  <c r="K179" i="2"/>
  <c r="J179" i="2"/>
  <c r="H179" i="2"/>
  <c r="H180" i="2"/>
  <c r="K114" i="7" l="1"/>
  <c r="J114" i="7"/>
  <c r="H114" i="7"/>
  <c r="F181" i="2"/>
  <c r="F180" i="2"/>
  <c r="F179" i="2"/>
  <c r="F178" i="2"/>
  <c r="B15" i="12"/>
  <c r="F177" i="2"/>
  <c r="K113" i="7"/>
  <c r="G113" i="7"/>
  <c r="J113" i="7"/>
  <c r="H113" i="7"/>
  <c r="K175" i="2"/>
  <c r="J175" i="2"/>
  <c r="H175" i="2"/>
  <c r="K112" i="7"/>
  <c r="J112" i="7"/>
  <c r="K111" i="7"/>
  <c r="J111" i="7"/>
  <c r="K110" i="7"/>
  <c r="J110" i="7"/>
  <c r="K109" i="7"/>
  <c r="J109" i="7"/>
  <c r="H111" i="7"/>
  <c r="H110" i="7"/>
  <c r="K174" i="2"/>
  <c r="G174" i="2"/>
  <c r="J174" i="2"/>
  <c r="K173" i="2"/>
  <c r="J173" i="2"/>
  <c r="K172" i="2"/>
  <c r="J172" i="2"/>
  <c r="K169" i="2"/>
  <c r="J169" i="2"/>
  <c r="K168" i="2"/>
  <c r="J168" i="2"/>
  <c r="K167" i="2"/>
  <c r="J167" i="2"/>
  <c r="K166" i="2"/>
  <c r="J166" i="2"/>
  <c r="K164" i="2"/>
  <c r="J164" i="2"/>
  <c r="K161" i="2"/>
  <c r="J161" i="2"/>
  <c r="H169" i="2"/>
  <c r="H109" i="7"/>
  <c r="H112" i="7"/>
  <c r="H174" i="2"/>
  <c r="H173" i="2"/>
  <c r="H172" i="2"/>
  <c r="H168" i="2"/>
  <c r="H167" i="2"/>
  <c r="H164" i="2"/>
  <c r="H161" i="2"/>
  <c r="H166" i="2"/>
  <c r="K108" i="7"/>
  <c r="J108" i="7"/>
  <c r="K107" i="7"/>
  <c r="J107" i="7"/>
  <c r="K105" i="7"/>
  <c r="J105" i="7"/>
  <c r="K103" i="7"/>
  <c r="J103" i="7"/>
  <c r="H108" i="7"/>
  <c r="H107" i="7"/>
  <c r="H105" i="7"/>
  <c r="H103" i="7"/>
  <c r="K163" i="2"/>
  <c r="J163" i="2"/>
  <c r="K162" i="2"/>
  <c r="J162" i="2"/>
  <c r="K160" i="2"/>
  <c r="J160" i="2"/>
  <c r="H160" i="2"/>
  <c r="H163" i="2"/>
  <c r="H162" i="2"/>
  <c r="K171" i="2"/>
  <c r="J171" i="2"/>
  <c r="K170" i="2"/>
  <c r="J170" i="2"/>
  <c r="K165" i="2"/>
  <c r="G165" i="2"/>
  <c r="J165" i="2"/>
  <c r="H171" i="2"/>
  <c r="H170" i="2"/>
  <c r="F170" i="2"/>
  <c r="H165" i="2"/>
  <c r="H159" i="2"/>
  <c r="F176" i="2"/>
  <c r="K158" i="2"/>
  <c r="G158" i="2"/>
  <c r="J158" i="2"/>
  <c r="H158" i="2"/>
  <c r="F115" i="7"/>
  <c r="F114" i="7"/>
  <c r="K104" i="7"/>
  <c r="G104" i="7"/>
  <c r="J104" i="7"/>
  <c r="K102" i="7"/>
  <c r="G102" i="7"/>
  <c r="J102" i="7"/>
  <c r="H104" i="7"/>
  <c r="H102" i="7"/>
  <c r="G175" i="2"/>
  <c r="F175" i="2"/>
  <c r="K159" i="2"/>
  <c r="K157" i="2"/>
  <c r="H157" i="2"/>
  <c r="F113" i="7"/>
  <c r="K101" i="7"/>
  <c r="H101" i="7"/>
  <c r="F112" i="7"/>
  <c r="K100" i="7"/>
  <c r="K99" i="7"/>
  <c r="H100" i="7"/>
  <c r="H99" i="7"/>
  <c r="F174" i="2"/>
  <c r="K152" i="2"/>
  <c r="H152" i="2"/>
  <c r="F173" i="2"/>
  <c r="K151" i="2"/>
  <c r="K150" i="2"/>
  <c r="H151" i="2"/>
  <c r="H150" i="2"/>
  <c r="F111" i="7"/>
  <c r="K98" i="7"/>
  <c r="K97" i="7"/>
  <c r="H97" i="7"/>
  <c r="H98" i="7"/>
  <c r="F172" i="2"/>
  <c r="K149" i="2"/>
  <c r="K148" i="2"/>
  <c r="K146" i="2"/>
  <c r="K145" i="2"/>
  <c r="K144" i="2"/>
  <c r="K142" i="2"/>
  <c r="H148" i="2"/>
  <c r="H149" i="2"/>
  <c r="F110" i="7"/>
  <c r="F109" i="7"/>
  <c r="K96" i="7"/>
  <c r="K94" i="7"/>
  <c r="K93" i="7"/>
  <c r="H94" i="7"/>
  <c r="H96" i="7"/>
  <c r="H93" i="7"/>
  <c r="F169" i="2"/>
  <c r="F168" i="2"/>
  <c r="F167" i="2"/>
  <c r="H146" i="2"/>
  <c r="H145" i="2"/>
  <c r="H144" i="2"/>
  <c r="H142" i="2"/>
  <c r="H141" i="2"/>
  <c r="F166" i="2"/>
  <c r="K141" i="2"/>
  <c r="J141" i="2"/>
  <c r="K139" i="2"/>
  <c r="K138" i="2"/>
  <c r="K136" i="2"/>
  <c r="K134" i="2"/>
  <c r="H139" i="2"/>
  <c r="H138" i="2"/>
  <c r="H136" i="2"/>
  <c r="H134" i="2"/>
  <c r="K91" i="7"/>
  <c r="H91" i="7"/>
  <c r="K92" i="7"/>
  <c r="H92" i="7"/>
  <c r="K90" i="7"/>
  <c r="H90" i="7"/>
  <c r="K89" i="7"/>
  <c r="K87" i="7"/>
  <c r="K85" i="7"/>
  <c r="H89" i="7"/>
  <c r="H87" i="7"/>
  <c r="H85" i="7"/>
  <c r="F165" i="2"/>
  <c r="F164" i="2"/>
  <c r="K137" i="2"/>
  <c r="H137" i="2"/>
  <c r="F108" i="7"/>
  <c r="K88" i="7"/>
  <c r="H88" i="7"/>
  <c r="K135" i="2"/>
  <c r="H135" i="2"/>
  <c r="F107" i="7"/>
  <c r="K86" i="7"/>
  <c r="G86" i="7"/>
  <c r="J86" i="7"/>
  <c r="H86" i="7"/>
  <c r="G106" i="7"/>
  <c r="F161" i="2"/>
  <c r="F160" i="2"/>
  <c r="F105" i="7"/>
  <c r="K133" i="2"/>
  <c r="H133" i="2"/>
  <c r="K84" i="7"/>
  <c r="H84" i="7"/>
  <c r="K132" i="2"/>
  <c r="K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F104" i="7"/>
  <c r="F103" i="7"/>
  <c r="K83" i="7"/>
  <c r="K82" i="7"/>
  <c r="H83" i="7"/>
  <c r="H82" i="7"/>
  <c r="G159" i="2"/>
  <c r="J159" i="2"/>
  <c r="F159" i="2"/>
  <c r="F158" i="2"/>
  <c r="G157" i="2"/>
  <c r="J157" i="2"/>
  <c r="F157" i="2"/>
  <c r="D156" i="2"/>
  <c r="K130" i="2"/>
  <c r="K129" i="2"/>
  <c r="H129" i="2"/>
  <c r="H130" i="2"/>
  <c r="F102" i="7"/>
  <c r="G101" i="7"/>
  <c r="J101" i="7"/>
  <c r="F101" i="7"/>
  <c r="K81" i="7"/>
  <c r="K80" i="7"/>
  <c r="H80" i="7"/>
  <c r="H81" i="7"/>
  <c r="J147" i="2"/>
  <c r="G152" i="2"/>
  <c r="J152" i="2"/>
  <c r="F152" i="2"/>
  <c r="K147" i="2"/>
  <c r="K128" i="2"/>
  <c r="K127" i="2"/>
  <c r="H128" i="2"/>
  <c r="H127" i="2"/>
  <c r="H147" i="2"/>
  <c r="G100" i="7"/>
  <c r="J100" i="7"/>
  <c r="F100" i="7"/>
  <c r="G99" i="7"/>
  <c r="J99" i="7"/>
  <c r="F99" i="7"/>
  <c r="K95" i="7"/>
  <c r="J95" i="7"/>
  <c r="K79" i="7"/>
  <c r="K78" i="7"/>
  <c r="H78" i="7"/>
  <c r="H79" i="7"/>
  <c r="H95" i="7"/>
  <c r="G98" i="7"/>
  <c r="J98" i="7"/>
  <c r="F98" i="7"/>
  <c r="G97" i="7"/>
  <c r="J97" i="7"/>
  <c r="F97" i="7"/>
  <c r="K77" i="7"/>
  <c r="K76" i="7"/>
  <c r="H76" i="7"/>
  <c r="H77" i="7"/>
  <c r="G151" i="2"/>
  <c r="J151" i="2"/>
  <c r="F151" i="2"/>
  <c r="G150" i="2"/>
  <c r="J150" i="2"/>
  <c r="F150" i="2"/>
  <c r="G149" i="2"/>
  <c r="J149" i="2"/>
  <c r="F149" i="2"/>
  <c r="G148" i="2"/>
  <c r="J148" i="2"/>
  <c r="F148" i="2"/>
  <c r="F147" i="2"/>
  <c r="K126" i="2"/>
  <c r="K124" i="2"/>
  <c r="H126" i="2"/>
  <c r="H124" i="2"/>
  <c r="K125" i="2"/>
  <c r="K123" i="2"/>
  <c r="H123" i="2"/>
  <c r="H125" i="2"/>
  <c r="K140" i="2"/>
  <c r="J140" i="2"/>
  <c r="H140" i="2"/>
  <c r="K143" i="2"/>
  <c r="J143" i="2"/>
  <c r="H143" i="2"/>
  <c r="K122" i="2"/>
  <c r="K121" i="2"/>
  <c r="H122" i="2"/>
  <c r="H121" i="2"/>
  <c r="G96" i="7"/>
  <c r="J96" i="7"/>
  <c r="F96" i="7"/>
  <c r="F95" i="7"/>
  <c r="K75" i="7"/>
  <c r="K74" i="7"/>
  <c r="H75" i="7"/>
  <c r="H74" i="7"/>
  <c r="G146" i="2"/>
  <c r="J146" i="2"/>
  <c r="F146" i="2"/>
  <c r="G145" i="2"/>
  <c r="J145" i="2"/>
  <c r="F145" i="2"/>
  <c r="G144" i="2"/>
  <c r="J144" i="2"/>
  <c r="F144" i="2"/>
  <c r="G142" i="2"/>
  <c r="J142" i="2"/>
  <c r="F142" i="2"/>
  <c r="F141" i="2"/>
  <c r="F140" i="2"/>
  <c r="D140" i="2"/>
  <c r="K120" i="2"/>
  <c r="K119" i="2"/>
  <c r="K118" i="2"/>
  <c r="K117" i="2"/>
  <c r="H120" i="2"/>
  <c r="H119" i="2"/>
  <c r="H118" i="2"/>
  <c r="H117" i="2"/>
  <c r="G94" i="7"/>
  <c r="J94" i="7"/>
  <c r="F94" i="7"/>
  <c r="G93" i="7"/>
  <c r="J93" i="7"/>
  <c r="F93" i="7"/>
  <c r="F91" i="7"/>
  <c r="G91" i="7"/>
  <c r="J91" i="7"/>
  <c r="G92" i="7"/>
  <c r="J92" i="7"/>
  <c r="F92" i="7"/>
  <c r="K73" i="7"/>
  <c r="K72" i="7"/>
  <c r="H73" i="7"/>
  <c r="H72" i="7"/>
  <c r="G3" i="5"/>
  <c r="G2" i="5"/>
  <c r="G139" i="2"/>
  <c r="J139" i="2"/>
  <c r="F139" i="2"/>
  <c r="K71" i="7"/>
  <c r="G90" i="7"/>
  <c r="J90" i="7"/>
  <c r="F90" i="7"/>
  <c r="K70" i="7"/>
  <c r="H71" i="7"/>
  <c r="H70" i="7"/>
  <c r="K116" i="2"/>
  <c r="K115" i="2"/>
  <c r="H115" i="2"/>
  <c r="H116" i="2"/>
  <c r="K69" i="7"/>
  <c r="K68" i="7"/>
  <c r="H69" i="7"/>
  <c r="H68" i="7"/>
  <c r="G138" i="2"/>
  <c r="J138" i="2"/>
  <c r="F138" i="2"/>
  <c r="G137" i="2"/>
  <c r="J137" i="2"/>
  <c r="F137" i="2"/>
  <c r="K114" i="2"/>
  <c r="K113" i="2"/>
  <c r="H113" i="2"/>
  <c r="H114" i="2"/>
  <c r="G89" i="7"/>
  <c r="J89" i="7"/>
  <c r="F89" i="7"/>
  <c r="G88" i="7"/>
  <c r="J88" i="7"/>
  <c r="F88" i="7"/>
  <c r="K67" i="7"/>
  <c r="K66" i="7"/>
  <c r="H66" i="7"/>
  <c r="H67" i="7"/>
  <c r="G87" i="7"/>
  <c r="J87" i="7"/>
  <c r="F87" i="7"/>
  <c r="F86" i="7"/>
  <c r="K65" i="7"/>
  <c r="K64" i="7"/>
  <c r="K63" i="7"/>
  <c r="H64" i="7"/>
  <c r="H65" i="7"/>
  <c r="H63" i="7"/>
  <c r="G136" i="2"/>
  <c r="J136" i="2"/>
  <c r="F136" i="2"/>
  <c r="G135" i="2"/>
  <c r="J135" i="2"/>
  <c r="F135" i="2"/>
  <c r="K112" i="2"/>
  <c r="K111" i="2"/>
  <c r="H111" i="2"/>
  <c r="H112" i="2"/>
  <c r="G85" i="7"/>
  <c r="J85" i="7"/>
  <c r="F85" i="7"/>
  <c r="G84" i="7"/>
  <c r="J84" i="7"/>
  <c r="F84" i="7"/>
  <c r="H62" i="7"/>
  <c r="K110" i="2"/>
  <c r="K109" i="2"/>
  <c r="K62" i="7"/>
  <c r="K61" i="7"/>
  <c r="H61" i="7"/>
  <c r="G134" i="2"/>
  <c r="J134" i="2"/>
  <c r="F134" i="2"/>
  <c r="G133" i="2"/>
  <c r="J133" i="2"/>
  <c r="F133" i="2"/>
  <c r="H109" i="2"/>
  <c r="H110" i="2"/>
  <c r="G132" i="2"/>
  <c r="J132" i="2"/>
  <c r="F132" i="2"/>
  <c r="G131" i="2"/>
  <c r="J131" i="2"/>
  <c r="F131" i="2"/>
  <c r="G83" i="7"/>
  <c r="J83" i="7"/>
  <c r="F83" i="7"/>
  <c r="G82" i="7"/>
  <c r="J82" i="7"/>
  <c r="F82" i="7"/>
  <c r="K60" i="7"/>
  <c r="K59" i="7"/>
  <c r="H60" i="7"/>
  <c r="H59" i="7"/>
  <c r="K108" i="2"/>
  <c r="K107" i="2"/>
  <c r="H107" i="2"/>
  <c r="H108" i="2"/>
  <c r="G81" i="7"/>
  <c r="J81" i="7"/>
  <c r="F81" i="7"/>
  <c r="G80" i="7"/>
  <c r="J80" i="7"/>
  <c r="F80" i="7"/>
  <c r="K58" i="7"/>
  <c r="K57" i="7"/>
  <c r="H57" i="7"/>
  <c r="H58" i="7"/>
  <c r="G130" i="2"/>
  <c r="J130" i="2"/>
  <c r="F130" i="2"/>
  <c r="G129" i="2"/>
  <c r="J129" i="2"/>
  <c r="F129" i="2"/>
  <c r="K106" i="2"/>
  <c r="K105" i="2"/>
  <c r="K104" i="2"/>
  <c r="K103" i="2"/>
  <c r="H103" i="2"/>
  <c r="H104" i="2"/>
  <c r="H106" i="2"/>
  <c r="H105" i="2"/>
  <c r="G128" i="2"/>
  <c r="J128" i="2"/>
  <c r="F128" i="2"/>
  <c r="G127" i="2"/>
  <c r="J127" i="2"/>
  <c r="F127" i="2"/>
  <c r="K102" i="2"/>
  <c r="K101" i="2"/>
  <c r="H101" i="2"/>
  <c r="H102" i="2"/>
  <c r="G79" i="7"/>
  <c r="J79" i="7"/>
  <c r="F79" i="7"/>
  <c r="G78" i="7"/>
  <c r="J78" i="7"/>
  <c r="F78" i="7"/>
  <c r="K56" i="7"/>
  <c r="H56" i="7"/>
  <c r="K36" i="7"/>
  <c r="J36" i="7"/>
  <c r="H36" i="7"/>
  <c r="K55" i="7"/>
  <c r="K54" i="7"/>
  <c r="H54" i="7"/>
  <c r="H55" i="7"/>
  <c r="G77" i="7"/>
  <c r="J77" i="7"/>
  <c r="F77" i="7"/>
  <c r="G76" i="7"/>
  <c r="J76" i="7"/>
  <c r="F76" i="7"/>
  <c r="G126" i="2"/>
  <c r="J126" i="2"/>
  <c r="F126" i="2"/>
  <c r="G125" i="2"/>
  <c r="J125" i="2"/>
  <c r="F125" i="2"/>
  <c r="G124" i="2"/>
  <c r="J124" i="2"/>
  <c r="F124" i="2"/>
  <c r="G123" i="2"/>
  <c r="J123" i="2"/>
  <c r="F123" i="2"/>
  <c r="H99" i="2"/>
  <c r="K100" i="2"/>
  <c r="K99" i="2"/>
  <c r="H100" i="2"/>
  <c r="K53" i="7"/>
  <c r="K52" i="7"/>
  <c r="H53" i="7"/>
  <c r="H52" i="7"/>
  <c r="G75" i="7"/>
  <c r="J75" i="7"/>
  <c r="F75" i="7"/>
  <c r="G74" i="7"/>
  <c r="J74" i="7"/>
  <c r="F74" i="7"/>
  <c r="G122" i="2"/>
  <c r="J122" i="2"/>
  <c r="F122" i="2"/>
  <c r="G121" i="2"/>
  <c r="J121" i="2"/>
  <c r="F121" i="2"/>
  <c r="K98" i="2"/>
  <c r="K97" i="2"/>
  <c r="H98" i="2"/>
  <c r="H97" i="2"/>
  <c r="K5" i="11"/>
  <c r="J5" i="11"/>
  <c r="J2" i="11"/>
  <c r="K2" i="11"/>
  <c r="J3" i="11"/>
  <c r="K3" i="11"/>
  <c r="D4" i="11"/>
  <c r="K4" i="11"/>
  <c r="J4" i="11"/>
  <c r="G120" i="2"/>
  <c r="J120" i="2"/>
  <c r="F120" i="2"/>
  <c r="G119" i="2"/>
  <c r="J119" i="2"/>
  <c r="F119" i="2"/>
  <c r="H96" i="2"/>
  <c r="K96" i="2"/>
  <c r="H95" i="2"/>
  <c r="K95" i="2"/>
  <c r="G73" i="7"/>
  <c r="J73" i="7"/>
  <c r="F73" i="7"/>
  <c r="G72" i="7"/>
  <c r="J72" i="7"/>
  <c r="F72" i="7"/>
  <c r="H50" i="7"/>
  <c r="K50" i="7"/>
  <c r="H51" i="7"/>
  <c r="K51" i="7"/>
  <c r="G71" i="7"/>
  <c r="J71" i="7"/>
  <c r="F71" i="7"/>
  <c r="G70" i="7"/>
  <c r="J70" i="7"/>
  <c r="F70" i="7"/>
  <c r="H49" i="7"/>
  <c r="G118" i="2"/>
  <c r="J118" i="2"/>
  <c r="F118" i="2"/>
  <c r="G117" i="2"/>
  <c r="J117" i="2"/>
  <c r="F117" i="2"/>
  <c r="H93" i="2"/>
  <c r="K93" i="2"/>
  <c r="K49" i="7"/>
  <c r="K48" i="7"/>
  <c r="H48" i="7"/>
  <c r="H94" i="2"/>
  <c r="K94" i="2"/>
  <c r="G69" i="7"/>
  <c r="J69" i="7"/>
  <c r="F69" i="7"/>
  <c r="G68" i="7"/>
  <c r="J68" i="7"/>
  <c r="F68" i="7"/>
  <c r="H47" i="7"/>
  <c r="K47" i="7"/>
  <c r="G116" i="2"/>
  <c r="J116" i="2"/>
  <c r="F116" i="2"/>
  <c r="G115" i="2"/>
  <c r="J115" i="2"/>
  <c r="F115" i="2"/>
  <c r="H92" i="2"/>
  <c r="K92" i="2"/>
  <c r="H91" i="2"/>
  <c r="K91" i="2"/>
  <c r="G67" i="7"/>
  <c r="J67" i="7"/>
  <c r="F67" i="7"/>
  <c r="G66" i="7"/>
  <c r="J66" i="7"/>
  <c r="F66" i="7"/>
  <c r="K45" i="7"/>
  <c r="H46" i="7"/>
  <c r="K46" i="7"/>
  <c r="H45" i="7"/>
  <c r="G114" i="2"/>
  <c r="J114" i="2"/>
  <c r="F114" i="2"/>
  <c r="G113" i="2"/>
  <c r="J113" i="2"/>
  <c r="F113" i="2"/>
  <c r="H89" i="2"/>
  <c r="K89" i="2"/>
  <c r="H90" i="2"/>
  <c r="K90" i="2"/>
  <c r="G65" i="7"/>
  <c r="J65" i="7"/>
  <c r="F65" i="7"/>
  <c r="G64" i="7"/>
  <c r="J64" i="7"/>
  <c r="F64" i="7"/>
  <c r="G63" i="7"/>
  <c r="J63" i="7"/>
  <c r="F63" i="7"/>
  <c r="H44" i="7"/>
  <c r="G112" i="2"/>
  <c r="J112" i="2"/>
  <c r="F112" i="2"/>
  <c r="G111" i="2"/>
  <c r="J111" i="2"/>
  <c r="F111" i="2"/>
  <c r="H88" i="2"/>
  <c r="K44" i="7"/>
  <c r="K43" i="7"/>
  <c r="H43" i="7"/>
  <c r="K88" i="2"/>
  <c r="H87" i="2"/>
  <c r="K87" i="2"/>
  <c r="G110" i="2"/>
  <c r="J110" i="2"/>
  <c r="F110" i="2"/>
  <c r="G109" i="2"/>
  <c r="J109" i="2"/>
  <c r="F109" i="2"/>
  <c r="H86" i="2"/>
  <c r="K86" i="2"/>
  <c r="H85" i="2"/>
  <c r="K85" i="2"/>
  <c r="G62" i="7"/>
  <c r="J62" i="7"/>
  <c r="F62" i="7"/>
  <c r="G61" i="7"/>
  <c r="J61" i="7"/>
  <c r="F61" i="7"/>
  <c r="H42" i="7"/>
  <c r="K42" i="7"/>
  <c r="H41" i="7"/>
  <c r="K41" i="7"/>
  <c r="G108" i="2"/>
  <c r="J108" i="2"/>
  <c r="F108" i="2"/>
  <c r="G107" i="2"/>
  <c r="J107" i="2"/>
  <c r="F107" i="2"/>
  <c r="H83" i="2"/>
  <c r="G60" i="7"/>
  <c r="J60" i="7"/>
  <c r="F60" i="7"/>
  <c r="G59" i="7"/>
  <c r="J59" i="7"/>
  <c r="F59" i="7"/>
  <c r="H40" i="7"/>
  <c r="K40" i="7"/>
  <c r="H39" i="7"/>
  <c r="K39" i="7"/>
  <c r="K83" i="2"/>
  <c r="H84" i="2"/>
  <c r="K84" i="2"/>
  <c r="G106" i="2"/>
  <c r="J106" i="2"/>
  <c r="F106" i="2"/>
  <c r="G105" i="2"/>
  <c r="J105" i="2"/>
  <c r="F105" i="2"/>
  <c r="K38" i="7"/>
  <c r="H38" i="7"/>
  <c r="H37" i="7"/>
  <c r="K37" i="7"/>
  <c r="G58" i="7"/>
  <c r="J58" i="7"/>
  <c r="F58" i="7"/>
  <c r="G57" i="7"/>
  <c r="J57" i="7"/>
  <c r="F57" i="7"/>
  <c r="G104" i="2"/>
  <c r="J104" i="2"/>
  <c r="F104" i="2"/>
  <c r="G103" i="2"/>
  <c r="J103" i="2"/>
  <c r="F103" i="2"/>
  <c r="G102" i="2"/>
  <c r="J102" i="2"/>
  <c r="F102" i="2"/>
  <c r="G101" i="2"/>
  <c r="J101" i="2"/>
  <c r="F101" i="2"/>
  <c r="G100" i="2"/>
  <c r="J100" i="2"/>
  <c r="F100" i="2"/>
  <c r="F78" i="2"/>
  <c r="H78" i="2"/>
  <c r="K78" i="2"/>
  <c r="H82" i="2"/>
  <c r="K82" i="2"/>
  <c r="H81" i="2"/>
  <c r="K81" i="2"/>
  <c r="H80" i="2"/>
  <c r="K80" i="2"/>
  <c r="H79" i="2"/>
  <c r="K79" i="2"/>
  <c r="J78" i="2"/>
  <c r="G56" i="7"/>
  <c r="J56" i="7"/>
  <c r="F56" i="7"/>
  <c r="H35" i="7"/>
  <c r="K35" i="7"/>
  <c r="G55" i="7"/>
  <c r="J55" i="7"/>
  <c r="F55" i="7"/>
  <c r="G54" i="7"/>
  <c r="J54" i="7"/>
  <c r="F54" i="7"/>
  <c r="K33" i="7"/>
  <c r="H33" i="7"/>
  <c r="H34" i="7"/>
  <c r="K34" i="7"/>
  <c r="G99" i="2"/>
  <c r="J99" i="2"/>
  <c r="F99" i="2"/>
  <c r="H77" i="2"/>
  <c r="K77" i="2"/>
  <c r="H32" i="7"/>
  <c r="G53" i="7"/>
  <c r="J53" i="7"/>
  <c r="F53" i="7"/>
  <c r="G52" i="7"/>
  <c r="J52" i="7"/>
  <c r="F52" i="7"/>
  <c r="G98" i="2"/>
  <c r="J98" i="2"/>
  <c r="F98" i="2"/>
  <c r="G97" i="2"/>
  <c r="J97" i="2"/>
  <c r="F97" i="2"/>
  <c r="H76" i="2"/>
  <c r="K76" i="2"/>
  <c r="H75" i="2"/>
  <c r="K75" i="2"/>
  <c r="K32" i="7"/>
  <c r="K31" i="7"/>
  <c r="H31" i="7"/>
  <c r="G96" i="2"/>
  <c r="J96" i="2"/>
  <c r="F96" i="2"/>
  <c r="G95" i="2"/>
  <c r="J95" i="2"/>
  <c r="F95" i="2"/>
  <c r="H74" i="2"/>
  <c r="K74" i="2"/>
  <c r="H73" i="2"/>
  <c r="K73" i="2"/>
  <c r="G51" i="7"/>
  <c r="J51" i="7"/>
  <c r="F51" i="7"/>
  <c r="G50" i="7"/>
  <c r="J50" i="7"/>
  <c r="F50" i="7"/>
  <c r="H30" i="7"/>
  <c r="K30" i="7"/>
  <c r="H29" i="7"/>
  <c r="K29" i="7"/>
  <c r="H70" i="2"/>
  <c r="H71" i="2"/>
  <c r="K71" i="2"/>
  <c r="H72" i="2"/>
  <c r="K72" i="2"/>
  <c r="K70" i="2"/>
  <c r="G94" i="2"/>
  <c r="J94" i="2"/>
  <c r="F94" i="2"/>
  <c r="G93" i="2"/>
  <c r="J93" i="2"/>
  <c r="F93" i="2"/>
  <c r="G49" i="7"/>
  <c r="J49" i="7"/>
  <c r="F49" i="7"/>
  <c r="G48" i="7"/>
  <c r="J48" i="7"/>
  <c r="F48" i="7"/>
  <c r="H28" i="7"/>
  <c r="K28" i="7"/>
  <c r="H27" i="7"/>
  <c r="K27" i="7"/>
  <c r="G92" i="2"/>
  <c r="J92" i="2"/>
  <c r="F92" i="2"/>
  <c r="H68" i="2"/>
  <c r="K68" i="2"/>
  <c r="G91" i="2"/>
  <c r="J91" i="2"/>
  <c r="F91" i="2"/>
  <c r="H69" i="2"/>
  <c r="K69" i="2"/>
  <c r="F47" i="7"/>
  <c r="G47" i="7"/>
  <c r="J47" i="7"/>
  <c r="H26" i="7"/>
  <c r="K26" i="7"/>
  <c r="K25" i="7"/>
  <c r="K24" i="7"/>
  <c r="H24" i="7"/>
  <c r="G46" i="7"/>
  <c r="J46" i="7"/>
  <c r="F46" i="7"/>
  <c r="G45" i="7"/>
  <c r="J45" i="7"/>
  <c r="F45" i="7"/>
  <c r="H25" i="7"/>
  <c r="G90" i="2"/>
  <c r="J90" i="2"/>
  <c r="F90" i="2"/>
  <c r="G89" i="2"/>
  <c r="J89" i="2"/>
  <c r="F89" i="2"/>
  <c r="H67" i="2"/>
  <c r="K67" i="2"/>
  <c r="H66" i="2"/>
  <c r="K66" i="2"/>
  <c r="G88" i="2"/>
  <c r="J88" i="2"/>
  <c r="F88" i="2"/>
  <c r="G87" i="2"/>
  <c r="J87" i="2"/>
  <c r="F87" i="2"/>
  <c r="H65" i="2"/>
  <c r="K65" i="2"/>
  <c r="H64" i="2"/>
  <c r="K64" i="2"/>
  <c r="G44" i="7"/>
  <c r="J44" i="7"/>
  <c r="F44" i="7"/>
  <c r="G43" i="7"/>
  <c r="J43" i="7"/>
  <c r="F43" i="7"/>
  <c r="K23" i="7"/>
  <c r="K22" i="7"/>
  <c r="H23" i="7"/>
  <c r="H22" i="7"/>
  <c r="G42" i="7"/>
  <c r="J42" i="7"/>
  <c r="F42" i="7"/>
  <c r="G41" i="7"/>
  <c r="J41" i="7"/>
  <c r="F41" i="7"/>
  <c r="H21" i="7"/>
  <c r="K21" i="7"/>
  <c r="H20" i="7"/>
  <c r="K20" i="7"/>
  <c r="G86" i="2"/>
  <c r="J86" i="2"/>
  <c r="F86" i="2"/>
  <c r="G85" i="2"/>
  <c r="J85" i="2"/>
  <c r="F85" i="2"/>
  <c r="H63" i="2"/>
  <c r="K63" i="2"/>
  <c r="H62" i="2"/>
  <c r="K62" i="2"/>
  <c r="G84" i="2"/>
  <c r="J84" i="2"/>
  <c r="F84" i="2"/>
  <c r="G83" i="2"/>
  <c r="J83" i="2"/>
  <c r="F83" i="2"/>
  <c r="H61" i="2"/>
  <c r="K61" i="2"/>
  <c r="H60" i="2"/>
  <c r="K60" i="2"/>
  <c r="G40" i="7"/>
  <c r="J40" i="7"/>
  <c r="F40" i="7"/>
  <c r="G39" i="7"/>
  <c r="J39" i="7"/>
  <c r="F39" i="7"/>
  <c r="K19" i="7"/>
  <c r="K18" i="7"/>
  <c r="H19" i="7"/>
  <c r="H18" i="7"/>
  <c r="H17" i="7"/>
  <c r="K17" i="7"/>
  <c r="H16" i="7"/>
  <c r="K16" i="7"/>
  <c r="G38" i="7"/>
  <c r="J38" i="7"/>
  <c r="F38" i="7"/>
  <c r="G37" i="7"/>
  <c r="J37" i="7"/>
  <c r="F37" i="7"/>
  <c r="G82" i="2"/>
  <c r="J82" i="2"/>
  <c r="F82" i="2"/>
  <c r="G81" i="2"/>
  <c r="J81" i="2"/>
  <c r="F81" i="2"/>
  <c r="F36" i="7"/>
  <c r="G35" i="7"/>
  <c r="J35" i="7"/>
  <c r="F35" i="7"/>
  <c r="H15" i="7"/>
  <c r="K15" i="7"/>
  <c r="H58" i="2"/>
  <c r="K58" i="2"/>
  <c r="G80" i="2"/>
  <c r="J80" i="2"/>
  <c r="F80" i="2"/>
  <c r="G79" i="2"/>
  <c r="J79" i="2"/>
  <c r="F79" i="2"/>
  <c r="H59" i="2"/>
  <c r="K59" i="2"/>
  <c r="H14" i="7"/>
  <c r="K14" i="7"/>
  <c r="G77" i="2"/>
  <c r="J77" i="2"/>
  <c r="F77" i="2"/>
  <c r="H57" i="2"/>
  <c r="K57" i="2"/>
  <c r="H56" i="2"/>
  <c r="K56" i="2"/>
  <c r="G34" i="7"/>
  <c r="J34" i="7"/>
  <c r="F34" i="7"/>
  <c r="G33" i="7"/>
  <c r="J33" i="7"/>
  <c r="F33" i="7"/>
  <c r="H13" i="7"/>
  <c r="K13" i="7"/>
  <c r="H12" i="7"/>
  <c r="K12" i="7"/>
  <c r="K11" i="7"/>
  <c r="G32" i="7"/>
  <c r="J32" i="7"/>
  <c r="F32" i="7"/>
  <c r="G31" i="7"/>
  <c r="J31" i="7"/>
  <c r="F31" i="7"/>
  <c r="G76" i="2"/>
  <c r="J76" i="2"/>
  <c r="F76" i="2"/>
  <c r="G75" i="2"/>
  <c r="J75" i="2"/>
  <c r="F75" i="2"/>
  <c r="K55" i="2"/>
  <c r="K53" i="2"/>
  <c r="K54" i="2"/>
  <c r="G74" i="2"/>
  <c r="J74" i="2"/>
  <c r="F74" i="2"/>
  <c r="G73" i="2"/>
  <c r="J73" i="2"/>
  <c r="F73" i="2"/>
  <c r="K52" i="2"/>
  <c r="G30" i="7"/>
  <c r="J30" i="7"/>
  <c r="F30" i="7"/>
  <c r="G29" i="7"/>
  <c r="J29" i="7"/>
  <c r="F29" i="7"/>
  <c r="K10" i="7"/>
  <c r="K9" i="7"/>
  <c r="G72" i="2"/>
  <c r="J72" i="2"/>
  <c r="F72" i="2"/>
  <c r="G28" i="7"/>
  <c r="J28" i="7"/>
  <c r="F28" i="7"/>
  <c r="G27" i="7"/>
  <c r="J27" i="7"/>
  <c r="F27" i="7"/>
  <c r="G71" i="2"/>
  <c r="J71" i="2"/>
  <c r="F71" i="2"/>
  <c r="G70" i="2"/>
  <c r="J70" i="2"/>
  <c r="F70" i="2"/>
  <c r="K51" i="2"/>
  <c r="G69" i="2"/>
  <c r="J69" i="2"/>
  <c r="F69" i="2"/>
  <c r="G68" i="2"/>
  <c r="J68" i="2"/>
  <c r="F68" i="2"/>
  <c r="K50" i="2"/>
  <c r="G26" i="7"/>
  <c r="J26" i="7"/>
  <c r="F26" i="7"/>
  <c r="K8" i="7"/>
  <c r="K7" i="7"/>
  <c r="J8" i="7"/>
  <c r="J7" i="7"/>
  <c r="G25" i="7"/>
  <c r="J25" i="7"/>
  <c r="F25" i="7"/>
  <c r="G24" i="7"/>
  <c r="J24" i="7"/>
  <c r="F24" i="7"/>
  <c r="G67" i="2"/>
  <c r="J67" i="2"/>
  <c r="F67" i="2"/>
  <c r="G66" i="2"/>
  <c r="J66" i="2"/>
  <c r="F66" i="2"/>
  <c r="K49" i="2"/>
  <c r="G49" i="2"/>
  <c r="J49" i="2"/>
  <c r="G65" i="2"/>
  <c r="J65" i="2"/>
  <c r="F65" i="2"/>
  <c r="G64" i="2"/>
  <c r="J64" i="2"/>
  <c r="F64" i="2"/>
  <c r="K48" i="2"/>
  <c r="K47" i="2"/>
  <c r="G23" i="7"/>
  <c r="J23" i="7"/>
  <c r="F23" i="7"/>
  <c r="G22" i="7"/>
  <c r="J22" i="7"/>
  <c r="F22" i="7"/>
  <c r="G63" i="2"/>
  <c r="J63" i="2"/>
  <c r="F63" i="2"/>
  <c r="G62" i="2"/>
  <c r="J62" i="2"/>
  <c r="F62" i="2"/>
  <c r="K46" i="2"/>
  <c r="K45" i="2"/>
  <c r="G21" i="7"/>
  <c r="J21" i="7"/>
  <c r="F21" i="7"/>
  <c r="G20" i="7"/>
  <c r="J20" i="7"/>
  <c r="F20" i="7"/>
  <c r="G19" i="7"/>
  <c r="J19" i="7"/>
  <c r="F19" i="7"/>
  <c r="G61" i="2"/>
  <c r="J61" i="2"/>
  <c r="F61" i="2"/>
  <c r="G60" i="2"/>
  <c r="J60" i="2"/>
  <c r="F60" i="2"/>
  <c r="K44" i="2"/>
  <c r="G18" i="7"/>
  <c r="J18" i="7"/>
  <c r="F18" i="7"/>
  <c r="K43" i="2"/>
  <c r="G17" i="7"/>
  <c r="J17" i="7"/>
  <c r="F17" i="7"/>
  <c r="G16" i="7"/>
  <c r="J16" i="7"/>
  <c r="F16" i="7"/>
  <c r="G59" i="2"/>
  <c r="J59" i="2"/>
  <c r="F59" i="2"/>
  <c r="G58" i="2"/>
  <c r="J58" i="2"/>
  <c r="F58" i="2"/>
  <c r="G57" i="2"/>
  <c r="J57" i="2"/>
  <c r="F57" i="2"/>
  <c r="K42" i="2"/>
  <c r="K41" i="2"/>
  <c r="K5" i="7"/>
  <c r="J5" i="7"/>
  <c r="G15" i="7"/>
  <c r="J15" i="7"/>
  <c r="F15" i="7"/>
  <c r="G14" i="7"/>
  <c r="J14" i="7"/>
  <c r="F14" i="7"/>
  <c r="G13" i="7"/>
  <c r="J13" i="7"/>
  <c r="F13" i="7"/>
  <c r="G12" i="7"/>
  <c r="J12" i="7"/>
  <c r="F12" i="7"/>
  <c r="G11" i="7"/>
  <c r="J11" i="7"/>
  <c r="F11" i="7"/>
  <c r="G56" i="2"/>
  <c r="J56" i="2"/>
  <c r="F56" i="2"/>
  <c r="K40" i="2"/>
  <c r="K39" i="2"/>
  <c r="J39" i="2"/>
  <c r="G55" i="2"/>
  <c r="J55" i="2"/>
  <c r="F55" i="2"/>
  <c r="K38" i="2"/>
  <c r="G54" i="2"/>
  <c r="J54" i="2"/>
  <c r="F54" i="2"/>
  <c r="G53" i="2"/>
  <c r="J53" i="2"/>
  <c r="F53" i="2"/>
  <c r="G10" i="7"/>
  <c r="J10" i="7"/>
  <c r="F10" i="7"/>
  <c r="K6" i="7"/>
  <c r="J6" i="7"/>
  <c r="G52" i="2"/>
  <c r="J52" i="2"/>
  <c r="F52" i="2"/>
  <c r="K37" i="2"/>
  <c r="G51" i="2"/>
  <c r="J51" i="2"/>
  <c r="F51" i="2"/>
  <c r="K36" i="2"/>
  <c r="G9" i="7"/>
  <c r="J9" i="7"/>
  <c r="F9" i="7"/>
  <c r="G50" i="2"/>
  <c r="J50" i="2"/>
  <c r="F50" i="2"/>
  <c r="K35" i="2"/>
  <c r="G35" i="2"/>
  <c r="J35" i="2"/>
  <c r="F49" i="2"/>
  <c r="K34" i="2"/>
  <c r="G34" i="2"/>
  <c r="J34" i="2"/>
  <c r="F8" i="7"/>
  <c r="G48" i="2"/>
  <c r="J48" i="2"/>
  <c r="F48" i="2"/>
  <c r="G47" i="2"/>
  <c r="J47" i="2"/>
  <c r="F47" i="2"/>
  <c r="K33" i="2"/>
  <c r="G46" i="2"/>
  <c r="J46" i="2"/>
  <c r="F46" i="2"/>
  <c r="G45" i="2"/>
  <c r="J45" i="2"/>
  <c r="F45" i="2"/>
  <c r="K32" i="2"/>
  <c r="G44" i="2"/>
  <c r="J44" i="2"/>
  <c r="F44" i="2"/>
  <c r="K31" i="2"/>
  <c r="G43" i="2"/>
  <c r="J43" i="2"/>
  <c r="F43" i="2"/>
  <c r="K30" i="2"/>
  <c r="G30" i="2"/>
  <c r="J30" i="2"/>
  <c r="G42" i="2"/>
  <c r="J42" i="2"/>
  <c r="F42" i="2"/>
  <c r="G41" i="2"/>
  <c r="J41" i="2"/>
  <c r="F41" i="2"/>
  <c r="K29" i="2"/>
  <c r="F40" i="2"/>
  <c r="G40" i="2"/>
  <c r="J40" i="2"/>
  <c r="K28" i="2"/>
  <c r="J28" i="2"/>
  <c r="F39" i="2"/>
  <c r="F7" i="7"/>
  <c r="F38" i="2"/>
  <c r="G38" i="2"/>
  <c r="J38" i="2"/>
  <c r="J27" i="2"/>
  <c r="K4" i="7"/>
  <c r="J4" i="7"/>
  <c r="K27" i="2"/>
  <c r="G37" i="2"/>
  <c r="J37" i="2"/>
  <c r="F37" i="2"/>
  <c r="J25" i="2"/>
  <c r="K25" i="2"/>
  <c r="F6" i="7"/>
  <c r="F5" i="7"/>
  <c r="G36" i="2"/>
  <c r="J36" i="2"/>
  <c r="F36" i="2"/>
  <c r="K26" i="2"/>
  <c r="K3" i="7"/>
  <c r="J26" i="2"/>
  <c r="F35" i="2"/>
  <c r="K23" i="2"/>
  <c r="J23" i="2"/>
  <c r="F34" i="2"/>
  <c r="G33" i="2"/>
  <c r="J33" i="2"/>
  <c r="F33" i="2"/>
  <c r="K24" i="2"/>
  <c r="J24" i="2"/>
  <c r="F32" i="2"/>
  <c r="G32" i="2"/>
  <c r="J32" i="2"/>
  <c r="K22" i="2"/>
  <c r="J22" i="2"/>
  <c r="G31" i="2"/>
  <c r="J31" i="2"/>
  <c r="K21" i="2"/>
  <c r="J21" i="2"/>
  <c r="G29" i="2"/>
  <c r="J29" i="2"/>
  <c r="K20" i="2"/>
  <c r="J20" i="2"/>
  <c r="G3" i="7"/>
  <c r="J3" i="7"/>
  <c r="K2" i="7"/>
  <c r="K19" i="2"/>
  <c r="J19" i="2"/>
  <c r="K18" i="2"/>
  <c r="J18" i="2"/>
  <c r="K18" i="1"/>
  <c r="K19" i="1"/>
  <c r="I9" i="2"/>
  <c r="I8" i="2"/>
  <c r="K8" i="2"/>
  <c r="K5" i="2"/>
  <c r="B18" i="1"/>
  <c r="B19" i="1"/>
  <c r="H18" i="1"/>
  <c r="H19" i="1"/>
  <c r="E18" i="1"/>
  <c r="E19" i="1"/>
  <c r="K9" i="2"/>
  <c r="J9" i="2"/>
  <c r="J5" i="2"/>
  <c r="J8" i="2"/>
  <c r="K20" i="1"/>
  <c r="K21" i="1"/>
  <c r="B20" i="1"/>
  <c r="B21" i="1"/>
  <c r="H20" i="1"/>
  <c r="H21" i="1"/>
  <c r="E20" i="1"/>
  <c r="E21" i="1"/>
  <c r="J2" i="7"/>
  <c r="K17" i="2"/>
  <c r="J17" i="2"/>
  <c r="I2" i="2"/>
  <c r="K2" i="2"/>
  <c r="J2" i="2"/>
  <c r="K16" i="2"/>
  <c r="K7" i="2"/>
  <c r="K6" i="2"/>
  <c r="K4" i="2"/>
  <c r="K3" i="2"/>
  <c r="J16" i="2"/>
  <c r="J6" i="2"/>
  <c r="J7" i="2"/>
  <c r="J4" i="2"/>
  <c r="J3" i="2"/>
  <c r="J2" i="5"/>
  <c r="K11" i="2"/>
  <c r="J11" i="2"/>
  <c r="K15" i="2"/>
  <c r="J15" i="2"/>
  <c r="K14" i="2"/>
  <c r="J14" i="2"/>
  <c r="K12" i="2"/>
  <c r="J12" i="2"/>
  <c r="K10" i="2"/>
  <c r="J10" i="2"/>
  <c r="K13" i="2"/>
  <c r="J13" i="2"/>
  <c r="F3" i="5"/>
  <c r="J3" i="5"/>
  <c r="H2" i="5"/>
  <c r="H3" i="5"/>
  <c r="B6" i="1"/>
  <c r="B7" i="1"/>
  <c r="B8" i="1"/>
  <c r="B9" i="1"/>
</calcChain>
</file>

<file path=xl/sharedStrings.xml><?xml version="1.0" encoding="utf-8"?>
<sst xmlns="http://schemas.openxmlformats.org/spreadsheetml/2006/main" count="655" uniqueCount="153">
  <si>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</si>
  <si>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</si>
  <si>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</si>
  <si>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</si>
  <si>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</si>
  <si>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</si>
  <si>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</si>
  <si>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</si>
  <si>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</si>
  <si>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</si>
  <si>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</si>
  <si>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</si>
  <si>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</si>
  <si>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</si>
  <si>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</si>
  <si>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</si>
  <si>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</si>
  <si>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</si>
  <si>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</si>
  <si>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</si>
  <si>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</si>
  <si>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</si>
  <si>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</si>
  <si>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</si>
  <si>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</si>
  <si>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</si>
  <si>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</si>
  <si>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</si>
  <si>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</si>
  <si>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</si>
  <si>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</si>
  <si>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</si>
  <si>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</si>
  <si>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</si>
  <si>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</si>
  <si>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</si>
  <si>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</si>
  <si>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</si>
  <si>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</si>
  <si>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</si>
  <si>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</si>
  <si>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</si>
  <si>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</si>
  <si>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</si>
  <si>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</si>
  <si>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</si>
  <si>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</si>
  <si>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</si>
  <si>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</si>
  <si>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</si>
  <si>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</si>
  <si>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</si>
  <si>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</si>
  <si>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</si>
  <si>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</si>
  <si>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</si>
  <si>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</si>
  <si>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</si>
  <si>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</si>
  <si>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</si>
  <si>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</si>
  <si>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</si>
  <si>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</si>
  <si>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</si>
  <si>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</si>
  <si>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</si>
  <si>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</si>
  <si>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</si>
  <si>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</si>
  <si>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</si>
  <si>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</si>
  <si>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</si>
  <si>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</si>
  <si>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</si>
  <si>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</si>
  <si>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</si>
  <si>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</si>
  <si>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</si>
  <si>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</si>
  <si>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</si>
  <si>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</si>
  <si>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</si>
  <si>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</si>
  <si>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</si>
  <si>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</si>
  <si>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</si>
  <si>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</si>
  <si>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</si>
  <si>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</si>
  <si>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</si>
  <si>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</si>
  <si>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</si>
  <si>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</si>
  <si>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</si>
  <si>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</si>
  <si>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</si>
  <si>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</si>
  <si>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</si>
  <si>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</si>
  <si>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</si>
  <si>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</si>
  <si>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</si>
  <si>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</si>
  <si>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</si>
  <si>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</si>
  <si>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</si>
  <si>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</si>
  <si>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</si>
  <si>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</si>
  <si>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</si>
  <si>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</si>
  <si>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</si>
  <si>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</si>
  <si>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</si>
  <si>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</si>
  <si>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</si>
  <si>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</si>
  <si>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</si>
  <si>
    <t>富德生命人寿e理财G款</t>
    <phoneticPr fontId="1" type="noConversion"/>
  </si>
  <si>
    <t>富德生命人寿e理财G款</t>
    <phoneticPr fontId="1" type="noConversion"/>
  </si>
  <si>
    <t>个人贷152238号</t>
    <phoneticPr fontId="1" type="noConversion"/>
  </si>
  <si>
    <t>个人贷209255号</t>
    <phoneticPr fontId="1" type="noConversion"/>
  </si>
  <si>
    <t>个人贷940580号</t>
    <phoneticPr fontId="1" type="noConversion"/>
  </si>
  <si>
    <t>个人贷2015091655798988号</t>
    <phoneticPr fontId="1" type="noConversion"/>
  </si>
  <si>
    <t>安盈-票据 150914214643</t>
    <phoneticPr fontId="1" type="noConversion"/>
  </si>
  <si>
    <t>余额宝</t>
    <phoneticPr fontId="1" type="noConversion"/>
  </si>
  <si>
    <t xml:space="preserve">个人贷021191号 </t>
    <phoneticPr fontId="1" type="noConversion"/>
  </si>
  <si>
    <t>合计</t>
    <phoneticPr fontId="1" type="noConversion"/>
  </si>
  <si>
    <t>个人贷743843号</t>
    <phoneticPr fontId="1" type="noConversion"/>
  </si>
  <si>
    <t>个人贷744003号</t>
    <phoneticPr fontId="1" type="noConversion"/>
  </si>
  <si>
    <t>个人贷744141号</t>
    <phoneticPr fontId="1" type="noConversion"/>
  </si>
  <si>
    <t>个人贷744276号</t>
    <phoneticPr fontId="1" type="noConversion"/>
  </si>
  <si>
    <t>稳盈-安e15092001789</t>
    <phoneticPr fontId="1" type="noConversion"/>
  </si>
  <si>
    <t>陆金所-可用余额</t>
    <phoneticPr fontId="1" type="noConversion"/>
  </si>
  <si>
    <t>稳盈-变现通-共用</t>
    <phoneticPr fontId="1" type="noConversion"/>
  </si>
  <si>
    <t>陆金所-可用余额-共用</t>
    <phoneticPr fontId="1" type="noConversion"/>
  </si>
  <si>
    <t>日期</t>
    <phoneticPr fontId="1" type="noConversion"/>
  </si>
  <si>
    <t>招财宝-&gt;保险</t>
    <phoneticPr fontId="1" type="noConversion"/>
  </si>
  <si>
    <t>招财宝-&gt;个人贷</t>
    <phoneticPr fontId="1" type="noConversion"/>
  </si>
  <si>
    <t>招财宝-&gt;其他</t>
    <phoneticPr fontId="1" type="noConversion"/>
  </si>
  <si>
    <t>余额宝</t>
    <phoneticPr fontId="1" type="noConversion"/>
  </si>
  <si>
    <t>钱大掌柜</t>
    <phoneticPr fontId="1" type="noConversion"/>
  </si>
  <si>
    <t>陆金所-票据</t>
    <phoneticPr fontId="1" type="noConversion"/>
  </si>
  <si>
    <t>陆金所-&gt;变现通</t>
    <phoneticPr fontId="1" type="noConversion"/>
  </si>
  <si>
    <t>陆金所-&gt;P2P</t>
    <phoneticPr fontId="1" type="noConversion"/>
  </si>
  <si>
    <t>陆金所-&gt;余额</t>
    <phoneticPr fontId="1" type="noConversion"/>
  </si>
  <si>
    <t>京东金融</t>
    <phoneticPr fontId="1" type="noConversion"/>
  </si>
  <si>
    <t>零活宝</t>
    <phoneticPr fontId="1" type="noConversion"/>
  </si>
  <si>
    <t>零活宝-共用</t>
    <phoneticPr fontId="1" type="noConversion"/>
  </si>
  <si>
    <t>稳盈-变现通</t>
    <phoneticPr fontId="1" type="noConversion"/>
  </si>
  <si>
    <t>基金</t>
    <phoneticPr fontId="1" type="noConversion"/>
  </si>
  <si>
    <t>灵活宝28天</t>
    <phoneticPr fontId="1" type="noConversion"/>
  </si>
  <si>
    <t>活期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</si>
</sst>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1"/>
  <sheetViews>
    <sheetView zoomScaleNormal="100" workbookViewId="0">
      <pane xSplit="5" ySplit="1" topLeftCell="F169" activePane="bottomRight" state="frozen"/>
      <selection pane="topRight" activeCell="F1" sqref="F1"/>
      <selection pane="bottomLeft" activeCell="A2" sqref="A2"/>
      <selection pane="bottomRight" activeCell="J176" sqref="J176:K176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hidden="1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hidden="1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hidden="1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hidden="1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hidden="1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hidden="1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hidden="1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hidden="1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hidden="1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hidden="1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hidden="1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hidden="1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hidden="1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hidden="1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hidden="1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hidden="1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hidden="1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hidden="1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hidden="1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hidden="1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hidden="1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hidden="1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hidden="1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hidden="1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hidden="1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hidden="1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hidden="1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hidden="1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hidden="1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hidden="1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hidden="1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hidden="1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hidden="1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hidden="1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hidden="1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hidden="1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hidden="1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hidden="1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hidden="1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hidden="1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hidden="1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hidden="1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hidden="1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hidden="1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hidden="1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hidden="1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hidden="1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hidden="1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hidden="1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hidden="1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hidden="1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hidden="1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hidden="1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hidden="1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hidden="1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hidden="1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hidden="1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hidden="1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hidden="1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hidden="1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hidden="1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hidden="1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hidden="1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hidden="1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hidden="1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hidden="1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hidden="1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hidden="1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hidden="1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hidden="1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hidden="1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hidden="1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hidden="1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hidden="1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hidden="1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hidden="1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hidden="1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hidden="1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hidden="1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hidden="1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hidden="1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hidden="1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hidden="1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hidden="1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hidden="1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hidden="1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hidden="1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hidden="1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hidden="1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hidden="1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hidden="1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hidden="1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hidden="1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hidden="1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hidden="1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hidden="1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hidden="1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hidden="1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hidden="1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hidden="1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hidden="1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hidden="1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hidden="1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hidden="1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hidden="1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hidden="1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hidden="1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hidden="1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hidden="1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hidden="1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5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hidden="1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5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hidden="1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5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hidden="1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5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hidden="1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5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hidden="1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5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hidden="1" x14ac:dyDescent="0.15">
      <c r="A117" s="3" t="s">
        <v>84</v>
      </c>
      <c r="B117">
        <v>366</v>
      </c>
      <c r="C117" t="s">
        <v>91</v>
      </c>
      <c r="D117">
        <v>6000</v>
      </c>
      <c r="E117" s="1">
        <v>42224</v>
      </c>
      <c r="F117" s="1">
        <f t="shared" ref="F117:F118" si="155">E117+1</f>
        <v>42225</v>
      </c>
      <c r="G117" s="5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  <c r="L117" t="s">
        <v>97</v>
      </c>
    </row>
    <row r="118" spans="1:12" hidden="1" x14ac:dyDescent="0.15">
      <c r="A118" s="3" t="s">
        <v>73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5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2" hidden="1" x14ac:dyDescent="0.15">
      <c r="A119" s="3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9">E119+1</f>
        <v>42226</v>
      </c>
      <c r="G119" s="5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  <c r="L119" t="s">
        <v>97</v>
      </c>
    </row>
    <row r="120" spans="1:12" hidden="1" x14ac:dyDescent="0.15">
      <c r="A120" s="3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5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2" hidden="1" x14ac:dyDescent="0.15">
      <c r="A121" s="3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5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2" hidden="1" x14ac:dyDescent="0.15">
      <c r="A122" s="3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5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2" hidden="1" x14ac:dyDescent="0.15">
      <c r="A123" s="3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5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2" hidden="1" x14ac:dyDescent="0.15">
      <c r="A124" s="3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5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2" hidden="1" x14ac:dyDescent="0.15">
      <c r="A125" s="3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5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2" hidden="1" x14ac:dyDescent="0.15">
      <c r="A126" s="3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5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2" hidden="1" x14ac:dyDescent="0.15">
      <c r="A127" s="3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5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2" hidden="1" x14ac:dyDescent="0.15">
      <c r="A128" s="3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5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1" hidden="1" x14ac:dyDescent="0.15">
      <c r="A129" s="3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5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1" hidden="1" x14ac:dyDescent="0.15">
      <c r="A130" s="3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5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1" hidden="1" x14ac:dyDescent="0.15">
      <c r="A131" s="3" t="s">
        <v>51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5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1" hidden="1" x14ac:dyDescent="0.15">
      <c r="A132" s="3" t="s">
        <v>73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5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1" hidden="1" x14ac:dyDescent="0.15">
      <c r="A133" s="3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5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1" hidden="1" x14ac:dyDescent="0.15">
      <c r="A134" s="3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5">
        <f t="shared" si="188"/>
        <v>42242</v>
      </c>
      <c r="H134">
        <f>5049.41-5.04*2</f>
        <v>5039.33</v>
      </c>
      <c r="J134">
        <f t="shared" ref="J134" si="191">ROUND((H134-D134)/D134*365/(G134-E134)*100,2)</f>
        <v>26.1</v>
      </c>
      <c r="K134">
        <f t="shared" ref="K134" si="192">H134+I134-D134</f>
        <v>39.329999999999927</v>
      </c>
    </row>
    <row r="135" spans="1:11" hidden="1" x14ac:dyDescent="0.15">
      <c r="A135" s="3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3">E135+1</f>
        <v>42233</v>
      </c>
      <c r="G135" s="5">
        <f t="shared" ref="G135:G136" si="194">E135+11</f>
        <v>42243</v>
      </c>
      <c r="H135">
        <f>5068.3-5.06*2</f>
        <v>5058.18</v>
      </c>
      <c r="J135">
        <f t="shared" ref="J135:J136" si="195">ROUND((H135-D135)/D135*365/(G135-E135)*100,2)</f>
        <v>38.61</v>
      </c>
      <c r="K135">
        <f t="shared" ref="K135:K136" si="196">H135+I135-D135</f>
        <v>58.180000000000291</v>
      </c>
    </row>
    <row r="136" spans="1:11" hidden="1" x14ac:dyDescent="0.15">
      <c r="A136" s="3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93"/>
        <v>42233</v>
      </c>
      <c r="G136" s="5">
        <f t="shared" si="194"/>
        <v>42243</v>
      </c>
      <c r="H136">
        <f>5048.55-5.04*2</f>
        <v>5038.47</v>
      </c>
      <c r="J136">
        <f t="shared" si="195"/>
        <v>25.53</v>
      </c>
      <c r="K136">
        <f t="shared" si="196"/>
        <v>38.470000000000255</v>
      </c>
    </row>
    <row r="137" spans="1:11" hidden="1" x14ac:dyDescent="0.15">
      <c r="A137" s="3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7">E137+1</f>
        <v>42234</v>
      </c>
      <c r="G137" s="5">
        <f t="shared" ref="G137:G138" si="198">E137+11</f>
        <v>42244</v>
      </c>
      <c r="H137">
        <f>6087.52-6.08*2</f>
        <v>6075.3600000000006</v>
      </c>
      <c r="J137">
        <f t="shared" ref="J137:J139" si="199">ROUND((H137-D137)/D137*365/(G137-E137)*100,2)</f>
        <v>41.68</v>
      </c>
      <c r="K137">
        <f t="shared" ref="K137:K139" si="200">H137+I137-D137</f>
        <v>75.360000000000582</v>
      </c>
    </row>
    <row r="138" spans="1:11" hidden="1" x14ac:dyDescent="0.15">
      <c r="A138" s="3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97"/>
        <v>42234</v>
      </c>
      <c r="G138" s="5">
        <f t="shared" si="198"/>
        <v>42244</v>
      </c>
      <c r="H138">
        <f>5047.68-5.04*2</f>
        <v>5037.6000000000004</v>
      </c>
      <c r="J138">
        <f t="shared" si="199"/>
        <v>24.95</v>
      </c>
      <c r="K138">
        <f t="shared" si="200"/>
        <v>37.600000000000364</v>
      </c>
    </row>
    <row r="139" spans="1:11" hidden="1" x14ac:dyDescent="0.15">
      <c r="A139" s="3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201">E139+1</f>
        <v>42235</v>
      </c>
      <c r="G139" s="5">
        <f t="shared" ref="G139" si="202">E139+11</f>
        <v>42245</v>
      </c>
      <c r="H139">
        <f>10089.89-10.08*2</f>
        <v>10069.73</v>
      </c>
      <c r="J139">
        <f t="shared" si="199"/>
        <v>23.14</v>
      </c>
      <c r="K139">
        <f t="shared" si="200"/>
        <v>69.729999999999563</v>
      </c>
    </row>
    <row r="140" spans="1:11" hidden="1" x14ac:dyDescent="0.15">
      <c r="A140" s="3" t="s">
        <v>101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201"/>
        <v>42236</v>
      </c>
      <c r="G140" s="5">
        <v>42237</v>
      </c>
      <c r="H140">
        <f>8732.27-8.73*2</f>
        <v>8714.8100000000013</v>
      </c>
      <c r="J140">
        <f t="shared" ref="J140:J141" si="203">ROUND((H140-D140)/D140*365/(G140-E140)*100,2)</f>
        <v>7.98</v>
      </c>
      <c r="K140">
        <f t="shared" ref="K140:K142" si="204">H140+I140-D140</f>
        <v>3.8100000000013097</v>
      </c>
    </row>
    <row r="141" spans="1:11" hidden="1" x14ac:dyDescent="0.15">
      <c r="A141" s="3" t="s">
        <v>102</v>
      </c>
      <c r="B141">
        <v>180</v>
      </c>
      <c r="C141">
        <v>6.8</v>
      </c>
      <c r="D141">
        <v>6000</v>
      </c>
      <c r="E141" s="1">
        <v>42235</v>
      </c>
      <c r="F141" s="1">
        <f t="shared" ref="F141:F142" si="205">E141+1</f>
        <v>42236</v>
      </c>
      <c r="G141" s="5">
        <v>42247</v>
      </c>
      <c r="H141">
        <f>2681.7-2.68*2+3385.75-3.07*2</f>
        <v>6055.95</v>
      </c>
      <c r="J141">
        <f t="shared" si="203"/>
        <v>28.36</v>
      </c>
      <c r="K141">
        <f t="shared" si="204"/>
        <v>55.949999999999818</v>
      </c>
    </row>
    <row r="142" spans="1:11" hidden="1" x14ac:dyDescent="0.15">
      <c r="A142" s="3" t="s">
        <v>99</v>
      </c>
      <c r="B142">
        <v>731</v>
      </c>
      <c r="C142">
        <v>7.28</v>
      </c>
      <c r="D142">
        <v>4000</v>
      </c>
      <c r="E142" s="1">
        <v>42235</v>
      </c>
      <c r="F142" s="1">
        <f t="shared" si="205"/>
        <v>42236</v>
      </c>
      <c r="G142" s="5">
        <f t="shared" ref="G142" si="206">E142+11</f>
        <v>42246</v>
      </c>
      <c r="H142">
        <f>4035.26-4.03*2</f>
        <v>4027.2000000000003</v>
      </c>
      <c r="J142">
        <f>ROUND((H142-D142)/D142*365/(G142-E142)*100,2)</f>
        <v>22.56</v>
      </c>
      <c r="K142">
        <f t="shared" si="204"/>
        <v>27.200000000000273</v>
      </c>
    </row>
    <row r="143" spans="1:11" hidden="1" x14ac:dyDescent="0.15">
      <c r="A143" s="3" t="s">
        <v>103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5">
        <v>42237</v>
      </c>
      <c r="H143">
        <f>130.33-0.13*2</f>
        <v>130.07000000000002</v>
      </c>
      <c r="J143">
        <f t="shared" ref="J143" si="207">ROUND((H143-D143)/D143*365/(G143-E143)*100,2)</f>
        <v>9.83</v>
      </c>
      <c r="K143">
        <f t="shared" ref="K143:K146" si="208">H143+I143-D143</f>
        <v>7.00000000000216E-2</v>
      </c>
    </row>
    <row r="144" spans="1:11" hidden="1" x14ac:dyDescent="0.15">
      <c r="A144" s="3" t="s">
        <v>104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9">E144+1</f>
        <v>42237</v>
      </c>
      <c r="G144" s="5">
        <f t="shared" ref="G144:G146" si="210">E144+11</f>
        <v>42247</v>
      </c>
      <c r="H144">
        <f>5046.7-5.04*2</f>
        <v>5036.62</v>
      </c>
      <c r="J144">
        <f t="shared" ref="J144:J149" si="211">ROUND((H144-D144)/D144*365/(G144-E144)*100,2)</f>
        <v>24.3</v>
      </c>
      <c r="K144">
        <f t="shared" si="208"/>
        <v>36.619999999999891</v>
      </c>
    </row>
    <row r="145" spans="1:11" hidden="1" x14ac:dyDescent="0.15">
      <c r="A145" s="3" t="s">
        <v>104</v>
      </c>
      <c r="B145">
        <v>731</v>
      </c>
      <c r="C145">
        <v>7.28</v>
      </c>
      <c r="D145">
        <v>5000</v>
      </c>
      <c r="E145" s="1">
        <v>42236</v>
      </c>
      <c r="F145" s="1">
        <f t="shared" si="209"/>
        <v>42237</v>
      </c>
      <c r="G145" s="5">
        <f t="shared" si="210"/>
        <v>42247</v>
      </c>
      <c r="H145">
        <f>5045.82-5.04*2</f>
        <v>5035.74</v>
      </c>
      <c r="J145">
        <f t="shared" si="211"/>
        <v>23.72</v>
      </c>
      <c r="K145">
        <f t="shared" si="208"/>
        <v>35.739999999999782</v>
      </c>
    </row>
    <row r="146" spans="1:11" hidden="1" x14ac:dyDescent="0.15">
      <c r="A146" s="3" t="s">
        <v>73</v>
      </c>
      <c r="B146">
        <v>731</v>
      </c>
      <c r="C146">
        <v>7.3</v>
      </c>
      <c r="D146">
        <v>12000</v>
      </c>
      <c r="E146" s="1">
        <v>42236</v>
      </c>
      <c r="F146" s="1">
        <f t="shared" si="209"/>
        <v>42237</v>
      </c>
      <c r="G146" s="5">
        <f t="shared" si="210"/>
        <v>42247</v>
      </c>
      <c r="H146">
        <f>12114.49-12.11*2</f>
        <v>12090.27</v>
      </c>
      <c r="J146">
        <f t="shared" si="211"/>
        <v>24.96</v>
      </c>
      <c r="K146">
        <f t="shared" si="208"/>
        <v>90.270000000000437</v>
      </c>
    </row>
    <row r="147" spans="1:11" hidden="1" x14ac:dyDescent="0.15">
      <c r="A147" s="3" t="s">
        <v>105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12">E147+1</f>
        <v>42238</v>
      </c>
      <c r="G147" s="5">
        <v>42239</v>
      </c>
      <c r="H147">
        <f>10071.4-20.14</f>
        <v>10051.26</v>
      </c>
      <c r="J147">
        <f t="shared" si="211"/>
        <v>93.55</v>
      </c>
      <c r="K147">
        <f t="shared" ref="K147" si="213">H147+I147-D147</f>
        <v>51.260000000000218</v>
      </c>
    </row>
    <row r="148" spans="1:11" x14ac:dyDescent="0.15">
      <c r="A148" s="3" t="s">
        <v>73</v>
      </c>
      <c r="B148">
        <v>731</v>
      </c>
      <c r="C148">
        <v>7.3</v>
      </c>
      <c r="D148">
        <v>10000</v>
      </c>
      <c r="E148" s="1">
        <v>42237</v>
      </c>
      <c r="F148" s="1">
        <f t="shared" si="212"/>
        <v>42238</v>
      </c>
      <c r="G148" s="5">
        <f t="shared" ref="G148:G151" si="214">E148+11</f>
        <v>42248</v>
      </c>
      <c r="H148">
        <f>10104.17-10.1*2</f>
        <v>10083.969999999999</v>
      </c>
      <c r="J148">
        <f t="shared" si="211"/>
        <v>27.86</v>
      </c>
      <c r="K148">
        <f t="shared" ref="K148:K149" si="215">H148+I148-D148</f>
        <v>83.969999999999345</v>
      </c>
    </row>
    <row r="149" spans="1:11" x14ac:dyDescent="0.15">
      <c r="A149" s="3" t="s">
        <v>73</v>
      </c>
      <c r="B149">
        <v>731</v>
      </c>
      <c r="C149">
        <v>7.3</v>
      </c>
      <c r="D149">
        <v>5000</v>
      </c>
      <c r="E149" s="1">
        <v>42237</v>
      </c>
      <c r="F149" s="1">
        <f t="shared" si="212"/>
        <v>42238</v>
      </c>
      <c r="G149" s="5">
        <f t="shared" si="214"/>
        <v>42248</v>
      </c>
      <c r="H149">
        <f>5052.08-5.04*2</f>
        <v>5042</v>
      </c>
      <c r="J149">
        <f t="shared" si="211"/>
        <v>27.87</v>
      </c>
      <c r="K149">
        <f t="shared" si="215"/>
        <v>42</v>
      </c>
    </row>
    <row r="150" spans="1:11" x14ac:dyDescent="0.15">
      <c r="A150" s="3" t="s">
        <v>100</v>
      </c>
      <c r="B150">
        <v>366</v>
      </c>
      <c r="C150">
        <v>7.2</v>
      </c>
      <c r="D150">
        <v>5000</v>
      </c>
      <c r="E150" s="1">
        <v>42238</v>
      </c>
      <c r="F150" s="1">
        <f t="shared" si="212"/>
        <v>42239</v>
      </c>
      <c r="G150" s="5">
        <f t="shared" si="214"/>
        <v>42249</v>
      </c>
      <c r="H150">
        <f>5061.33-5.06*2</f>
        <v>5051.21</v>
      </c>
      <c r="J150">
        <f t="shared" ref="J150:J151" si="216">ROUND((H150-D150)/D150*365/(G150-E150)*100,2)</f>
        <v>33.979999999999997</v>
      </c>
      <c r="K150">
        <f t="shared" ref="K150:K151" si="217">H150+I150-D150</f>
        <v>51.210000000000036</v>
      </c>
    </row>
    <row r="151" spans="1:11" x14ac:dyDescent="0.15">
      <c r="A151" s="3" t="s">
        <v>73</v>
      </c>
      <c r="B151">
        <v>731</v>
      </c>
      <c r="C151">
        <v>7.3</v>
      </c>
      <c r="D151">
        <v>5000</v>
      </c>
      <c r="E151" s="1">
        <v>42238</v>
      </c>
      <c r="F151" s="1">
        <f t="shared" si="212"/>
        <v>42239</v>
      </c>
      <c r="G151" s="5">
        <f t="shared" si="214"/>
        <v>42249</v>
      </c>
      <c r="H151">
        <f>5049.45-5.04*2</f>
        <v>5039.37</v>
      </c>
      <c r="J151">
        <f t="shared" si="216"/>
        <v>26.13</v>
      </c>
      <c r="K151">
        <f t="shared" si="217"/>
        <v>39.369999999999891</v>
      </c>
    </row>
    <row r="152" spans="1:11" x14ac:dyDescent="0.15">
      <c r="A152" s="3" t="s">
        <v>73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8">E152+1</f>
        <v>42240</v>
      </c>
      <c r="G152" s="5">
        <f t="shared" ref="G152" si="219">E152+11</f>
        <v>42250</v>
      </c>
      <c r="H152">
        <f>10095.42-10.07*2</f>
        <v>10075.280000000001</v>
      </c>
      <c r="J152">
        <f t="shared" ref="J152" si="220">ROUND((H152-D152)/D152*365/(G152-E152)*100,2)</f>
        <v>24.98</v>
      </c>
      <c r="K152">
        <f t="shared" ref="K152" si="221">H152+I152-D152</f>
        <v>75.280000000000655</v>
      </c>
    </row>
    <row r="153" spans="1:11" hidden="1" x14ac:dyDescent="0.15">
      <c r="A153" s="3" t="s">
        <v>106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5">
        <v>42241</v>
      </c>
      <c r="H153">
        <f>1998.23-1.99*2</f>
        <v>1994.25</v>
      </c>
      <c r="J153">
        <f t="shared" ref="J153:J159" si="222">ROUND((H153-D153)/D153*365/(G153-E153)*100,2)</f>
        <v>-52.47</v>
      </c>
      <c r="K153">
        <f t="shared" ref="K153:K156" si="223">H153+I153-D153</f>
        <v>-5.75</v>
      </c>
    </row>
    <row r="154" spans="1:11" hidden="1" x14ac:dyDescent="0.15">
      <c r="A154" s="3" t="s">
        <v>107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5">
        <v>42241</v>
      </c>
      <c r="H154">
        <f>1001.62-2</f>
        <v>999.62</v>
      </c>
      <c r="J154">
        <f t="shared" si="222"/>
        <v>-64.760000000000005</v>
      </c>
      <c r="K154">
        <f t="shared" si="223"/>
        <v>-3.5599999999999454</v>
      </c>
    </row>
    <row r="155" spans="1:11" hidden="1" x14ac:dyDescent="0.15">
      <c r="A155" s="3" t="s">
        <v>108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5">
        <v>42241</v>
      </c>
      <c r="H155">
        <f>1012.66-1.01*2</f>
        <v>1010.64</v>
      </c>
      <c r="J155">
        <f t="shared" si="222"/>
        <v>-65.319999999999993</v>
      </c>
      <c r="K155">
        <f t="shared" si="223"/>
        <v>-3.6299999999999955</v>
      </c>
    </row>
    <row r="156" spans="1:11" hidden="1" x14ac:dyDescent="0.15">
      <c r="A156" s="3" t="s">
        <v>109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5">
        <v>42241</v>
      </c>
      <c r="H156">
        <f>3250.1-3.25*2</f>
        <v>3243.6</v>
      </c>
      <c r="J156">
        <f t="shared" si="222"/>
        <v>-55.81</v>
      </c>
      <c r="K156">
        <f t="shared" si="223"/>
        <v>-9.9500000000002728</v>
      </c>
    </row>
    <row r="157" spans="1:11" x14ac:dyDescent="0.15">
      <c r="A157" s="3" t="s">
        <v>60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24">E157+1</f>
        <v>42241</v>
      </c>
      <c r="G157" s="5">
        <f t="shared" ref="G157:G158" si="225">E157+11</f>
        <v>42251</v>
      </c>
      <c r="H157">
        <f>7114.33-7.11*2</f>
        <v>7100.11</v>
      </c>
      <c r="J157">
        <f t="shared" si="222"/>
        <v>47.45</v>
      </c>
      <c r="K157">
        <f t="shared" ref="K157" si="226">H157+I157-D157</f>
        <v>100.10999999999967</v>
      </c>
    </row>
    <row r="158" spans="1:11" x14ac:dyDescent="0.15">
      <c r="A158" s="3" t="s">
        <v>73</v>
      </c>
      <c r="B158">
        <v>731</v>
      </c>
      <c r="C158">
        <v>7.3</v>
      </c>
      <c r="D158">
        <v>5000</v>
      </c>
      <c r="E158" s="1">
        <v>42240</v>
      </c>
      <c r="F158" s="1">
        <f t="shared" si="224"/>
        <v>42241</v>
      </c>
      <c r="G158" s="5">
        <f t="shared" si="225"/>
        <v>42251</v>
      </c>
      <c r="H158">
        <f>5049.43-5.04*2</f>
        <v>5039.3500000000004</v>
      </c>
      <c r="J158">
        <f t="shared" si="222"/>
        <v>26.11</v>
      </c>
      <c r="K158">
        <f t="shared" ref="K158" si="227">H158+I158-D158</f>
        <v>39.350000000000364</v>
      </c>
    </row>
    <row r="159" spans="1:11" x14ac:dyDescent="0.15">
      <c r="A159" s="3" t="s">
        <v>60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28">E159+1</f>
        <v>42241</v>
      </c>
      <c r="G159" s="5">
        <f t="shared" ref="G159" si="229">E159+11</f>
        <v>42251</v>
      </c>
      <c r="H159">
        <f>10163.34-10.16*2</f>
        <v>10143.02</v>
      </c>
      <c r="J159">
        <f t="shared" si="222"/>
        <v>47.46</v>
      </c>
      <c r="K159">
        <f t="shared" ref="K159" si="230">H159+I159-D159</f>
        <v>143.02000000000044</v>
      </c>
    </row>
    <row r="160" spans="1:11" x14ac:dyDescent="0.15">
      <c r="A160" s="3" t="s">
        <v>112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31">E160+1</f>
        <v>42241</v>
      </c>
      <c r="G160" s="5">
        <v>42256</v>
      </c>
      <c r="H160">
        <f>1002.82-2</f>
        <v>1000.82</v>
      </c>
      <c r="J160">
        <f t="shared" ref="J160" si="232">ROUND((H160-D160)/D160*365/(G160-E160)*100,2)</f>
        <v>4.16</v>
      </c>
      <c r="K160">
        <f t="shared" ref="K160" si="233">H160+I160-D160</f>
        <v>1.82000000000005</v>
      </c>
    </row>
    <row r="161" spans="1:11" x14ac:dyDescent="0.15">
      <c r="A161" s="3" t="s">
        <v>113</v>
      </c>
      <c r="B161">
        <v>366</v>
      </c>
      <c r="C161">
        <v>7.99</v>
      </c>
      <c r="D161">
        <v>3000</v>
      </c>
      <c r="E161" s="1">
        <v>42242</v>
      </c>
      <c r="F161" s="1">
        <f t="shared" si="231"/>
        <v>42243</v>
      </c>
      <c r="G161" s="5">
        <v>42261</v>
      </c>
      <c r="H161">
        <f>883-1.76+2173.38-4.34</f>
        <v>3050.2799999999997</v>
      </c>
      <c r="J161">
        <f t="shared" ref="J161" si="234">ROUND((H161-D161)/D161*365/(G161-E161)*100,2)</f>
        <v>32.200000000000003</v>
      </c>
      <c r="K161">
        <f t="shared" ref="K161" si="235">H161+I161-D161</f>
        <v>50.279999999999745</v>
      </c>
    </row>
    <row r="162" spans="1:11" x14ac:dyDescent="0.15">
      <c r="A162" s="3" t="s">
        <v>115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5">
        <v>42256</v>
      </c>
      <c r="H162">
        <f>492.19-0.49*2</f>
        <v>491.21</v>
      </c>
      <c r="J162">
        <f t="shared" ref="J162:J164" si="236">ROUND((H162-D162)/D162*365/(G162-E162)*100,2)</f>
        <v>6.93</v>
      </c>
      <c r="K162">
        <f t="shared" ref="K162:K164" si="237">H162+I162-D162</f>
        <v>1.2099999999999795</v>
      </c>
    </row>
    <row r="163" spans="1:11" x14ac:dyDescent="0.15">
      <c r="A163" s="3" t="s">
        <v>116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5">
        <v>42256</v>
      </c>
      <c r="H163">
        <f>1004.52-2</f>
        <v>1002.52</v>
      </c>
      <c r="J163">
        <f t="shared" si="236"/>
        <v>9.89</v>
      </c>
      <c r="K163">
        <f t="shared" si="237"/>
        <v>3.5199999999999818</v>
      </c>
    </row>
    <row r="164" spans="1:11" x14ac:dyDescent="0.15">
      <c r="A164" s="3" t="s">
        <v>110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38">E164+1</f>
        <v>42245</v>
      </c>
      <c r="G164" s="5">
        <v>42261</v>
      </c>
      <c r="H164">
        <f>5094.19-10.18</f>
        <v>5084.0099999999993</v>
      </c>
      <c r="J164">
        <f t="shared" si="236"/>
        <v>36.07</v>
      </c>
      <c r="K164">
        <f t="shared" si="237"/>
        <v>84.009999999999309</v>
      </c>
    </row>
    <row r="165" spans="1:11" x14ac:dyDescent="0.15">
      <c r="A165" s="3" t="s">
        <v>117</v>
      </c>
      <c r="B165">
        <v>629</v>
      </c>
      <c r="C165">
        <v>7.3</v>
      </c>
      <c r="D165">
        <v>999</v>
      </c>
      <c r="E165" s="1">
        <v>42244</v>
      </c>
      <c r="F165" s="1">
        <f t="shared" ref="F165:F167" si="239">E165+1</f>
        <v>42245</v>
      </c>
      <c r="G165" s="5">
        <f t="shared" ref="G165" si="240">E165+11</f>
        <v>42255</v>
      </c>
      <c r="H165">
        <f>1004.28-1*2</f>
        <v>1002.28</v>
      </c>
      <c r="J165">
        <f t="shared" ref="J165:J169" si="241">ROUND((H165-D165)/D165*365/(G165-E165)*100,2)</f>
        <v>10.89</v>
      </c>
      <c r="K165">
        <f t="shared" ref="K165:K169" si="242">H165+I165-D165</f>
        <v>3.2799999999999727</v>
      </c>
    </row>
    <row r="166" spans="1:11" x14ac:dyDescent="0.15">
      <c r="A166" s="3" t="s">
        <v>110</v>
      </c>
      <c r="B166">
        <v>366</v>
      </c>
      <c r="C166">
        <v>7.99</v>
      </c>
      <c r="D166">
        <v>31000</v>
      </c>
      <c r="E166" s="1">
        <v>42246</v>
      </c>
      <c r="F166" s="1">
        <f t="shared" si="239"/>
        <v>42247</v>
      </c>
      <c r="G166" s="5">
        <v>42261</v>
      </c>
      <c r="H166">
        <f>31573.82-31.56*2</f>
        <v>31510.7</v>
      </c>
      <c r="J166">
        <f t="shared" si="241"/>
        <v>40.090000000000003</v>
      </c>
      <c r="K166">
        <f t="shared" si="242"/>
        <v>510.70000000000073</v>
      </c>
    </row>
    <row r="167" spans="1:11" x14ac:dyDescent="0.15">
      <c r="A167" s="3" t="s">
        <v>118</v>
      </c>
      <c r="B167">
        <v>366</v>
      </c>
      <c r="C167">
        <v>7.7</v>
      </c>
      <c r="D167">
        <v>12000</v>
      </c>
      <c r="E167" s="1">
        <v>42247</v>
      </c>
      <c r="F167" s="1">
        <f t="shared" si="239"/>
        <v>42248</v>
      </c>
      <c r="G167" s="5">
        <v>42261</v>
      </c>
      <c r="H167">
        <f>12187.33-24.36</f>
        <v>12162.97</v>
      </c>
      <c r="J167">
        <f t="shared" si="241"/>
        <v>35.409999999999997</v>
      </c>
      <c r="K167">
        <f t="shared" si="242"/>
        <v>162.96999999999935</v>
      </c>
    </row>
    <row r="168" spans="1:11" x14ac:dyDescent="0.15">
      <c r="A168" s="3" t="s">
        <v>118</v>
      </c>
      <c r="B168">
        <v>366</v>
      </c>
      <c r="C168">
        <v>7.7</v>
      </c>
      <c r="D168">
        <v>12000</v>
      </c>
      <c r="E168" s="1">
        <v>42247</v>
      </c>
      <c r="F168" s="1">
        <f t="shared" ref="F168:F169" si="243">E168+1</f>
        <v>42248</v>
      </c>
      <c r="G168" s="5">
        <v>42261</v>
      </c>
      <c r="H168">
        <f>2187.33+10000-20-4.36</f>
        <v>12162.97</v>
      </c>
      <c r="J168">
        <f t="shared" si="241"/>
        <v>35.409999999999997</v>
      </c>
      <c r="K168">
        <f t="shared" si="242"/>
        <v>162.96999999999935</v>
      </c>
    </row>
    <row r="169" spans="1:11" x14ac:dyDescent="0.15">
      <c r="A169" s="3" t="s">
        <v>118</v>
      </c>
      <c r="B169">
        <v>366</v>
      </c>
      <c r="C169">
        <v>7.7</v>
      </c>
      <c r="D169">
        <v>5000</v>
      </c>
      <c r="E169" s="1">
        <v>42247</v>
      </c>
      <c r="F169" s="1">
        <f t="shared" si="243"/>
        <v>42248</v>
      </c>
      <c r="G169" s="5">
        <v>42261</v>
      </c>
      <c r="H169">
        <f>4229.97+847.7-8.44-1.68</f>
        <v>5067.55</v>
      </c>
      <c r="J169">
        <f t="shared" si="241"/>
        <v>35.22</v>
      </c>
      <c r="K169">
        <f t="shared" si="242"/>
        <v>67.550000000000182</v>
      </c>
    </row>
    <row r="170" spans="1:11" x14ac:dyDescent="0.15">
      <c r="A170" s="3" t="s">
        <v>122</v>
      </c>
      <c r="B170">
        <v>680</v>
      </c>
      <c r="C170">
        <v>7.3</v>
      </c>
      <c r="D170">
        <v>498</v>
      </c>
      <c r="E170" s="1">
        <v>42247</v>
      </c>
      <c r="F170" s="1">
        <f t="shared" ref="F170" si="244">E170+1</f>
        <v>42248</v>
      </c>
      <c r="G170" s="5">
        <v>42255</v>
      </c>
      <c r="H170">
        <f>500.56-1</f>
        <v>499.56</v>
      </c>
      <c r="J170">
        <f t="shared" ref="J170:J174" si="245">ROUND((H170-D170)/D170*365/(G170-E170)*100,2)</f>
        <v>14.29</v>
      </c>
      <c r="K170">
        <f t="shared" ref="K170:K174" si="246">H170+I170-D170</f>
        <v>1.5600000000000023</v>
      </c>
    </row>
    <row r="171" spans="1:11" x14ac:dyDescent="0.15">
      <c r="A171" s="3" t="s">
        <v>120</v>
      </c>
      <c r="B171">
        <v>697</v>
      </c>
      <c r="C171">
        <v>7.3</v>
      </c>
      <c r="D171">
        <v>589</v>
      </c>
      <c r="E171" s="1">
        <v>42248</v>
      </c>
      <c r="F171" s="1">
        <v>42248</v>
      </c>
      <c r="G171" s="5">
        <v>42255</v>
      </c>
      <c r="H171">
        <f>591.88-0.59*2</f>
        <v>590.70000000000005</v>
      </c>
      <c r="J171">
        <f t="shared" si="245"/>
        <v>15.05</v>
      </c>
      <c r="K171">
        <f t="shared" si="246"/>
        <v>1.7000000000000455</v>
      </c>
    </row>
    <row r="172" spans="1:11" x14ac:dyDescent="0.15">
      <c r="A172" s="3" t="s">
        <v>118</v>
      </c>
      <c r="B172">
        <v>366</v>
      </c>
      <c r="C172">
        <v>7.7</v>
      </c>
      <c r="D172">
        <v>15000</v>
      </c>
      <c r="E172" s="1">
        <v>42248</v>
      </c>
      <c r="F172" s="1">
        <f t="shared" ref="F172" si="247">E172+1</f>
        <v>42249</v>
      </c>
      <c r="G172" s="5">
        <v>42261</v>
      </c>
      <c r="H172">
        <f>15231.7-30.46</f>
        <v>15201.240000000002</v>
      </c>
      <c r="J172">
        <f t="shared" si="245"/>
        <v>37.67</v>
      </c>
      <c r="K172">
        <f t="shared" si="246"/>
        <v>201.2400000000016</v>
      </c>
    </row>
    <row r="173" spans="1:11" x14ac:dyDescent="0.15">
      <c r="A173" s="3" t="s">
        <v>118</v>
      </c>
      <c r="B173">
        <v>366</v>
      </c>
      <c r="C173">
        <v>7.7</v>
      </c>
      <c r="D173">
        <v>10000</v>
      </c>
      <c r="E173" s="1">
        <v>42249</v>
      </c>
      <c r="F173" s="1">
        <f t="shared" ref="F173" si="248">E173+1</f>
        <v>42250</v>
      </c>
      <c r="G173" s="5">
        <v>42261</v>
      </c>
      <c r="H173">
        <f>10152.83-20.28</f>
        <v>10132.549999999999</v>
      </c>
      <c r="J173">
        <f t="shared" si="245"/>
        <v>40.32</v>
      </c>
      <c r="K173">
        <f t="shared" si="246"/>
        <v>132.54999999999927</v>
      </c>
    </row>
    <row r="174" spans="1:11" x14ac:dyDescent="0.15">
      <c r="A174" s="3" t="s">
        <v>118</v>
      </c>
      <c r="B174">
        <v>366</v>
      </c>
      <c r="C174">
        <v>7.7</v>
      </c>
      <c r="D174">
        <v>10000</v>
      </c>
      <c r="E174" s="1">
        <v>42250</v>
      </c>
      <c r="F174" s="1">
        <f t="shared" ref="F174" si="249">E174+1</f>
        <v>42251</v>
      </c>
      <c r="G174" s="5">
        <f t="shared" ref="G174" si="250">E174+11</f>
        <v>42261</v>
      </c>
      <c r="H174">
        <f>10151.19-20.28</f>
        <v>10130.91</v>
      </c>
      <c r="J174">
        <f t="shared" si="245"/>
        <v>43.44</v>
      </c>
      <c r="K174">
        <f t="shared" si="246"/>
        <v>130.90999999999985</v>
      </c>
    </row>
    <row r="175" spans="1:11" x14ac:dyDescent="0.15">
      <c r="A175" s="3" t="s">
        <v>118</v>
      </c>
      <c r="B175">
        <v>366</v>
      </c>
      <c r="C175">
        <v>7.7</v>
      </c>
      <c r="D175">
        <v>25000</v>
      </c>
      <c r="E175" s="1">
        <v>42251</v>
      </c>
      <c r="F175" s="1">
        <f t="shared" ref="F175" si="251">E175+1</f>
        <v>42252</v>
      </c>
      <c r="G175" s="5">
        <f t="shared" ref="G175" si="252">E175+11</f>
        <v>42262</v>
      </c>
      <c r="H175">
        <f>1326.47-1.32*2+10000-20+14029.13-14*2</f>
        <v>25304.959999999999</v>
      </c>
      <c r="J175">
        <f t="shared" ref="J175" si="253">ROUND((H175-D175)/D175*365/(G175-E175)*100,2)</f>
        <v>40.479999999999997</v>
      </c>
      <c r="K175">
        <f t="shared" ref="K175" si="254">H175+I175-D175</f>
        <v>304.95999999999913</v>
      </c>
    </row>
    <row r="176" spans="1:11" x14ac:dyDescent="0.15">
      <c r="A176" s="3" t="s">
        <v>118</v>
      </c>
      <c r="B176">
        <v>366</v>
      </c>
      <c r="C176">
        <v>7.7</v>
      </c>
      <c r="D176">
        <v>5000</v>
      </c>
      <c r="E176" s="1">
        <v>42253</v>
      </c>
      <c r="F176" s="1">
        <f t="shared" ref="F176" si="255">E176+1</f>
        <v>42254</v>
      </c>
      <c r="G176" s="5">
        <v>42285</v>
      </c>
      <c r="H176">
        <f>1449-1.44*2+3684.45-3.68*2</f>
        <v>5123.21</v>
      </c>
      <c r="J176">
        <f t="shared" ref="J176" si="256">ROUND((H176-D176)/D176*365/(G176-E176)*100,2)</f>
        <v>28.11</v>
      </c>
      <c r="K176">
        <f t="shared" ref="K176" si="257">H176+I176-D176</f>
        <v>123.21000000000004</v>
      </c>
    </row>
    <row r="177" spans="1:11" x14ac:dyDescent="0.15">
      <c r="A177" s="3" t="s">
        <v>123</v>
      </c>
      <c r="B177">
        <v>728</v>
      </c>
      <c r="C177">
        <v>7.05</v>
      </c>
      <c r="D177">
        <v>10000</v>
      </c>
      <c r="E177" s="1">
        <v>42263</v>
      </c>
      <c r="F177" s="1">
        <f t="shared" ref="F177" si="258">E177+1</f>
        <v>42264</v>
      </c>
      <c r="G177" s="5">
        <v>42276</v>
      </c>
      <c r="H177">
        <f>1000-2+9058.63</f>
        <v>10056.629999999999</v>
      </c>
      <c r="J177">
        <f t="shared" ref="J177" si="259">ROUND((H177-D177)/D177*365/(G177-E177)*100,2)</f>
        <v>15.9</v>
      </c>
      <c r="K177">
        <f t="shared" ref="K177" si="260">H177+I177-D177</f>
        <v>56.6299999999992</v>
      </c>
    </row>
    <row r="178" spans="1:11" x14ac:dyDescent="0.15">
      <c r="A178" s="3" t="s">
        <v>128</v>
      </c>
      <c r="B178">
        <v>549</v>
      </c>
      <c r="C178">
        <v>7.1</v>
      </c>
      <c r="D178">
        <v>1363.67</v>
      </c>
      <c r="E178" s="1">
        <v>42264</v>
      </c>
      <c r="F178" s="1">
        <f t="shared" ref="F178" si="261">E178+1</f>
        <v>42265</v>
      </c>
      <c r="G178" s="5">
        <v>42276</v>
      </c>
      <c r="H178">
        <f>1372.94-1.37*2</f>
        <v>1370.2</v>
      </c>
      <c r="J178">
        <f t="shared" ref="J178" si="262">ROUND((H178-D178)/D178*365/(G178-E178)*100,2)</f>
        <v>14.57</v>
      </c>
      <c r="K178">
        <f t="shared" ref="K178" si="263">H178+I178-D178</f>
        <v>6.5299999999999727</v>
      </c>
    </row>
    <row r="179" spans="1:11" x14ac:dyDescent="0.15">
      <c r="A179" s="3" t="s">
        <v>129</v>
      </c>
      <c r="B179">
        <v>589</v>
      </c>
      <c r="C179">
        <v>7.1</v>
      </c>
      <c r="D179">
        <v>1006</v>
      </c>
      <c r="E179" s="1">
        <v>42264</v>
      </c>
      <c r="F179" s="1">
        <f t="shared" ref="F179:F181" si="264">E179+1</f>
        <v>42265</v>
      </c>
      <c r="G179" s="5">
        <v>42269</v>
      </c>
      <c r="H179">
        <f>1009.19-2</f>
        <v>1007.19</v>
      </c>
      <c r="J179">
        <f t="shared" ref="J179:J181" si="265">ROUND((H179-D179)/D179*365/(G179-E179)*100,2)</f>
        <v>8.64</v>
      </c>
      <c r="K179">
        <f t="shared" ref="K179:K181" si="266">H179+I179-D179</f>
        <v>1.1900000000000546</v>
      </c>
    </row>
    <row r="180" spans="1:11" x14ac:dyDescent="0.15">
      <c r="A180" s="3" t="s">
        <v>130</v>
      </c>
      <c r="B180">
        <v>654</v>
      </c>
      <c r="C180">
        <v>7.1</v>
      </c>
      <c r="D180">
        <v>5015</v>
      </c>
      <c r="E180" s="1">
        <v>42264</v>
      </c>
      <c r="F180" s="1">
        <f t="shared" si="264"/>
        <v>42265</v>
      </c>
      <c r="G180" s="5">
        <v>42269</v>
      </c>
      <c r="H180">
        <f>5032.04-5.03*2</f>
        <v>5021.9799999999996</v>
      </c>
      <c r="J180">
        <f t="shared" si="265"/>
        <v>10.16</v>
      </c>
      <c r="K180">
        <f t="shared" si="266"/>
        <v>6.9799999999995634</v>
      </c>
    </row>
    <row r="181" spans="1:11" x14ac:dyDescent="0.15">
      <c r="A181" s="3" t="s">
        <v>131</v>
      </c>
      <c r="B181">
        <v>582</v>
      </c>
      <c r="C181">
        <v>7.1</v>
      </c>
      <c r="D181">
        <v>7919.33</v>
      </c>
      <c r="E181" s="1">
        <v>42264</v>
      </c>
      <c r="F181" s="1">
        <f t="shared" si="264"/>
        <v>42265</v>
      </c>
      <c r="G181" s="5">
        <v>42276</v>
      </c>
      <c r="H181">
        <f>7975.2-7.97*2</f>
        <v>7959.26</v>
      </c>
      <c r="J181">
        <f t="shared" si="265"/>
        <v>15.34</v>
      </c>
      <c r="K181">
        <f t="shared" si="266"/>
        <v>39.930000000000291</v>
      </c>
    </row>
  </sheetData>
  <autoFilter ref="A1:L176">
    <filterColumn colId="6">
      <filters>
        <dateGroupItem year="2015" month="9" dateTimeGrouping="month"/>
      </filters>
    </filterColumn>
  </autoFilter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zoomScaleNormal="100" workbookViewId="0">
      <pane xSplit="5" ySplit="1" topLeftCell="F104" activePane="bottomRight" state="frozen"/>
      <selection pane="topRight" activeCell="E1" sqref="E1"/>
      <selection pane="bottomLeft" activeCell="A2" sqref="A2"/>
      <selection pane="bottomRight" activeCell="J115" sqref="J115:K115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5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5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5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5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5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5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5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5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5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5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97</v>
      </c>
    </row>
    <row r="73" spans="1:12" x14ac:dyDescent="0.15">
      <c r="A73" s="3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5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5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5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5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5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5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5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5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5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5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5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3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5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3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5">
        <f t="shared" si="150"/>
        <v>42242</v>
      </c>
      <c r="H85">
        <f>2019.76-2.01*2</f>
        <v>2015.74</v>
      </c>
      <c r="J85">
        <f t="shared" ref="J85" si="153">ROUND((H85-D85)/D85*365/(G85-E85)*100,2)</f>
        <v>26.11</v>
      </c>
      <c r="K85">
        <f t="shared" ref="K85" si="154">H85-D85+I85</f>
        <v>15.740000000000009</v>
      </c>
    </row>
    <row r="86" spans="1:11" x14ac:dyDescent="0.15">
      <c r="A86" s="3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5">E86+1</f>
        <v>42233</v>
      </c>
      <c r="G86" s="5">
        <f t="shared" ref="G86:G87" si="156">E86+11</f>
        <v>42243</v>
      </c>
      <c r="H86">
        <f>3040.98-3.04*2</f>
        <v>3034.9</v>
      </c>
      <c r="J86">
        <f t="shared" ref="J86" si="157">ROUND((H86-D86)/D86*365/(G86-E86)*100,2)</f>
        <v>38.6</v>
      </c>
      <c r="K86">
        <f t="shared" ref="K86" si="158">H86-D86+I86</f>
        <v>34.900000000000091</v>
      </c>
    </row>
    <row r="87" spans="1:11" x14ac:dyDescent="0.15">
      <c r="A87" s="3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55"/>
        <v>42233</v>
      </c>
      <c r="G87" s="5">
        <f t="shared" si="156"/>
        <v>42243</v>
      </c>
      <c r="H87">
        <f>3029.12-3.02*2</f>
        <v>3023.08</v>
      </c>
      <c r="J87">
        <f t="shared" ref="J87" si="159">ROUND((H87-D87)/D87*365/(G87-E87)*100,2)</f>
        <v>25.53</v>
      </c>
      <c r="K87">
        <f t="shared" ref="K87" si="160">H87-D87+I87</f>
        <v>23.079999999999927</v>
      </c>
    </row>
    <row r="88" spans="1:11" x14ac:dyDescent="0.15">
      <c r="A88" s="3" t="s">
        <v>51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61">E88+1</f>
        <v>42234</v>
      </c>
      <c r="G88" s="5">
        <f t="shared" ref="G88:G89" si="162">E88+11</f>
        <v>42244</v>
      </c>
      <c r="H88">
        <f>2029.92-2.02*2</f>
        <v>2025.88</v>
      </c>
      <c r="J88">
        <f t="shared" ref="J88:J89" si="163">ROUND((H88-D88)/D88*365/(G88-E88)*100,2)</f>
        <v>42.94</v>
      </c>
      <c r="K88">
        <f t="shared" ref="K88:K89" si="164">H88-D88+I88</f>
        <v>25.880000000000109</v>
      </c>
    </row>
    <row r="89" spans="1:11" x14ac:dyDescent="0.15">
      <c r="A89" s="3" t="s">
        <v>73</v>
      </c>
      <c r="B89">
        <v>731</v>
      </c>
      <c r="C89">
        <v>7.3</v>
      </c>
      <c r="D89">
        <v>2000</v>
      </c>
      <c r="E89" s="1">
        <v>42233</v>
      </c>
      <c r="F89" s="1">
        <f t="shared" si="161"/>
        <v>42234</v>
      </c>
      <c r="G89" s="5">
        <f t="shared" si="162"/>
        <v>42244</v>
      </c>
      <c r="H89">
        <f>2019.06-2.01*2</f>
        <v>2015.04</v>
      </c>
      <c r="J89">
        <f t="shared" si="163"/>
        <v>24.95</v>
      </c>
      <c r="K89">
        <f t="shared" si="164"/>
        <v>15.039999999999964</v>
      </c>
    </row>
    <row r="90" spans="1:11" x14ac:dyDescent="0.15">
      <c r="A90" s="3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5">E90+1</f>
        <v>42235</v>
      </c>
      <c r="G90" s="5">
        <f t="shared" ref="G90:G91" si="166">E90+11</f>
        <v>42245</v>
      </c>
      <c r="H90">
        <f>3026.96-3.02*2</f>
        <v>3020.92</v>
      </c>
      <c r="J90">
        <f t="shared" ref="J90" si="167">ROUND((H90-D90)/D90*365/(G90-E90)*100,2)</f>
        <v>23.14</v>
      </c>
      <c r="K90">
        <f t="shared" ref="K90" si="168">H90-D90+I90</f>
        <v>20.920000000000073</v>
      </c>
    </row>
    <row r="91" spans="1:11" x14ac:dyDescent="0.15">
      <c r="A91" s="3" t="s">
        <v>100</v>
      </c>
      <c r="B91">
        <v>366</v>
      </c>
      <c r="C91">
        <v>7.2</v>
      </c>
      <c r="D91">
        <v>2000</v>
      </c>
      <c r="E91" s="1">
        <v>42235</v>
      </c>
      <c r="F91" s="1">
        <f t="shared" si="165"/>
        <v>42236</v>
      </c>
      <c r="G91" s="5">
        <f t="shared" si="166"/>
        <v>42246</v>
      </c>
      <c r="H91">
        <f>2025.09-2.02*2</f>
        <v>2021.05</v>
      </c>
      <c r="J91">
        <f t="shared" ref="J91" si="169">ROUND((H91-D91)/D91*365/(G91-E91)*100,2)</f>
        <v>34.92</v>
      </c>
      <c r="K91">
        <f t="shared" ref="K91" si="170">H91-D91+I91</f>
        <v>21.049999999999955</v>
      </c>
    </row>
    <row r="92" spans="1:11" x14ac:dyDescent="0.15">
      <c r="A92" s="3" t="s">
        <v>99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71">E92+1</f>
        <v>42236</v>
      </c>
      <c r="G92" s="5">
        <f t="shared" ref="G92:G93" si="172">E92+11</f>
        <v>42246</v>
      </c>
      <c r="H92">
        <f>2017.63-2.01*2</f>
        <v>2013.6100000000001</v>
      </c>
      <c r="J92">
        <f t="shared" ref="J92" si="173">ROUND((H92-D92)/D92*365/(G92-E92)*100,2)</f>
        <v>22.58</v>
      </c>
      <c r="K92">
        <f t="shared" ref="K92" si="174">H92-D92+I92</f>
        <v>13.610000000000127</v>
      </c>
    </row>
    <row r="93" spans="1:11" x14ac:dyDescent="0.15">
      <c r="A93" s="3" t="s">
        <v>100</v>
      </c>
      <c r="B93">
        <v>366</v>
      </c>
      <c r="C93">
        <v>7.2</v>
      </c>
      <c r="D93">
        <v>3000</v>
      </c>
      <c r="E93" s="1">
        <v>42236</v>
      </c>
      <c r="F93" s="1">
        <f t="shared" si="171"/>
        <v>42237</v>
      </c>
      <c r="G93" s="5">
        <f t="shared" si="172"/>
        <v>42247</v>
      </c>
      <c r="H93">
        <f>3035.88-3.03*2</f>
        <v>3029.82</v>
      </c>
      <c r="J93">
        <f t="shared" ref="J93:J94" si="175">ROUND((H93-D93)/D93*365/(G93-E93)*100,2)</f>
        <v>32.979999999999997</v>
      </c>
      <c r="K93">
        <f t="shared" ref="K93:K94" si="176">H93-D93+I93</f>
        <v>29.820000000000164</v>
      </c>
    </row>
    <row r="94" spans="1:11" x14ac:dyDescent="0.15">
      <c r="A94" s="3" t="s">
        <v>99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77">E94+1</f>
        <v>42237</v>
      </c>
      <c r="G94" s="5">
        <f t="shared" ref="G94:G96" si="178">E94+11</f>
        <v>42247</v>
      </c>
      <c r="H94">
        <f>2020.42-2.02*2</f>
        <v>2016.38</v>
      </c>
      <c r="J94">
        <f t="shared" si="175"/>
        <v>27.18</v>
      </c>
      <c r="K94">
        <f t="shared" si="176"/>
        <v>16.380000000000109</v>
      </c>
    </row>
    <row r="95" spans="1:11" x14ac:dyDescent="0.15">
      <c r="A95" s="3" t="s">
        <v>100</v>
      </c>
      <c r="B95">
        <v>366</v>
      </c>
      <c r="C95">
        <v>7.2</v>
      </c>
      <c r="D95">
        <v>2000</v>
      </c>
      <c r="E95" s="1">
        <v>42237</v>
      </c>
      <c r="F95" s="1">
        <f t="shared" si="177"/>
        <v>42238</v>
      </c>
      <c r="G95" s="5">
        <v>42239</v>
      </c>
      <c r="H95">
        <f>2014.28-4.02</f>
        <v>2010.26</v>
      </c>
      <c r="J95">
        <f t="shared" ref="J95:J96" si="179">ROUND((H95-D95)/D95*365/(G95-E95)*100,2)</f>
        <v>93.62</v>
      </c>
      <c r="K95">
        <f t="shared" ref="K95:K96" si="180">H95-D95+I95</f>
        <v>10.259999999999991</v>
      </c>
    </row>
    <row r="96" spans="1:11" x14ac:dyDescent="0.15">
      <c r="A96" s="3" t="s">
        <v>73</v>
      </c>
      <c r="B96">
        <v>731</v>
      </c>
      <c r="C96">
        <v>7.3</v>
      </c>
      <c r="D96">
        <v>2000</v>
      </c>
      <c r="E96" s="1">
        <v>42237</v>
      </c>
      <c r="F96" s="1">
        <f t="shared" si="177"/>
        <v>42238</v>
      </c>
      <c r="G96" s="5">
        <f t="shared" si="178"/>
        <v>42248</v>
      </c>
      <c r="H96">
        <f>2020.82-2.02*2</f>
        <v>2016.78</v>
      </c>
      <c r="J96">
        <f t="shared" si="179"/>
        <v>27.84</v>
      </c>
      <c r="K96">
        <f t="shared" si="180"/>
        <v>16.779999999999973</v>
      </c>
    </row>
    <row r="97" spans="1:11" x14ac:dyDescent="0.15">
      <c r="A97" s="3" t="s">
        <v>100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81">E97+1</f>
        <v>42239</v>
      </c>
      <c r="G97" s="5">
        <f t="shared" ref="G97:G98" si="182">E97+11</f>
        <v>42249</v>
      </c>
      <c r="H97">
        <f>2024.53-2.01*2</f>
        <v>2020.51</v>
      </c>
      <c r="J97">
        <f t="shared" ref="J97:J98" si="183">ROUND((H97-D97)/D97*365/(G97-E97)*100,2)</f>
        <v>34.03</v>
      </c>
      <c r="K97">
        <f t="shared" ref="K97:K98" si="184">H97-D97+I97</f>
        <v>20.509999999999991</v>
      </c>
    </row>
    <row r="98" spans="1:11" x14ac:dyDescent="0.15">
      <c r="A98" s="3" t="s">
        <v>73</v>
      </c>
      <c r="B98">
        <v>731</v>
      </c>
      <c r="C98">
        <v>7.3</v>
      </c>
      <c r="D98">
        <v>2000</v>
      </c>
      <c r="E98" s="1">
        <v>42238</v>
      </c>
      <c r="F98" s="1">
        <f t="shared" si="181"/>
        <v>42239</v>
      </c>
      <c r="G98" s="5">
        <f t="shared" si="182"/>
        <v>42249</v>
      </c>
      <c r="H98">
        <f>2019.77-2.01*2</f>
        <v>2015.75</v>
      </c>
      <c r="J98">
        <f t="shared" si="183"/>
        <v>26.13</v>
      </c>
      <c r="K98">
        <f t="shared" si="184"/>
        <v>15.75</v>
      </c>
    </row>
    <row r="99" spans="1:11" x14ac:dyDescent="0.15">
      <c r="A99" s="3" t="s">
        <v>100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85">E99+1</f>
        <v>42240</v>
      </c>
      <c r="G99" s="5">
        <f t="shared" ref="G99:G100" si="186">E99+11</f>
        <v>42250</v>
      </c>
      <c r="H99">
        <f>3037.92-3.03*2</f>
        <v>3031.86</v>
      </c>
      <c r="J99">
        <f t="shared" ref="J99:J100" si="187">ROUND((H99-D99)/D99*365/(G99-E99)*100,2)</f>
        <v>35.24</v>
      </c>
      <c r="K99">
        <f t="shared" ref="K99:K100" si="188">H99-D99+I99</f>
        <v>31.860000000000127</v>
      </c>
    </row>
    <row r="100" spans="1:11" x14ac:dyDescent="0.15">
      <c r="A100" s="3" t="s">
        <v>73</v>
      </c>
      <c r="B100">
        <v>731</v>
      </c>
      <c r="C100">
        <v>7.3</v>
      </c>
      <c r="D100">
        <v>4000</v>
      </c>
      <c r="E100" s="1">
        <v>42239</v>
      </c>
      <c r="F100" s="1">
        <f t="shared" si="185"/>
        <v>42240</v>
      </c>
      <c r="G100" s="5">
        <f t="shared" si="186"/>
        <v>42250</v>
      </c>
      <c r="H100">
        <f>4038.16-4.01*2</f>
        <v>4030.14</v>
      </c>
      <c r="J100">
        <f t="shared" si="187"/>
        <v>25</v>
      </c>
      <c r="K100">
        <f t="shared" si="188"/>
        <v>30.139999999999873</v>
      </c>
    </row>
    <row r="101" spans="1:11" x14ac:dyDescent="0.15">
      <c r="A101" s="3" t="s">
        <v>60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89">E101+1</f>
        <v>42241</v>
      </c>
      <c r="G101" s="5">
        <f t="shared" ref="G101:G102" si="190">E101+11</f>
        <v>42251</v>
      </c>
      <c r="H101">
        <f>2032.66-2.03*2</f>
        <v>2028.6000000000001</v>
      </c>
      <c r="J101">
        <f t="shared" ref="J101" si="191">ROUND((H101-D101)/D101*365/(G101-E101)*100,2)</f>
        <v>47.45</v>
      </c>
      <c r="K101">
        <f t="shared" ref="K101" si="192">H101-D101+I101</f>
        <v>28.600000000000136</v>
      </c>
    </row>
    <row r="102" spans="1:11" x14ac:dyDescent="0.15">
      <c r="A102" s="3" t="s">
        <v>73</v>
      </c>
      <c r="B102">
        <v>731</v>
      </c>
      <c r="C102">
        <v>7.3</v>
      </c>
      <c r="D102">
        <v>2000</v>
      </c>
      <c r="E102" s="1">
        <v>42240</v>
      </c>
      <c r="F102" s="1">
        <f t="shared" si="189"/>
        <v>42241</v>
      </c>
      <c r="G102" s="5">
        <f t="shared" si="190"/>
        <v>42251</v>
      </c>
      <c r="H102">
        <f>2019.76-2.01*2</f>
        <v>2015.74</v>
      </c>
      <c r="J102">
        <f t="shared" ref="J102:J103" si="193">ROUND((H102-D102)/D102*365/(G102-E102)*100,2)</f>
        <v>26.11</v>
      </c>
      <c r="K102">
        <f t="shared" ref="K102:K103" si="194">H102-D102+I102</f>
        <v>15.740000000000009</v>
      </c>
    </row>
    <row r="103" spans="1:11" x14ac:dyDescent="0.15">
      <c r="A103" s="3" t="s">
        <v>110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95">E103+1</f>
        <v>42242</v>
      </c>
      <c r="G103" s="5">
        <v>42261</v>
      </c>
      <c r="H103">
        <f>2038.66-4.06</f>
        <v>2034.6000000000001</v>
      </c>
      <c r="J103">
        <f t="shared" si="193"/>
        <v>31.57</v>
      </c>
      <c r="K103">
        <f t="shared" si="194"/>
        <v>34.600000000000136</v>
      </c>
    </row>
    <row r="104" spans="1:11" x14ac:dyDescent="0.15">
      <c r="A104" s="3" t="s">
        <v>111</v>
      </c>
      <c r="B104">
        <v>731</v>
      </c>
      <c r="C104">
        <v>7.3</v>
      </c>
      <c r="D104">
        <v>2000</v>
      </c>
      <c r="E104" s="1">
        <v>42241</v>
      </c>
      <c r="F104" s="1">
        <f t="shared" si="195"/>
        <v>42242</v>
      </c>
      <c r="G104" s="5">
        <f t="shared" ref="G104" si="196">E104+11</f>
        <v>42252</v>
      </c>
      <c r="H104">
        <f>2019.42-2.01*2</f>
        <v>2015.4</v>
      </c>
      <c r="J104">
        <f t="shared" ref="J104" si="197">ROUND((H104-D104)/D104*365/(G104-E104)*100,2)</f>
        <v>25.55</v>
      </c>
      <c r="K104">
        <f t="shared" ref="K104" si="198">H104-D104+I104</f>
        <v>15.400000000000091</v>
      </c>
    </row>
    <row r="105" spans="1:11" x14ac:dyDescent="0.15">
      <c r="A105" s="3" t="s">
        <v>110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99">E105+1</f>
        <v>42243</v>
      </c>
      <c r="G105" s="5">
        <v>42261</v>
      </c>
      <c r="H105">
        <f>2038.33-4.06</f>
        <v>2034.27</v>
      </c>
      <c r="J105">
        <f t="shared" ref="J105" si="200">ROUND((H105-D105)/D105*365/(G105-E105)*100,2)</f>
        <v>32.92</v>
      </c>
      <c r="K105">
        <f t="shared" ref="K105" si="201">H105-D105+I105</f>
        <v>34.269999999999982</v>
      </c>
    </row>
    <row r="106" spans="1:11" x14ac:dyDescent="0.15">
      <c r="A106" s="2" t="s">
        <v>114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4">
        <f t="shared" ref="G106" si="202">E106+11</f>
        <v>42253</v>
      </c>
    </row>
    <row r="107" spans="1:11" x14ac:dyDescent="0.15">
      <c r="A107" s="3" t="s">
        <v>110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203">E107+1</f>
        <v>42244</v>
      </c>
      <c r="G107" s="5">
        <v>42261</v>
      </c>
      <c r="H107">
        <f>3057.01-6.1</f>
        <v>3050.9100000000003</v>
      </c>
      <c r="J107">
        <f t="shared" ref="J107:J112" si="204">ROUND((H107-D107)/D107*365/(G107-E107)*100,2)</f>
        <v>34.409999999999997</v>
      </c>
      <c r="K107">
        <f t="shared" ref="K107:K112" si="205">H107-D107+I107</f>
        <v>50.910000000000309</v>
      </c>
    </row>
    <row r="108" spans="1:11" x14ac:dyDescent="0.15">
      <c r="A108" s="3" t="s">
        <v>110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206">E108+1</f>
        <v>42245</v>
      </c>
      <c r="G108" s="5">
        <v>42261</v>
      </c>
      <c r="H108">
        <f>2037.67-4.06</f>
        <v>2033.6100000000001</v>
      </c>
      <c r="J108">
        <f t="shared" si="204"/>
        <v>36.08</v>
      </c>
      <c r="K108">
        <f t="shared" si="205"/>
        <v>33.610000000000127</v>
      </c>
    </row>
    <row r="109" spans="1:11" x14ac:dyDescent="0.15">
      <c r="A109" s="3" t="s">
        <v>110</v>
      </c>
      <c r="B109">
        <v>366</v>
      </c>
      <c r="C109">
        <v>7.99</v>
      </c>
      <c r="D109">
        <v>14000</v>
      </c>
      <c r="E109" s="1">
        <v>42246</v>
      </c>
      <c r="F109" s="1">
        <f t="shared" ref="F109:F110" si="207">E109+1</f>
        <v>42247</v>
      </c>
      <c r="G109" s="5">
        <v>42261</v>
      </c>
      <c r="H109">
        <f>10356.58+3901.62-10.34*2-3.9*2</f>
        <v>14229.720000000001</v>
      </c>
      <c r="J109">
        <f t="shared" si="204"/>
        <v>39.93</v>
      </c>
      <c r="K109">
        <f t="shared" si="205"/>
        <v>229.72000000000116</v>
      </c>
    </row>
    <row r="110" spans="1:11" x14ac:dyDescent="0.15">
      <c r="A110" s="3" t="s">
        <v>119</v>
      </c>
      <c r="B110">
        <v>366</v>
      </c>
      <c r="C110">
        <v>7.7</v>
      </c>
      <c r="D110">
        <v>7000</v>
      </c>
      <c r="E110" s="1">
        <v>42248</v>
      </c>
      <c r="F110" s="1">
        <f t="shared" si="207"/>
        <v>42249</v>
      </c>
      <c r="G110" s="5">
        <v>42261</v>
      </c>
      <c r="H110">
        <f>7107.48-14.2</f>
        <v>7093.28</v>
      </c>
      <c r="J110">
        <f t="shared" si="204"/>
        <v>37.409999999999997</v>
      </c>
      <c r="K110">
        <f t="shared" si="205"/>
        <v>93.279999999999745</v>
      </c>
    </row>
    <row r="111" spans="1:11" x14ac:dyDescent="0.15">
      <c r="A111" s="3" t="s">
        <v>118</v>
      </c>
      <c r="B111">
        <v>366</v>
      </c>
      <c r="C111">
        <v>7.7</v>
      </c>
      <c r="D111">
        <v>4000</v>
      </c>
      <c r="E111" s="1">
        <v>42249</v>
      </c>
      <c r="F111" s="1">
        <f t="shared" ref="F111" si="208">E111+1</f>
        <v>42250</v>
      </c>
      <c r="G111" s="5">
        <v>42261</v>
      </c>
      <c r="H111">
        <f>3961.13+100-7.92-0.2</f>
        <v>4053.01</v>
      </c>
      <c r="J111">
        <f t="shared" si="204"/>
        <v>40.31</v>
      </c>
      <c r="K111">
        <f t="shared" si="205"/>
        <v>53.010000000000218</v>
      </c>
    </row>
    <row r="112" spans="1:11" x14ac:dyDescent="0.15">
      <c r="A112" s="3" t="s">
        <v>118</v>
      </c>
      <c r="B112">
        <v>366</v>
      </c>
      <c r="C112">
        <v>7.7</v>
      </c>
      <c r="D112">
        <v>7000</v>
      </c>
      <c r="E112" s="1">
        <v>42250</v>
      </c>
      <c r="F112" s="1">
        <f t="shared" ref="F112" si="209">E112+1</f>
        <v>42251</v>
      </c>
      <c r="G112" s="5">
        <v>42261</v>
      </c>
      <c r="H112">
        <f>7105.18-7.1*2</f>
        <v>7090.9800000000005</v>
      </c>
      <c r="J112">
        <f t="shared" si="204"/>
        <v>43.13</v>
      </c>
      <c r="K112">
        <f t="shared" si="205"/>
        <v>90.980000000000473</v>
      </c>
    </row>
    <row r="113" spans="1:11" x14ac:dyDescent="0.15">
      <c r="A113" s="3" t="s">
        <v>118</v>
      </c>
      <c r="B113">
        <v>366</v>
      </c>
      <c r="C113">
        <v>7.7</v>
      </c>
      <c r="D113">
        <v>4000</v>
      </c>
      <c r="E113" s="1">
        <v>42251</v>
      </c>
      <c r="F113" s="1">
        <f t="shared" ref="F113" si="210">E113+1</f>
        <v>42252</v>
      </c>
      <c r="G113" s="5">
        <f t="shared" ref="G113" si="211">E113+11</f>
        <v>42262</v>
      </c>
      <c r="H113">
        <f>4056.74-4.05*2</f>
        <v>4048.64</v>
      </c>
      <c r="J113">
        <f t="shared" ref="J113" si="212">ROUND((H113-D113)/D113*365/(G113-E113)*100,2)</f>
        <v>40.35</v>
      </c>
      <c r="K113">
        <f t="shared" ref="K113" si="213">H113-D113+I113</f>
        <v>48.639999999999873</v>
      </c>
    </row>
    <row r="114" spans="1:11" x14ac:dyDescent="0.15">
      <c r="A114" s="3" t="s">
        <v>121</v>
      </c>
      <c r="B114">
        <v>621</v>
      </c>
      <c r="C114">
        <v>7.3</v>
      </c>
      <c r="D114">
        <v>370</v>
      </c>
      <c r="E114" s="1">
        <v>42253</v>
      </c>
      <c r="F114" s="1">
        <f t="shared" ref="F114:F115" si="214">E114+1</f>
        <v>42254</v>
      </c>
      <c r="G114" s="5">
        <v>42267</v>
      </c>
      <c r="H114">
        <f>373.13-0.37*2</f>
        <v>372.39</v>
      </c>
      <c r="J114">
        <f t="shared" ref="J114" si="215">ROUND((H114-D114)/D114*365/(G114-E114)*100,2)</f>
        <v>16.84</v>
      </c>
      <c r="K114">
        <f t="shared" ref="K114" si="216">H114-D114+I114</f>
        <v>2.3899999999999864</v>
      </c>
    </row>
    <row r="115" spans="1:11" x14ac:dyDescent="0.15">
      <c r="A115" s="3" t="s">
        <v>118</v>
      </c>
      <c r="B115">
        <v>366</v>
      </c>
      <c r="C115">
        <v>7.7</v>
      </c>
      <c r="D115">
        <v>4000</v>
      </c>
      <c r="E115" s="1">
        <v>42253</v>
      </c>
      <c r="F115" s="1">
        <f t="shared" si="214"/>
        <v>42254</v>
      </c>
      <c r="G115" s="5">
        <v>42287</v>
      </c>
      <c r="H115">
        <f>4114.31-4.1*2</f>
        <v>4106.1100000000006</v>
      </c>
      <c r="J115">
        <f t="shared" ref="J115" si="217">ROUND((H115-D115)/D115*365/(G115-E115)*100,2)</f>
        <v>28.48</v>
      </c>
      <c r="K115">
        <f t="shared" ref="K115" si="218">H115-D115+I115</f>
        <v>106.11000000000058</v>
      </c>
    </row>
  </sheetData>
  <autoFilter ref="A1:L115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0" sqref="C10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2" sqref="B12"/>
    </sheetView>
  </sheetViews>
  <sheetFormatPr defaultRowHeight="13.5" x14ac:dyDescent="0.15"/>
  <cols>
    <col min="1" max="1" width="30.25" customWidth="1"/>
    <col min="2" max="2" width="13.125" bestFit="1" customWidth="1"/>
    <col min="3" max="3" width="15.25" bestFit="1" customWidth="1"/>
    <col min="4" max="4" width="13.125" bestFit="1" customWidth="1"/>
    <col min="5" max="5" width="12.125" bestFit="1" customWidth="1"/>
    <col min="6" max="6" width="15.25" bestFit="1" customWidth="1"/>
    <col min="7" max="7" width="12.375" bestFit="1" customWidth="1"/>
    <col min="8" max="8" width="13.125" bestFit="1" customWidth="1"/>
  </cols>
  <sheetData>
    <row r="1" spans="1:2" x14ac:dyDescent="0.15">
      <c r="A1" t="s">
        <v>124</v>
      </c>
      <c r="B1">
        <v>0</v>
      </c>
    </row>
    <row r="2" spans="1:2" x14ac:dyDescent="0.15">
      <c r="A2" t="s">
        <v>125</v>
      </c>
      <c r="B2">
        <v>1558.34</v>
      </c>
    </row>
    <row r="3" spans="1:2" x14ac:dyDescent="0.15">
      <c r="A3" t="s">
        <v>126</v>
      </c>
      <c r="B3">
        <v>117</v>
      </c>
    </row>
    <row r="4" spans="1:2" x14ac:dyDescent="0.15">
      <c r="A4" t="s">
        <v>150</v>
      </c>
      <c r="B4">
        <v>1006.07</v>
      </c>
    </row>
    <row r="5" spans="1:2" x14ac:dyDescent="0.15">
      <c r="A5" t="s">
        <v>132</v>
      </c>
      <c r="B5">
        <f>21296.18</f>
        <v>21296.18</v>
      </c>
    </row>
    <row r="6" spans="1:2" x14ac:dyDescent="0.15">
      <c r="A6" t="s">
        <v>149</v>
      </c>
      <c r="B6">
        <v>10000</v>
      </c>
    </row>
    <row r="7" spans="1:2" x14ac:dyDescent="0.15">
      <c r="A7" t="s">
        <v>133</v>
      </c>
      <c r="B7">
        <v>17</v>
      </c>
    </row>
    <row r="8" spans="1:2" x14ac:dyDescent="0.15">
      <c r="A8" s="2" t="s">
        <v>134</v>
      </c>
      <c r="B8">
        <v>0</v>
      </c>
    </row>
    <row r="9" spans="1:2" x14ac:dyDescent="0.15">
      <c r="A9" s="2" t="s">
        <v>135</v>
      </c>
      <c r="B9">
        <v>0</v>
      </c>
    </row>
    <row r="10" spans="1:2" x14ac:dyDescent="0.15">
      <c r="A10" t="s">
        <v>147</v>
      </c>
      <c r="B10">
        <v>0</v>
      </c>
    </row>
    <row r="11" spans="1:2" x14ac:dyDescent="0.15">
      <c r="A11" t="s">
        <v>151</v>
      </c>
      <c r="B11">
        <f>10000+9035.47</f>
        <v>19035.47</v>
      </c>
    </row>
    <row r="12" spans="1:2" x14ac:dyDescent="0.15">
      <c r="A12" t="s">
        <v>148</v>
      </c>
      <c r="B12">
        <v>0</v>
      </c>
    </row>
    <row r="13" spans="1:2" x14ac:dyDescent="0.15">
      <c r="A13" t="s">
        <v>152</v>
      </c>
      <c r="B13">
        <f>10449.05+9000-10000-9035.47</f>
        <v>413.57999999999993</v>
      </c>
    </row>
    <row r="15" spans="1:2" x14ac:dyDescent="0.15">
      <c r="A15" t="s">
        <v>127</v>
      </c>
      <c r="B15">
        <f>SUM(B1:B14)</f>
        <v>53443.64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3.5" x14ac:dyDescent="0.15"/>
  <cols>
    <col min="1" max="1" width="10.5" bestFit="1" customWidth="1"/>
    <col min="2" max="2" width="13.125" bestFit="1" customWidth="1"/>
    <col min="3" max="3" width="15.25" bestFit="1" customWidth="1"/>
    <col min="4" max="4" width="13.125" bestFit="1" customWidth="1"/>
    <col min="5" max="5" width="12.125" bestFit="1" customWidth="1"/>
    <col min="6" max="6" width="15.25" bestFit="1" customWidth="1"/>
    <col min="7" max="7" width="12.375" bestFit="1" customWidth="1"/>
    <col min="8" max="8" width="13.125" bestFit="1" customWidth="1"/>
  </cols>
  <sheetData>
    <row r="1" spans="1:12" x14ac:dyDescent="0.15">
      <c r="A1" t="s">
        <v>136</v>
      </c>
      <c r="B1" t="s">
        <v>137</v>
      </c>
      <c r="C1" t="s">
        <v>138</v>
      </c>
      <c r="D1" t="s">
        <v>139</v>
      </c>
      <c r="E1" t="s">
        <v>142</v>
      </c>
      <c r="F1" t="s">
        <v>143</v>
      </c>
      <c r="G1" t="s">
        <v>144</v>
      </c>
      <c r="H1" t="s">
        <v>145</v>
      </c>
      <c r="I1" t="s">
        <v>140</v>
      </c>
      <c r="J1" t="s">
        <v>141</v>
      </c>
      <c r="K1" t="s">
        <v>146</v>
      </c>
      <c r="L1" t="s">
        <v>127</v>
      </c>
    </row>
    <row r="2" spans="1:12" x14ac:dyDescent="0.15">
      <c r="A2" s="1">
        <v>42278</v>
      </c>
      <c r="B2">
        <v>4000</v>
      </c>
      <c r="C2">
        <v>117</v>
      </c>
      <c r="D2">
        <v>0</v>
      </c>
      <c r="E2">
        <v>20000</v>
      </c>
      <c r="F2">
        <f>10000-2914.99</f>
        <v>7085.01</v>
      </c>
      <c r="G2">
        <f>21868.09</f>
        <v>21868.09</v>
      </c>
      <c r="H2">
        <f>29-8</f>
        <v>21</v>
      </c>
      <c r="I2">
        <v>0</v>
      </c>
      <c r="J2">
        <v>0</v>
      </c>
      <c r="K2">
        <v>0</v>
      </c>
      <c r="L2">
        <f>SUM(B2:K2)</f>
        <v>53091.100000000006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试算</vt:lpstr>
      <vt:lpstr>招财宝</vt:lpstr>
      <vt:lpstr>招财宝_王蕾</vt:lpstr>
      <vt:lpstr>京东</vt:lpstr>
      <vt:lpstr>招财宝-其他</vt:lpstr>
      <vt:lpstr>资产_王蕾</vt:lpstr>
      <vt:lpstr>王蕾_资产统计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2015-10-24T06:01:51Z</dcterms:modified>
</cp:coreProperties>
</file>