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3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calcPr calcId="152511"/>
</workbook>
</file>

<file path=xl/calcChain.xml><?xml version="1.0" encoding="utf-8"?>
<calcChain xmlns="http://schemas.openxmlformats.org/spreadsheetml/2006/main">
  <c r="H4" i="7" l="1"/>
  <c r="H3" i="7"/>
  <c r="I4" i="7"/>
  <c r="G33" i="2"/>
  <c r="G15" i="2"/>
  <c r="G3" i="2"/>
  <c r="M26" i="2"/>
  <c r="L26" i="2"/>
  <c r="K26" i="2"/>
  <c r="E37" i="2"/>
  <c r="I37" i="2"/>
  <c r="I36" i="2" l="1"/>
  <c r="O25" i="2"/>
  <c r="P25" i="2"/>
  <c r="M25" i="2"/>
  <c r="L25" i="2"/>
  <c r="K25" i="2"/>
  <c r="J25" i="2"/>
  <c r="I35" i="2" l="1"/>
  <c r="I34" i="2" l="1"/>
  <c r="O24" i="2"/>
  <c r="P24" i="2"/>
  <c r="M24" i="2"/>
  <c r="K24" i="2"/>
  <c r="J24" i="2"/>
  <c r="F3" i="7" l="1"/>
  <c r="F4" i="7" s="1"/>
  <c r="I3" i="7"/>
  <c r="M2" i="7" l="1"/>
  <c r="L23" i="2" l="1"/>
  <c r="M23" i="2"/>
  <c r="P23" i="2" s="1"/>
  <c r="O23" i="2"/>
  <c r="K23" i="2"/>
  <c r="J23" i="2"/>
  <c r="K27" i="2" l="1"/>
  <c r="J27" i="2"/>
  <c r="M27" i="2" s="1"/>
  <c r="L22" i="2" l="1"/>
  <c r="M22" i="2" s="1"/>
  <c r="K22" i="2"/>
  <c r="J22" i="2"/>
  <c r="O22" i="2" l="1"/>
  <c r="P22" i="2"/>
  <c r="K18" i="1"/>
  <c r="K19" i="1" s="1"/>
  <c r="N13" i="2"/>
  <c r="N12" i="2"/>
  <c r="M13" i="2"/>
  <c r="P13" i="2" s="1"/>
  <c r="M12" i="2"/>
  <c r="P12" i="2" s="1"/>
  <c r="K12" i="2"/>
  <c r="J12" i="2"/>
  <c r="M9" i="2"/>
  <c r="P9" i="2" s="1"/>
  <c r="L9" i="2"/>
  <c r="J9" i="2"/>
  <c r="B18" i="1"/>
  <c r="B19" i="1" s="1"/>
  <c r="H18" i="1"/>
  <c r="H19" i="1" s="1"/>
  <c r="E18" i="1"/>
  <c r="E19" i="1" s="1"/>
  <c r="O13" i="2" l="1"/>
  <c r="O9" i="2"/>
  <c r="O12" i="2"/>
  <c r="K20" i="1"/>
  <c r="K21" i="1" s="1"/>
  <c r="B20" i="1"/>
  <c r="B21" i="1" s="1"/>
  <c r="H20" i="1"/>
  <c r="H21" i="1" s="1"/>
  <c r="E20" i="1"/>
  <c r="E21" i="1" s="1"/>
  <c r="H2" i="7" l="1"/>
  <c r="O2" i="7"/>
  <c r="G17" i="4" l="1"/>
  <c r="G16" i="4"/>
  <c r="E16" i="4"/>
  <c r="O21" i="2"/>
  <c r="M21" i="2"/>
  <c r="P21" i="2" s="1"/>
  <c r="N5" i="2" l="1"/>
  <c r="J5" i="2"/>
  <c r="M5" i="2" s="1"/>
  <c r="P5" i="2" l="1"/>
  <c r="O5" i="2"/>
  <c r="K20" i="2"/>
  <c r="L20" i="2"/>
  <c r="J20" i="2"/>
  <c r="M20" i="2" s="1"/>
  <c r="P20" i="2" l="1"/>
  <c r="O20" i="2"/>
  <c r="O11" i="2"/>
  <c r="O10" i="2"/>
  <c r="O6" i="2"/>
  <c r="G15" i="4"/>
  <c r="M11" i="2"/>
  <c r="P11" i="2" s="1"/>
  <c r="M10" i="2"/>
  <c r="P10" i="2" s="1"/>
  <c r="M8" i="2"/>
  <c r="P8" i="2" s="1"/>
  <c r="M7" i="2"/>
  <c r="P7" i="2" s="1"/>
  <c r="M6" i="2"/>
  <c r="P6" i="2" s="1"/>
  <c r="M4" i="2"/>
  <c r="M3" i="2"/>
  <c r="P3" i="2" s="1"/>
  <c r="M2" i="2"/>
  <c r="P2" i="2" s="1"/>
  <c r="O3" i="2" l="1"/>
  <c r="O8" i="2"/>
  <c r="P4" i="2"/>
  <c r="O2" i="2"/>
  <c r="O7" i="2"/>
  <c r="J2" i="5"/>
  <c r="J16" i="2"/>
  <c r="M16" i="2" s="1"/>
  <c r="K17" i="2"/>
  <c r="K19" i="2"/>
  <c r="K18" i="2"/>
  <c r="J18" i="2"/>
  <c r="M18" i="2" s="1"/>
  <c r="J19" i="2"/>
  <c r="M19" i="2" s="1"/>
  <c r="J17" i="2"/>
  <c r="M17" i="2" s="1"/>
  <c r="K15" i="2"/>
  <c r="J15" i="2"/>
  <c r="M15" i="2" s="1"/>
  <c r="K14" i="2"/>
  <c r="J14" i="2"/>
  <c r="M14" i="2" s="1"/>
  <c r="C4" i="2"/>
  <c r="O4" i="2" s="1"/>
  <c r="E4" i="6"/>
  <c r="E5" i="6" s="1"/>
  <c r="E3" i="6"/>
  <c r="G3" i="6" s="1"/>
  <c r="G2" i="6"/>
  <c r="P15" i="2" l="1"/>
  <c r="O15" i="2"/>
  <c r="P19" i="2"/>
  <c r="O19" i="2"/>
  <c r="P18" i="2"/>
  <c r="O18" i="2"/>
  <c r="P16" i="2"/>
  <c r="O16" i="2"/>
  <c r="P14" i="2"/>
  <c r="O14" i="2"/>
  <c r="P17" i="2"/>
  <c r="O17" i="2"/>
  <c r="F3" i="5"/>
  <c r="J3" i="5" s="1"/>
  <c r="H2" i="5"/>
  <c r="E6" i="6"/>
  <c r="G6" i="6" s="1"/>
  <c r="G5" i="6"/>
  <c r="G4" i="6"/>
  <c r="G14" i="4"/>
  <c r="G13" i="4"/>
  <c r="G12" i="4"/>
  <c r="H3" i="5" l="1"/>
  <c r="H2" i="2"/>
  <c r="F3" i="2"/>
  <c r="F4" i="2" s="1"/>
  <c r="F5" i="2" l="1"/>
  <c r="H4" i="2"/>
  <c r="H3" i="2"/>
  <c r="G6" i="4"/>
  <c r="G5" i="4"/>
  <c r="G4" i="4"/>
  <c r="G3" i="4"/>
  <c r="G2" i="4"/>
  <c r="F6" i="2" l="1"/>
  <c r="F7" i="2" s="1"/>
  <c r="H5" i="2"/>
  <c r="G7" i="4"/>
  <c r="F8" i="2" l="1"/>
  <c r="H7" i="2"/>
  <c r="H6" i="2"/>
  <c r="G8" i="4"/>
  <c r="H8" i="2" l="1"/>
  <c r="F9" i="2"/>
  <c r="G9" i="4"/>
  <c r="H9" i="2" l="1"/>
  <c r="F10" i="2"/>
  <c r="B6" i="1"/>
  <c r="H10" i="2" l="1"/>
  <c r="F11" i="2"/>
  <c r="G10" i="4"/>
  <c r="B7" i="1"/>
  <c r="B8" i="1" s="1"/>
  <c r="B9" i="1" s="1"/>
  <c r="F12" i="2" l="1"/>
  <c r="H11" i="2"/>
  <c r="G11" i="4"/>
  <c r="H12" i="2" l="1"/>
  <c r="F13" i="2"/>
  <c r="H13" i="2" l="1"/>
  <c r="F14" i="2"/>
  <c r="H14" i="2" l="1"/>
  <c r="F15" i="2"/>
  <c r="F16" i="2" l="1"/>
  <c r="H15" i="2"/>
  <c r="H16" i="2" l="1"/>
  <c r="F17" i="2"/>
  <c r="H17" i="2" l="1"/>
  <c r="F18" i="2"/>
  <c r="H18" i="2" l="1"/>
  <c r="F19" i="2"/>
  <c r="F20" i="2" l="1"/>
  <c r="H19" i="2"/>
  <c r="F21" i="2" l="1"/>
  <c r="H20" i="2"/>
  <c r="H21" i="2" l="1"/>
  <c r="F22" i="2"/>
  <c r="F23" i="2" l="1"/>
  <c r="H22" i="2"/>
  <c r="F24" i="2" l="1"/>
  <c r="H23" i="2"/>
  <c r="F25" i="2" l="1"/>
  <c r="H24" i="2"/>
  <c r="F27" i="2" l="1"/>
  <c r="H25" i="2"/>
  <c r="F26" i="2" l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H27" i="2"/>
</calcChain>
</file>

<file path=xl/sharedStrings.xml><?xml version="1.0" encoding="utf-8"?>
<sst xmlns="http://schemas.openxmlformats.org/spreadsheetml/2006/main" count="159" uniqueCount="69">
  <si>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</si>
  <si>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</si>
  <si>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</si>
  <si>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</si>
  <si>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</si>
  <si>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</si>
  <si>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</si>
  <si>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</si>
  <si>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</si>
  <si>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</si>
  <si>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</si>
  <si>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</si>
  <si>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</si>
  <si>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</si>
  <si>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</si>
  <si>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</si>
  <si>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</si>
  <si>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</si>
  <si>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</si>
  <si>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</si>
  <si>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</si>
  <si>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</si>
  <si>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</si>
  <si>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</si>
  <si>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</si>
  <si>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</si>
  <si>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</si>
  <si>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</si>
  <si>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</si>
  <si>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</si>
  <si>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</si>
  <si>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</si>
  <si>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</si>
  <si>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</si>
  <si>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</si>
  <si>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</si>
  <si>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变现金额</t>
    <phoneticPr fontId="1" type="noConversion"/>
  </si>
  <si>
    <t>到期应付利息</t>
    <phoneticPr fontId="1" type="noConversion"/>
  </si>
  <si>
    <t>手续费</t>
    <phoneticPr fontId="1" type="noConversion"/>
  </si>
  <si>
    <t>珠江人寿安赢三号</t>
    <phoneticPr fontId="1" type="noConversion"/>
  </si>
  <si>
    <t>前海人寿聚富四号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</si>
  <si>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</si>
  <si>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</si>
  <si>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</si>
  <si>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</si>
  <si>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</si>
  <si>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</si>
  <si>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</si>
  <si>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</si>
  <si>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</si>
  <si>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</si>
  <si>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</si>
  <si>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</si>
  <si>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</si>
  <si>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</si>
  <si>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上海人寿浦江e福星一号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</si>
  <si>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</si>
  <si>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</si>
  <si>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</si>
  <si>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</si>
  <si>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</si>
  <si>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富德生命人寿e理财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</si>
  <si>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</si>
  <si>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</si>
  <si>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</si>
  <si>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富德生命人寿e理财</t>
    <phoneticPr fontId="1" type="noConversion"/>
  </si>
  <si>
    <t>正德稳溢1号</t>
    <phoneticPr fontId="1" type="noConversion"/>
  </si>
  <si>
    <t>正德稳溢1号</t>
    <phoneticPr fontId="1" type="noConversion"/>
  </si>
  <si>
    <t>富德生命人寿e理财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</si>
</sst>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K14" sqref="K14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57</v>
      </c>
      <c r="B14">
        <v>716</v>
      </c>
      <c r="D14" t="s">
        <v>57</v>
      </c>
      <c r="E14">
        <v>1491.84</v>
      </c>
      <c r="G14" t="s">
        <v>57</v>
      </c>
      <c r="H14">
        <v>2284.81</v>
      </c>
      <c r="J14" t="s">
        <v>57</v>
      </c>
      <c r="K14">
        <v>336.47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180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11</v>
      </c>
    </row>
    <row r="17" spans="1:11" x14ac:dyDescent="0.15">
      <c r="A17" t="s">
        <v>4</v>
      </c>
      <c r="B17">
        <v>5.65</v>
      </c>
      <c r="D17" t="s">
        <v>4</v>
      </c>
      <c r="E17">
        <v>6.65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10160.81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10120.450000000001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20.32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20.239999999999998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10140.49</v>
      </c>
      <c r="G20" t="s">
        <v>7</v>
      </c>
      <c r="H20">
        <f>H18-H19</f>
        <v>10136.050000000001</v>
      </c>
      <c r="J20" t="s">
        <v>7</v>
      </c>
      <c r="K20">
        <f>K18-K19</f>
        <v>10100.210000000001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45.98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32.799999999999997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Normal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H24" sqref="H24"/>
    </sheetView>
  </sheetViews>
  <sheetFormatPr defaultRowHeight="13.5" x14ac:dyDescent="0.15"/>
  <cols>
    <col min="1" max="1" width="22.5" bestFit="1" customWidth="1"/>
    <col min="2" max="2" width="10" bestFit="1" customWidth="1"/>
    <col min="3" max="3" width="9.75" bestFit="1" customWidth="1"/>
    <col min="4" max="4" width="11.625" bestFit="1" customWidth="1"/>
    <col min="5" max="5" width="11.625" customWidth="1"/>
    <col min="6" max="6" width="10.5" bestFit="1" customWidth="1"/>
    <col min="7" max="7" width="9.75" bestFit="1" customWidth="1"/>
    <col min="9" max="9" width="12" bestFit="1" customWidth="1"/>
    <col min="10" max="10" width="10.5" style="2" bestFit="1" customWidth="1"/>
    <col min="11" max="11" width="13" bestFit="1" customWidth="1"/>
    <col min="12" max="12" width="7.125" bestFit="1" customWidth="1"/>
    <col min="13" max="13" width="9.5" customWidth="1"/>
    <col min="14" max="14" width="9.75" bestFit="1" customWidth="1"/>
    <col min="15" max="15" width="11.875" bestFit="1" customWidth="1"/>
  </cols>
  <sheetData>
    <row r="1" spans="1:16" s="3" customFormat="1" x14ac:dyDescent="0.15">
      <c r="B1" s="3" t="s">
        <v>45</v>
      </c>
      <c r="C1" s="3" t="s">
        <v>18</v>
      </c>
      <c r="D1" s="3" t="s">
        <v>14</v>
      </c>
      <c r="E1" s="3" t="s">
        <v>30</v>
      </c>
      <c r="F1" s="3" t="s">
        <v>15</v>
      </c>
      <c r="G1" s="3" t="s">
        <v>16</v>
      </c>
      <c r="H1" s="3" t="s">
        <v>17</v>
      </c>
      <c r="I1" s="3" t="s">
        <v>35</v>
      </c>
      <c r="J1" s="4" t="s">
        <v>36</v>
      </c>
      <c r="K1" s="3" t="s">
        <v>37</v>
      </c>
      <c r="L1" s="3" t="s">
        <v>38</v>
      </c>
      <c r="M1" s="3" t="s">
        <v>47</v>
      </c>
      <c r="N1" s="3" t="s">
        <v>58</v>
      </c>
      <c r="O1" s="3" t="s">
        <v>49</v>
      </c>
      <c r="P1" s="3" t="s">
        <v>59</v>
      </c>
    </row>
    <row r="2" spans="1:16" x14ac:dyDescent="0.15">
      <c r="A2" t="s">
        <v>13</v>
      </c>
      <c r="B2">
        <v>729</v>
      </c>
      <c r="C2">
        <v>2000</v>
      </c>
      <c r="D2" s="1">
        <v>41965</v>
      </c>
      <c r="E2" s="1">
        <v>41965</v>
      </c>
      <c r="F2" s="1">
        <v>42176</v>
      </c>
      <c r="G2">
        <v>72.44</v>
      </c>
      <c r="H2">
        <f t="shared" ref="H2:H25" si="0">ROUND(G2*365/(F2-E2)/C2*100,2)</f>
        <v>6.27</v>
      </c>
      <c r="I2" s="1">
        <v>42055</v>
      </c>
      <c r="J2">
        <v>2034.81</v>
      </c>
      <c r="K2">
        <v>215.47</v>
      </c>
      <c r="L2">
        <v>4.07</v>
      </c>
      <c r="M2">
        <f t="shared" ref="M2:M9" si="1">J2-L2</f>
        <v>2030.74</v>
      </c>
      <c r="N2">
        <v>0.01</v>
      </c>
      <c r="O2">
        <f t="shared" ref="O2:O9" si="2">ROUND((M2-C2)/C2*365/(I2-D2)*100,2)</f>
        <v>6.23</v>
      </c>
      <c r="P2">
        <f t="shared" ref="P2:P25" si="3">M2+N2-C2</f>
        <v>30.75</v>
      </c>
    </row>
    <row r="3" spans="1:16" x14ac:dyDescent="0.15">
      <c r="A3" t="s">
        <v>12</v>
      </c>
      <c r="B3">
        <v>729</v>
      </c>
      <c r="C3">
        <v>2000</v>
      </c>
      <c r="D3" s="1">
        <v>41965</v>
      </c>
      <c r="E3" s="1">
        <v>41965</v>
      </c>
      <c r="F3" s="1">
        <f t="shared" ref="F3:F37" si="4">F2</f>
        <v>42176</v>
      </c>
      <c r="G3">
        <f>G2</f>
        <v>72.44</v>
      </c>
      <c r="H3">
        <f t="shared" si="0"/>
        <v>6.27</v>
      </c>
      <c r="I3" s="1">
        <v>42055</v>
      </c>
      <c r="J3">
        <v>2052.64</v>
      </c>
      <c r="K3">
        <v>197.64</v>
      </c>
      <c r="L3">
        <v>4.1100000000000003</v>
      </c>
      <c r="M3">
        <f t="shared" si="1"/>
        <v>2048.5299999999997</v>
      </c>
      <c r="N3">
        <v>0.01</v>
      </c>
      <c r="O3">
        <f t="shared" si="2"/>
        <v>9.84</v>
      </c>
      <c r="P3">
        <f t="shared" si="3"/>
        <v>48.539999999999964</v>
      </c>
    </row>
    <row r="4" spans="1:16" x14ac:dyDescent="0.15">
      <c r="A4" t="s">
        <v>11</v>
      </c>
      <c r="B4">
        <v>729</v>
      </c>
      <c r="C4">
        <f>2426.85</f>
        <v>2426.85</v>
      </c>
      <c r="D4" s="1">
        <v>41965</v>
      </c>
      <c r="E4" s="1">
        <v>41965</v>
      </c>
      <c r="F4" s="1">
        <f t="shared" si="4"/>
        <v>42176</v>
      </c>
      <c r="G4">
        <v>87.9</v>
      </c>
      <c r="H4">
        <f t="shared" si="0"/>
        <v>6.27</v>
      </c>
      <c r="I4" s="1">
        <v>42055</v>
      </c>
      <c r="J4">
        <v>2490.7199999999998</v>
      </c>
      <c r="K4">
        <v>239.82</v>
      </c>
      <c r="L4">
        <v>4.9800000000000004</v>
      </c>
      <c r="M4">
        <f t="shared" si="1"/>
        <v>2485.7399999999998</v>
      </c>
      <c r="N4">
        <v>0.01</v>
      </c>
      <c r="O4">
        <f t="shared" si="2"/>
        <v>9.84</v>
      </c>
      <c r="P4">
        <f t="shared" si="3"/>
        <v>58.900000000000091</v>
      </c>
    </row>
    <row r="5" spans="1:16" x14ac:dyDescent="0.15">
      <c r="A5" t="s">
        <v>10</v>
      </c>
      <c r="B5">
        <v>731</v>
      </c>
      <c r="C5">
        <v>2000</v>
      </c>
      <c r="D5" s="1">
        <v>41972</v>
      </c>
      <c r="E5" s="1">
        <v>41973</v>
      </c>
      <c r="F5" s="1">
        <f t="shared" si="4"/>
        <v>42176</v>
      </c>
      <c r="G5">
        <v>73.459999999999994</v>
      </c>
      <c r="H5">
        <f t="shared" si="0"/>
        <v>6.6</v>
      </c>
      <c r="I5" s="1">
        <v>42155</v>
      </c>
      <c r="J5">
        <f>1907.6</f>
        <v>1907.6</v>
      </c>
      <c r="K5">
        <v>192.52</v>
      </c>
      <c r="L5">
        <v>3.82</v>
      </c>
      <c r="M5">
        <f t="shared" si="1"/>
        <v>1903.78</v>
      </c>
      <c r="N5">
        <f>176.86</f>
        <v>176.86</v>
      </c>
      <c r="O5">
        <f t="shared" si="2"/>
        <v>-9.6</v>
      </c>
      <c r="P5">
        <f t="shared" si="3"/>
        <v>80.639999999999873</v>
      </c>
    </row>
    <row r="6" spans="1:16" x14ac:dyDescent="0.15">
      <c r="A6" t="s">
        <v>9</v>
      </c>
      <c r="B6">
        <v>730</v>
      </c>
      <c r="C6">
        <v>1000</v>
      </c>
      <c r="D6" s="1">
        <v>42010</v>
      </c>
      <c r="E6" s="1">
        <v>42010</v>
      </c>
      <c r="F6" s="1">
        <f t="shared" si="4"/>
        <v>42176</v>
      </c>
      <c r="G6">
        <v>31.6</v>
      </c>
      <c r="H6">
        <f t="shared" si="0"/>
        <v>6.95</v>
      </c>
      <c r="I6" s="1">
        <v>42059</v>
      </c>
      <c r="J6">
        <v>1040.56</v>
      </c>
      <c r="K6">
        <v>98.42</v>
      </c>
      <c r="L6">
        <v>2.0699999999999998</v>
      </c>
      <c r="M6">
        <f t="shared" si="1"/>
        <v>1038.49</v>
      </c>
      <c r="N6">
        <v>0.02</v>
      </c>
      <c r="O6">
        <f t="shared" si="2"/>
        <v>28.67</v>
      </c>
      <c r="P6">
        <f t="shared" si="3"/>
        <v>38.509999999999991</v>
      </c>
    </row>
    <row r="7" spans="1:16" x14ac:dyDescent="0.15">
      <c r="A7" t="s">
        <v>19</v>
      </c>
      <c r="B7">
        <v>365</v>
      </c>
      <c r="C7">
        <v>1000</v>
      </c>
      <c r="D7" s="1">
        <v>42055</v>
      </c>
      <c r="E7" s="1">
        <v>42056</v>
      </c>
      <c r="F7" s="1">
        <f t="shared" si="4"/>
        <v>42176</v>
      </c>
      <c r="G7">
        <v>22.41</v>
      </c>
      <c r="H7">
        <f t="shared" si="0"/>
        <v>6.82</v>
      </c>
      <c r="I7" s="1">
        <v>42132</v>
      </c>
      <c r="J7">
        <v>980.51</v>
      </c>
      <c r="K7">
        <v>44.47</v>
      </c>
      <c r="L7">
        <v>1.94</v>
      </c>
      <c r="M7">
        <f t="shared" si="1"/>
        <v>978.56999999999994</v>
      </c>
      <c r="N7">
        <v>44.02</v>
      </c>
      <c r="O7">
        <f t="shared" si="2"/>
        <v>-10.16</v>
      </c>
      <c r="P7">
        <f t="shared" si="3"/>
        <v>22.589999999999918</v>
      </c>
    </row>
    <row r="8" spans="1:16" x14ac:dyDescent="0.15">
      <c r="A8" t="s">
        <v>32</v>
      </c>
      <c r="B8">
        <v>365</v>
      </c>
      <c r="C8">
        <v>1000</v>
      </c>
      <c r="D8" s="1">
        <v>42055</v>
      </c>
      <c r="E8" s="1">
        <v>42056</v>
      </c>
      <c r="F8" s="1">
        <f t="shared" si="4"/>
        <v>42176</v>
      </c>
      <c r="G8">
        <v>22.18</v>
      </c>
      <c r="H8">
        <f t="shared" si="0"/>
        <v>6.75</v>
      </c>
      <c r="I8" s="1">
        <v>42132</v>
      </c>
      <c r="J8">
        <v>980.51</v>
      </c>
      <c r="K8">
        <v>44.48</v>
      </c>
      <c r="L8">
        <v>1.96</v>
      </c>
      <c r="M8">
        <f t="shared" si="1"/>
        <v>978.55</v>
      </c>
      <c r="N8">
        <v>44.01</v>
      </c>
      <c r="O8">
        <f t="shared" si="2"/>
        <v>-10.17</v>
      </c>
      <c r="P8">
        <f t="shared" si="3"/>
        <v>22.559999999999945</v>
      </c>
    </row>
    <row r="9" spans="1:16" x14ac:dyDescent="0.15">
      <c r="A9" t="s">
        <v>33</v>
      </c>
      <c r="B9">
        <v>1096</v>
      </c>
      <c r="C9">
        <v>4000</v>
      </c>
      <c r="D9" s="1">
        <v>42055</v>
      </c>
      <c r="E9" s="1">
        <v>42056</v>
      </c>
      <c r="F9" s="1">
        <f t="shared" si="4"/>
        <v>42176</v>
      </c>
      <c r="G9">
        <v>89.33</v>
      </c>
      <c r="H9">
        <f t="shared" si="0"/>
        <v>6.79</v>
      </c>
      <c r="I9" s="1">
        <v>42162</v>
      </c>
      <c r="J9">
        <f>3609.97</f>
        <v>3609.97</v>
      </c>
      <c r="K9">
        <v>690.29</v>
      </c>
      <c r="L9">
        <f>7.22</f>
        <v>7.22</v>
      </c>
      <c r="M9">
        <f t="shared" si="1"/>
        <v>3602.75</v>
      </c>
      <c r="N9">
        <v>586.17999999999995</v>
      </c>
      <c r="O9">
        <f t="shared" si="2"/>
        <v>-33.880000000000003</v>
      </c>
      <c r="P9">
        <f t="shared" si="3"/>
        <v>188.93000000000029</v>
      </c>
    </row>
    <row r="10" spans="1:16" x14ac:dyDescent="0.15">
      <c r="A10" t="s">
        <v>34</v>
      </c>
      <c r="B10">
        <v>365</v>
      </c>
      <c r="C10">
        <v>2000</v>
      </c>
      <c r="D10" s="1">
        <v>42055</v>
      </c>
      <c r="E10" s="1">
        <v>42056</v>
      </c>
      <c r="F10" s="1">
        <f t="shared" si="4"/>
        <v>42176</v>
      </c>
      <c r="G10">
        <v>44.81</v>
      </c>
      <c r="H10">
        <f t="shared" si="0"/>
        <v>6.81</v>
      </c>
      <c r="I10" s="1">
        <v>42132</v>
      </c>
      <c r="J10">
        <v>1961.02</v>
      </c>
      <c r="K10">
        <v>88.95</v>
      </c>
      <c r="L10">
        <v>3.9</v>
      </c>
      <c r="M10">
        <f>J10-L10</f>
        <v>1957.12</v>
      </c>
      <c r="N10">
        <v>88.03</v>
      </c>
      <c r="O10">
        <f>ROUND((M10-C10)/C10*365/(I10-D10)*100,2)</f>
        <v>-10.16</v>
      </c>
      <c r="P10">
        <f t="shared" si="3"/>
        <v>45.149999999999864</v>
      </c>
    </row>
    <row r="11" spans="1:16" x14ac:dyDescent="0.15">
      <c r="A11" t="s">
        <v>32</v>
      </c>
      <c r="B11">
        <v>365</v>
      </c>
      <c r="C11">
        <v>1000</v>
      </c>
      <c r="D11" s="1">
        <v>42059</v>
      </c>
      <c r="E11" s="1">
        <v>42060</v>
      </c>
      <c r="F11" s="1">
        <f t="shared" si="4"/>
        <v>42176</v>
      </c>
      <c r="G11">
        <v>21.43</v>
      </c>
      <c r="H11">
        <f t="shared" si="0"/>
        <v>6.74</v>
      </c>
      <c r="I11" s="1">
        <v>42132</v>
      </c>
      <c r="J11">
        <v>980</v>
      </c>
      <c r="K11">
        <v>44.99</v>
      </c>
      <c r="L11">
        <v>1.96</v>
      </c>
      <c r="M11">
        <f>J11-L11</f>
        <v>978.04</v>
      </c>
      <c r="N11">
        <v>44.01</v>
      </c>
      <c r="O11">
        <f>ROUND((M11-C11)/C11*365/(I11-D11)*100,2)</f>
        <v>-10.98</v>
      </c>
      <c r="P11">
        <f t="shared" si="3"/>
        <v>22.049999999999955</v>
      </c>
    </row>
    <row r="12" spans="1:16" x14ac:dyDescent="0.15">
      <c r="A12" t="s">
        <v>39</v>
      </c>
      <c r="B12">
        <v>1096</v>
      </c>
      <c r="C12">
        <v>3000</v>
      </c>
      <c r="D12" s="1">
        <v>42060</v>
      </c>
      <c r="E12" s="1">
        <v>42061</v>
      </c>
      <c r="F12" s="1">
        <f t="shared" si="4"/>
        <v>42176</v>
      </c>
      <c r="G12">
        <v>63.74</v>
      </c>
      <c r="H12">
        <f t="shared" si="0"/>
        <v>6.74</v>
      </c>
      <c r="I12" s="1">
        <v>42162</v>
      </c>
      <c r="J12">
        <f>2705.28</f>
        <v>2705.28</v>
      </c>
      <c r="K12">
        <f>519.89</f>
        <v>519.89</v>
      </c>
      <c r="L12">
        <v>5.39</v>
      </c>
      <c r="M12">
        <f>J12-L12</f>
        <v>2699.8900000000003</v>
      </c>
      <c r="N12">
        <f>439.66</f>
        <v>439.66</v>
      </c>
      <c r="O12">
        <f>ROUND((M12-C12)/C12*365/(I12-D12)*100,2)</f>
        <v>-35.799999999999997</v>
      </c>
      <c r="P12">
        <f t="shared" si="3"/>
        <v>139.55000000000018</v>
      </c>
    </row>
    <row r="13" spans="1:16" x14ac:dyDescent="0.15">
      <c r="A13" t="s">
        <v>40</v>
      </c>
      <c r="B13">
        <v>1096</v>
      </c>
      <c r="C13">
        <v>2000</v>
      </c>
      <c r="D13" s="1">
        <v>42060</v>
      </c>
      <c r="E13" s="1">
        <v>42061</v>
      </c>
      <c r="F13" s="1">
        <f t="shared" si="4"/>
        <v>42176</v>
      </c>
      <c r="G13">
        <v>42.92</v>
      </c>
      <c r="H13">
        <f t="shared" si="0"/>
        <v>6.81</v>
      </c>
      <c r="I13" s="1">
        <v>42162</v>
      </c>
      <c r="J13">
        <v>1803.52</v>
      </c>
      <c r="K13">
        <v>346.6</v>
      </c>
      <c r="L13">
        <v>3.61</v>
      </c>
      <c r="M13">
        <f>J13-L13</f>
        <v>1799.91</v>
      </c>
      <c r="N13">
        <f>293.1</f>
        <v>293.10000000000002</v>
      </c>
      <c r="O13">
        <f>ROUND((M13-C13)/C13*365/(I13-D13)*100,2)</f>
        <v>-35.799999999999997</v>
      </c>
      <c r="P13">
        <f t="shared" si="3"/>
        <v>93.010000000000218</v>
      </c>
    </row>
    <row r="14" spans="1:16" x14ac:dyDescent="0.15">
      <c r="A14" t="s">
        <v>41</v>
      </c>
      <c r="B14">
        <v>365</v>
      </c>
      <c r="C14">
        <v>4000</v>
      </c>
      <c r="D14" s="1">
        <v>42094</v>
      </c>
      <c r="E14" s="1">
        <v>42095</v>
      </c>
      <c r="F14" s="1">
        <f t="shared" si="4"/>
        <v>42176</v>
      </c>
      <c r="G14">
        <v>60.17</v>
      </c>
      <c r="H14">
        <f t="shared" si="0"/>
        <v>6.78</v>
      </c>
      <c r="I14" s="1">
        <v>42132</v>
      </c>
      <c r="J14">
        <f>3899.22</f>
        <v>3899.22</v>
      </c>
      <c r="K14">
        <f>200.77</f>
        <v>200.77</v>
      </c>
      <c r="L14">
        <v>7.79</v>
      </c>
      <c r="M14">
        <f t="shared" ref="M14:M26" si="5">J14-L14</f>
        <v>3891.43</v>
      </c>
      <c r="N14">
        <v>178.41</v>
      </c>
      <c r="O14">
        <f t="shared" ref="O14:O25" si="6">ROUND((M14-C14)/C14*365/(I14-D14)*100,2)</f>
        <v>-26.07</v>
      </c>
      <c r="P14">
        <f t="shared" si="3"/>
        <v>69.839999999999691</v>
      </c>
    </row>
    <row r="15" spans="1:16" x14ac:dyDescent="0.15">
      <c r="A15" t="s">
        <v>42</v>
      </c>
      <c r="B15">
        <v>366</v>
      </c>
      <c r="C15">
        <v>4000</v>
      </c>
      <c r="D15" s="1">
        <v>42094</v>
      </c>
      <c r="E15" s="1">
        <v>42095</v>
      </c>
      <c r="F15" s="1">
        <f t="shared" si="4"/>
        <v>42176</v>
      </c>
      <c r="G15">
        <f>G14</f>
        <v>60.17</v>
      </c>
      <c r="H15">
        <f t="shared" si="0"/>
        <v>6.78</v>
      </c>
      <c r="I15" s="1">
        <v>42132</v>
      </c>
      <c r="J15">
        <f>3898.89</f>
        <v>3898.89</v>
      </c>
      <c r="K15">
        <f>201.37</f>
        <v>201.37</v>
      </c>
      <c r="L15">
        <v>7.8</v>
      </c>
      <c r="M15">
        <f t="shared" si="5"/>
        <v>3891.0899999999997</v>
      </c>
      <c r="N15">
        <v>178.14</v>
      </c>
      <c r="O15">
        <f t="shared" si="6"/>
        <v>-26.15</v>
      </c>
      <c r="P15">
        <f t="shared" si="3"/>
        <v>69.229999999999563</v>
      </c>
    </row>
    <row r="16" spans="1:16" x14ac:dyDescent="0.15">
      <c r="A16" t="s">
        <v>23</v>
      </c>
      <c r="B16">
        <v>1096</v>
      </c>
      <c r="C16">
        <v>10000</v>
      </c>
      <c r="D16" s="1">
        <v>42132</v>
      </c>
      <c r="E16" s="1">
        <v>42133</v>
      </c>
      <c r="F16" s="1">
        <f t="shared" si="4"/>
        <v>42176</v>
      </c>
      <c r="G16">
        <v>82.62</v>
      </c>
      <c r="H16">
        <f t="shared" si="0"/>
        <v>7.01</v>
      </c>
      <c r="I16" s="1">
        <v>42144</v>
      </c>
      <c r="J16" s="2">
        <f>10240.28</f>
        <v>10240.280000000001</v>
      </c>
      <c r="K16">
        <v>2027.32</v>
      </c>
      <c r="L16">
        <v>20.48</v>
      </c>
      <c r="M16">
        <f t="shared" si="5"/>
        <v>10219.800000000001</v>
      </c>
      <c r="N16">
        <v>0.01</v>
      </c>
      <c r="O16">
        <f t="shared" si="6"/>
        <v>66.86</v>
      </c>
      <c r="P16">
        <f t="shared" si="3"/>
        <v>219.81000000000131</v>
      </c>
    </row>
    <row r="17" spans="1:16" x14ac:dyDescent="0.15">
      <c r="A17" t="s">
        <v>43</v>
      </c>
      <c r="B17">
        <v>366</v>
      </c>
      <c r="C17">
        <v>2000</v>
      </c>
      <c r="D17" s="1">
        <v>42132</v>
      </c>
      <c r="E17" s="1">
        <v>42133</v>
      </c>
      <c r="F17" s="1">
        <f t="shared" si="4"/>
        <v>42176</v>
      </c>
      <c r="G17">
        <v>16.12</v>
      </c>
      <c r="H17">
        <f t="shared" si="0"/>
        <v>6.84</v>
      </c>
      <c r="I17" s="1">
        <v>42143</v>
      </c>
      <c r="J17" s="2">
        <f>2034.82</f>
        <v>2034.82</v>
      </c>
      <c r="K17">
        <f>106.15</f>
        <v>106.15</v>
      </c>
      <c r="L17">
        <v>4.0599999999999996</v>
      </c>
      <c r="M17">
        <f t="shared" si="5"/>
        <v>2030.76</v>
      </c>
      <c r="N17">
        <v>0.03</v>
      </c>
      <c r="O17">
        <f t="shared" si="6"/>
        <v>51.03</v>
      </c>
      <c r="P17">
        <f t="shared" si="3"/>
        <v>30.789999999999964</v>
      </c>
    </row>
    <row r="18" spans="1:16" x14ac:dyDescent="0.15">
      <c r="A18" t="s">
        <v>43</v>
      </c>
      <c r="B18">
        <v>366</v>
      </c>
      <c r="C18">
        <v>5000</v>
      </c>
      <c r="D18" s="1">
        <v>42132</v>
      </c>
      <c r="E18" s="1">
        <v>42133</v>
      </c>
      <c r="F18" s="1">
        <f t="shared" si="4"/>
        <v>42176</v>
      </c>
      <c r="G18">
        <v>40.29</v>
      </c>
      <c r="H18">
        <f t="shared" si="0"/>
        <v>6.84</v>
      </c>
      <c r="I18" s="1">
        <v>42143</v>
      </c>
      <c r="J18" s="2">
        <f>5087.05</f>
        <v>5087.05</v>
      </c>
      <c r="K18">
        <f>265.43</f>
        <v>265.43</v>
      </c>
      <c r="L18">
        <v>10.14</v>
      </c>
      <c r="M18">
        <f t="shared" si="5"/>
        <v>5076.91</v>
      </c>
      <c r="N18">
        <v>0.02</v>
      </c>
      <c r="O18">
        <f t="shared" si="6"/>
        <v>51.04</v>
      </c>
      <c r="P18">
        <f t="shared" si="3"/>
        <v>76.930000000000291</v>
      </c>
    </row>
    <row r="19" spans="1:16" x14ac:dyDescent="0.15">
      <c r="A19" t="s">
        <v>43</v>
      </c>
      <c r="B19">
        <v>366</v>
      </c>
      <c r="C19">
        <v>7000</v>
      </c>
      <c r="D19" s="1">
        <v>42132</v>
      </c>
      <c r="E19" s="1">
        <v>42133</v>
      </c>
      <c r="F19" s="1">
        <f t="shared" si="4"/>
        <v>42176</v>
      </c>
      <c r="G19">
        <v>56.41</v>
      </c>
      <c r="H19">
        <f t="shared" si="0"/>
        <v>6.84</v>
      </c>
      <c r="I19" s="1">
        <v>42143</v>
      </c>
      <c r="J19" s="2">
        <f>7121.87</f>
        <v>7121.87</v>
      </c>
      <c r="K19">
        <f>371.62</f>
        <v>371.62</v>
      </c>
      <c r="L19">
        <v>14.24</v>
      </c>
      <c r="M19">
        <f t="shared" si="5"/>
        <v>7107.63</v>
      </c>
      <c r="N19">
        <v>0.01</v>
      </c>
      <c r="O19">
        <f t="shared" si="6"/>
        <v>51.02</v>
      </c>
      <c r="P19">
        <f t="shared" si="3"/>
        <v>107.64000000000033</v>
      </c>
    </row>
    <row r="20" spans="1:16" x14ac:dyDescent="0.15">
      <c r="A20" t="s">
        <v>44</v>
      </c>
      <c r="B20">
        <v>366</v>
      </c>
      <c r="C20">
        <v>10000</v>
      </c>
      <c r="D20" s="1">
        <v>42143</v>
      </c>
      <c r="E20" s="1">
        <v>42144</v>
      </c>
      <c r="F20" s="1">
        <f t="shared" si="4"/>
        <v>42176</v>
      </c>
      <c r="G20">
        <v>60.73</v>
      </c>
      <c r="H20">
        <f t="shared" si="0"/>
        <v>6.93</v>
      </c>
      <c r="I20" s="1">
        <v>42154</v>
      </c>
      <c r="J20" s="2">
        <f>10173.4</f>
        <v>10173.4</v>
      </c>
      <c r="K20">
        <f>543.75</f>
        <v>543.75</v>
      </c>
      <c r="L20">
        <f>20.35</f>
        <v>20.350000000000001</v>
      </c>
      <c r="M20">
        <f t="shared" si="5"/>
        <v>10153.049999999999</v>
      </c>
      <c r="N20">
        <v>0.01</v>
      </c>
      <c r="O20">
        <f t="shared" si="6"/>
        <v>50.78</v>
      </c>
      <c r="P20">
        <f t="shared" si="3"/>
        <v>153.05999999999949</v>
      </c>
    </row>
    <row r="21" spans="1:16" x14ac:dyDescent="0.15">
      <c r="A21" t="s">
        <v>46</v>
      </c>
      <c r="B21">
        <v>366</v>
      </c>
      <c r="C21">
        <v>10000</v>
      </c>
      <c r="D21" s="1">
        <v>42144</v>
      </c>
      <c r="E21" s="1">
        <v>42145</v>
      </c>
      <c r="F21" s="1">
        <f t="shared" si="4"/>
        <v>42176</v>
      </c>
      <c r="G21">
        <v>58.82</v>
      </c>
      <c r="H21">
        <f t="shared" si="0"/>
        <v>6.93</v>
      </c>
      <c r="I21" s="1">
        <v>42155</v>
      </c>
      <c r="J21" s="2">
        <v>10177.17</v>
      </c>
      <c r="K21">
        <v>539.91</v>
      </c>
      <c r="L21">
        <v>20.23</v>
      </c>
      <c r="M21">
        <f t="shared" si="5"/>
        <v>10156.94</v>
      </c>
      <c r="N21">
        <v>0.08</v>
      </c>
      <c r="O21">
        <f t="shared" si="6"/>
        <v>52.08</v>
      </c>
      <c r="P21">
        <f t="shared" si="3"/>
        <v>157.02000000000044</v>
      </c>
    </row>
    <row r="22" spans="1:16" x14ac:dyDescent="0.15">
      <c r="A22" t="s">
        <v>55</v>
      </c>
      <c r="B22">
        <v>366</v>
      </c>
      <c r="C22">
        <v>12000</v>
      </c>
      <c r="D22" s="1">
        <v>42154</v>
      </c>
      <c r="E22" s="1">
        <v>42155</v>
      </c>
      <c r="F22" s="1">
        <f t="shared" si="4"/>
        <v>42176</v>
      </c>
      <c r="G22">
        <v>47.83</v>
      </c>
      <c r="H22">
        <f t="shared" si="0"/>
        <v>6.93</v>
      </c>
      <c r="I22" s="1">
        <v>42165</v>
      </c>
      <c r="J22" s="2">
        <f>12184.19</f>
        <v>12184.19</v>
      </c>
      <c r="K22">
        <f>673.79</f>
        <v>673.79</v>
      </c>
      <c r="L22">
        <f>24.36</f>
        <v>24.36</v>
      </c>
      <c r="M22">
        <f t="shared" si="5"/>
        <v>12159.83</v>
      </c>
      <c r="N22">
        <v>0.02</v>
      </c>
      <c r="O22">
        <f t="shared" si="6"/>
        <v>44.2</v>
      </c>
      <c r="P22">
        <f t="shared" si="3"/>
        <v>159.85000000000036</v>
      </c>
    </row>
    <row r="23" spans="1:16" x14ac:dyDescent="0.15">
      <c r="A23" t="s">
        <v>55</v>
      </c>
      <c r="B23">
        <v>366</v>
      </c>
      <c r="C23">
        <v>13000</v>
      </c>
      <c r="D23" s="1">
        <v>42155</v>
      </c>
      <c r="E23" s="1">
        <v>42156</v>
      </c>
      <c r="F23" s="1">
        <f t="shared" si="4"/>
        <v>42176</v>
      </c>
      <c r="G23">
        <v>49.34</v>
      </c>
      <c r="H23">
        <f t="shared" si="0"/>
        <v>6.93</v>
      </c>
      <c r="I23" s="1">
        <v>42168</v>
      </c>
      <c r="J23" s="2">
        <f>5988+4990+2186.04</f>
        <v>13164.04</v>
      </c>
      <c r="K23">
        <f>339.41+278.15+121.51</f>
        <v>739.06999999999994</v>
      </c>
      <c r="L23">
        <f>12+9.99+4.38</f>
        <v>26.37</v>
      </c>
      <c r="M23">
        <f t="shared" si="5"/>
        <v>13137.67</v>
      </c>
      <c r="N23">
        <v>0.01</v>
      </c>
      <c r="O23">
        <f t="shared" si="6"/>
        <v>29.73</v>
      </c>
      <c r="P23">
        <f t="shared" si="3"/>
        <v>137.68000000000029</v>
      </c>
    </row>
    <row r="24" spans="1:16" x14ac:dyDescent="0.15">
      <c r="A24" s="5" t="s">
        <v>60</v>
      </c>
      <c r="B24">
        <v>366</v>
      </c>
      <c r="C24">
        <v>8000</v>
      </c>
      <c r="D24" s="1">
        <v>42162</v>
      </c>
      <c r="E24" s="1">
        <v>42163</v>
      </c>
      <c r="F24" s="1">
        <f t="shared" si="4"/>
        <v>42176</v>
      </c>
      <c r="G24">
        <v>21.14</v>
      </c>
      <c r="H24">
        <f t="shared" si="0"/>
        <v>7.42</v>
      </c>
      <c r="I24" s="7">
        <v>42173</v>
      </c>
      <c r="J24" s="2">
        <f>8100.34</f>
        <v>8100.34</v>
      </c>
      <c r="K24">
        <f>472.45</f>
        <v>472.45</v>
      </c>
      <c r="L24">
        <v>16.2</v>
      </c>
      <c r="M24">
        <f t="shared" si="5"/>
        <v>8084.14</v>
      </c>
      <c r="N24">
        <v>0.01</v>
      </c>
      <c r="O24">
        <f t="shared" si="6"/>
        <v>34.9</v>
      </c>
      <c r="P24">
        <f t="shared" si="3"/>
        <v>84.150000000000546</v>
      </c>
    </row>
    <row r="25" spans="1:16" x14ac:dyDescent="0.15">
      <c r="A25" s="5" t="s">
        <v>61</v>
      </c>
      <c r="B25">
        <v>366</v>
      </c>
      <c r="C25">
        <v>20000</v>
      </c>
      <c r="D25" s="1">
        <v>42164</v>
      </c>
      <c r="E25" s="1">
        <v>42165</v>
      </c>
      <c r="F25" s="1">
        <f t="shared" si="4"/>
        <v>42176</v>
      </c>
      <c r="G25">
        <v>42.92</v>
      </c>
      <c r="H25">
        <f t="shared" si="0"/>
        <v>7.12</v>
      </c>
      <c r="I25" s="7">
        <v>42175</v>
      </c>
      <c r="J25" s="2">
        <f>15000+5267.89</f>
        <v>20267.89</v>
      </c>
      <c r="K25">
        <f>874.85+307.25</f>
        <v>1182.0999999999999</v>
      </c>
      <c r="L25">
        <f>29.99+10.54</f>
        <v>40.53</v>
      </c>
      <c r="M25">
        <f t="shared" si="5"/>
        <v>20227.36</v>
      </c>
      <c r="N25">
        <v>0.01</v>
      </c>
      <c r="O25">
        <f t="shared" si="6"/>
        <v>37.72</v>
      </c>
      <c r="P25">
        <f t="shared" si="3"/>
        <v>227.36999999999898</v>
      </c>
    </row>
    <row r="26" spans="1:16" x14ac:dyDescent="0.15">
      <c r="A26" s="3" t="s">
        <v>61</v>
      </c>
      <c r="B26">
        <v>366</v>
      </c>
      <c r="C26">
        <v>12000</v>
      </c>
      <c r="D26" s="1">
        <v>42165</v>
      </c>
      <c r="E26" s="1">
        <v>42166</v>
      </c>
      <c r="F26" s="1">
        <f>F27</f>
        <v>42176</v>
      </c>
      <c r="G26">
        <v>23.41</v>
      </c>
      <c r="I26" s="6">
        <v>42176</v>
      </c>
      <c r="J26" s="2">
        <v>6000</v>
      </c>
      <c r="K26">
        <f>348.78</f>
        <v>348.78</v>
      </c>
      <c r="L26">
        <f>12</f>
        <v>12</v>
      </c>
      <c r="M26">
        <f t="shared" si="5"/>
        <v>5988</v>
      </c>
    </row>
    <row r="27" spans="1:16" x14ac:dyDescent="0.15">
      <c r="A27" t="s">
        <v>62</v>
      </c>
      <c r="B27">
        <v>540</v>
      </c>
      <c r="C27">
        <v>5000</v>
      </c>
      <c r="D27" s="1">
        <v>42164</v>
      </c>
      <c r="E27" s="1">
        <v>42164</v>
      </c>
      <c r="F27" s="1">
        <f>F25</f>
        <v>42176</v>
      </c>
      <c r="G27">
        <v>0</v>
      </c>
      <c r="H27">
        <f>ROUND(G27*365/(F27-E27)/C27*100,2)</f>
        <v>0</v>
      </c>
      <c r="I27" s="1">
        <v>42165</v>
      </c>
      <c r="J27" s="2">
        <f>4539.49</f>
        <v>4539.49</v>
      </c>
      <c r="K27">
        <f>460.5</f>
        <v>460.5</v>
      </c>
      <c r="L27">
        <v>9.08</v>
      </c>
      <c r="M27">
        <f t="shared" ref="M27" si="7">J27-L27</f>
        <v>4530.41</v>
      </c>
    </row>
    <row r="28" spans="1:16" x14ac:dyDescent="0.15">
      <c r="A28" s="3" t="s">
        <v>61</v>
      </c>
      <c r="B28">
        <v>366</v>
      </c>
      <c r="C28">
        <v>5000</v>
      </c>
      <c r="D28" s="1">
        <v>42165</v>
      </c>
      <c r="E28" s="1">
        <v>42166</v>
      </c>
      <c r="F28" s="1">
        <f>F26</f>
        <v>42176</v>
      </c>
      <c r="G28">
        <v>9.75</v>
      </c>
      <c r="I28" s="6">
        <v>42176</v>
      </c>
    </row>
    <row r="29" spans="1:16" x14ac:dyDescent="0.15">
      <c r="A29" s="3" t="s">
        <v>61</v>
      </c>
      <c r="B29">
        <v>366</v>
      </c>
      <c r="C29">
        <v>6000</v>
      </c>
      <c r="D29" s="1">
        <v>42166</v>
      </c>
      <c r="E29" s="1">
        <v>42167</v>
      </c>
      <c r="F29" s="1">
        <f t="shared" si="4"/>
        <v>42176</v>
      </c>
      <c r="G29">
        <v>10.53</v>
      </c>
      <c r="I29" s="6">
        <v>42177</v>
      </c>
    </row>
    <row r="30" spans="1:16" x14ac:dyDescent="0.15">
      <c r="A30" s="3" t="s">
        <v>63</v>
      </c>
      <c r="B30">
        <v>366</v>
      </c>
      <c r="C30">
        <v>5000</v>
      </c>
      <c r="D30" s="1">
        <v>42167</v>
      </c>
      <c r="E30" s="1">
        <v>42168</v>
      </c>
      <c r="F30" s="1">
        <f t="shared" si="4"/>
        <v>42176</v>
      </c>
      <c r="G30">
        <v>8.4600000000000009</v>
      </c>
      <c r="I30" s="6">
        <v>42178</v>
      </c>
    </row>
    <row r="31" spans="1:16" x14ac:dyDescent="0.15">
      <c r="A31" s="3" t="s">
        <v>65</v>
      </c>
      <c r="B31">
        <v>366</v>
      </c>
      <c r="C31">
        <v>5000</v>
      </c>
      <c r="D31" s="1">
        <v>42169</v>
      </c>
      <c r="E31" s="1">
        <v>42170</v>
      </c>
      <c r="F31" s="1">
        <f t="shared" si="4"/>
        <v>42176</v>
      </c>
      <c r="G31">
        <v>5.85</v>
      </c>
      <c r="I31" s="6">
        <v>42180</v>
      </c>
    </row>
    <row r="32" spans="1:16" x14ac:dyDescent="0.15">
      <c r="A32" s="3" t="s">
        <v>19</v>
      </c>
      <c r="B32">
        <v>366</v>
      </c>
      <c r="C32">
        <v>5000</v>
      </c>
      <c r="D32" s="1">
        <v>42170</v>
      </c>
      <c r="E32" s="1">
        <v>42171</v>
      </c>
      <c r="F32" s="1">
        <f t="shared" si="4"/>
        <v>42176</v>
      </c>
      <c r="G32">
        <v>5.97</v>
      </c>
      <c r="I32" s="6">
        <v>42181</v>
      </c>
    </row>
    <row r="33" spans="1:9" x14ac:dyDescent="0.15">
      <c r="A33" s="3" t="s">
        <v>19</v>
      </c>
      <c r="B33">
        <v>366</v>
      </c>
      <c r="C33">
        <v>5000</v>
      </c>
      <c r="D33" s="1">
        <v>42170</v>
      </c>
      <c r="E33" s="1">
        <v>42171</v>
      </c>
      <c r="F33" s="1">
        <f t="shared" si="4"/>
        <v>42176</v>
      </c>
      <c r="G33">
        <f>G32</f>
        <v>5.97</v>
      </c>
      <c r="I33" s="6">
        <v>42181</v>
      </c>
    </row>
    <row r="34" spans="1:9" x14ac:dyDescent="0.15">
      <c r="A34" s="3" t="s">
        <v>66</v>
      </c>
      <c r="B34">
        <v>366</v>
      </c>
      <c r="C34">
        <v>8000</v>
      </c>
      <c r="D34" s="1">
        <v>42173</v>
      </c>
      <c r="E34" s="1">
        <v>42174</v>
      </c>
      <c r="F34" s="1">
        <f t="shared" si="4"/>
        <v>42176</v>
      </c>
      <c r="G34">
        <v>3.17</v>
      </c>
      <c r="I34" s="6">
        <f>D34+11</f>
        <v>42184</v>
      </c>
    </row>
    <row r="35" spans="1:9" x14ac:dyDescent="0.15">
      <c r="A35" s="3" t="s">
        <v>67</v>
      </c>
      <c r="B35">
        <v>366</v>
      </c>
      <c r="C35">
        <v>4000</v>
      </c>
      <c r="D35" s="1">
        <v>42174</v>
      </c>
      <c r="E35" s="1">
        <v>42175</v>
      </c>
      <c r="F35" s="1">
        <f t="shared" si="4"/>
        <v>42176</v>
      </c>
      <c r="G35">
        <v>0</v>
      </c>
      <c r="I35" s="6">
        <f>D35+11</f>
        <v>42185</v>
      </c>
    </row>
    <row r="36" spans="1:9" x14ac:dyDescent="0.15">
      <c r="A36" s="3" t="s">
        <v>19</v>
      </c>
      <c r="B36">
        <v>366</v>
      </c>
      <c r="C36">
        <v>10000</v>
      </c>
      <c r="D36" s="1">
        <v>42175</v>
      </c>
      <c r="E36" s="1">
        <v>42176</v>
      </c>
      <c r="F36" s="1">
        <f t="shared" si="4"/>
        <v>42176</v>
      </c>
      <c r="G36">
        <v>0</v>
      </c>
      <c r="I36" s="6">
        <f>D36+11</f>
        <v>42186</v>
      </c>
    </row>
    <row r="37" spans="1:9" x14ac:dyDescent="0.15">
      <c r="A37" s="3" t="s">
        <v>19</v>
      </c>
      <c r="B37">
        <v>366</v>
      </c>
      <c r="C37">
        <v>6000</v>
      </c>
      <c r="D37" s="1">
        <v>42176</v>
      </c>
      <c r="E37" s="1">
        <f>D37+1</f>
        <v>42177</v>
      </c>
      <c r="F37" s="1">
        <f t="shared" si="4"/>
        <v>42176</v>
      </c>
      <c r="G37">
        <v>0</v>
      </c>
      <c r="I37" s="6">
        <f>D37+11</f>
        <v>42187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defaultRowHeight="13.5" x14ac:dyDescent="0.15"/>
  <cols>
    <col min="1" max="1" width="22.5" bestFit="1" customWidth="1"/>
    <col min="2" max="2" width="10" bestFit="1" customWidth="1"/>
    <col min="3" max="3" width="9.75" bestFit="1" customWidth="1"/>
    <col min="4" max="4" width="11.625" bestFit="1" customWidth="1"/>
    <col min="5" max="5" width="11.625" customWidth="1"/>
    <col min="6" max="7" width="10.5" bestFit="1" customWidth="1"/>
    <col min="9" max="9" width="12" bestFit="1" customWidth="1"/>
    <col min="10" max="10" width="10.5" style="2" bestFit="1" customWidth="1"/>
    <col min="11" max="11" width="13.125" customWidth="1"/>
    <col min="12" max="12" width="7.75" bestFit="1" customWidth="1"/>
    <col min="13" max="13" width="9.5" customWidth="1"/>
    <col min="14" max="14" width="15.125" bestFit="1" customWidth="1"/>
    <col min="15" max="15" width="11.875" bestFit="1" customWidth="1"/>
  </cols>
  <sheetData>
    <row r="1" spans="1:16" s="3" customFormat="1" x14ac:dyDescent="0.15">
      <c r="B1" s="3" t="s">
        <v>45</v>
      </c>
      <c r="C1" s="3" t="s">
        <v>18</v>
      </c>
      <c r="D1" s="3" t="s">
        <v>14</v>
      </c>
      <c r="E1" s="3" t="s">
        <v>30</v>
      </c>
      <c r="F1" s="3" t="s">
        <v>15</v>
      </c>
      <c r="G1" s="3" t="s">
        <v>16</v>
      </c>
      <c r="H1" s="3" t="s">
        <v>17</v>
      </c>
      <c r="I1" s="3" t="s">
        <v>28</v>
      </c>
      <c r="J1" s="4" t="s">
        <v>36</v>
      </c>
      <c r="K1" s="3" t="s">
        <v>37</v>
      </c>
      <c r="L1" s="3" t="s">
        <v>38</v>
      </c>
      <c r="M1" s="3" t="s">
        <v>47</v>
      </c>
      <c r="N1" s="3" t="s">
        <v>58</v>
      </c>
      <c r="O1" s="3" t="s">
        <v>49</v>
      </c>
      <c r="P1" s="3" t="s">
        <v>59</v>
      </c>
    </row>
    <row r="2" spans="1:16" x14ac:dyDescent="0.15">
      <c r="A2" t="s">
        <v>56</v>
      </c>
      <c r="B2">
        <v>366</v>
      </c>
      <c r="C2">
        <v>16000</v>
      </c>
      <c r="D2" s="1">
        <v>42158</v>
      </c>
      <c r="E2" s="1">
        <v>42159</v>
      </c>
      <c r="F2" s="1">
        <v>42176</v>
      </c>
      <c r="G2">
        <v>51.89</v>
      </c>
      <c r="H2">
        <f t="shared" ref="H2:H4" si="0">ROUND(G2*365/(F2-E2)/C2*100,2)</f>
        <v>6.96</v>
      </c>
      <c r="I2" s="1">
        <v>42169</v>
      </c>
      <c r="J2">
        <v>16251.66</v>
      </c>
      <c r="K2">
        <v>900.3</v>
      </c>
      <c r="L2">
        <v>32.47</v>
      </c>
      <c r="M2">
        <f>J2-L2</f>
        <v>16219.19</v>
      </c>
      <c r="N2">
        <v>0.04</v>
      </c>
      <c r="O2">
        <f t="shared" ref="O2" si="1">ROUND((M2-C2)/C2*365/(I2-D2)*100,2)</f>
        <v>45.46</v>
      </c>
    </row>
    <row r="3" spans="1:16" x14ac:dyDescent="0.15">
      <c r="A3" s="3" t="s">
        <v>64</v>
      </c>
      <c r="B3">
        <v>366</v>
      </c>
      <c r="C3">
        <v>16000</v>
      </c>
      <c r="D3" s="1">
        <v>42169</v>
      </c>
      <c r="E3" s="1">
        <v>42170</v>
      </c>
      <c r="F3" s="1">
        <f>F2</f>
        <v>42176</v>
      </c>
      <c r="G3">
        <v>22.28</v>
      </c>
      <c r="H3">
        <f t="shared" si="0"/>
        <v>8.4700000000000006</v>
      </c>
      <c r="I3" s="6">
        <f>D3+11</f>
        <v>42180</v>
      </c>
    </row>
    <row r="4" spans="1:16" x14ac:dyDescent="0.15">
      <c r="A4" s="3" t="s">
        <v>68</v>
      </c>
      <c r="B4">
        <v>366</v>
      </c>
      <c r="C4">
        <v>22000</v>
      </c>
      <c r="D4" s="1">
        <v>42169</v>
      </c>
      <c r="E4" s="1">
        <v>42170</v>
      </c>
      <c r="F4" s="1">
        <f>F3</f>
        <v>42176</v>
      </c>
      <c r="G4">
        <v>25.75</v>
      </c>
      <c r="H4">
        <f t="shared" si="0"/>
        <v>7.12</v>
      </c>
      <c r="I4" s="6">
        <f>D4+11</f>
        <v>42180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G4" sqref="G4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52</v>
      </c>
      <c r="C1" t="s">
        <v>18</v>
      </c>
      <c r="D1" t="s">
        <v>14</v>
      </c>
      <c r="E1" t="s">
        <v>51</v>
      </c>
      <c r="F1" t="s">
        <v>15</v>
      </c>
      <c r="G1" t="s">
        <v>16</v>
      </c>
      <c r="H1" t="s">
        <v>17</v>
      </c>
      <c r="I1" t="s">
        <v>53</v>
      </c>
      <c r="J1" t="s">
        <v>54</v>
      </c>
    </row>
    <row r="2" spans="1:10" x14ac:dyDescent="0.15">
      <c r="A2" t="s">
        <v>50</v>
      </c>
      <c r="B2">
        <v>92</v>
      </c>
      <c r="C2">
        <v>10000</v>
      </c>
      <c r="D2" s="1">
        <v>42142</v>
      </c>
      <c r="E2" s="1">
        <v>42143</v>
      </c>
      <c r="F2" s="1">
        <v>42176</v>
      </c>
      <c r="G2">
        <v>55.38</v>
      </c>
      <c r="H2">
        <f>ROUND(G2*365/(F2-E2)/C2*100,2)</f>
        <v>6.13</v>
      </c>
      <c r="I2">
        <v>50</v>
      </c>
      <c r="J2">
        <f>ROUND((G2+I2)*365/(F2-D2)/C2*100,2)</f>
        <v>11.31</v>
      </c>
    </row>
    <row r="3" spans="1:10" x14ac:dyDescent="0.15">
      <c r="A3" t="s">
        <v>50</v>
      </c>
      <c r="B3">
        <v>91</v>
      </c>
      <c r="C3">
        <v>10000</v>
      </c>
      <c r="D3" s="1">
        <v>42143</v>
      </c>
      <c r="E3" s="1">
        <v>42144</v>
      </c>
      <c r="F3" s="1">
        <f>F2</f>
        <v>42176</v>
      </c>
      <c r="G3">
        <v>53.7</v>
      </c>
      <c r="H3">
        <f>ROUND(G3*365/(F3-E3)/C3*100,2)</f>
        <v>6.13</v>
      </c>
      <c r="I3">
        <v>50</v>
      </c>
      <c r="J3">
        <f>ROUND((G3+I3)*365/(F3-D3)/C3*100,2)</f>
        <v>11.47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5" t="s">
        <v>48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2015-06-21T01:14:11Z</dcterms:modified>
</cp:coreProperties>
</file>