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招财宝!$A$1:$O$60</definedName>
    <definedName name="_xlnm._FilterDatabase" localSheetId="2" hidden="1">招财宝_王蕾!$A$1:$O$4</definedName>
  </definedNames>
  <calcPr calcId="152511"/>
</workbook>
</file>

<file path=xl/calcChain.xml><?xml version="1.0" encoding="utf-8"?>
<calcChain xmlns="http://schemas.openxmlformats.org/spreadsheetml/2006/main">
  <c r="G60" i="2" l="1"/>
  <c r="F60" i="2"/>
  <c r="K43" i="2"/>
  <c r="H43" i="2"/>
  <c r="J5" i="7"/>
  <c r="I5" i="7"/>
  <c r="H5" i="7"/>
  <c r="N43" i="2" l="1"/>
  <c r="G59" i="2"/>
  <c r="F59" i="2"/>
  <c r="G58" i="2"/>
  <c r="F58" i="2"/>
  <c r="G10" i="7" l="1"/>
  <c r="F10" i="7"/>
  <c r="K5" i="7"/>
  <c r="N6" i="7"/>
  <c r="M6" i="7"/>
  <c r="J6" i="7"/>
  <c r="I6" i="7"/>
  <c r="H6" i="7"/>
  <c r="G57" i="2"/>
  <c r="F57" i="2"/>
  <c r="K42" i="2"/>
  <c r="N42" i="2" s="1"/>
  <c r="H42" i="2"/>
  <c r="G56" i="2" l="1"/>
  <c r="F56" i="2"/>
  <c r="K41" i="2"/>
  <c r="N41" i="2" s="1"/>
  <c r="I41" i="2"/>
  <c r="H41" i="2"/>
  <c r="K6" i="7"/>
  <c r="G9" i="7"/>
  <c r="F9" i="7"/>
  <c r="G55" i="2" l="1"/>
  <c r="F55" i="2"/>
  <c r="K40" i="2"/>
  <c r="N40" i="2" s="1"/>
  <c r="I40" i="2"/>
  <c r="H40" i="2"/>
  <c r="G40" i="2"/>
  <c r="M40" i="2" l="1"/>
  <c r="G54" i="2"/>
  <c r="F54" i="2"/>
  <c r="I39" i="2"/>
  <c r="H39" i="2"/>
  <c r="K39" i="2" s="1"/>
  <c r="N39" i="2" s="1"/>
  <c r="G39" i="2"/>
  <c r="M39" i="2" l="1"/>
  <c r="G8" i="7"/>
  <c r="F8" i="7"/>
  <c r="G53" i="2"/>
  <c r="F53" i="2"/>
  <c r="G52" i="2" l="1"/>
  <c r="F52" i="2"/>
  <c r="J38" i="2"/>
  <c r="H38" i="2"/>
  <c r="K38" i="2" s="1"/>
  <c r="N38" i="2" l="1"/>
  <c r="G51" i="2"/>
  <c r="F51" i="2"/>
  <c r="G50" i="2"/>
  <c r="F50" i="2"/>
  <c r="I37" i="2"/>
  <c r="H37" i="2"/>
  <c r="K37" i="2" s="1"/>
  <c r="N37" i="2" s="1"/>
  <c r="G49" i="2" l="1"/>
  <c r="F49" i="2"/>
  <c r="K36" i="2"/>
  <c r="N36" i="2" l="1"/>
  <c r="G48" i="2"/>
  <c r="F48" i="2"/>
  <c r="I35" i="2"/>
  <c r="H35" i="2"/>
  <c r="K35" i="2" s="1"/>
  <c r="N35" i="2" s="1"/>
  <c r="G35" i="2"/>
  <c r="M35" i="2" l="1"/>
  <c r="G47" i="2"/>
  <c r="F47" i="2"/>
  <c r="G46" i="2"/>
  <c r="F46" i="2"/>
  <c r="I34" i="2"/>
  <c r="H34" i="2"/>
  <c r="K34" i="2" s="1"/>
  <c r="N34" i="2" s="1"/>
  <c r="F45" i="2" l="1"/>
  <c r="G45" i="2"/>
  <c r="I33" i="2"/>
  <c r="H33" i="2"/>
  <c r="K33" i="2" s="1"/>
  <c r="N33" i="2" s="1"/>
  <c r="M33" i="2" l="1"/>
  <c r="G44" i="2"/>
  <c r="F44" i="2"/>
  <c r="G7" i="7" l="1"/>
  <c r="F7" i="7"/>
  <c r="J4" i="7"/>
  <c r="I4" i="7"/>
  <c r="H4" i="7"/>
  <c r="K4" i="7" s="1"/>
  <c r="F43" i="2"/>
  <c r="G43" i="2"/>
  <c r="M43" i="2" s="1"/>
  <c r="I32" i="2"/>
  <c r="H32" i="2"/>
  <c r="K32" i="2" s="1"/>
  <c r="M32" i="2" s="1"/>
  <c r="N4" i="7" l="1"/>
  <c r="M4" i="7"/>
  <c r="N32" i="2"/>
  <c r="G42" i="2"/>
  <c r="M42" i="2" s="1"/>
  <c r="F42" i="2"/>
  <c r="K30" i="2"/>
  <c r="M30" i="2" s="1"/>
  <c r="J30" i="2"/>
  <c r="I30" i="2"/>
  <c r="H30" i="2"/>
  <c r="N30" i="2" l="1"/>
  <c r="F6" i="7"/>
  <c r="J3" i="7"/>
  <c r="I3" i="7"/>
  <c r="H3" i="7"/>
  <c r="K3" i="7" l="1"/>
  <c r="F5" i="7"/>
  <c r="G41" i="2"/>
  <c r="M41" i="2" s="1"/>
  <c r="F41" i="2"/>
  <c r="K31" i="2"/>
  <c r="N31" i="2" s="1"/>
  <c r="H31" i="2"/>
  <c r="N3" i="7" l="1"/>
  <c r="M31" i="2"/>
  <c r="I29" i="2"/>
  <c r="H29" i="2"/>
  <c r="F40" i="2"/>
  <c r="I28" i="2"/>
  <c r="H28" i="2"/>
  <c r="K28" i="2" s="1"/>
  <c r="N28" i="2" s="1"/>
  <c r="M28" i="2" l="1"/>
  <c r="F39" i="2"/>
  <c r="J26" i="2" l="1"/>
  <c r="I26" i="2"/>
  <c r="H26" i="2"/>
  <c r="G38" i="2"/>
  <c r="M38" i="2" s="1"/>
  <c r="F38" i="2"/>
  <c r="K29" i="2"/>
  <c r="N29" i="2" l="1"/>
  <c r="M29" i="2"/>
  <c r="Q33" i="2"/>
  <c r="Q15" i="2"/>
  <c r="Q3" i="2"/>
  <c r="K26" i="2"/>
  <c r="F37" i="2"/>
  <c r="G37" i="2"/>
  <c r="M37" i="2" s="1"/>
  <c r="N26" i="2" l="1"/>
  <c r="M26" i="2"/>
  <c r="G36" i="2"/>
  <c r="M36" i="2" s="1"/>
  <c r="K25" i="2"/>
  <c r="N25" i="2" s="1"/>
  <c r="J25" i="2"/>
  <c r="I25" i="2"/>
  <c r="H25" i="2"/>
  <c r="M25" i="2" l="1"/>
  <c r="G34" i="2" l="1"/>
  <c r="M34" i="2" s="1"/>
  <c r="I24" i="2"/>
  <c r="H24" i="2"/>
  <c r="K24" i="2" s="1"/>
  <c r="N24" i="2" s="1"/>
  <c r="M24" i="2" l="1"/>
  <c r="P3" i="7"/>
  <c r="G3" i="7"/>
  <c r="M3" i="7" s="1"/>
  <c r="P4" i="7" l="1"/>
  <c r="R3" i="7"/>
  <c r="K2" i="7"/>
  <c r="N2" i="7" s="1"/>
  <c r="R4" i="7" l="1"/>
  <c r="P5" i="7"/>
  <c r="J23" i="2"/>
  <c r="I23" i="2"/>
  <c r="H23" i="2"/>
  <c r="K23" i="2" s="1"/>
  <c r="N23" i="2" s="1"/>
  <c r="P6" i="7" l="1"/>
  <c r="R5" i="7"/>
  <c r="M23" i="2"/>
  <c r="I27" i="2"/>
  <c r="H27" i="2"/>
  <c r="K27" i="2" s="1"/>
  <c r="R6" i="7" l="1"/>
  <c r="P7" i="7"/>
  <c r="J22" i="2"/>
  <c r="I22" i="2"/>
  <c r="H22" i="2"/>
  <c r="R7" i="7" l="1"/>
  <c r="P8" i="7"/>
  <c r="R8" i="7" s="1"/>
  <c r="K22" i="2"/>
  <c r="N22" i="2" s="1"/>
  <c r="M22" i="2"/>
  <c r="K18" i="1"/>
  <c r="K19" i="1" s="1"/>
  <c r="L13" i="2"/>
  <c r="L12" i="2"/>
  <c r="K13" i="2"/>
  <c r="I12" i="2"/>
  <c r="H12" i="2"/>
  <c r="K12" i="2" s="1"/>
  <c r="N12" i="2" s="1"/>
  <c r="J9" i="2"/>
  <c r="H9" i="2"/>
  <c r="K9" i="2" s="1"/>
  <c r="N9" i="2" s="1"/>
  <c r="B18" i="1"/>
  <c r="B19" i="1" s="1"/>
  <c r="H18" i="1"/>
  <c r="H19" i="1" s="1"/>
  <c r="E18" i="1"/>
  <c r="E19" i="1" s="1"/>
  <c r="N13" i="2" l="1"/>
  <c r="M13" i="2"/>
  <c r="M9" i="2"/>
  <c r="M12" i="2"/>
  <c r="K20" i="1"/>
  <c r="K21" i="1" s="1"/>
  <c r="B20" i="1"/>
  <c r="B21" i="1" s="1"/>
  <c r="H20" i="1"/>
  <c r="H21" i="1" s="1"/>
  <c r="E20" i="1"/>
  <c r="E21" i="1" s="1"/>
  <c r="R2" i="7" l="1"/>
  <c r="M2" i="7"/>
  <c r="G17" i="4" l="1"/>
  <c r="G16" i="4"/>
  <c r="E16" i="4"/>
  <c r="K21" i="2"/>
  <c r="N21" i="2" s="1"/>
  <c r="M21" i="2" l="1"/>
  <c r="L5" i="2"/>
  <c r="H5" i="2"/>
  <c r="K5" i="2" s="1"/>
  <c r="N5" i="2" l="1"/>
  <c r="M5" i="2"/>
  <c r="I20" i="2"/>
  <c r="J20" i="2"/>
  <c r="H20" i="2"/>
  <c r="K20" i="2" l="1"/>
  <c r="N20" i="2" s="1"/>
  <c r="G15" i="4"/>
  <c r="K11" i="2"/>
  <c r="N11" i="2" s="1"/>
  <c r="K10" i="2"/>
  <c r="N10" i="2" s="1"/>
  <c r="K8" i="2"/>
  <c r="N8" i="2" s="1"/>
  <c r="K7" i="2"/>
  <c r="N7" i="2" s="1"/>
  <c r="K6" i="2"/>
  <c r="N6" i="2" s="1"/>
  <c r="K4" i="2"/>
  <c r="K3" i="2"/>
  <c r="N3" i="2" s="1"/>
  <c r="K2" i="2"/>
  <c r="N2" i="2" s="1"/>
  <c r="M20" i="2" l="1"/>
  <c r="M6" i="2"/>
  <c r="M10" i="2"/>
  <c r="M11" i="2"/>
  <c r="M3" i="2"/>
  <c r="M8" i="2"/>
  <c r="M2" i="2"/>
  <c r="M7" i="2"/>
  <c r="J2" i="5"/>
  <c r="H16" i="2"/>
  <c r="K16" i="2" s="1"/>
  <c r="I17" i="2"/>
  <c r="I19" i="2"/>
  <c r="I18" i="2"/>
  <c r="H18" i="2"/>
  <c r="K18" i="2" s="1"/>
  <c r="H19" i="2"/>
  <c r="K19" i="2" s="1"/>
  <c r="H17" i="2"/>
  <c r="K17" i="2" s="1"/>
  <c r="I15" i="2"/>
  <c r="H15" i="2"/>
  <c r="K15" i="2" s="1"/>
  <c r="I14" i="2"/>
  <c r="H14" i="2"/>
  <c r="K14" i="2" s="1"/>
  <c r="D4" i="2"/>
  <c r="M4" i="2" s="1"/>
  <c r="E4" i="6"/>
  <c r="E5" i="6" s="1"/>
  <c r="E3" i="6"/>
  <c r="G3" i="6" s="1"/>
  <c r="G2" i="6"/>
  <c r="N4" i="2" l="1"/>
  <c r="N15" i="2"/>
  <c r="M15" i="2"/>
  <c r="N19" i="2"/>
  <c r="M19" i="2"/>
  <c r="N18" i="2"/>
  <c r="M18" i="2"/>
  <c r="N16" i="2"/>
  <c r="M16" i="2"/>
  <c r="N14" i="2"/>
  <c r="M14" i="2"/>
  <c r="N17" i="2"/>
  <c r="M17" i="2"/>
  <c r="F3" i="5"/>
  <c r="J3" i="5" s="1"/>
  <c r="H2" i="5"/>
  <c r="E6" i="6"/>
  <c r="G6" i="6" s="1"/>
  <c r="G5" i="6"/>
  <c r="G4" i="6"/>
  <c r="G14" i="4"/>
  <c r="G13" i="4"/>
  <c r="G12" i="4"/>
  <c r="H3" i="5" l="1"/>
  <c r="R2" i="2"/>
  <c r="P3" i="2"/>
  <c r="P4" i="2" s="1"/>
  <c r="P5" i="2" l="1"/>
  <c r="R4" i="2"/>
  <c r="R3" i="2"/>
  <c r="G6" i="4"/>
  <c r="G5" i="4"/>
  <c r="G4" i="4"/>
  <c r="G3" i="4"/>
  <c r="G2" i="4"/>
  <c r="P6" i="2" l="1"/>
  <c r="P7" i="2" s="1"/>
  <c r="R5" i="2"/>
  <c r="G7" i="4"/>
  <c r="P8" i="2" l="1"/>
  <c r="R7" i="2"/>
  <c r="R6" i="2"/>
  <c r="G8" i="4"/>
  <c r="R8" i="2" l="1"/>
  <c r="P9" i="2"/>
  <c r="G9" i="4"/>
  <c r="R9" i="2" l="1"/>
  <c r="P10" i="2"/>
  <c r="B6" i="1"/>
  <c r="R10" i="2" l="1"/>
  <c r="P11" i="2"/>
  <c r="G10" i="4"/>
  <c r="B7" i="1"/>
  <c r="B8" i="1" s="1"/>
  <c r="B9" i="1" s="1"/>
  <c r="P12" i="2" l="1"/>
  <c r="R11" i="2"/>
  <c r="G11" i="4"/>
  <c r="R12" i="2" l="1"/>
  <c r="P13" i="2"/>
  <c r="R13" i="2" l="1"/>
  <c r="P14" i="2"/>
  <c r="R14" i="2" l="1"/>
  <c r="P15" i="2"/>
  <c r="P16" i="2" l="1"/>
  <c r="R15" i="2"/>
  <c r="R16" i="2" l="1"/>
  <c r="P17" i="2"/>
  <c r="R17" i="2" l="1"/>
  <c r="P18" i="2"/>
  <c r="R18" i="2" l="1"/>
  <c r="P19" i="2"/>
  <c r="P20" i="2" l="1"/>
  <c r="R19" i="2"/>
  <c r="P21" i="2" l="1"/>
  <c r="R20" i="2"/>
  <c r="R21" i="2" l="1"/>
  <c r="P22" i="2"/>
  <c r="P23" i="2" l="1"/>
  <c r="R22" i="2"/>
  <c r="P24" i="2" l="1"/>
  <c r="R23" i="2"/>
  <c r="P25" i="2" l="1"/>
  <c r="R24" i="2"/>
  <c r="P27" i="2" l="1"/>
  <c r="R25" i="2"/>
  <c r="P26" i="2" l="1"/>
  <c r="R27" i="2"/>
  <c r="P28" i="2" l="1"/>
  <c r="R26" i="2"/>
  <c r="P29" i="2" l="1"/>
  <c r="R28" i="2"/>
  <c r="P30" i="2" l="1"/>
  <c r="R29" i="2"/>
  <c r="P31" i="2" l="1"/>
  <c r="R30" i="2"/>
  <c r="P32" i="2" l="1"/>
  <c r="R31" i="2"/>
  <c r="P33" i="2" l="1"/>
  <c r="R32" i="2"/>
  <c r="P34" i="2" l="1"/>
  <c r="R33" i="2"/>
  <c r="P35" i="2" l="1"/>
  <c r="R34" i="2"/>
  <c r="P36" i="2" l="1"/>
  <c r="R35" i="2"/>
  <c r="P37" i="2" l="1"/>
  <c r="R36" i="2"/>
  <c r="P38" i="2" l="1"/>
  <c r="R37" i="2"/>
  <c r="P39" i="2" l="1"/>
  <c r="R38" i="2"/>
  <c r="P40" i="2" l="1"/>
  <c r="R39" i="2"/>
  <c r="P41" i="2" l="1"/>
  <c r="R40" i="2"/>
  <c r="P42" i="2" l="1"/>
  <c r="R41" i="2"/>
  <c r="P43" i="2" l="1"/>
  <c r="R42" i="2"/>
  <c r="P44" i="2" l="1"/>
  <c r="R43" i="2"/>
  <c r="P45" i="2" l="1"/>
  <c r="R44" i="2"/>
  <c r="P46" i="2" l="1"/>
  <c r="R45" i="2"/>
  <c r="R46" i="2" l="1"/>
  <c r="P47" i="2"/>
  <c r="P48" i="2" l="1"/>
  <c r="R47" i="2"/>
  <c r="P49" i="2" l="1"/>
  <c r="R48" i="2"/>
  <c r="P50" i="2" l="1"/>
  <c r="R49" i="2"/>
  <c r="P51" i="2" l="1"/>
  <c r="R50" i="2"/>
  <c r="R51" i="2" l="1"/>
  <c r="P52" i="2"/>
  <c r="R52" i="2" l="1"/>
  <c r="P53" i="2"/>
  <c r="R53" i="2" l="1"/>
  <c r="P54" i="2"/>
  <c r="R54" i="2" s="1"/>
</calcChain>
</file>

<file path=xl/sharedStrings.xml><?xml version="1.0" encoding="utf-8"?>
<sst xmlns="http://schemas.openxmlformats.org/spreadsheetml/2006/main" count="265" uniqueCount="94">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</sst>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55</v>
      </c>
      <c r="B14">
        <v>716</v>
      </c>
      <c r="D14" t="s">
        <v>55</v>
      </c>
      <c r="E14">
        <v>1502.56</v>
      </c>
      <c r="G14" t="s">
        <v>55</v>
      </c>
      <c r="H14">
        <v>2284.81</v>
      </c>
      <c r="J14" t="s">
        <v>55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60"/>
  <sheetViews>
    <sheetView zoomScaleNormal="100" workbookViewId="0">
      <pane xSplit="5" ySplit="1" topLeftCell="J24" activePane="bottomRight" state="frozen"/>
      <selection pane="topRight" activeCell="F1" sqref="F1"/>
      <selection pane="bottomLeft" activeCell="A2" sqref="A2"/>
      <selection pane="bottomRight" activeCell="O45" sqref="O45"/>
    </sheetView>
  </sheetViews>
  <sheetFormatPr defaultRowHeight="13.5" x14ac:dyDescent="0.15"/>
  <cols>
    <col min="1" max="1" width="22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8" width="10.5" style="2" bestFit="1" customWidth="1"/>
    <col min="9" max="9" width="13" bestFit="1" customWidth="1"/>
    <col min="10" max="10" width="7.125" bestFit="1" customWidth="1"/>
    <col min="11" max="11" width="9.5" customWidth="1"/>
    <col min="12" max="12" width="9.75" bestFit="1" customWidth="1"/>
    <col min="13" max="13" width="11.875" bestFit="1" customWidth="1"/>
    <col min="15" max="15" width="23.875" bestFit="1" customWidth="1"/>
    <col min="16" max="16" width="10.5" bestFit="1" customWidth="1"/>
    <col min="17" max="17" width="9.75" bestFit="1" customWidth="1"/>
  </cols>
  <sheetData>
    <row r="1" spans="1:18" s="3" customFormat="1" x14ac:dyDescent="0.15">
      <c r="B1" s="3" t="s">
        <v>44</v>
      </c>
      <c r="C1" s="3" t="s">
        <v>66</v>
      </c>
      <c r="D1" s="3" t="s">
        <v>18</v>
      </c>
      <c r="E1" s="3" t="s">
        <v>14</v>
      </c>
      <c r="F1" s="3" t="s">
        <v>30</v>
      </c>
      <c r="G1" s="3" t="s">
        <v>35</v>
      </c>
      <c r="H1" s="4" t="s">
        <v>36</v>
      </c>
      <c r="I1" s="3" t="s">
        <v>37</v>
      </c>
      <c r="J1" s="3" t="s">
        <v>38</v>
      </c>
      <c r="K1" s="3" t="s">
        <v>46</v>
      </c>
      <c r="L1" s="3" t="s">
        <v>56</v>
      </c>
      <c r="M1" s="3" t="s">
        <v>48</v>
      </c>
      <c r="N1" s="3" t="s">
        <v>57</v>
      </c>
      <c r="O1" s="3" t="s">
        <v>65</v>
      </c>
      <c r="P1" s="3" t="s">
        <v>15</v>
      </c>
      <c r="Q1" s="3" t="s">
        <v>16</v>
      </c>
      <c r="R1" s="3" t="s">
        <v>17</v>
      </c>
    </row>
    <row r="2" spans="1:18" hidden="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2034.81</v>
      </c>
      <c r="I2">
        <v>215.47</v>
      </c>
      <c r="J2">
        <v>4.07</v>
      </c>
      <c r="K2">
        <f t="shared" ref="K2:K9" si="0">H2-J2</f>
        <v>2030.74</v>
      </c>
      <c r="L2">
        <v>0.01</v>
      </c>
      <c r="M2">
        <f t="shared" ref="M2:M26" si="1">ROUND((K2-D2)/D2*365/(G2-E2)*100,2)</f>
        <v>6.23</v>
      </c>
      <c r="N2">
        <f t="shared" ref="N2:N26" si="2">K2+L2-D2</f>
        <v>30.75</v>
      </c>
      <c r="P2" s="1">
        <v>42183</v>
      </c>
      <c r="Q2">
        <v>74.84</v>
      </c>
      <c r="R2">
        <f t="shared" ref="R2:R33" si="3">ROUND(Q2*365/(P2-F2)/D2*100,2)</f>
        <v>6.27</v>
      </c>
    </row>
    <row r="3" spans="1:18" hidden="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2052.64</v>
      </c>
      <c r="I3">
        <v>197.64</v>
      </c>
      <c r="J3">
        <v>4.1100000000000003</v>
      </c>
      <c r="K3">
        <f t="shared" si="0"/>
        <v>2048.5299999999997</v>
      </c>
      <c r="L3">
        <v>0.01</v>
      </c>
      <c r="M3">
        <f t="shared" si="1"/>
        <v>9.84</v>
      </c>
      <c r="N3">
        <f t="shared" si="2"/>
        <v>48.539999999999964</v>
      </c>
      <c r="P3" s="1">
        <f t="shared" ref="P3:P54" si="4">P2</f>
        <v>42183</v>
      </c>
      <c r="Q3">
        <f>Q2</f>
        <v>74.84</v>
      </c>
      <c r="R3">
        <f t="shared" si="3"/>
        <v>6.27</v>
      </c>
    </row>
    <row r="4" spans="1:18" hidden="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2490.7199999999998</v>
      </c>
      <c r="I4">
        <v>239.82</v>
      </c>
      <c r="J4">
        <v>4.9800000000000004</v>
      </c>
      <c r="K4">
        <f t="shared" si="0"/>
        <v>2485.7399999999998</v>
      </c>
      <c r="L4">
        <v>0.01</v>
      </c>
      <c r="M4">
        <f t="shared" si="1"/>
        <v>9.84</v>
      </c>
      <c r="N4">
        <f t="shared" si="2"/>
        <v>58.900000000000091</v>
      </c>
      <c r="P4" s="1">
        <f t="shared" si="4"/>
        <v>42183</v>
      </c>
      <c r="Q4" s="3">
        <v>90.81</v>
      </c>
      <c r="R4">
        <f t="shared" si="3"/>
        <v>6.27</v>
      </c>
    </row>
    <row r="5" spans="1:18" hidden="1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f>1907.6</f>
        <v>1907.6</v>
      </c>
      <c r="I5">
        <v>192.52</v>
      </c>
      <c r="J5">
        <v>3.82</v>
      </c>
      <c r="K5">
        <f t="shared" si="0"/>
        <v>1903.78</v>
      </c>
      <c r="L5">
        <f>176.86</f>
        <v>176.86</v>
      </c>
      <c r="M5">
        <f t="shared" si="1"/>
        <v>-9.6</v>
      </c>
      <c r="N5">
        <f t="shared" si="2"/>
        <v>80.639999999999873</v>
      </c>
      <c r="O5" t="s">
        <v>92</v>
      </c>
      <c r="P5" s="1">
        <f t="shared" si="4"/>
        <v>42183</v>
      </c>
      <c r="Q5">
        <v>76.05</v>
      </c>
      <c r="R5">
        <f t="shared" si="3"/>
        <v>6.61</v>
      </c>
    </row>
    <row r="6" spans="1:18" hidden="1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1040.56</v>
      </c>
      <c r="I6">
        <v>98.42</v>
      </c>
      <c r="J6">
        <v>2.0699999999999998</v>
      </c>
      <c r="K6">
        <f t="shared" si="0"/>
        <v>1038.49</v>
      </c>
      <c r="L6">
        <v>0.02</v>
      </c>
      <c r="M6">
        <f t="shared" si="1"/>
        <v>28.67</v>
      </c>
      <c r="N6">
        <f t="shared" si="2"/>
        <v>38.509999999999991</v>
      </c>
      <c r="P6" s="1">
        <f t="shared" si="4"/>
        <v>42183</v>
      </c>
      <c r="Q6">
        <v>32.94</v>
      </c>
      <c r="R6">
        <f t="shared" si="3"/>
        <v>6.95</v>
      </c>
    </row>
    <row r="7" spans="1:18" hidden="1" x14ac:dyDescent="0.15">
      <c r="A7" t="s">
        <v>19</v>
      </c>
      <c r="B7">
        <v>365</v>
      </c>
      <c r="C7" t="s">
        <v>67</v>
      </c>
      <c r="D7">
        <v>1000</v>
      </c>
      <c r="E7" s="1">
        <v>42055</v>
      </c>
      <c r="F7" s="1">
        <v>42056</v>
      </c>
      <c r="G7" s="1">
        <v>42132</v>
      </c>
      <c r="H7">
        <v>980.51</v>
      </c>
      <c r="I7">
        <v>44.47</v>
      </c>
      <c r="J7">
        <v>1.94</v>
      </c>
      <c r="K7">
        <f t="shared" si="0"/>
        <v>978.56999999999994</v>
      </c>
      <c r="L7">
        <v>44.02</v>
      </c>
      <c r="M7">
        <f t="shared" si="1"/>
        <v>-10.16</v>
      </c>
      <c r="N7">
        <f t="shared" si="2"/>
        <v>22.589999999999918</v>
      </c>
      <c r="O7" t="s">
        <v>80</v>
      </c>
      <c r="P7" s="1">
        <f t="shared" si="4"/>
        <v>42183</v>
      </c>
      <c r="Q7">
        <v>23.71</v>
      </c>
      <c r="R7">
        <f t="shared" si="3"/>
        <v>6.81</v>
      </c>
    </row>
    <row r="8" spans="1:18" hidden="1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980.51</v>
      </c>
      <c r="I8">
        <v>44.48</v>
      </c>
      <c r="J8">
        <v>1.96</v>
      </c>
      <c r="K8">
        <f t="shared" si="0"/>
        <v>978.55</v>
      </c>
      <c r="L8">
        <v>44.01</v>
      </c>
      <c r="M8">
        <f t="shared" si="1"/>
        <v>-10.17</v>
      </c>
      <c r="N8">
        <f t="shared" si="2"/>
        <v>22.559999999999945</v>
      </c>
      <c r="O8" t="s">
        <v>80</v>
      </c>
      <c r="P8" s="1">
        <f t="shared" si="4"/>
        <v>42183</v>
      </c>
      <c r="Q8">
        <v>23.49</v>
      </c>
      <c r="R8">
        <f t="shared" si="3"/>
        <v>6.75</v>
      </c>
    </row>
    <row r="9" spans="1:18" hidden="1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f>3609.97</f>
        <v>3609.97</v>
      </c>
      <c r="I9">
        <v>690.29</v>
      </c>
      <c r="J9">
        <f>7.22</f>
        <v>7.22</v>
      </c>
      <c r="K9">
        <f t="shared" si="0"/>
        <v>3602.75</v>
      </c>
      <c r="L9">
        <v>586.17999999999995</v>
      </c>
      <c r="M9">
        <f t="shared" si="1"/>
        <v>-33.880000000000003</v>
      </c>
      <c r="N9">
        <f t="shared" si="2"/>
        <v>188.93000000000029</v>
      </c>
      <c r="O9" t="s">
        <v>80</v>
      </c>
      <c r="P9" s="1">
        <f t="shared" si="4"/>
        <v>42183</v>
      </c>
      <c r="Q9">
        <v>94.51</v>
      </c>
      <c r="R9">
        <f t="shared" si="3"/>
        <v>6.79</v>
      </c>
    </row>
    <row r="10" spans="1:18" hidden="1" x14ac:dyDescent="0.15">
      <c r="A10" t="s">
        <v>34</v>
      </c>
      <c r="B10">
        <v>365</v>
      </c>
      <c r="C10" t="s">
        <v>67</v>
      </c>
      <c r="D10">
        <v>2000</v>
      </c>
      <c r="E10" s="1">
        <v>42055</v>
      </c>
      <c r="F10" s="1">
        <v>42056</v>
      </c>
      <c r="G10" s="1">
        <v>42132</v>
      </c>
      <c r="H10">
        <v>1961.02</v>
      </c>
      <c r="I10">
        <v>88.95</v>
      </c>
      <c r="J10">
        <v>3.9</v>
      </c>
      <c r="K10">
        <f>H10-J10</f>
        <v>1957.12</v>
      </c>
      <c r="L10">
        <v>88.03</v>
      </c>
      <c r="M10">
        <f t="shared" si="1"/>
        <v>-10.16</v>
      </c>
      <c r="N10">
        <f t="shared" si="2"/>
        <v>45.149999999999864</v>
      </c>
      <c r="O10" t="s">
        <v>80</v>
      </c>
      <c r="P10" s="1">
        <f t="shared" si="4"/>
        <v>42183</v>
      </c>
      <c r="Q10">
        <v>47.43</v>
      </c>
      <c r="R10">
        <f t="shared" si="3"/>
        <v>6.82</v>
      </c>
    </row>
    <row r="11" spans="1:18" hidden="1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980</v>
      </c>
      <c r="I11">
        <v>44.99</v>
      </c>
      <c r="J11">
        <v>1.96</v>
      </c>
      <c r="K11">
        <f>H11-J11</f>
        <v>978.04</v>
      </c>
      <c r="L11">
        <v>44.01</v>
      </c>
      <c r="M11">
        <f t="shared" si="1"/>
        <v>-10.98</v>
      </c>
      <c r="N11">
        <f t="shared" si="2"/>
        <v>22.049999999999955</v>
      </c>
      <c r="O11" t="s">
        <v>80</v>
      </c>
      <c r="P11" s="1">
        <f t="shared" si="4"/>
        <v>42183</v>
      </c>
      <c r="Q11" s="5">
        <v>22.74</v>
      </c>
      <c r="R11">
        <f t="shared" si="3"/>
        <v>6.75</v>
      </c>
    </row>
    <row r="12" spans="1:18" hidden="1" x14ac:dyDescent="0.15">
      <c r="A12" t="s">
        <v>39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f>2705.28</f>
        <v>2705.28</v>
      </c>
      <c r="I12">
        <f>519.89</f>
        <v>519.89</v>
      </c>
      <c r="J12">
        <v>5.39</v>
      </c>
      <c r="K12">
        <f>H12-J12</f>
        <v>2699.8900000000003</v>
      </c>
      <c r="L12">
        <f>439.66</f>
        <v>439.66</v>
      </c>
      <c r="M12">
        <f t="shared" si="1"/>
        <v>-35.799999999999997</v>
      </c>
      <c r="N12">
        <f t="shared" si="2"/>
        <v>139.55000000000018</v>
      </c>
      <c r="O12" t="s">
        <v>80</v>
      </c>
      <c r="P12" s="1">
        <f t="shared" si="4"/>
        <v>42183</v>
      </c>
      <c r="Q12" s="5">
        <v>67.66</v>
      </c>
      <c r="R12">
        <f t="shared" si="3"/>
        <v>6.75</v>
      </c>
    </row>
    <row r="13" spans="1:18" hidden="1" x14ac:dyDescent="0.15">
      <c r="A13" t="s">
        <v>40</v>
      </c>
      <c r="B13">
        <v>1096</v>
      </c>
      <c r="C13" t="s">
        <v>67</v>
      </c>
      <c r="D13">
        <v>2000</v>
      </c>
      <c r="E13" s="1">
        <v>42060</v>
      </c>
      <c r="F13" s="1">
        <v>42061</v>
      </c>
      <c r="G13" s="1">
        <v>42162</v>
      </c>
      <c r="H13">
        <v>1803.52</v>
      </c>
      <c r="I13">
        <v>346.6</v>
      </c>
      <c r="J13">
        <v>3.61</v>
      </c>
      <c r="K13">
        <f>H13-J13</f>
        <v>1799.91</v>
      </c>
      <c r="L13">
        <f>293.1</f>
        <v>293.10000000000002</v>
      </c>
      <c r="M13">
        <f t="shared" si="1"/>
        <v>-35.799999999999997</v>
      </c>
      <c r="N13">
        <f t="shared" si="2"/>
        <v>93.010000000000218</v>
      </c>
      <c r="O13" t="s">
        <v>80</v>
      </c>
      <c r="P13" s="1">
        <f t="shared" si="4"/>
        <v>42183</v>
      </c>
      <c r="Q13">
        <v>45.54</v>
      </c>
      <c r="R13">
        <f t="shared" si="3"/>
        <v>6.81</v>
      </c>
    </row>
    <row r="14" spans="1:18" hidden="1" x14ac:dyDescent="0.15">
      <c r="A14" t="s">
        <v>64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f>3899.22</f>
        <v>3899.22</v>
      </c>
      <c r="I14">
        <f>200.77</f>
        <v>200.77</v>
      </c>
      <c r="J14">
        <v>7.79</v>
      </c>
      <c r="K14">
        <f t="shared" ref="K14:K26" si="5">H14-J14</f>
        <v>3891.43</v>
      </c>
      <c r="L14">
        <v>178.41</v>
      </c>
      <c r="M14">
        <f t="shared" si="1"/>
        <v>-26.07</v>
      </c>
      <c r="N14">
        <f t="shared" si="2"/>
        <v>69.839999999999691</v>
      </c>
      <c r="O14" t="s">
        <v>91</v>
      </c>
      <c r="P14" s="1">
        <f t="shared" si="4"/>
        <v>42183</v>
      </c>
      <c r="Q14">
        <v>65.41</v>
      </c>
      <c r="R14">
        <f t="shared" si="3"/>
        <v>6.78</v>
      </c>
    </row>
    <row r="15" spans="1:18" hidden="1" x14ac:dyDescent="0.15">
      <c r="A15" t="s">
        <v>41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f>3898.89</f>
        <v>3898.89</v>
      </c>
      <c r="I15">
        <f>201.37</f>
        <v>201.37</v>
      </c>
      <c r="J15">
        <v>7.8</v>
      </c>
      <c r="K15">
        <f t="shared" si="5"/>
        <v>3891.0899999999997</v>
      </c>
      <c r="L15">
        <v>178.14</v>
      </c>
      <c r="M15">
        <f t="shared" si="1"/>
        <v>-26.15</v>
      </c>
      <c r="N15">
        <f t="shared" si="2"/>
        <v>69.229999999999563</v>
      </c>
      <c r="O15" t="s">
        <v>91</v>
      </c>
      <c r="P15" s="1">
        <f t="shared" si="4"/>
        <v>42183</v>
      </c>
      <c r="Q15">
        <f>Q14</f>
        <v>65.41</v>
      </c>
      <c r="R15">
        <f t="shared" si="3"/>
        <v>6.78</v>
      </c>
    </row>
    <row r="16" spans="1:18" hidden="1" x14ac:dyDescent="0.15">
      <c r="A16" t="s">
        <v>23</v>
      </c>
      <c r="B16">
        <v>1096</v>
      </c>
      <c r="C16" t="s">
        <v>68</v>
      </c>
      <c r="D16">
        <v>10000</v>
      </c>
      <c r="E16" s="1">
        <v>42132</v>
      </c>
      <c r="F16" s="1">
        <v>42133</v>
      </c>
      <c r="G16" s="1">
        <v>42144</v>
      </c>
      <c r="H16" s="2">
        <f>10240.28</f>
        <v>10240.280000000001</v>
      </c>
      <c r="I16">
        <v>2027.32</v>
      </c>
      <c r="J16">
        <v>20.48</v>
      </c>
      <c r="K16">
        <f t="shared" si="5"/>
        <v>10219.800000000001</v>
      </c>
      <c r="L16">
        <v>0.01</v>
      </c>
      <c r="M16">
        <f t="shared" si="1"/>
        <v>66.86</v>
      </c>
      <c r="N16">
        <f t="shared" si="2"/>
        <v>219.81000000000131</v>
      </c>
      <c r="O16" t="s">
        <v>81</v>
      </c>
      <c r="P16" s="1">
        <f t="shared" si="4"/>
        <v>42183</v>
      </c>
      <c r="Q16">
        <v>95.8</v>
      </c>
      <c r="R16">
        <f t="shared" si="3"/>
        <v>6.99</v>
      </c>
    </row>
    <row r="17" spans="1:18" hidden="1" x14ac:dyDescent="0.15">
      <c r="A17" t="s">
        <v>42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 s="2">
        <f>2034.82</f>
        <v>2034.82</v>
      </c>
      <c r="I17">
        <f>106.15</f>
        <v>106.15</v>
      </c>
      <c r="J17">
        <v>4.0599999999999996</v>
      </c>
      <c r="K17">
        <f t="shared" si="5"/>
        <v>2030.76</v>
      </c>
      <c r="L17">
        <v>0.03</v>
      </c>
      <c r="M17">
        <f t="shared" si="1"/>
        <v>51.03</v>
      </c>
      <c r="N17">
        <f t="shared" si="2"/>
        <v>30.789999999999964</v>
      </c>
      <c r="O17" t="s">
        <v>81</v>
      </c>
      <c r="P17" s="1">
        <f t="shared" si="4"/>
        <v>42183</v>
      </c>
      <c r="Q17">
        <v>18.75</v>
      </c>
      <c r="R17">
        <f t="shared" si="3"/>
        <v>6.84</v>
      </c>
    </row>
    <row r="18" spans="1:18" hidden="1" x14ac:dyDescent="0.15">
      <c r="A18" t="s">
        <v>42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 s="2">
        <f>5087.05</f>
        <v>5087.05</v>
      </c>
      <c r="I18">
        <f>265.43</f>
        <v>265.43</v>
      </c>
      <c r="J18">
        <v>10.14</v>
      </c>
      <c r="K18">
        <f t="shared" si="5"/>
        <v>5076.91</v>
      </c>
      <c r="L18">
        <v>0.02</v>
      </c>
      <c r="M18">
        <f t="shared" si="1"/>
        <v>51.04</v>
      </c>
      <c r="N18">
        <f t="shared" si="2"/>
        <v>76.930000000000291</v>
      </c>
      <c r="O18" t="s">
        <v>81</v>
      </c>
      <c r="P18" s="1">
        <f t="shared" si="4"/>
        <v>42183</v>
      </c>
      <c r="Q18">
        <v>46.88</v>
      </c>
      <c r="R18">
        <f t="shared" si="3"/>
        <v>6.84</v>
      </c>
    </row>
    <row r="19" spans="1:18" hidden="1" x14ac:dyDescent="0.15">
      <c r="A19" t="s">
        <v>42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 s="2">
        <f>7121.87</f>
        <v>7121.87</v>
      </c>
      <c r="I19">
        <f>371.62</f>
        <v>371.62</v>
      </c>
      <c r="J19">
        <v>14.24</v>
      </c>
      <c r="K19">
        <f t="shared" si="5"/>
        <v>7107.63</v>
      </c>
      <c r="L19">
        <v>0.01</v>
      </c>
      <c r="M19">
        <f t="shared" si="1"/>
        <v>51.02</v>
      </c>
      <c r="N19">
        <f t="shared" si="2"/>
        <v>107.64000000000033</v>
      </c>
      <c r="O19" t="s">
        <v>81</v>
      </c>
      <c r="P19" s="1">
        <f t="shared" si="4"/>
        <v>42183</v>
      </c>
      <c r="Q19">
        <v>65.63</v>
      </c>
      <c r="R19">
        <f t="shared" si="3"/>
        <v>6.84</v>
      </c>
    </row>
    <row r="20" spans="1:18" hidden="1" x14ac:dyDescent="0.15">
      <c r="A20" t="s">
        <v>43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 s="2">
        <f>10173.4</f>
        <v>10173.4</v>
      </c>
      <c r="I20">
        <f>543.75</f>
        <v>543.75</v>
      </c>
      <c r="J20">
        <f>20.35</f>
        <v>20.350000000000001</v>
      </c>
      <c r="K20">
        <f t="shared" si="5"/>
        <v>10153.049999999999</v>
      </c>
      <c r="L20">
        <v>0.01</v>
      </c>
      <c r="M20">
        <f t="shared" si="1"/>
        <v>50.78</v>
      </c>
      <c r="N20">
        <f t="shared" si="2"/>
        <v>153.05999999999949</v>
      </c>
      <c r="O20" t="s">
        <v>88</v>
      </c>
      <c r="P20" s="1">
        <f t="shared" si="4"/>
        <v>42183</v>
      </c>
      <c r="Q20">
        <v>74.06</v>
      </c>
      <c r="R20">
        <f t="shared" si="3"/>
        <v>6.93</v>
      </c>
    </row>
    <row r="21" spans="1:18" hidden="1" x14ac:dyDescent="0.15">
      <c r="A21" t="s">
        <v>45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 s="2">
        <v>10177.17</v>
      </c>
      <c r="I21">
        <v>539.91</v>
      </c>
      <c r="J21">
        <v>20.23</v>
      </c>
      <c r="K21">
        <f t="shared" si="5"/>
        <v>10156.94</v>
      </c>
      <c r="L21">
        <v>0.08</v>
      </c>
      <c r="M21">
        <f t="shared" si="1"/>
        <v>52.08</v>
      </c>
      <c r="N21">
        <f t="shared" si="2"/>
        <v>157.02000000000044</v>
      </c>
      <c r="O21" t="s">
        <v>88</v>
      </c>
      <c r="P21" s="1">
        <f t="shared" si="4"/>
        <v>42183</v>
      </c>
      <c r="Q21">
        <v>72.150000000000006</v>
      </c>
      <c r="R21">
        <f t="shared" si="3"/>
        <v>6.93</v>
      </c>
    </row>
    <row r="22" spans="1:18" hidden="1" x14ac:dyDescent="0.15">
      <c r="A22" t="s">
        <v>69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 s="2">
        <f>12184.19</f>
        <v>12184.19</v>
      </c>
      <c r="I22">
        <f>673.79</f>
        <v>673.79</v>
      </c>
      <c r="J22">
        <f>24.36</f>
        <v>24.36</v>
      </c>
      <c r="K22">
        <f t="shared" si="5"/>
        <v>12159.83</v>
      </c>
      <c r="L22">
        <v>0.02</v>
      </c>
      <c r="M22">
        <f t="shared" si="1"/>
        <v>44.2</v>
      </c>
      <c r="N22">
        <f t="shared" si="2"/>
        <v>159.85000000000036</v>
      </c>
      <c r="O22" t="s">
        <v>81</v>
      </c>
      <c r="P22" s="1">
        <f t="shared" si="4"/>
        <v>42183</v>
      </c>
      <c r="Q22">
        <v>63.77</v>
      </c>
      <c r="R22">
        <f t="shared" si="3"/>
        <v>6.93</v>
      </c>
    </row>
    <row r="23" spans="1:18" hidden="1" x14ac:dyDescent="0.15">
      <c r="A23" t="s">
        <v>69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 s="2">
        <f>5988+4990+2186.04</f>
        <v>13164.04</v>
      </c>
      <c r="I23">
        <f>339.41+278.15+121.51</f>
        <v>739.06999999999994</v>
      </c>
      <c r="J23">
        <f>12+9.99+4.38</f>
        <v>26.37</v>
      </c>
      <c r="K23">
        <f t="shared" si="5"/>
        <v>13137.67</v>
      </c>
      <c r="L23">
        <v>0.01</v>
      </c>
      <c r="M23">
        <f t="shared" si="1"/>
        <v>29.73</v>
      </c>
      <c r="N23">
        <f t="shared" si="2"/>
        <v>137.68000000000029</v>
      </c>
      <c r="O23" t="s">
        <v>81</v>
      </c>
      <c r="P23" s="1">
        <f t="shared" si="4"/>
        <v>42183</v>
      </c>
      <c r="Q23">
        <v>66.599999999999994</v>
      </c>
      <c r="R23">
        <f t="shared" si="3"/>
        <v>6.93</v>
      </c>
    </row>
    <row r="24" spans="1:18" x14ac:dyDescent="0.15">
      <c r="A24" s="5" t="s">
        <v>58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7">
        <v>42173</v>
      </c>
      <c r="H24" s="2">
        <f>8100.34</f>
        <v>8100.34</v>
      </c>
      <c r="I24">
        <f>472.45</f>
        <v>472.45</v>
      </c>
      <c r="J24">
        <v>16.2</v>
      </c>
      <c r="K24">
        <f t="shared" si="5"/>
        <v>8084.14</v>
      </c>
      <c r="L24">
        <v>0.01</v>
      </c>
      <c r="M24">
        <f t="shared" si="1"/>
        <v>34.9</v>
      </c>
      <c r="N24">
        <f t="shared" si="2"/>
        <v>84.150000000000546</v>
      </c>
      <c r="O24" t="s">
        <v>93</v>
      </c>
      <c r="P24" s="1">
        <f t="shared" si="4"/>
        <v>42183</v>
      </c>
      <c r="Q24">
        <v>31.77</v>
      </c>
      <c r="R24">
        <f t="shared" si="3"/>
        <v>7.25</v>
      </c>
    </row>
    <row r="25" spans="1:18" hidden="1" x14ac:dyDescent="0.15">
      <c r="A25" s="5" t="s">
        <v>86</v>
      </c>
      <c r="B25">
        <v>366</v>
      </c>
      <c r="C25" t="s">
        <v>84</v>
      </c>
      <c r="D25">
        <v>20000</v>
      </c>
      <c r="E25" s="1">
        <v>42164</v>
      </c>
      <c r="F25" s="1">
        <v>42165</v>
      </c>
      <c r="G25" s="7">
        <v>42175</v>
      </c>
      <c r="H25" s="2">
        <f>15000+5267.89</f>
        <v>20267.89</v>
      </c>
      <c r="I25">
        <f>874.85+307.25</f>
        <v>1182.0999999999999</v>
      </c>
      <c r="J25">
        <f>29.99+10.54</f>
        <v>40.53</v>
      </c>
      <c r="K25">
        <f t="shared" si="5"/>
        <v>20227.36</v>
      </c>
      <c r="L25">
        <v>0.01</v>
      </c>
      <c r="M25">
        <f t="shared" si="1"/>
        <v>37.72</v>
      </c>
      <c r="N25">
        <f t="shared" si="2"/>
        <v>227.36999999999898</v>
      </c>
      <c r="O25" t="s">
        <v>87</v>
      </c>
      <c r="P25" s="1">
        <f t="shared" si="4"/>
        <v>42183</v>
      </c>
      <c r="Q25">
        <v>70.23</v>
      </c>
      <c r="R25">
        <f t="shared" si="3"/>
        <v>7.12</v>
      </c>
    </row>
    <row r="26" spans="1:18" hidden="1" x14ac:dyDescent="0.15">
      <c r="A26" s="5" t="s">
        <v>86</v>
      </c>
      <c r="B26">
        <v>366</v>
      </c>
      <c r="C26" t="s">
        <v>84</v>
      </c>
      <c r="D26">
        <v>12000</v>
      </c>
      <c r="E26" s="1">
        <v>42165</v>
      </c>
      <c r="F26" s="1">
        <v>42166</v>
      </c>
      <c r="G26" s="7">
        <v>42177</v>
      </c>
      <c r="H26" s="2">
        <f>6000+1000+5164.96</f>
        <v>12164.96</v>
      </c>
      <c r="I26">
        <f>348.78+57.86+298.36</f>
        <v>705</v>
      </c>
      <c r="J26">
        <f>12+2+10.32</f>
        <v>24.32</v>
      </c>
      <c r="K26">
        <f t="shared" si="5"/>
        <v>12140.64</v>
      </c>
      <c r="L26">
        <v>0.04</v>
      </c>
      <c r="M26">
        <f t="shared" si="1"/>
        <v>35.65</v>
      </c>
      <c r="N26">
        <f t="shared" si="2"/>
        <v>140.68000000000029</v>
      </c>
      <c r="O26" t="s">
        <v>87</v>
      </c>
      <c r="P26" s="1">
        <f>P27</f>
        <v>42183</v>
      </c>
      <c r="Q26">
        <v>39.79</v>
      </c>
      <c r="R26">
        <f t="shared" si="3"/>
        <v>7.12</v>
      </c>
    </row>
    <row r="27" spans="1:18" hidden="1" x14ac:dyDescent="0.15">
      <c r="A27" t="s">
        <v>59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 s="2">
        <f>4539.49</f>
        <v>4539.49</v>
      </c>
      <c r="I27">
        <f>460.5</f>
        <v>460.5</v>
      </c>
      <c r="J27">
        <v>9.08</v>
      </c>
      <c r="K27">
        <f t="shared" ref="K27:K35" si="6">H27-J27</f>
        <v>4530.41</v>
      </c>
      <c r="P27" s="1">
        <f>P25</f>
        <v>42183</v>
      </c>
      <c r="Q27">
        <v>0</v>
      </c>
      <c r="R27">
        <f t="shared" si="3"/>
        <v>0</v>
      </c>
    </row>
    <row r="28" spans="1:18" hidden="1" x14ac:dyDescent="0.15">
      <c r="A28" s="5" t="s">
        <v>86</v>
      </c>
      <c r="B28">
        <v>366</v>
      </c>
      <c r="C28" t="s">
        <v>84</v>
      </c>
      <c r="D28">
        <v>5000</v>
      </c>
      <c r="E28" s="1">
        <v>42165</v>
      </c>
      <c r="F28" s="1">
        <v>42166</v>
      </c>
      <c r="G28" s="7">
        <v>42179</v>
      </c>
      <c r="H28" s="2">
        <f>5067.93</f>
        <v>5067.93</v>
      </c>
      <c r="I28">
        <f>294.56</f>
        <v>294.56</v>
      </c>
      <c r="J28">
        <v>10.130000000000001</v>
      </c>
      <c r="K28">
        <f t="shared" si="6"/>
        <v>5057.8</v>
      </c>
      <c r="L28">
        <v>0.01</v>
      </c>
      <c r="M28">
        <f t="shared" ref="M28:M39" si="7">ROUND((K28-D28)/D28*365/(G28-E28)*100,2)</f>
        <v>30.14</v>
      </c>
      <c r="N28">
        <f t="shared" ref="N28:N39" si="8">K28+L28-D28</f>
        <v>57.8100000000004</v>
      </c>
      <c r="O28" t="s">
        <v>87</v>
      </c>
      <c r="P28" s="1">
        <f>P26</f>
        <v>42183</v>
      </c>
      <c r="Q28">
        <v>16.579999999999998</v>
      </c>
      <c r="R28">
        <f t="shared" si="3"/>
        <v>7.12</v>
      </c>
    </row>
    <row r="29" spans="1:18" hidden="1" x14ac:dyDescent="0.15">
      <c r="A29" s="5" t="s">
        <v>86</v>
      </c>
      <c r="B29">
        <v>366</v>
      </c>
      <c r="C29" t="s">
        <v>84</v>
      </c>
      <c r="D29">
        <v>6000</v>
      </c>
      <c r="E29" s="1">
        <v>42166</v>
      </c>
      <c r="F29" s="1">
        <v>42167</v>
      </c>
      <c r="G29" s="7">
        <v>42178</v>
      </c>
      <c r="H29" s="2">
        <f>1000+5082.45</f>
        <v>6082.45</v>
      </c>
      <c r="I29">
        <f>57.86+294.61</f>
        <v>352.47</v>
      </c>
      <c r="J29">
        <v>12.16</v>
      </c>
      <c r="K29">
        <f t="shared" si="6"/>
        <v>6070.29</v>
      </c>
      <c r="L29">
        <v>0.01</v>
      </c>
      <c r="M29">
        <f t="shared" si="7"/>
        <v>35.630000000000003</v>
      </c>
      <c r="N29">
        <f t="shared" si="8"/>
        <v>70.300000000000182</v>
      </c>
      <c r="O29" t="s">
        <v>87</v>
      </c>
      <c r="P29" s="1">
        <f t="shared" si="4"/>
        <v>42183</v>
      </c>
      <c r="Q29">
        <v>18.73</v>
      </c>
      <c r="R29">
        <f t="shared" si="3"/>
        <v>7.12</v>
      </c>
    </row>
    <row r="30" spans="1:18" x14ac:dyDescent="0.15">
      <c r="A30" s="5" t="s">
        <v>60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7">
        <v>42181</v>
      </c>
      <c r="H30" s="2">
        <f>5067.38</f>
        <v>5067.38</v>
      </c>
      <c r="I30">
        <f>290.61</f>
        <v>290.61</v>
      </c>
      <c r="J30">
        <f>10.13</f>
        <v>10.130000000000001</v>
      </c>
      <c r="K30">
        <f t="shared" si="6"/>
        <v>5057.25</v>
      </c>
      <c r="L30">
        <v>0.01</v>
      </c>
      <c r="M30">
        <f t="shared" si="7"/>
        <v>29.85</v>
      </c>
      <c r="N30">
        <f t="shared" si="8"/>
        <v>57.260000000000218</v>
      </c>
      <c r="O30" t="s">
        <v>93</v>
      </c>
      <c r="P30" s="1">
        <f t="shared" si="4"/>
        <v>42183</v>
      </c>
      <c r="Q30">
        <v>15.05</v>
      </c>
      <c r="R30">
        <f t="shared" si="3"/>
        <v>7.32</v>
      </c>
    </row>
    <row r="31" spans="1:18" hidden="1" x14ac:dyDescent="0.15">
      <c r="A31" s="5" t="s">
        <v>86</v>
      </c>
      <c r="B31">
        <v>366</v>
      </c>
      <c r="C31" t="s">
        <v>85</v>
      </c>
      <c r="D31">
        <v>5000</v>
      </c>
      <c r="E31" s="1">
        <v>42169</v>
      </c>
      <c r="F31" s="1">
        <v>42170</v>
      </c>
      <c r="G31" s="7">
        <v>42180</v>
      </c>
      <c r="H31" s="2">
        <f>5068.88</f>
        <v>5068.88</v>
      </c>
      <c r="I31">
        <v>298.60000000000002</v>
      </c>
      <c r="J31">
        <v>10.130000000000001</v>
      </c>
      <c r="K31">
        <f t="shared" si="6"/>
        <v>5058.75</v>
      </c>
      <c r="L31">
        <v>0.02</v>
      </c>
      <c r="M31">
        <f t="shared" si="7"/>
        <v>38.99</v>
      </c>
      <c r="N31">
        <f t="shared" si="8"/>
        <v>58.770000000000437</v>
      </c>
      <c r="O31" t="s">
        <v>87</v>
      </c>
      <c r="P31" s="1">
        <f t="shared" si="4"/>
        <v>42183</v>
      </c>
      <c r="Q31">
        <v>12.68</v>
      </c>
      <c r="R31">
        <f t="shared" si="3"/>
        <v>7.12</v>
      </c>
    </row>
    <row r="32" spans="1:18" hidden="1" x14ac:dyDescent="0.15">
      <c r="A32" s="5" t="s">
        <v>19</v>
      </c>
      <c r="B32">
        <v>366</v>
      </c>
      <c r="C32" t="s">
        <v>76</v>
      </c>
      <c r="D32">
        <v>5000</v>
      </c>
      <c r="E32" s="1">
        <v>42170</v>
      </c>
      <c r="F32" s="1">
        <v>42171</v>
      </c>
      <c r="G32" s="7">
        <v>42182</v>
      </c>
      <c r="H32" s="2">
        <f>5085.64</f>
        <v>5085.6400000000003</v>
      </c>
      <c r="I32">
        <f>289.35</f>
        <v>289.35000000000002</v>
      </c>
      <c r="J32">
        <v>10.17</v>
      </c>
      <c r="K32">
        <f t="shared" si="6"/>
        <v>5075.47</v>
      </c>
      <c r="L32">
        <v>0.01</v>
      </c>
      <c r="M32">
        <f t="shared" si="7"/>
        <v>45.91</v>
      </c>
      <c r="N32">
        <f t="shared" si="8"/>
        <v>75.480000000000473</v>
      </c>
      <c r="O32" t="s">
        <v>79</v>
      </c>
      <c r="P32" s="1">
        <f t="shared" si="4"/>
        <v>42183</v>
      </c>
      <c r="Q32">
        <v>12.93</v>
      </c>
      <c r="R32">
        <f t="shared" si="3"/>
        <v>7.87</v>
      </c>
    </row>
    <row r="33" spans="1:18" hidden="1" x14ac:dyDescent="0.15">
      <c r="A33" s="5" t="s">
        <v>19</v>
      </c>
      <c r="B33">
        <v>366</v>
      </c>
      <c r="C33" t="s">
        <v>76</v>
      </c>
      <c r="D33">
        <v>5000</v>
      </c>
      <c r="E33" s="1">
        <v>42170</v>
      </c>
      <c r="F33" s="1">
        <v>42171</v>
      </c>
      <c r="G33" s="7">
        <v>42183</v>
      </c>
      <c r="H33" s="2">
        <f>5087.81</f>
        <v>5087.8100000000004</v>
      </c>
      <c r="I33">
        <f>287.17</f>
        <v>287.17</v>
      </c>
      <c r="J33">
        <v>10.17</v>
      </c>
      <c r="K33">
        <f t="shared" si="6"/>
        <v>5077.6400000000003</v>
      </c>
      <c r="L33">
        <v>0.02</v>
      </c>
      <c r="M33">
        <f t="shared" si="7"/>
        <v>43.6</v>
      </c>
      <c r="N33">
        <f t="shared" si="8"/>
        <v>77.660000000000764</v>
      </c>
      <c r="O33" t="s">
        <v>79</v>
      </c>
      <c r="P33" s="1">
        <f t="shared" si="4"/>
        <v>42183</v>
      </c>
      <c r="Q33">
        <f>Q32</f>
        <v>12.93</v>
      </c>
      <c r="R33">
        <f t="shared" si="3"/>
        <v>7.87</v>
      </c>
    </row>
    <row r="34" spans="1:18" hidden="1" x14ac:dyDescent="0.15">
      <c r="A34" s="5" t="s">
        <v>62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7">
        <f t="shared" ref="G34:G39" si="9">E34+11</f>
        <v>42184</v>
      </c>
      <c r="H34" s="2">
        <f>8138.8</f>
        <v>8138.8</v>
      </c>
      <c r="I34">
        <f>461.98</f>
        <v>461.98</v>
      </c>
      <c r="J34">
        <v>16.27</v>
      </c>
      <c r="K34">
        <f t="shared" si="6"/>
        <v>8122.53</v>
      </c>
      <c r="L34">
        <v>0.02</v>
      </c>
      <c r="M34">
        <f t="shared" si="7"/>
        <v>50.82</v>
      </c>
      <c r="N34">
        <f t="shared" si="8"/>
        <v>122.55000000000018</v>
      </c>
      <c r="O34" t="s">
        <v>89</v>
      </c>
      <c r="P34" s="1">
        <f t="shared" si="4"/>
        <v>42183</v>
      </c>
      <c r="Q34">
        <v>14.3</v>
      </c>
      <c r="R34">
        <f t="shared" ref="R34:R54" si="10">ROUND(Q34*365/(P34-F34)/D34*100,2)</f>
        <v>7.25</v>
      </c>
    </row>
    <row r="35" spans="1:18" hidden="1" x14ac:dyDescent="0.15">
      <c r="A35" s="5" t="s">
        <v>63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7">
        <f t="shared" si="9"/>
        <v>42185</v>
      </c>
      <c r="H35" s="2">
        <f>4065.64</f>
        <v>4065.64</v>
      </c>
      <c r="I35">
        <f>234.75</f>
        <v>234.75</v>
      </c>
      <c r="J35">
        <v>8.1199999999999992</v>
      </c>
      <c r="K35">
        <f t="shared" si="6"/>
        <v>4057.52</v>
      </c>
      <c r="L35">
        <v>0.01</v>
      </c>
      <c r="M35">
        <f t="shared" si="7"/>
        <v>47.72</v>
      </c>
      <c r="N35">
        <f t="shared" si="8"/>
        <v>57.5300000000002</v>
      </c>
      <c r="O35" t="s">
        <v>89</v>
      </c>
      <c r="P35" s="1">
        <f t="shared" si="4"/>
        <v>42183</v>
      </c>
      <c r="Q35">
        <v>6.35</v>
      </c>
      <c r="R35">
        <f t="shared" si="10"/>
        <v>7.24</v>
      </c>
    </row>
    <row r="36" spans="1:18" hidden="1" x14ac:dyDescent="0.15">
      <c r="A36" s="5" t="s">
        <v>19</v>
      </c>
      <c r="B36">
        <v>366</v>
      </c>
      <c r="C36" t="s">
        <v>77</v>
      </c>
      <c r="D36">
        <v>10000</v>
      </c>
      <c r="E36" s="1">
        <v>42175</v>
      </c>
      <c r="F36" s="1">
        <v>42176</v>
      </c>
      <c r="G36" s="7">
        <f t="shared" si="9"/>
        <v>42186</v>
      </c>
      <c r="H36" s="2">
        <v>10179.19</v>
      </c>
      <c r="I36">
        <v>580.78</v>
      </c>
      <c r="J36">
        <v>20.350000000000001</v>
      </c>
      <c r="K36">
        <f t="shared" ref="K36:K37" si="11">H36-J36</f>
        <v>10158.84</v>
      </c>
      <c r="L36">
        <v>0.03</v>
      </c>
      <c r="M36">
        <f t="shared" si="7"/>
        <v>52.71</v>
      </c>
      <c r="N36">
        <f t="shared" si="8"/>
        <v>158.8700000000008</v>
      </c>
      <c r="O36" t="s">
        <v>79</v>
      </c>
      <c r="P36" s="1">
        <f t="shared" si="4"/>
        <v>42183</v>
      </c>
      <c r="Q36">
        <v>16.11</v>
      </c>
      <c r="R36">
        <f t="shared" si="10"/>
        <v>8.4</v>
      </c>
    </row>
    <row r="37" spans="1:18" hidden="1" x14ac:dyDescent="0.15">
      <c r="A37" s="5" t="s">
        <v>19</v>
      </c>
      <c r="B37">
        <v>366</v>
      </c>
      <c r="C37" t="s">
        <v>77</v>
      </c>
      <c r="D37">
        <v>6000</v>
      </c>
      <c r="E37" s="1">
        <v>42176</v>
      </c>
      <c r="F37" s="1">
        <f t="shared" ref="F37:F43" si="12">E37+1</f>
        <v>42177</v>
      </c>
      <c r="G37" s="7">
        <f t="shared" si="9"/>
        <v>42187</v>
      </c>
      <c r="H37" s="2">
        <f>6121.07</f>
        <v>6121.07</v>
      </c>
      <c r="I37">
        <f>334.92</f>
        <v>334.92</v>
      </c>
      <c r="J37">
        <v>12.24</v>
      </c>
      <c r="K37">
        <f t="shared" si="11"/>
        <v>6108.83</v>
      </c>
      <c r="L37">
        <v>0.01</v>
      </c>
      <c r="M37">
        <f t="shared" si="7"/>
        <v>60.19</v>
      </c>
      <c r="N37">
        <f t="shared" si="8"/>
        <v>108.84000000000015</v>
      </c>
      <c r="O37" t="s">
        <v>79</v>
      </c>
      <c r="P37" s="1">
        <f t="shared" si="4"/>
        <v>42183</v>
      </c>
      <c r="Q37">
        <v>8.4600000000000009</v>
      </c>
      <c r="R37">
        <f t="shared" si="10"/>
        <v>8.58</v>
      </c>
    </row>
    <row r="38" spans="1:18" hidden="1" x14ac:dyDescent="0.15">
      <c r="A38" s="5" t="s">
        <v>19</v>
      </c>
      <c r="B38">
        <v>366</v>
      </c>
      <c r="C38" t="s">
        <v>77</v>
      </c>
      <c r="D38">
        <v>7000</v>
      </c>
      <c r="E38" s="1">
        <v>42177</v>
      </c>
      <c r="F38" s="1">
        <f t="shared" si="12"/>
        <v>42178</v>
      </c>
      <c r="G38" s="7">
        <f t="shared" si="9"/>
        <v>42188</v>
      </c>
      <c r="H38" s="2">
        <f>7141.25</f>
        <v>7141.25</v>
      </c>
      <c r="I38">
        <v>390.71</v>
      </c>
      <c r="J38">
        <f>14.23</f>
        <v>14.23</v>
      </c>
      <c r="K38">
        <f t="shared" ref="K38" si="13">H38-J38</f>
        <v>7127.02</v>
      </c>
      <c r="L38">
        <v>0.04</v>
      </c>
      <c r="M38">
        <f t="shared" si="7"/>
        <v>60.21</v>
      </c>
      <c r="N38">
        <f t="shared" si="8"/>
        <v>127.0600000000004</v>
      </c>
      <c r="O38" t="s">
        <v>79</v>
      </c>
      <c r="P38" s="1">
        <f t="shared" si="4"/>
        <v>42183</v>
      </c>
      <c r="Q38">
        <v>8.4600000000000009</v>
      </c>
      <c r="R38">
        <f t="shared" si="10"/>
        <v>8.82</v>
      </c>
    </row>
    <row r="39" spans="1:18" hidden="1" x14ac:dyDescent="0.15">
      <c r="A39" s="5" t="s">
        <v>19</v>
      </c>
      <c r="B39">
        <v>366</v>
      </c>
      <c r="C39" t="s">
        <v>77</v>
      </c>
      <c r="D39">
        <v>5000</v>
      </c>
      <c r="E39" s="1">
        <v>42178</v>
      </c>
      <c r="F39" s="1">
        <f t="shared" si="12"/>
        <v>42179</v>
      </c>
      <c r="G39" s="7">
        <f t="shared" si="9"/>
        <v>42189</v>
      </c>
      <c r="H39" s="2">
        <f>5106.08</f>
        <v>5106.08</v>
      </c>
      <c r="I39">
        <f>273.9</f>
        <v>273.89999999999998</v>
      </c>
      <c r="J39">
        <v>10.210000000000001</v>
      </c>
      <c r="K39">
        <f t="shared" ref="K39" si="14">H39-J39</f>
        <v>5095.87</v>
      </c>
      <c r="L39">
        <v>0.02</v>
      </c>
      <c r="M39">
        <f t="shared" si="7"/>
        <v>63.62</v>
      </c>
      <c r="N39">
        <f t="shared" si="8"/>
        <v>95.890000000000327</v>
      </c>
      <c r="O39" t="s">
        <v>79</v>
      </c>
      <c r="P39" s="1">
        <f t="shared" si="4"/>
        <v>42183</v>
      </c>
      <c r="Q39">
        <v>5.03</v>
      </c>
      <c r="R39">
        <f t="shared" si="10"/>
        <v>9.18</v>
      </c>
    </row>
    <row r="40" spans="1:18" hidden="1" x14ac:dyDescent="0.15">
      <c r="A40" s="5" t="s">
        <v>19</v>
      </c>
      <c r="B40">
        <v>366</v>
      </c>
      <c r="C40" t="s">
        <v>77</v>
      </c>
      <c r="D40">
        <v>5000</v>
      </c>
      <c r="E40" s="1">
        <v>42179</v>
      </c>
      <c r="F40" s="1">
        <f t="shared" si="12"/>
        <v>42180</v>
      </c>
      <c r="G40" s="7">
        <f t="shared" ref="G40" si="15">E40+11</f>
        <v>42190</v>
      </c>
      <c r="H40" s="2">
        <f>5106.08</f>
        <v>5106.08</v>
      </c>
      <c r="I40">
        <f>273.9</f>
        <v>273.89999999999998</v>
      </c>
      <c r="J40">
        <v>10.210000000000001</v>
      </c>
      <c r="K40">
        <f t="shared" ref="K40:K43" si="16">H40-J40</f>
        <v>5095.87</v>
      </c>
      <c r="L40">
        <v>0.01</v>
      </c>
      <c r="M40">
        <f t="shared" ref="M40:M43" si="17">ROUND((K40-D40)/D40*365/(G40-E40)*100,2)</f>
        <v>63.62</v>
      </c>
      <c r="N40">
        <f t="shared" ref="N40:N43" si="18">K40+L40-D40</f>
        <v>95.880000000000109</v>
      </c>
      <c r="O40" t="s">
        <v>79</v>
      </c>
      <c r="P40" s="1">
        <f t="shared" si="4"/>
        <v>42183</v>
      </c>
      <c r="Q40">
        <v>4.03</v>
      </c>
      <c r="R40">
        <f t="shared" si="10"/>
        <v>9.81</v>
      </c>
    </row>
    <row r="41" spans="1:18" hidden="1" x14ac:dyDescent="0.15">
      <c r="A41" s="5" t="s">
        <v>71</v>
      </c>
      <c r="B41">
        <v>366</v>
      </c>
      <c r="C41">
        <v>7.61</v>
      </c>
      <c r="D41">
        <v>5000</v>
      </c>
      <c r="E41" s="1">
        <v>42180</v>
      </c>
      <c r="F41" s="1">
        <f t="shared" si="12"/>
        <v>42181</v>
      </c>
      <c r="G41" s="7">
        <f t="shared" ref="G41" si="19">E41+11</f>
        <v>42191</v>
      </c>
      <c r="H41" s="2">
        <f>5101.36</f>
        <v>5101.3599999999997</v>
      </c>
      <c r="I41">
        <f>279.12</f>
        <v>279.12</v>
      </c>
      <c r="J41">
        <v>10.199999999999999</v>
      </c>
      <c r="K41">
        <f t="shared" si="16"/>
        <v>5091.16</v>
      </c>
      <c r="M41">
        <f t="shared" si="17"/>
        <v>60.5</v>
      </c>
      <c r="N41">
        <f t="shared" si="18"/>
        <v>91.159999999999854</v>
      </c>
      <c r="O41" t="s">
        <v>89</v>
      </c>
      <c r="P41" s="1">
        <f t="shared" si="4"/>
        <v>42183</v>
      </c>
      <c r="Q41">
        <v>2.0099999999999998</v>
      </c>
      <c r="R41">
        <f t="shared" si="10"/>
        <v>7.34</v>
      </c>
    </row>
    <row r="42" spans="1:18" hidden="1" x14ac:dyDescent="0.15">
      <c r="A42" s="5" t="s">
        <v>86</v>
      </c>
      <c r="B42">
        <v>366</v>
      </c>
      <c r="C42" t="s">
        <v>85</v>
      </c>
      <c r="D42">
        <v>5000</v>
      </c>
      <c r="E42" s="1">
        <v>42181</v>
      </c>
      <c r="F42" s="1">
        <f t="shared" si="12"/>
        <v>42182</v>
      </c>
      <c r="G42" s="7">
        <f t="shared" ref="G42:G43" si="20">E42+11</f>
        <v>42192</v>
      </c>
      <c r="H42" s="2">
        <f>5086.22</f>
        <v>5086.22</v>
      </c>
      <c r="I42">
        <v>281.27</v>
      </c>
      <c r="J42">
        <v>10.17</v>
      </c>
      <c r="K42">
        <f t="shared" si="16"/>
        <v>5076.05</v>
      </c>
      <c r="M42">
        <f t="shared" si="17"/>
        <v>50.47</v>
      </c>
      <c r="N42">
        <f t="shared" si="18"/>
        <v>76.050000000000182</v>
      </c>
      <c r="O42" t="s">
        <v>87</v>
      </c>
      <c r="P42" s="1">
        <f t="shared" si="4"/>
        <v>42183</v>
      </c>
      <c r="Q42">
        <v>0</v>
      </c>
      <c r="R42">
        <f t="shared" si="10"/>
        <v>0</v>
      </c>
    </row>
    <row r="43" spans="1:18" hidden="1" x14ac:dyDescent="0.15">
      <c r="A43" s="5" t="s">
        <v>86</v>
      </c>
      <c r="B43">
        <v>366</v>
      </c>
      <c r="C43" t="s">
        <v>85</v>
      </c>
      <c r="D43">
        <v>5000</v>
      </c>
      <c r="E43" s="1">
        <v>42182</v>
      </c>
      <c r="F43" s="1">
        <f t="shared" si="12"/>
        <v>42183</v>
      </c>
      <c r="G43" s="7">
        <f t="shared" si="20"/>
        <v>42193</v>
      </c>
      <c r="H43" s="2">
        <f>5078.71</f>
        <v>5078.71</v>
      </c>
      <c r="I43">
        <v>288.77999999999997</v>
      </c>
      <c r="J43">
        <v>10.15</v>
      </c>
      <c r="K43">
        <f t="shared" si="16"/>
        <v>5068.5600000000004</v>
      </c>
      <c r="M43">
        <f t="shared" si="17"/>
        <v>45.5</v>
      </c>
      <c r="N43">
        <f t="shared" si="18"/>
        <v>68.5600000000004</v>
      </c>
      <c r="O43" t="s">
        <v>87</v>
      </c>
      <c r="P43" s="1">
        <f t="shared" si="4"/>
        <v>42183</v>
      </c>
      <c r="Q43">
        <v>0</v>
      </c>
      <c r="R43" t="e">
        <f t="shared" si="10"/>
        <v>#DIV/0!</v>
      </c>
    </row>
    <row r="44" spans="1:18" hidden="1" x14ac:dyDescent="0.15">
      <c r="A44" s="3" t="s">
        <v>86</v>
      </c>
      <c r="B44">
        <v>366</v>
      </c>
      <c r="C44" t="s">
        <v>85</v>
      </c>
      <c r="D44">
        <v>1000</v>
      </c>
      <c r="E44" s="1">
        <v>42182</v>
      </c>
      <c r="F44" s="1">
        <f t="shared" ref="F44:F45" si="21">E44+1</f>
        <v>42183</v>
      </c>
      <c r="G44" s="6">
        <f t="shared" ref="G44:G45" si="22">E44+11</f>
        <v>42193</v>
      </c>
      <c r="H44" s="2">
        <v>110</v>
      </c>
      <c r="I44">
        <v>6.24</v>
      </c>
      <c r="J44">
        <v>0.21</v>
      </c>
      <c r="O44" t="s">
        <v>87</v>
      </c>
      <c r="P44" s="1">
        <f t="shared" si="4"/>
        <v>42183</v>
      </c>
      <c r="Q44">
        <v>0</v>
      </c>
      <c r="R44" t="e">
        <f t="shared" si="10"/>
        <v>#DIV/0!</v>
      </c>
    </row>
    <row r="45" spans="1:18" x14ac:dyDescent="0.15">
      <c r="A45" s="3" t="s">
        <v>72</v>
      </c>
      <c r="B45">
        <v>366</v>
      </c>
      <c r="C45">
        <v>7.2</v>
      </c>
      <c r="D45">
        <v>5000</v>
      </c>
      <c r="E45" s="1">
        <v>42183</v>
      </c>
      <c r="F45" s="1">
        <f t="shared" si="21"/>
        <v>42184</v>
      </c>
      <c r="G45" s="6">
        <f t="shared" si="22"/>
        <v>42194</v>
      </c>
      <c r="O45" t="s">
        <v>93</v>
      </c>
      <c r="P45" s="1">
        <f t="shared" si="4"/>
        <v>42183</v>
      </c>
      <c r="Q45">
        <v>0</v>
      </c>
      <c r="R45">
        <f t="shared" si="10"/>
        <v>0</v>
      </c>
    </row>
    <row r="46" spans="1:18" hidden="1" x14ac:dyDescent="0.15">
      <c r="A46" s="3" t="s">
        <v>19</v>
      </c>
      <c r="B46">
        <v>366</v>
      </c>
      <c r="C46" t="s">
        <v>78</v>
      </c>
      <c r="D46">
        <v>10000</v>
      </c>
      <c r="E46" s="1">
        <v>42184</v>
      </c>
      <c r="F46" s="1">
        <f t="shared" ref="F46:F47" si="23">E46+1</f>
        <v>42185</v>
      </c>
      <c r="G46" s="6">
        <f t="shared" ref="G46:G47" si="24">E46+11</f>
        <v>42195</v>
      </c>
      <c r="O46" t="s">
        <v>79</v>
      </c>
      <c r="P46" s="1">
        <f t="shared" si="4"/>
        <v>42183</v>
      </c>
      <c r="Q46">
        <v>0</v>
      </c>
      <c r="R46">
        <f t="shared" si="10"/>
        <v>0</v>
      </c>
    </row>
    <row r="47" spans="1:18" hidden="1" x14ac:dyDescent="0.15">
      <c r="A47" s="3" t="s">
        <v>19</v>
      </c>
      <c r="B47">
        <v>366</v>
      </c>
      <c r="C47" t="s">
        <v>78</v>
      </c>
      <c r="D47">
        <v>8000</v>
      </c>
      <c r="E47" s="1">
        <v>42184</v>
      </c>
      <c r="F47" s="1">
        <f t="shared" si="23"/>
        <v>42185</v>
      </c>
      <c r="G47" s="6">
        <f t="shared" si="24"/>
        <v>42195</v>
      </c>
      <c r="O47" t="s">
        <v>79</v>
      </c>
      <c r="P47" s="1">
        <f t="shared" si="4"/>
        <v>42183</v>
      </c>
      <c r="Q47">
        <v>0</v>
      </c>
      <c r="R47">
        <f t="shared" si="10"/>
        <v>0</v>
      </c>
    </row>
    <row r="48" spans="1:18" hidden="1" x14ac:dyDescent="0.15">
      <c r="A48" s="3" t="s">
        <v>73</v>
      </c>
      <c r="B48">
        <v>366</v>
      </c>
      <c r="C48" t="s">
        <v>78</v>
      </c>
      <c r="D48">
        <v>4000</v>
      </c>
      <c r="E48" s="1">
        <v>42185</v>
      </c>
      <c r="F48" s="1">
        <f t="shared" ref="F48" si="25">E48+1</f>
        <v>42186</v>
      </c>
      <c r="G48" s="6">
        <f t="shared" ref="G48" si="26">E48+11</f>
        <v>42196</v>
      </c>
      <c r="O48" t="s">
        <v>79</v>
      </c>
      <c r="P48" s="1">
        <f t="shared" si="4"/>
        <v>42183</v>
      </c>
      <c r="Q48">
        <v>0</v>
      </c>
      <c r="R48">
        <f t="shared" si="10"/>
        <v>0</v>
      </c>
    </row>
    <row r="49" spans="1:18" x14ac:dyDescent="0.15">
      <c r="A49" s="3" t="s">
        <v>74</v>
      </c>
      <c r="B49">
        <v>366</v>
      </c>
      <c r="C49">
        <v>7.65</v>
      </c>
      <c r="D49">
        <v>10000</v>
      </c>
      <c r="E49" s="1">
        <v>42186</v>
      </c>
      <c r="F49" s="1">
        <f t="shared" ref="F49" si="27">E49+1</f>
        <v>42187</v>
      </c>
      <c r="G49" s="6">
        <f t="shared" ref="G49" si="28">E49+11</f>
        <v>42197</v>
      </c>
      <c r="P49" s="1">
        <f t="shared" si="4"/>
        <v>42183</v>
      </c>
      <c r="Q49">
        <v>0</v>
      </c>
      <c r="R49">
        <f t="shared" si="10"/>
        <v>0</v>
      </c>
    </row>
    <row r="50" spans="1:18" x14ac:dyDescent="0.15">
      <c r="A50" s="3" t="s">
        <v>75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9">E50+1</f>
        <v>42188</v>
      </c>
      <c r="G50" s="6">
        <f t="shared" ref="G50:G51" si="30">E50+11</f>
        <v>42198</v>
      </c>
      <c r="P50" s="1">
        <f t="shared" si="4"/>
        <v>42183</v>
      </c>
      <c r="Q50">
        <v>0</v>
      </c>
      <c r="R50">
        <f t="shared" si="10"/>
        <v>0</v>
      </c>
    </row>
    <row r="51" spans="1:18" x14ac:dyDescent="0.15">
      <c r="A51" s="3" t="s">
        <v>62</v>
      </c>
      <c r="B51">
        <v>366</v>
      </c>
      <c r="C51">
        <v>7.65</v>
      </c>
      <c r="D51">
        <v>7000</v>
      </c>
      <c r="E51" s="1">
        <v>42187</v>
      </c>
      <c r="F51" s="1">
        <f t="shared" si="29"/>
        <v>42188</v>
      </c>
      <c r="G51" s="6">
        <f t="shared" si="30"/>
        <v>42198</v>
      </c>
      <c r="P51" s="1">
        <f t="shared" si="4"/>
        <v>42183</v>
      </c>
      <c r="Q51">
        <v>0</v>
      </c>
      <c r="R51">
        <f t="shared" si="10"/>
        <v>0</v>
      </c>
    </row>
    <row r="52" spans="1:18" x14ac:dyDescent="0.15">
      <c r="A52" s="3" t="s">
        <v>83</v>
      </c>
      <c r="B52">
        <v>366</v>
      </c>
      <c r="C52">
        <v>7.65</v>
      </c>
      <c r="D52">
        <v>7000</v>
      </c>
      <c r="E52" s="1">
        <v>42188</v>
      </c>
      <c r="F52" s="1">
        <f t="shared" ref="F52" si="31">E52+1</f>
        <v>42189</v>
      </c>
      <c r="G52" s="6">
        <f t="shared" ref="G52" si="32">E52+11</f>
        <v>42199</v>
      </c>
      <c r="P52" s="1">
        <f t="shared" si="4"/>
        <v>42183</v>
      </c>
      <c r="Q52">
        <v>0</v>
      </c>
      <c r="R52">
        <f t="shared" si="10"/>
        <v>0</v>
      </c>
    </row>
    <row r="53" spans="1:18" x14ac:dyDescent="0.15">
      <c r="A53" s="3" t="s">
        <v>62</v>
      </c>
      <c r="B53">
        <v>366</v>
      </c>
      <c r="C53">
        <v>7.65</v>
      </c>
      <c r="D53">
        <v>8000</v>
      </c>
      <c r="E53" s="1">
        <v>42188</v>
      </c>
      <c r="F53" s="1">
        <f t="shared" ref="F53" si="33">E53+1</f>
        <v>42189</v>
      </c>
      <c r="G53" s="6">
        <f t="shared" ref="G53" si="34">E53+11</f>
        <v>42199</v>
      </c>
      <c r="P53" s="1">
        <f t="shared" si="4"/>
        <v>42183</v>
      </c>
      <c r="Q53">
        <v>0</v>
      </c>
      <c r="R53">
        <f t="shared" si="10"/>
        <v>0</v>
      </c>
    </row>
    <row r="54" spans="1:18" x14ac:dyDescent="0.15">
      <c r="A54" s="3" t="s">
        <v>62</v>
      </c>
      <c r="B54">
        <v>366</v>
      </c>
      <c r="C54">
        <v>7.65</v>
      </c>
      <c r="D54">
        <v>5000</v>
      </c>
      <c r="E54" s="1">
        <v>42189</v>
      </c>
      <c r="F54" s="1">
        <f t="shared" ref="F54" si="35">E54+1</f>
        <v>42190</v>
      </c>
      <c r="G54" s="6">
        <f t="shared" ref="G54" si="36">E54+11</f>
        <v>42200</v>
      </c>
      <c r="P54" s="1">
        <f t="shared" si="4"/>
        <v>42183</v>
      </c>
      <c r="Q54">
        <v>0</v>
      </c>
      <c r="R54">
        <f t="shared" si="10"/>
        <v>0</v>
      </c>
    </row>
    <row r="55" spans="1:18" x14ac:dyDescent="0.15">
      <c r="A55" s="3" t="s">
        <v>62</v>
      </c>
      <c r="B55">
        <v>366</v>
      </c>
      <c r="C55">
        <v>7.65</v>
      </c>
      <c r="D55">
        <v>5000</v>
      </c>
      <c r="E55" s="1">
        <v>42190</v>
      </c>
      <c r="F55" s="1">
        <f t="shared" ref="F55" si="37">E55+1</f>
        <v>42191</v>
      </c>
      <c r="G55" s="6">
        <f t="shared" ref="G55" si="38">E55+11</f>
        <v>42201</v>
      </c>
    </row>
    <row r="56" spans="1:18" x14ac:dyDescent="0.15">
      <c r="A56" s="3" t="s">
        <v>62</v>
      </c>
      <c r="B56">
        <v>366</v>
      </c>
      <c r="C56">
        <v>7.65</v>
      </c>
      <c r="D56">
        <v>5000</v>
      </c>
      <c r="E56" s="1">
        <v>42191</v>
      </c>
      <c r="F56" s="1">
        <f t="shared" ref="F56" si="39">E56+1</f>
        <v>42192</v>
      </c>
      <c r="G56" s="6">
        <f t="shared" ref="G56" si="40">E56+11</f>
        <v>42202</v>
      </c>
    </row>
    <row r="57" spans="1:18" x14ac:dyDescent="0.15">
      <c r="A57" s="3" t="s">
        <v>90</v>
      </c>
      <c r="B57">
        <v>731</v>
      </c>
      <c r="C57">
        <v>7.25</v>
      </c>
      <c r="D57">
        <v>5000</v>
      </c>
      <c r="E57" s="1">
        <v>42192</v>
      </c>
      <c r="F57" s="1">
        <f t="shared" ref="F57" si="41">E57+1</f>
        <v>42193</v>
      </c>
      <c r="G57" s="6">
        <f t="shared" ref="G57" si="42">E57+11</f>
        <v>42203</v>
      </c>
    </row>
    <row r="58" spans="1:18" x14ac:dyDescent="0.15">
      <c r="A58" s="3" t="s">
        <v>90</v>
      </c>
      <c r="B58">
        <v>731</v>
      </c>
      <c r="C58">
        <v>7.25</v>
      </c>
      <c r="D58">
        <v>20000</v>
      </c>
      <c r="E58" s="1">
        <v>42193</v>
      </c>
      <c r="F58" s="1">
        <f t="shared" ref="F58" si="43">E58+1</f>
        <v>42194</v>
      </c>
      <c r="G58" s="6">
        <f t="shared" ref="G58" si="44">E58+11</f>
        <v>42204</v>
      </c>
    </row>
    <row r="59" spans="1:18" x14ac:dyDescent="0.15">
      <c r="A59" s="3" t="s">
        <v>62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45">E59+1</f>
        <v>42194</v>
      </c>
      <c r="G59" s="6">
        <f t="shared" ref="G59:G60" si="46">E59+11</f>
        <v>42204</v>
      </c>
    </row>
    <row r="60" spans="1:18" x14ac:dyDescent="0.15">
      <c r="A60" s="3" t="s">
        <v>90</v>
      </c>
      <c r="B60">
        <v>731</v>
      </c>
      <c r="C60">
        <v>7.25</v>
      </c>
      <c r="D60">
        <v>5000</v>
      </c>
      <c r="E60" s="1">
        <v>42193</v>
      </c>
      <c r="F60" s="1">
        <f t="shared" si="45"/>
        <v>42194</v>
      </c>
      <c r="G60" s="6">
        <f t="shared" si="46"/>
        <v>42204</v>
      </c>
    </row>
  </sheetData>
  <autoFilter ref="A1:O60">
    <filterColumn colId="0">
      <filters>
        <filter val="华夏人寿摇钱树"/>
        <filter val="正德稳溢1号"/>
        <filter val="正德稳溢2号"/>
        <filter val="中融天天盈1号"/>
      </filters>
    </filterColumn>
    <filterColumn colId="14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zoomScaleNormal="100" workbookViewId="0">
      <pane xSplit="5" ySplit="1" topLeftCell="L2" activePane="bottomRight" state="frozen"/>
      <selection pane="topRight" activeCell="E1" sqref="E1"/>
      <selection pane="bottomLeft" activeCell="A2" sqref="A2"/>
      <selection pane="bottomRight" activeCell="O2" sqref="O2"/>
    </sheetView>
  </sheetViews>
  <sheetFormatPr defaultRowHeight="13.5" x14ac:dyDescent="0.15"/>
  <cols>
    <col min="1" max="1" width="22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8" width="10.5" style="2" bestFit="1" customWidth="1"/>
    <col min="9" max="9" width="13.125" customWidth="1"/>
    <col min="10" max="10" width="7.75" bestFit="1" customWidth="1"/>
    <col min="11" max="11" width="9.5" customWidth="1"/>
    <col min="12" max="12" width="15.125" bestFit="1" customWidth="1"/>
    <col min="13" max="13" width="11.875" bestFit="1" customWidth="1"/>
    <col min="15" max="15" width="11.75" bestFit="1" customWidth="1"/>
    <col min="16" max="17" width="10.5" bestFit="1" customWidth="1"/>
  </cols>
  <sheetData>
    <row r="1" spans="1:18" s="3" customFormat="1" x14ac:dyDescent="0.15">
      <c r="B1" s="3" t="s">
        <v>44</v>
      </c>
      <c r="C1" s="3" t="s">
        <v>70</v>
      </c>
      <c r="D1" s="3" t="s">
        <v>18</v>
      </c>
      <c r="E1" s="3" t="s">
        <v>14</v>
      </c>
      <c r="F1" s="3" t="s">
        <v>30</v>
      </c>
      <c r="G1" s="3" t="s">
        <v>28</v>
      </c>
      <c r="H1" s="4" t="s">
        <v>36</v>
      </c>
      <c r="I1" s="3" t="s">
        <v>37</v>
      </c>
      <c r="J1" s="3" t="s">
        <v>38</v>
      </c>
      <c r="K1" s="3" t="s">
        <v>46</v>
      </c>
      <c r="L1" s="3" t="s">
        <v>56</v>
      </c>
      <c r="M1" s="3" t="s">
        <v>48</v>
      </c>
      <c r="N1" s="3" t="s">
        <v>57</v>
      </c>
      <c r="O1" s="3" t="s">
        <v>65</v>
      </c>
      <c r="P1" s="3" t="s">
        <v>15</v>
      </c>
      <c r="Q1" s="3" t="s">
        <v>16</v>
      </c>
      <c r="R1" s="3" t="s">
        <v>17</v>
      </c>
    </row>
    <row r="2" spans="1:18" x14ac:dyDescent="0.15">
      <c r="A2" t="s">
        <v>54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16251.66</v>
      </c>
      <c r="I2">
        <v>900.3</v>
      </c>
      <c r="J2">
        <v>32.47</v>
      </c>
      <c r="K2">
        <f>H2-J2</f>
        <v>16219.19</v>
      </c>
      <c r="L2">
        <v>0.04</v>
      </c>
      <c r="M2">
        <f>ROUND((K2-D2)/D2*365/(G2-E2)*100,2)</f>
        <v>45.46</v>
      </c>
      <c r="N2">
        <f>K2-D2+L2</f>
        <v>219.2300000000005</v>
      </c>
      <c r="O2" t="s">
        <v>79</v>
      </c>
      <c r="P2" s="1">
        <v>42183</v>
      </c>
      <c r="Q2">
        <v>73.31</v>
      </c>
      <c r="R2">
        <f t="shared" ref="R2:R8" si="0">ROUND(Q2*365/(P2-F2)/D2*100,2)</f>
        <v>6.97</v>
      </c>
    </row>
    <row r="3" spans="1:18" x14ac:dyDescent="0.15">
      <c r="A3" s="5" t="s">
        <v>61</v>
      </c>
      <c r="B3">
        <v>366</v>
      </c>
      <c r="C3" t="s">
        <v>82</v>
      </c>
      <c r="D3">
        <v>16000</v>
      </c>
      <c r="E3" s="1">
        <v>42169</v>
      </c>
      <c r="F3" s="1">
        <v>42170</v>
      </c>
      <c r="G3" s="7">
        <f>E3+11</f>
        <v>42180</v>
      </c>
      <c r="H3" s="2">
        <f>10000+6218.99</f>
        <v>16218.99</v>
      </c>
      <c r="I3">
        <f>589.09+361.51</f>
        <v>950.6</v>
      </c>
      <c r="J3">
        <f>19.99+12.43</f>
        <v>32.42</v>
      </c>
      <c r="K3">
        <f>H3-J3</f>
        <v>16186.57</v>
      </c>
      <c r="L3">
        <v>0.01</v>
      </c>
      <c r="M3">
        <f>ROUND((K3-D3)/D3*365/(G3-E3)*100,2)</f>
        <v>38.69</v>
      </c>
      <c r="N3">
        <f>K3-D3+L3</f>
        <v>186.5799999999997</v>
      </c>
      <c r="O3" t="s">
        <v>79</v>
      </c>
      <c r="P3" s="1">
        <f>P2</f>
        <v>42183</v>
      </c>
      <c r="Q3">
        <v>44.55</v>
      </c>
      <c r="R3">
        <f t="shared" si="0"/>
        <v>7.82</v>
      </c>
    </row>
    <row r="4" spans="1:18" x14ac:dyDescent="0.15">
      <c r="A4" s="5" t="s">
        <v>86</v>
      </c>
      <c r="B4">
        <v>366</v>
      </c>
      <c r="C4" t="s">
        <v>85</v>
      </c>
      <c r="D4">
        <v>22000</v>
      </c>
      <c r="E4" s="1">
        <v>42169</v>
      </c>
      <c r="F4" s="1">
        <v>42170</v>
      </c>
      <c r="G4" s="7">
        <v>42182</v>
      </c>
      <c r="H4" s="2">
        <f>22348.98</f>
        <v>22348.98</v>
      </c>
      <c r="I4">
        <f>1268.01</f>
        <v>1268.01</v>
      </c>
      <c r="J4">
        <f>44.7</f>
        <v>44.7</v>
      </c>
      <c r="K4">
        <f>H4-J4</f>
        <v>22304.28</v>
      </c>
      <c r="L4">
        <v>0.01</v>
      </c>
      <c r="M4">
        <f>ROUND((K4-D4)/D4*365/(G4-E4)*100,2)</f>
        <v>38.83</v>
      </c>
      <c r="N4">
        <f>K4-D4+L4</f>
        <v>304.28999999999883</v>
      </c>
      <c r="O4" t="s">
        <v>79</v>
      </c>
      <c r="P4" s="1">
        <f>P3</f>
        <v>42183</v>
      </c>
      <c r="Q4">
        <v>55.79</v>
      </c>
      <c r="R4">
        <f t="shared" si="0"/>
        <v>7.12</v>
      </c>
    </row>
    <row r="5" spans="1:18" x14ac:dyDescent="0.15">
      <c r="A5" s="5" t="s">
        <v>71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6">
        <v>42194</v>
      </c>
      <c r="H5" s="2">
        <f>1733.83+4009</f>
        <v>5742.83</v>
      </c>
      <c r="I5">
        <f>95.6+227.06</f>
        <v>322.65999999999997</v>
      </c>
      <c r="J5">
        <f>3.45+7.99</f>
        <v>11.440000000000001</v>
      </c>
      <c r="K5">
        <f>H5-J5</f>
        <v>5731.39</v>
      </c>
      <c r="O5" t="s">
        <v>79</v>
      </c>
      <c r="P5" s="1">
        <f>P4</f>
        <v>42183</v>
      </c>
      <c r="Q5">
        <v>4.42</v>
      </c>
      <c r="R5">
        <f t="shared" si="0"/>
        <v>7.33</v>
      </c>
    </row>
    <row r="6" spans="1:18" x14ac:dyDescent="0.15">
      <c r="A6" s="3" t="s">
        <v>71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7">
        <v>42192</v>
      </c>
      <c r="H6" s="2">
        <f>3900+2220.74</f>
        <v>6120.74</v>
      </c>
      <c r="I6">
        <f>213.39+122.46</f>
        <v>335.84999999999997</v>
      </c>
      <c r="J6">
        <f>7.8+4.44</f>
        <v>12.24</v>
      </c>
      <c r="K6">
        <f>H6-J6</f>
        <v>6108.5</v>
      </c>
      <c r="M6">
        <f>ROUND((K6-D6)/D6*365/(G6-E6)*100,2)</f>
        <v>55</v>
      </c>
      <c r="N6">
        <f>K6-D6+L6</f>
        <v>108.5</v>
      </c>
      <c r="O6" t="s">
        <v>79</v>
      </c>
      <c r="P6" s="1">
        <f>P5</f>
        <v>42183</v>
      </c>
      <c r="Q6">
        <v>2.41</v>
      </c>
      <c r="R6">
        <f t="shared" si="0"/>
        <v>7.33</v>
      </c>
    </row>
    <row r="7" spans="1:18" x14ac:dyDescent="0.15">
      <c r="A7" s="3" t="s">
        <v>86</v>
      </c>
      <c r="B7">
        <v>366</v>
      </c>
      <c r="C7" t="s">
        <v>85</v>
      </c>
      <c r="D7">
        <v>23000</v>
      </c>
      <c r="E7" s="1">
        <v>42182</v>
      </c>
      <c r="F7" s="1">
        <f>E7+1</f>
        <v>42183</v>
      </c>
      <c r="G7" s="6">
        <f>E7+11</f>
        <v>42193</v>
      </c>
      <c r="O7" t="s">
        <v>79</v>
      </c>
      <c r="P7" s="1">
        <f>P6</f>
        <v>42183</v>
      </c>
      <c r="Q7">
        <v>0</v>
      </c>
      <c r="R7" t="e">
        <f t="shared" si="0"/>
        <v>#DIV/0!</v>
      </c>
    </row>
    <row r="8" spans="1:18" x14ac:dyDescent="0.15">
      <c r="A8" s="3" t="s">
        <v>62</v>
      </c>
      <c r="B8">
        <v>366</v>
      </c>
      <c r="C8">
        <v>7.65</v>
      </c>
      <c r="D8">
        <v>2000</v>
      </c>
      <c r="E8" s="1">
        <v>42188</v>
      </c>
      <c r="F8" s="1">
        <f t="shared" ref="F8" si="1">E8+1</f>
        <v>42189</v>
      </c>
      <c r="G8" s="6">
        <f t="shared" ref="G8" si="2">E8+11</f>
        <v>42199</v>
      </c>
      <c r="P8" s="1">
        <f t="shared" ref="P8" si="3">P7</f>
        <v>42183</v>
      </c>
      <c r="Q8">
        <v>0</v>
      </c>
      <c r="R8">
        <f t="shared" si="0"/>
        <v>0</v>
      </c>
    </row>
    <row r="9" spans="1:18" x14ac:dyDescent="0.15">
      <c r="A9" s="3" t="s">
        <v>62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6">
        <f t="shared" ref="G9" si="5">E9+11</f>
        <v>42202</v>
      </c>
    </row>
    <row r="10" spans="1:18" x14ac:dyDescent="0.15">
      <c r="A10" s="3" t="s">
        <v>90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6">
        <f t="shared" ref="G10" si="7">E10+11</f>
        <v>42203</v>
      </c>
    </row>
  </sheetData>
  <autoFilter ref="A1:O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3" sqref="G3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51</v>
      </c>
      <c r="C1" t="s">
        <v>18</v>
      </c>
      <c r="D1" t="s">
        <v>14</v>
      </c>
      <c r="E1" t="s">
        <v>50</v>
      </c>
      <c r="F1" t="s">
        <v>15</v>
      </c>
      <c r="G1" t="s">
        <v>16</v>
      </c>
      <c r="H1" t="s">
        <v>17</v>
      </c>
      <c r="I1" t="s">
        <v>52</v>
      </c>
      <c r="J1" t="s">
        <v>53</v>
      </c>
    </row>
    <row r="2" spans="1:10" x14ac:dyDescent="0.15">
      <c r="A2" t="s">
        <v>49</v>
      </c>
      <c r="B2">
        <v>92</v>
      </c>
      <c r="C2">
        <v>10000</v>
      </c>
      <c r="D2" s="1">
        <v>42142</v>
      </c>
      <c r="E2" s="1">
        <v>42143</v>
      </c>
      <c r="F2" s="1">
        <v>42183</v>
      </c>
      <c r="G2">
        <v>67.17</v>
      </c>
      <c r="H2">
        <f>ROUND(G2*365/(F2-E2)/C2*100,2)</f>
        <v>6.13</v>
      </c>
      <c r="I2">
        <v>50</v>
      </c>
      <c r="J2">
        <f>ROUND((G2+I2)*365/(F2-D2)/C2*100,2)</f>
        <v>10.43</v>
      </c>
    </row>
    <row r="3" spans="1:10" x14ac:dyDescent="0.15">
      <c r="A3" t="s">
        <v>49</v>
      </c>
      <c r="B3">
        <v>91</v>
      </c>
      <c r="C3">
        <v>10000</v>
      </c>
      <c r="D3" s="1">
        <v>42143</v>
      </c>
      <c r="E3" s="1">
        <v>42144</v>
      </c>
      <c r="F3" s="1">
        <f>F2</f>
        <v>42183</v>
      </c>
      <c r="G3">
        <v>65.489999999999995</v>
      </c>
      <c r="H3">
        <f>ROUND(G3*365/(F3-E3)/C3*100,2)</f>
        <v>6.13</v>
      </c>
      <c r="I3">
        <v>50</v>
      </c>
      <c r="J3">
        <f>ROUND((G3+I3)*365/(F3-D3)/C3*100,2)</f>
        <v>10.54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47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2015-07-08T14:23:53Z</dcterms:modified>
</cp:coreProperties>
</file>