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5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H2" i="12" l="1"/>
  <c r="G118" i="7"/>
  <c r="F118" i="7"/>
  <c r="G184" i="2"/>
  <c r="F184" i="2"/>
  <c r="G183" i="2" l="1"/>
  <c r="F183" i="2"/>
  <c r="G117" i="7" l="1"/>
  <c r="F117" i="7"/>
  <c r="I5" i="13" l="1"/>
  <c r="F7" i="12"/>
  <c r="D7" i="12"/>
  <c r="J7" i="12"/>
  <c r="H7" i="12"/>
  <c r="B7" i="12"/>
  <c r="D3" i="13"/>
  <c r="D2" i="13"/>
  <c r="B4" i="13"/>
  <c r="B2" i="13"/>
  <c r="B8" i="12" l="1"/>
  <c r="G116" i="7"/>
  <c r="F116" i="7"/>
  <c r="F182" i="2" l="1"/>
  <c r="G182" i="2"/>
  <c r="D4" i="13" l="1"/>
  <c r="I4" i="13" l="1"/>
  <c r="I3" i="13" l="1"/>
  <c r="K115" i="7" l="1"/>
  <c r="J115" i="7"/>
  <c r="H115" i="7"/>
  <c r="K176" i="2" l="1"/>
  <c r="J176" i="2"/>
  <c r="H176" i="2"/>
  <c r="E2" i="13" l="1"/>
  <c r="I2" i="13" s="1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F176" i="2"/>
  <c r="K158" i="2"/>
  <c r="G158" i="2"/>
  <c r="J158" i="2"/>
  <c r="H158" i="2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G10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<sst xmlns="http://schemas.openxmlformats.org/spreadsheetml/2006/main" count="663" uniqueCount="151">
  <si>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</si>
  <si>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</si>
  <si>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</si>
  <si>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</si>
  <si>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</si>
  <si>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</si>
  <si>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</si>
  <si>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</si>
  <si>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</si>
  <si>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</si>
  <si>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</si>
  <si>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</si>
  <si>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</si>
  <si>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</si>
  <si>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</si>
  <si>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</si>
  <si>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</si>
  <si>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</si>
  <si>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</si>
  <si>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</si>
  <si>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</si>
  <si>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</si>
  <si>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</si>
  <si>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</si>
  <si>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</si>
  <si>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</si>
  <si>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</si>
  <si>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</si>
  <si>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</si>
  <si>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</si>
  <si>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</si>
  <si>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</si>
  <si>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</si>
  <si>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</si>
  <si>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</si>
  <si>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</si>
  <si>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</si>
  <si>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</si>
  <si>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</si>
  <si>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</si>
  <si>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</si>
  <si>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</si>
  <si>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</si>
  <si>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</si>
  <si>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</si>
  <si>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</si>
  <si>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</si>
  <si>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</si>
  <si>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</si>
  <si>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</si>
  <si>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</si>
  <si>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</si>
  <si>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</si>
  <si>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</si>
  <si>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</si>
  <si>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</si>
  <si>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</si>
  <si>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</si>
  <si>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</si>
  <si>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</si>
  <si>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</si>
  <si>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</si>
  <si>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</si>
  <si>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</si>
  <si>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</si>
  <si>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</si>
  <si>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</si>
  <si>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</si>
  <si>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</si>
  <si>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</si>
  <si>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</si>
  <si>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</si>
  <si>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</si>
  <si>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</si>
  <si>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</si>
  <si>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</si>
  <si>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</si>
  <si>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</si>
  <si>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</si>
  <si>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</si>
  <si>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</si>
  <si>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</si>
  <si>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</si>
  <si>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</si>
  <si>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</si>
  <si>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</si>
  <si>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</si>
  <si>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</si>
  <si>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</si>
  <si>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</si>
  <si>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</si>
  <si>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</si>
  <si>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</si>
  <si>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</si>
  <si>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</si>
  <si>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</si>
  <si>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</si>
  <si>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</si>
  <si>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</si>
  <si>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</si>
  <si>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</si>
  <si>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</si>
  <si>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</si>
  <si>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</si>
  <si>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</si>
  <si>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</si>
  <si>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</si>
  <si>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</si>
  <si>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</si>
  <si>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</si>
  <si>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</si>
  <si>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</si>
  <si>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</si>
  <si>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</si>
  <si>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</si>
  <si>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</si>
  <si>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</si>
  <si>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</si>
  <si>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</si>
  <si>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</si>
  <si>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</si>
  <si>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</si>
  <si>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</si>
  <si>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</si>
  <si>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余额宝</t>
    <phoneticPr fontId="1" type="noConversion"/>
  </si>
  <si>
    <t xml:space="preserve">个人贷021191号 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</si>
  <si>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</si>
  <si>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</si>
  <si>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</si>
  <si>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</si>
  <si>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</si>
  <si>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日期</t>
    <phoneticPr fontId="1" type="noConversion"/>
  </si>
  <si>
    <t>余额宝</t>
    <phoneticPr fontId="1" type="noConversion"/>
  </si>
  <si>
    <t>钱大掌柜</t>
    <phoneticPr fontId="1" type="noConversion"/>
  </si>
  <si>
    <t>京东金融</t>
    <phoneticPr fontId="1" type="noConversion"/>
  </si>
  <si>
    <t>活期</t>
    <phoneticPr fontId="1" type="noConversion"/>
  </si>
  <si>
    <t>中新大东方恒大稳盈2号</t>
    <phoneticPr fontId="1" type="noConversion"/>
  </si>
  <si>
    <t>陆金所-保险/票据/基金</t>
    <phoneticPr fontId="1" type="noConversion"/>
  </si>
  <si>
    <t>保险</t>
    <phoneticPr fontId="1" type="noConversion"/>
  </si>
  <si>
    <t>招财宝</t>
    <phoneticPr fontId="1" type="noConversion"/>
  </si>
  <si>
    <t>陆金所-&gt;P2P/变现通</t>
  </si>
  <si>
    <t>陆金所-&gt;P2P/变现通</t>
    <phoneticPr fontId="1" type="noConversion"/>
  </si>
  <si>
    <t>陆金所-&gt;余额/零活宝</t>
    <phoneticPr fontId="1" type="noConversion"/>
  </si>
  <si>
    <t>招财宝</t>
    <phoneticPr fontId="1" type="noConversion"/>
  </si>
  <si>
    <t>余额宝</t>
    <phoneticPr fontId="1" type="noConversion"/>
  </si>
  <si>
    <t>活期</t>
    <phoneticPr fontId="1" type="noConversion"/>
  </si>
  <si>
    <t>合计</t>
    <phoneticPr fontId="1" type="noConversion"/>
  </si>
  <si>
    <t>中新大东方恒大稳盈2号</t>
    <phoneticPr fontId="1" type="noConversion"/>
  </si>
  <si>
    <t>小计</t>
    <phoneticPr fontId="1" type="noConversion"/>
  </si>
  <si>
    <t>陆金所-保险/票据/基金</t>
  </si>
  <si>
    <t>基金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</si>
</sst>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4" fontId="4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4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A184" sqref="A184:G184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5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5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127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5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128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5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129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5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130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5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  <row r="182" spans="1:11" x14ac:dyDescent="0.15">
      <c r="A182" s="2" t="s">
        <v>136</v>
      </c>
      <c r="B182">
        <v>366</v>
      </c>
      <c r="C182">
        <v>6.5</v>
      </c>
      <c r="D182">
        <v>47000</v>
      </c>
      <c r="E182" s="1">
        <v>42337</v>
      </c>
      <c r="F182" s="1">
        <f>E182+1</f>
        <v>42338</v>
      </c>
      <c r="G182" s="4">
        <f>E182+11</f>
        <v>42348</v>
      </c>
    </row>
    <row r="183" spans="1:11" x14ac:dyDescent="0.15">
      <c r="A183" s="2" t="s">
        <v>136</v>
      </c>
      <c r="B183">
        <v>366</v>
      </c>
      <c r="C183">
        <v>6.5</v>
      </c>
      <c r="D183">
        <v>47000</v>
      </c>
      <c r="E183" s="1">
        <v>42344</v>
      </c>
      <c r="F183" s="1">
        <f>E183+1</f>
        <v>42345</v>
      </c>
      <c r="G183" s="4">
        <f>E183+11</f>
        <v>42355</v>
      </c>
    </row>
    <row r="184" spans="1:11" x14ac:dyDescent="0.15">
      <c r="A184" s="2" t="s">
        <v>136</v>
      </c>
      <c r="B184">
        <v>366</v>
      </c>
      <c r="C184">
        <v>7</v>
      </c>
      <c r="D184">
        <v>19000</v>
      </c>
      <c r="E184" s="1">
        <v>42347</v>
      </c>
      <c r="F184" s="1">
        <f>E184+1</f>
        <v>42348</v>
      </c>
      <c r="G184" s="4">
        <f>E184+11</f>
        <v>42358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G116" sqref="G116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" si="202">E106+11</f>
        <v>42253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3">E107+1</f>
        <v>42244</v>
      </c>
      <c r="G107" s="5">
        <v>42261</v>
      </c>
      <c r="H107">
        <f>3057.01-6.1</f>
        <v>3050.9100000000003</v>
      </c>
      <c r="J107">
        <f t="shared" ref="J107:J112" si="204">ROUND((H107-D107)/D107*365/(G107-E107)*100,2)</f>
        <v>34.409999999999997</v>
      </c>
      <c r="K107">
        <f t="shared" ref="K107:K112" si="205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6">E108+1</f>
        <v>42245</v>
      </c>
      <c r="G108" s="5">
        <v>42261</v>
      </c>
      <c r="H108">
        <f>2037.67-4.06</f>
        <v>2033.6100000000001</v>
      </c>
      <c r="J108">
        <f t="shared" si="204"/>
        <v>36.08</v>
      </c>
      <c r="K108">
        <f t="shared" si="205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7">E109+1</f>
        <v>42247</v>
      </c>
      <c r="G109" s="5">
        <v>42261</v>
      </c>
      <c r="H109">
        <f>10356.58+3901.62-10.34*2-3.9*2</f>
        <v>14229.720000000001</v>
      </c>
      <c r="J109">
        <f t="shared" si="204"/>
        <v>39.93</v>
      </c>
      <c r="K109">
        <f t="shared" si="205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7"/>
        <v>42249</v>
      </c>
      <c r="G110" s="5">
        <v>42261</v>
      </c>
      <c r="H110">
        <f>7107.48-14.2</f>
        <v>7093.28</v>
      </c>
      <c r="J110">
        <f t="shared" si="204"/>
        <v>37.409999999999997</v>
      </c>
      <c r="K110">
        <f t="shared" si="205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8">E111+1</f>
        <v>42250</v>
      </c>
      <c r="G111" s="5">
        <v>42261</v>
      </c>
      <c r="H111">
        <f>3961.13+100-7.92-0.2</f>
        <v>4053.01</v>
      </c>
      <c r="J111">
        <f t="shared" si="204"/>
        <v>40.31</v>
      </c>
      <c r="K111">
        <f t="shared" si="205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09">E112+1</f>
        <v>42251</v>
      </c>
      <c r="G112" s="5">
        <v>42261</v>
      </c>
      <c r="H112">
        <f>7105.18-7.1*2</f>
        <v>7090.9800000000005</v>
      </c>
      <c r="J112">
        <f t="shared" si="204"/>
        <v>43.13</v>
      </c>
      <c r="K112">
        <f t="shared" si="205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0">E113+1</f>
        <v>42252</v>
      </c>
      <c r="G113" s="5">
        <f t="shared" ref="G113" si="211">E113+11</f>
        <v>42262</v>
      </c>
      <c r="H113">
        <f>4056.74-4.05*2</f>
        <v>4048.64</v>
      </c>
      <c r="J113">
        <f t="shared" ref="J113" si="212">ROUND((H113-D113)/D113*365/(G113-E113)*100,2)</f>
        <v>40.35</v>
      </c>
      <c r="K113">
        <f t="shared" ref="K113" si="213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>E114+1</f>
        <v>42254</v>
      </c>
      <c r="G114" s="5">
        <v>42267</v>
      </c>
      <c r="H114">
        <f>373.13-0.37*2</f>
        <v>372.39</v>
      </c>
      <c r="J114">
        <f t="shared" ref="J114" si="214">ROUND((H114-D114)/D114*365/(G114-E114)*100,2)</f>
        <v>16.84</v>
      </c>
      <c r="K114">
        <f t="shared" ref="K114" si="215">H114-D114+I114</f>
        <v>2.3899999999999864</v>
      </c>
    </row>
    <row r="115" spans="1:11" x14ac:dyDescent="0.15">
      <c r="A115" s="3" t="s">
        <v>118</v>
      </c>
      <c r="B115">
        <v>366</v>
      </c>
      <c r="C115">
        <v>7.7</v>
      </c>
      <c r="D115">
        <v>4000</v>
      </c>
      <c r="E115" s="1">
        <v>42253</v>
      </c>
      <c r="F115" s="1">
        <f>E115+1</f>
        <v>42254</v>
      </c>
      <c r="G115" s="5">
        <v>42287</v>
      </c>
      <c r="H115">
        <f>4114.31-4.1*2</f>
        <v>4106.1100000000006</v>
      </c>
      <c r="J115">
        <f t="shared" ref="J115" si="216">ROUND((H115-D115)/D115*365/(G115-E115)*100,2)</f>
        <v>28.48</v>
      </c>
      <c r="K115">
        <f t="shared" ref="K115" si="217">H115-D115+I115</f>
        <v>106.11000000000058</v>
      </c>
    </row>
    <row r="116" spans="1:11" x14ac:dyDescent="0.15">
      <c r="A116" s="2" t="s">
        <v>136</v>
      </c>
      <c r="B116">
        <v>366</v>
      </c>
      <c r="C116">
        <v>6.5</v>
      </c>
      <c r="D116">
        <v>20000</v>
      </c>
      <c r="E116" s="1">
        <v>42338</v>
      </c>
      <c r="F116" s="1">
        <f>E116+1</f>
        <v>42339</v>
      </c>
      <c r="G116" s="4">
        <f>E116+11</f>
        <v>42349</v>
      </c>
    </row>
    <row r="117" spans="1:11" x14ac:dyDescent="0.15">
      <c r="A117" s="2" t="s">
        <v>136</v>
      </c>
      <c r="B117">
        <v>366</v>
      </c>
      <c r="C117">
        <v>6.5</v>
      </c>
      <c r="D117">
        <v>13000</v>
      </c>
      <c r="E117" s="1">
        <v>42343</v>
      </c>
      <c r="F117" s="1">
        <f>E117+1</f>
        <v>42344</v>
      </c>
      <c r="G117" s="4">
        <f>E117+11</f>
        <v>42354</v>
      </c>
    </row>
    <row r="118" spans="1:11" x14ac:dyDescent="0.15">
      <c r="A118" s="2" t="s">
        <v>136</v>
      </c>
      <c r="B118">
        <v>366</v>
      </c>
      <c r="C118">
        <v>7</v>
      </c>
      <c r="D118">
        <v>5000</v>
      </c>
      <c r="E118" s="1">
        <v>42347</v>
      </c>
      <c r="F118" s="1">
        <f>E118+1</f>
        <v>42348</v>
      </c>
      <c r="G118" s="4">
        <f>E118+11</f>
        <v>42358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3" sqref="H3"/>
    </sheetView>
  </sheetViews>
  <sheetFormatPr defaultRowHeight="13.5" x14ac:dyDescent="0.15"/>
  <cols>
    <col min="1" max="1" width="22.5" bestFit="1" customWidth="1"/>
    <col min="2" max="2" width="10.25" customWidth="1"/>
    <col min="3" max="3" width="13" customWidth="1"/>
    <col min="4" max="6" width="12.625" customWidth="1"/>
    <col min="7" max="7" width="7.125" bestFit="1" customWidth="1"/>
    <col min="8" max="8" width="11.5" customWidth="1"/>
    <col min="9" max="9" width="7.25" customWidth="1"/>
    <col min="10" max="10" width="11.625" customWidth="1"/>
  </cols>
  <sheetData>
    <row r="1" spans="1:10" x14ac:dyDescent="0.15">
      <c r="A1" s="7" t="s">
        <v>143</v>
      </c>
      <c r="B1" s="7"/>
      <c r="C1" s="7" t="s">
        <v>149</v>
      </c>
      <c r="D1" s="7"/>
      <c r="E1" s="7" t="s">
        <v>140</v>
      </c>
      <c r="F1" s="7"/>
      <c r="G1" s="7" t="s">
        <v>144</v>
      </c>
      <c r="H1" s="7"/>
      <c r="I1" s="7" t="s">
        <v>145</v>
      </c>
      <c r="J1" s="7"/>
    </row>
    <row r="2" spans="1:10" ht="14.25" x14ac:dyDescent="0.15">
      <c r="A2" t="s">
        <v>125</v>
      </c>
      <c r="B2">
        <v>117</v>
      </c>
      <c r="C2" t="s">
        <v>138</v>
      </c>
      <c r="D2">
        <v>10000</v>
      </c>
      <c r="G2" t="s">
        <v>124</v>
      </c>
      <c r="H2">
        <f>140.67</f>
        <v>140.66999999999999</v>
      </c>
      <c r="I2" t="s">
        <v>135</v>
      </c>
      <c r="J2" s="6">
        <v>0</v>
      </c>
    </row>
    <row r="3" spans="1:10" x14ac:dyDescent="0.15">
      <c r="A3" t="s">
        <v>147</v>
      </c>
      <c r="B3">
        <v>20000</v>
      </c>
      <c r="C3" t="s">
        <v>150</v>
      </c>
      <c r="D3">
        <v>10000</v>
      </c>
    </row>
    <row r="4" spans="1:10" x14ac:dyDescent="0.15">
      <c r="A4" t="s">
        <v>147</v>
      </c>
      <c r="B4">
        <v>13000</v>
      </c>
    </row>
    <row r="5" spans="1:10" x14ac:dyDescent="0.15">
      <c r="A5" t="s">
        <v>136</v>
      </c>
      <c r="B5">
        <v>5000</v>
      </c>
      <c r="C5" s="2"/>
    </row>
    <row r="6" spans="1:10" x14ac:dyDescent="0.15">
      <c r="C6" s="2"/>
    </row>
    <row r="7" spans="1:10" x14ac:dyDescent="0.15">
      <c r="A7" t="s">
        <v>148</v>
      </c>
      <c r="B7">
        <f>SUM(B2:B4)</f>
        <v>33117</v>
      </c>
      <c r="C7" t="s">
        <v>148</v>
      </c>
      <c r="D7">
        <f>SUM(D2:D4)</f>
        <v>20000</v>
      </c>
      <c r="E7" t="s">
        <v>148</v>
      </c>
      <c r="F7">
        <f>SUM(F2:F4)</f>
        <v>0</v>
      </c>
      <c r="G7" t="s">
        <v>148</v>
      </c>
      <c r="H7">
        <f>SUM(H2:H4)</f>
        <v>140.66999999999999</v>
      </c>
      <c r="I7" t="s">
        <v>148</v>
      </c>
      <c r="J7">
        <f>SUM(J2:J4)</f>
        <v>0</v>
      </c>
    </row>
    <row r="8" spans="1:10" x14ac:dyDescent="0.15">
      <c r="A8" t="s">
        <v>146</v>
      </c>
      <c r="B8">
        <f>B7+D7+F7+H7+J7</f>
        <v>53257.67</v>
      </c>
    </row>
  </sheetData>
  <mergeCells count="5">
    <mergeCell ref="A1:B1"/>
    <mergeCell ref="C1:D1"/>
    <mergeCell ref="G1:H1"/>
    <mergeCell ref="I1:J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3.5" x14ac:dyDescent="0.15"/>
  <cols>
    <col min="1" max="1" width="11.625" bestFit="1" customWidth="1"/>
    <col min="2" max="2" width="13.125" bestFit="1" customWidth="1"/>
    <col min="3" max="3" width="20.875" customWidth="1"/>
    <col min="4" max="4" width="19.75" bestFit="1" customWidth="1"/>
    <col min="5" max="5" width="19.875" customWidth="1"/>
  </cols>
  <sheetData>
    <row r="1" spans="1:9" x14ac:dyDescent="0.15">
      <c r="A1" t="s">
        <v>131</v>
      </c>
      <c r="B1" t="s">
        <v>139</v>
      </c>
      <c r="C1" t="s">
        <v>137</v>
      </c>
      <c r="D1" t="s">
        <v>141</v>
      </c>
      <c r="E1" t="s">
        <v>142</v>
      </c>
      <c r="F1" t="s">
        <v>132</v>
      </c>
      <c r="G1" t="s">
        <v>133</v>
      </c>
      <c r="H1" t="s">
        <v>134</v>
      </c>
      <c r="I1" t="s">
        <v>126</v>
      </c>
    </row>
    <row r="2" spans="1:9" x14ac:dyDescent="0.15">
      <c r="A2" s="1">
        <v>42278</v>
      </c>
      <c r="B2">
        <f>4000+117</f>
        <v>4117</v>
      </c>
      <c r="C2">
        <v>20000</v>
      </c>
      <c r="D2">
        <f>21868.09+10000-2914.99</f>
        <v>28953.1</v>
      </c>
      <c r="E2">
        <f>29-8</f>
        <v>21</v>
      </c>
      <c r="F2">
        <v>0</v>
      </c>
      <c r="G2">
        <v>0</v>
      </c>
      <c r="H2">
        <v>0</v>
      </c>
      <c r="I2">
        <f>SUM(B2:H2)</f>
        <v>53091.1</v>
      </c>
    </row>
    <row r="3" spans="1:9" x14ac:dyDescent="0.15">
      <c r="A3" s="1">
        <v>42305</v>
      </c>
      <c r="B3">
        <v>117</v>
      </c>
      <c r="C3">
        <v>0</v>
      </c>
      <c r="D3">
        <f>21296.18+1006.07</f>
        <v>22302.25</v>
      </c>
      <c r="E3">
        <v>31191.34</v>
      </c>
      <c r="F3">
        <v>0</v>
      </c>
      <c r="G3">
        <v>0</v>
      </c>
      <c r="H3">
        <v>0</v>
      </c>
      <c r="I3">
        <f>SUM(B3:H3)</f>
        <v>53610.59</v>
      </c>
    </row>
    <row r="4" spans="1:9" x14ac:dyDescent="0.15">
      <c r="A4" s="1">
        <v>42338</v>
      </c>
      <c r="B4">
        <f>20000+117</f>
        <v>20117</v>
      </c>
      <c r="C4">
        <v>0</v>
      </c>
      <c r="D4">
        <f>20720.27</f>
        <v>20720.27</v>
      </c>
      <c r="E4">
        <v>0</v>
      </c>
      <c r="F4">
        <v>15323.94</v>
      </c>
      <c r="G4">
        <v>0</v>
      </c>
      <c r="H4">
        <v>0</v>
      </c>
      <c r="I4">
        <f>SUM(B4:H4)</f>
        <v>56161.210000000006</v>
      </c>
    </row>
    <row r="5" spans="1:9" x14ac:dyDescent="0.15">
      <c r="A5" s="1">
        <v>42343</v>
      </c>
      <c r="B5">
        <v>33117</v>
      </c>
      <c r="C5">
        <v>10000</v>
      </c>
      <c r="D5">
        <v>0</v>
      </c>
      <c r="E5">
        <v>0</v>
      </c>
      <c r="F5">
        <v>15114.67</v>
      </c>
      <c r="G5">
        <v>0</v>
      </c>
      <c r="H5">
        <v>0</v>
      </c>
      <c r="I5">
        <f>SUM(B5:H5)</f>
        <v>58231.67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2015-12-09T14:09:37Z</dcterms:modified>
</cp:coreProperties>
</file>