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600" yWindow="225" windowWidth="19395" windowHeight="7515" activeTab="2"/>
  </bookViews>
  <sheets>
    <sheet name="国华理财宝2代1" sheetId="11" r:id="rId1"/>
    <sheet name="国华理财宝2代2" sheetId="9" r:id="rId2"/>
    <sheet name="国华华瑞2号" sheetId="10" r:id="rId3"/>
    <sheet name="历史收益" sheetId="7" r:id="rId4"/>
  </sheets>
  <calcPr calcId="152511"/>
</workbook>
</file>

<file path=xl/calcChain.xml><?xml version="1.0" encoding="utf-8"?>
<calcChain xmlns="http://schemas.openxmlformats.org/spreadsheetml/2006/main">
  <c r="D32" i="10" l="1"/>
  <c r="G32" i="10" s="1"/>
  <c r="H32" i="10"/>
  <c r="I32" i="10" s="1"/>
  <c r="E32" i="10"/>
  <c r="D31" i="10" l="1"/>
  <c r="H31" i="10"/>
  <c r="I31" i="10" s="1"/>
  <c r="G31" i="10"/>
  <c r="E31" i="10"/>
  <c r="D30" i="10" l="1"/>
  <c r="E30" i="10"/>
  <c r="G30" i="10"/>
  <c r="H30" i="10"/>
  <c r="I30" i="10" s="1"/>
  <c r="D29" i="10" l="1"/>
  <c r="G29" i="10" s="1"/>
  <c r="H29" i="10"/>
  <c r="I29" i="10" s="1"/>
  <c r="E29" i="10"/>
  <c r="D28" i="10" l="1"/>
  <c r="H28" i="10"/>
  <c r="I28" i="10" s="1"/>
  <c r="E28" i="10" l="1"/>
  <c r="G28" i="10"/>
  <c r="D27" i="10"/>
  <c r="E27" i="10" s="1"/>
  <c r="G27" i="10"/>
  <c r="H27" i="10" l="1"/>
  <c r="I27" i="10" s="1"/>
  <c r="D26" i="10"/>
  <c r="H26" i="10" s="1"/>
  <c r="I26" i="10" s="1"/>
  <c r="G26" i="10" l="1"/>
  <c r="E26" i="10"/>
  <c r="H25" i="10"/>
  <c r="I25" i="10" s="1"/>
  <c r="G25" i="10"/>
  <c r="E25" i="10"/>
  <c r="H24" i="10" l="1"/>
  <c r="I24" i="10" s="1"/>
  <c r="G24" i="10"/>
  <c r="E24" i="10"/>
  <c r="D23" i="10" l="1"/>
  <c r="H23" i="10" s="1"/>
  <c r="I23" i="10" s="1"/>
  <c r="G23" i="10" l="1"/>
  <c r="E23" i="10"/>
  <c r="D22" i="10"/>
  <c r="H22" i="10" s="1"/>
  <c r="I22" i="10" s="1"/>
  <c r="E22" i="10"/>
  <c r="G22" i="10" l="1"/>
  <c r="D21" i="10"/>
  <c r="H21" i="10" s="1"/>
  <c r="I21" i="10" s="1"/>
  <c r="G21" i="10"/>
  <c r="E21" i="10"/>
  <c r="D20" i="10" l="1"/>
  <c r="G20" i="10" s="1"/>
  <c r="E20" i="10" l="1"/>
  <c r="H20" i="10"/>
  <c r="I20" i="10" s="1"/>
  <c r="H23" i="11"/>
  <c r="G13" i="7"/>
  <c r="G12" i="7"/>
  <c r="H15" i="9"/>
  <c r="D14" i="9" l="1"/>
  <c r="D22" i="11"/>
  <c r="H14" i="9"/>
  <c r="H22" i="11" l="1"/>
  <c r="D13" i="9"/>
  <c r="H13" i="9" s="1"/>
  <c r="H21" i="11"/>
  <c r="D21" i="11"/>
  <c r="H12" i="9" l="1"/>
  <c r="H20" i="11"/>
  <c r="H19" i="10" l="1"/>
  <c r="I19" i="10" s="1"/>
  <c r="D19" i="10"/>
  <c r="G19" i="10"/>
  <c r="E19" i="10"/>
  <c r="H11" i="9" l="1"/>
  <c r="D11" i="9"/>
  <c r="H19" i="11"/>
  <c r="D19" i="11"/>
  <c r="H10" i="9" l="1"/>
  <c r="D10" i="9"/>
  <c r="H18" i="11"/>
  <c r="D18" i="11"/>
  <c r="H9" i="9" l="1"/>
  <c r="D9" i="9"/>
  <c r="H17" i="11"/>
  <c r="D17" i="11"/>
  <c r="H18" i="10" l="1"/>
  <c r="I18" i="10" s="1"/>
  <c r="D18" i="10"/>
  <c r="E18" i="10" s="1"/>
  <c r="G18" i="10" l="1"/>
  <c r="H8" i="9"/>
  <c r="D8" i="9"/>
  <c r="H16" i="11"/>
  <c r="D16" i="11"/>
  <c r="H15" i="11" l="1"/>
  <c r="D15" i="11"/>
  <c r="H7" i="9"/>
  <c r="D7" i="9"/>
  <c r="H6" i="9" l="1"/>
  <c r="D6" i="9"/>
  <c r="H14" i="11"/>
  <c r="D14" i="11"/>
  <c r="H5" i="9" l="1"/>
  <c r="D5" i="9"/>
  <c r="H13" i="11"/>
  <c r="D13" i="11"/>
  <c r="H17" i="10"/>
  <c r="I17" i="10" s="1"/>
  <c r="D17" i="10"/>
  <c r="G17" i="10" s="1"/>
  <c r="E17" i="10" l="1"/>
  <c r="H4" i="9"/>
  <c r="D4" i="9"/>
  <c r="D12" i="11"/>
  <c r="H12" i="11"/>
  <c r="H3" i="9" l="1"/>
  <c r="D3" i="9"/>
  <c r="H11" i="11"/>
  <c r="D11" i="11"/>
  <c r="H10" i="11" l="1"/>
  <c r="D10" i="11"/>
  <c r="H9" i="11" l="1"/>
  <c r="D9" i="11"/>
  <c r="H8" i="11"/>
  <c r="D8" i="11"/>
  <c r="H7" i="11"/>
  <c r="D7" i="11"/>
  <c r="H6" i="11"/>
  <c r="D6" i="11"/>
  <c r="H4" i="11"/>
  <c r="D4" i="11"/>
  <c r="D3" i="11"/>
  <c r="C3" i="11"/>
  <c r="C4" i="11" s="1"/>
  <c r="A3" i="11"/>
  <c r="A4" i="11" s="1"/>
  <c r="A5" i="11" s="1"/>
  <c r="A6" i="11" s="1"/>
  <c r="A7" i="11" s="1"/>
  <c r="A8" i="11" s="1"/>
  <c r="A9" i="11" s="1"/>
  <c r="A10" i="11" l="1"/>
  <c r="A11" i="11" s="1"/>
  <c r="A12" i="11" s="1"/>
  <c r="A13" i="11" s="1"/>
  <c r="A14" i="11" s="1"/>
  <c r="A15" i="11" s="1"/>
  <c r="G3" i="11"/>
  <c r="I4" i="11"/>
  <c r="C5" i="11"/>
  <c r="E4" i="11"/>
  <c r="G4" i="11"/>
  <c r="E3" i="11"/>
  <c r="I3" i="11"/>
  <c r="H16" i="10"/>
  <c r="D16" i="10"/>
  <c r="G16" i="10" s="1"/>
  <c r="I16" i="10"/>
  <c r="A16" i="11" l="1"/>
  <c r="A17" i="11" s="1"/>
  <c r="A18" i="11" s="1"/>
  <c r="A19" i="11" s="1"/>
  <c r="A20" i="11" s="1"/>
  <c r="A21" i="11" s="1"/>
  <c r="A22" i="11" s="1"/>
  <c r="G5" i="11"/>
  <c r="C6" i="11"/>
  <c r="I5" i="11"/>
  <c r="E5" i="11"/>
  <c r="E16" i="10"/>
  <c r="A23" i="11" l="1"/>
  <c r="C7" i="11"/>
  <c r="E6" i="11"/>
  <c r="I6" i="11"/>
  <c r="G6" i="11"/>
  <c r="C8" i="11" l="1"/>
  <c r="C9" i="11" s="1"/>
  <c r="I7" i="11"/>
  <c r="E7" i="11"/>
  <c r="G7" i="11"/>
  <c r="C10" i="11" l="1"/>
  <c r="E9" i="11"/>
  <c r="I9" i="11"/>
  <c r="G9" i="11"/>
  <c r="I8" i="11"/>
  <c r="E8" i="11"/>
  <c r="G8" i="11"/>
  <c r="C11" i="11" l="1"/>
  <c r="I10" i="11"/>
  <c r="E10" i="11"/>
  <c r="G10" i="11"/>
  <c r="H15" i="10"/>
  <c r="D15" i="10"/>
  <c r="G15" i="10" s="1"/>
  <c r="I15" i="10"/>
  <c r="E11" i="11" l="1"/>
  <c r="C12" i="11"/>
  <c r="G11" i="11"/>
  <c r="I11" i="11"/>
  <c r="E15" i="10"/>
  <c r="C13" i="11" l="1"/>
  <c r="G12" i="11"/>
  <c r="I12" i="11"/>
  <c r="E12" i="11"/>
  <c r="H14" i="10"/>
  <c r="I14" i="10" s="1"/>
  <c r="D14" i="10"/>
  <c r="G14" i="10" s="1"/>
  <c r="E14" i="10" l="1"/>
  <c r="C14" i="11"/>
  <c r="C15" i="11" s="1"/>
  <c r="E13" i="11"/>
  <c r="I13" i="11"/>
  <c r="G13" i="11"/>
  <c r="I13" i="10"/>
  <c r="G13" i="10"/>
  <c r="E13" i="10"/>
  <c r="C16" i="11" l="1"/>
  <c r="E15" i="11"/>
  <c r="I15" i="11"/>
  <c r="G15" i="11"/>
  <c r="G14" i="11"/>
  <c r="E14" i="11"/>
  <c r="I14" i="11"/>
  <c r="H12" i="10"/>
  <c r="I12" i="10" s="1"/>
  <c r="D12" i="10"/>
  <c r="G12" i="10"/>
  <c r="C17" i="11" l="1"/>
  <c r="I16" i="11"/>
  <c r="G16" i="11"/>
  <c r="E16" i="11"/>
  <c r="E12" i="10"/>
  <c r="G11" i="7"/>
  <c r="C18" i="11" l="1"/>
  <c r="G17" i="11"/>
  <c r="E17" i="11"/>
  <c r="I17" i="11"/>
  <c r="H11" i="10"/>
  <c r="I11" i="10" s="1"/>
  <c r="D11" i="10"/>
  <c r="G11" i="10" s="1"/>
  <c r="C19" i="11" l="1"/>
  <c r="E18" i="11"/>
  <c r="G18" i="11"/>
  <c r="I18" i="11"/>
  <c r="E11" i="10"/>
  <c r="D10" i="10"/>
  <c r="G10" i="10" s="1"/>
  <c r="H10" i="10"/>
  <c r="I10" i="10" s="1"/>
  <c r="C20" i="11" l="1"/>
  <c r="I19" i="11"/>
  <c r="E19" i="11"/>
  <c r="G19" i="11"/>
  <c r="E10" i="10"/>
  <c r="H9" i="10"/>
  <c r="D9" i="10"/>
  <c r="G9" i="10" s="1"/>
  <c r="I9" i="10"/>
  <c r="I20" i="11" l="1"/>
  <c r="C21" i="11"/>
  <c r="G20" i="11"/>
  <c r="E20" i="11"/>
  <c r="E9" i="10"/>
  <c r="C22" i="11" l="1"/>
  <c r="E21" i="11"/>
  <c r="I21" i="11"/>
  <c r="G21" i="11"/>
  <c r="D8" i="10"/>
  <c r="E8" i="10" s="1"/>
  <c r="H8" i="10"/>
  <c r="I8" i="10" s="1"/>
  <c r="C23" i="11" l="1"/>
  <c r="E22" i="11"/>
  <c r="G22" i="11"/>
  <c r="I22" i="11"/>
  <c r="G8" i="10"/>
  <c r="H7" i="10"/>
  <c r="I7" i="10" s="1"/>
  <c r="D7" i="10"/>
  <c r="G7" i="10" s="1"/>
  <c r="E7" i="10"/>
  <c r="I23" i="11" l="1"/>
  <c r="G23" i="11"/>
  <c r="E23" i="11"/>
  <c r="H6" i="10"/>
  <c r="I6" i="10" s="1"/>
  <c r="D6" i="10"/>
  <c r="E6" i="10" s="1"/>
  <c r="G6" i="10" l="1"/>
  <c r="H5" i="10"/>
  <c r="I5" i="10" s="1"/>
  <c r="G5" i="10"/>
  <c r="E5" i="10" l="1"/>
  <c r="H4" i="10"/>
  <c r="I4" i="10" s="1"/>
  <c r="D4" i="10"/>
  <c r="E4" i="10" s="1"/>
  <c r="G4" i="10" l="1"/>
  <c r="A3" i="10"/>
  <c r="C3" i="10"/>
  <c r="H3" i="10" s="1"/>
  <c r="I3" i="10" s="1"/>
  <c r="G3" i="10" l="1"/>
  <c r="E3" i="10"/>
  <c r="E9" i="7"/>
  <c r="F8" i="7" l="1"/>
  <c r="F7" i="7"/>
  <c r="G8" i="7" l="1"/>
  <c r="E6" i="7" l="1"/>
  <c r="G9" i="7" l="1"/>
  <c r="C3" i="9" l="1"/>
  <c r="C4" i="9" s="1"/>
  <c r="A3" i="9"/>
  <c r="A4" i="9" s="1"/>
  <c r="A5" i="9" s="1"/>
  <c r="A6" i="9" s="1"/>
  <c r="A7" i="9" s="1"/>
  <c r="A8" i="9" l="1"/>
  <c r="A9" i="9" s="1"/>
  <c r="A10" i="9" s="1"/>
  <c r="A11" i="9" s="1"/>
  <c r="A12" i="9" s="1"/>
  <c r="A13" i="9" s="1"/>
  <c r="A14" i="9" s="1"/>
  <c r="A15" i="9" s="1"/>
  <c r="C5" i="9"/>
  <c r="I4" i="9"/>
  <c r="G4" i="9"/>
  <c r="E4" i="9"/>
  <c r="G3" i="9"/>
  <c r="E4" i="7"/>
  <c r="C6" i="9" l="1"/>
  <c r="C7" i="9" s="1"/>
  <c r="G5" i="9"/>
  <c r="I5" i="9"/>
  <c r="E5" i="9"/>
  <c r="E3" i="9"/>
  <c r="I3" i="9"/>
  <c r="G7" i="7"/>
  <c r="C8" i="9" l="1"/>
  <c r="I7" i="9"/>
  <c r="E7" i="9"/>
  <c r="G7" i="9"/>
  <c r="G6" i="9"/>
  <c r="I6" i="9"/>
  <c r="E6" i="9"/>
  <c r="F5" i="7"/>
  <c r="G5" i="7" s="1"/>
  <c r="F6" i="7"/>
  <c r="G6" i="7" s="1"/>
  <c r="F2" i="7"/>
  <c r="E2" i="7"/>
  <c r="G2" i="7" s="1"/>
  <c r="F4" i="7"/>
  <c r="G4" i="7" s="1"/>
  <c r="F3" i="7"/>
  <c r="G3" i="7" s="1"/>
  <c r="C9" i="9" l="1"/>
  <c r="I8" i="9"/>
  <c r="G8" i="9"/>
  <c r="E8" i="9"/>
  <c r="C10" i="9" l="1"/>
  <c r="I9" i="9"/>
  <c r="G9" i="9"/>
  <c r="E9" i="9"/>
  <c r="C11" i="9" l="1"/>
  <c r="I10" i="9"/>
  <c r="E10" i="9"/>
  <c r="G10" i="9"/>
  <c r="C12" i="9" l="1"/>
  <c r="I11" i="9"/>
  <c r="E11" i="9"/>
  <c r="G11" i="9"/>
  <c r="E12" i="9" l="1"/>
  <c r="C13" i="9"/>
  <c r="G12" i="9"/>
  <c r="I12" i="9"/>
  <c r="C14" i="9" l="1"/>
  <c r="E13" i="9"/>
  <c r="I13" i="9"/>
  <c r="G13" i="9"/>
  <c r="C15" i="9" l="1"/>
  <c r="E14" i="9"/>
  <c r="I14" i="9"/>
  <c r="G14" i="9"/>
  <c r="G15" i="9" l="1"/>
  <c r="E15" i="9"/>
  <c r="I15" i="9"/>
</calcChain>
</file>

<file path=xl/sharedStrings.xml><?xml version="1.0" encoding="utf-8"?>
<sst xmlns="http://schemas.openxmlformats.org/spreadsheetml/2006/main" count="56" uniqueCount="23">
  <si>
    <t>结算日期</t>
    <phoneticPr fontId="1" type="noConversion"/>
  </si>
  <si>
    <t>结算金额</t>
    <phoneticPr fontId="1" type="noConversion"/>
  </si>
  <si>
    <t>账户余额</t>
    <phoneticPr fontId="1" type="noConversion"/>
  </si>
  <si>
    <t>年化利率</t>
    <phoneticPr fontId="1" type="noConversion"/>
  </si>
  <si>
    <t>购买金额</t>
    <phoneticPr fontId="1" type="noConversion"/>
  </si>
  <si>
    <t>购买日期</t>
    <phoneticPr fontId="1" type="noConversion"/>
  </si>
  <si>
    <t>到账日期</t>
    <phoneticPr fontId="1" type="noConversion"/>
  </si>
  <si>
    <t>到账金额</t>
    <phoneticPr fontId="1" type="noConversion"/>
  </si>
  <si>
    <t>赠送金额</t>
    <phoneticPr fontId="1" type="noConversion"/>
  </si>
  <si>
    <t>年化收益</t>
    <phoneticPr fontId="1" type="noConversion"/>
  </si>
  <si>
    <t>弘康人寿 灵动二号</t>
    <phoneticPr fontId="1" type="noConversion"/>
  </si>
  <si>
    <t>国华1号</t>
    <phoneticPr fontId="1" type="noConversion"/>
  </si>
  <si>
    <t>弘康灵动一号保险理财计划</t>
    <phoneticPr fontId="1" type="noConversion"/>
  </si>
  <si>
    <t>国华理财宝</t>
    <phoneticPr fontId="1" type="noConversion"/>
  </si>
  <si>
    <t>宝盈一号</t>
    <phoneticPr fontId="1" type="noConversion"/>
  </si>
  <si>
    <t>现金价值</t>
    <phoneticPr fontId="1" type="noConversion"/>
  </si>
  <si>
    <t>额外赠送</t>
    <phoneticPr fontId="1" type="noConversion"/>
  </si>
  <si>
    <t>赠送后年利率</t>
    <phoneticPr fontId="1" type="noConversion"/>
  </si>
  <si>
    <t>前海人寿聚富一号(加强版）</t>
    <phoneticPr fontId="1" type="noConversion"/>
  </si>
  <si>
    <t>已退保</t>
    <phoneticPr fontId="1" type="noConversion"/>
  </si>
  <si>
    <t>国华华瑞2号</t>
    <phoneticPr fontId="1" type="noConversion"/>
  </si>
  <si>
    <t>阳光人寿理财一号</t>
    <phoneticPr fontId="1" type="noConversion"/>
  </si>
  <si>
    <t>国华理财宝2代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</si>
</sst>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workbookViewId="0">
      <selection activeCell="B24" sqref="B24"/>
    </sheetView>
  </sheetViews>
  <sheetFormatPr defaultRowHeight="13.5" x14ac:dyDescent="0.15"/>
  <cols>
    <col min="1" max="1" width="11.625" bestFit="1" customWidth="1"/>
    <col min="2" max="2" width="11.625" style="1" bestFit="1" customWidth="1"/>
    <col min="3" max="4" width="11.625" style="2" bestFit="1" customWidth="1"/>
    <col min="6" max="6" width="11" customWidth="1"/>
    <col min="7" max="7" width="13" bestFit="1" customWidth="1"/>
    <col min="8" max="8" width="10.5" bestFit="1" customWidth="1"/>
    <col min="9" max="9" width="13" bestFit="1" customWidth="1"/>
    <col min="10" max="10" width="11.625" bestFit="1" customWidth="1"/>
  </cols>
  <sheetData>
    <row r="1" spans="1:9" x14ac:dyDescent="0.15">
      <c r="A1" t="s">
        <v>5</v>
      </c>
      <c r="B1" s="1" t="s">
        <v>0</v>
      </c>
      <c r="C1" s="2" t="s">
        <v>1</v>
      </c>
      <c r="D1" s="2" t="s">
        <v>2</v>
      </c>
      <c r="E1" t="s">
        <v>3</v>
      </c>
      <c r="F1" t="s">
        <v>16</v>
      </c>
      <c r="G1" t="s">
        <v>17</v>
      </c>
      <c r="H1" t="s">
        <v>15</v>
      </c>
      <c r="I1" t="s">
        <v>17</v>
      </c>
    </row>
    <row r="2" spans="1:9" x14ac:dyDescent="0.15">
      <c r="A2" s="1">
        <v>41776</v>
      </c>
      <c r="B2" s="1">
        <v>41776</v>
      </c>
      <c r="C2" s="2">
        <v>20000</v>
      </c>
      <c r="D2" s="2">
        <v>20000</v>
      </c>
      <c r="F2">
        <v>0</v>
      </c>
    </row>
    <row r="3" spans="1:9" x14ac:dyDescent="0.15">
      <c r="A3" s="1">
        <f t="shared" ref="A3:A23" si="0">A2</f>
        <v>41776</v>
      </c>
      <c r="B3" s="1">
        <v>41789</v>
      </c>
      <c r="C3" s="2">
        <f t="shared" ref="C3:C23" si="1">C2</f>
        <v>20000</v>
      </c>
      <c r="D3" s="2">
        <f>20041.55</f>
        <v>20041.55</v>
      </c>
      <c r="E3">
        <f t="shared" ref="E3:E8" si="2">ROUND((D3-C3)*365/(B3-A3)/C3*100,2)</f>
        <v>5.83</v>
      </c>
      <c r="F3">
        <v>0</v>
      </c>
      <c r="G3">
        <f t="shared" ref="G3:G8" si="3">ROUND((D3+F3-C3)*365/(B3-A3)/C3*100,2)</f>
        <v>5.83</v>
      </c>
      <c r="H3" s="2">
        <v>19841.13</v>
      </c>
      <c r="I3">
        <f t="shared" ref="I3:I8" si="4">ROUND((H3+F3-C3)*365/(B3-A3)/C3*100,2)</f>
        <v>-22.3</v>
      </c>
    </row>
    <row r="4" spans="1:9" x14ac:dyDescent="0.15">
      <c r="A4" s="1">
        <f t="shared" si="0"/>
        <v>41776</v>
      </c>
      <c r="B4" s="1">
        <v>41791</v>
      </c>
      <c r="C4" s="2">
        <f t="shared" si="1"/>
        <v>20000</v>
      </c>
      <c r="D4" s="2">
        <f>20047.95</f>
        <v>20047.95</v>
      </c>
      <c r="E4">
        <f t="shared" si="2"/>
        <v>5.83</v>
      </c>
      <c r="F4">
        <v>0</v>
      </c>
      <c r="G4">
        <f t="shared" si="3"/>
        <v>5.83</v>
      </c>
      <c r="H4" s="2">
        <f>19847.47</f>
        <v>19847.47</v>
      </c>
      <c r="I4">
        <f t="shared" si="4"/>
        <v>-18.559999999999999</v>
      </c>
    </row>
    <row r="5" spans="1:9" x14ac:dyDescent="0.15">
      <c r="A5" s="1">
        <f t="shared" si="0"/>
        <v>41776</v>
      </c>
      <c r="B5" s="1">
        <v>41798</v>
      </c>
      <c r="C5" s="2">
        <f t="shared" si="1"/>
        <v>20000</v>
      </c>
      <c r="D5" s="2">
        <v>20070.37</v>
      </c>
      <c r="E5">
        <f t="shared" si="2"/>
        <v>5.84</v>
      </c>
      <c r="F5">
        <v>0</v>
      </c>
      <c r="G5">
        <f t="shared" si="3"/>
        <v>5.84</v>
      </c>
      <c r="H5" s="2">
        <v>19869.669999999998</v>
      </c>
      <c r="I5">
        <f t="shared" si="4"/>
        <v>-10.81</v>
      </c>
    </row>
    <row r="6" spans="1:9" x14ac:dyDescent="0.15">
      <c r="A6" s="1">
        <f t="shared" si="0"/>
        <v>41776</v>
      </c>
      <c r="B6" s="1">
        <v>41804</v>
      </c>
      <c r="C6" s="2">
        <f t="shared" si="1"/>
        <v>20000</v>
      </c>
      <c r="D6" s="2">
        <f>20089.6</f>
        <v>20089.599999999999</v>
      </c>
      <c r="E6">
        <f t="shared" si="2"/>
        <v>5.84</v>
      </c>
      <c r="F6">
        <v>0</v>
      </c>
      <c r="G6">
        <f t="shared" si="3"/>
        <v>5.84</v>
      </c>
      <c r="H6" s="2">
        <f>19888.7</f>
        <v>19888.7</v>
      </c>
      <c r="I6">
        <f t="shared" si="4"/>
        <v>-7.25</v>
      </c>
    </row>
    <row r="7" spans="1:9" x14ac:dyDescent="0.15">
      <c r="A7" s="1">
        <f t="shared" si="0"/>
        <v>41776</v>
      </c>
      <c r="B7" s="1">
        <v>41812</v>
      </c>
      <c r="C7" s="2">
        <f t="shared" si="1"/>
        <v>20000</v>
      </c>
      <c r="D7" s="2">
        <f>20115.28</f>
        <v>20115.28</v>
      </c>
      <c r="E7">
        <f t="shared" si="2"/>
        <v>5.84</v>
      </c>
      <c r="F7">
        <v>0</v>
      </c>
      <c r="G7">
        <f t="shared" si="3"/>
        <v>5.84</v>
      </c>
      <c r="H7" s="2">
        <f>20099.79</f>
        <v>20099.79</v>
      </c>
      <c r="I7">
        <f t="shared" si="4"/>
        <v>5.0599999999999996</v>
      </c>
    </row>
    <row r="8" spans="1:9" x14ac:dyDescent="0.15">
      <c r="A8" s="1">
        <f t="shared" si="0"/>
        <v>41776</v>
      </c>
      <c r="B8" s="1">
        <v>41819</v>
      </c>
      <c r="C8" s="2">
        <f t="shared" si="1"/>
        <v>20000</v>
      </c>
      <c r="D8" s="2">
        <f>20137.77</f>
        <v>20137.77</v>
      </c>
      <c r="E8">
        <f t="shared" si="2"/>
        <v>5.85</v>
      </c>
      <c r="F8">
        <v>0</v>
      </c>
      <c r="G8">
        <f t="shared" si="3"/>
        <v>5.85</v>
      </c>
      <c r="H8" s="2">
        <f>20122.26</f>
        <v>20122.259999999998</v>
      </c>
      <c r="I8">
        <f t="shared" si="4"/>
        <v>5.19</v>
      </c>
    </row>
    <row r="9" spans="1:9" x14ac:dyDescent="0.15">
      <c r="A9" s="1">
        <f t="shared" si="0"/>
        <v>41776</v>
      </c>
      <c r="B9" s="1">
        <v>41827</v>
      </c>
      <c r="C9" s="2">
        <f t="shared" si="1"/>
        <v>20000</v>
      </c>
      <c r="D9" s="2">
        <f>20163.5</f>
        <v>20163.5</v>
      </c>
      <c r="E9">
        <f t="shared" ref="E9" si="5">ROUND((D9-C9)*365/(B9-A9)/C9*100,2)</f>
        <v>5.85</v>
      </c>
      <c r="F9">
        <v>0</v>
      </c>
      <c r="G9">
        <f t="shared" ref="G9" si="6">ROUND((D9+F9-C9)*365/(B9-A9)/C9*100,2)</f>
        <v>5.85</v>
      </c>
      <c r="H9" s="2">
        <f>20147.97</f>
        <v>20147.97</v>
      </c>
      <c r="I9">
        <f t="shared" ref="I9" si="7">ROUND((H9+F9-C9)*365/(B9-A9)/C9*100,2)</f>
        <v>5.3</v>
      </c>
    </row>
    <row r="10" spans="1:9" x14ac:dyDescent="0.15">
      <c r="A10" s="1">
        <f t="shared" si="0"/>
        <v>41776</v>
      </c>
      <c r="B10" s="1">
        <v>41833</v>
      </c>
      <c r="C10" s="2">
        <f t="shared" si="1"/>
        <v>20000</v>
      </c>
      <c r="D10" s="2">
        <f>20182.82</f>
        <v>20182.82</v>
      </c>
      <c r="E10">
        <f t="shared" ref="E10" si="8">ROUND((D10-C10)*365/(B10-A10)/C10*100,2)</f>
        <v>5.85</v>
      </c>
      <c r="F10">
        <v>0</v>
      </c>
      <c r="G10">
        <f t="shared" ref="G10" si="9">ROUND((D10+F10-C10)*365/(B10-A10)/C10*100,2)</f>
        <v>5.85</v>
      </c>
      <c r="H10" s="2">
        <f>20167.28</f>
        <v>20167.28</v>
      </c>
      <c r="I10">
        <f t="shared" ref="I10" si="10">ROUND((H10+F10-C10)*365/(B10-A10)/C10*100,2)</f>
        <v>5.36</v>
      </c>
    </row>
    <row r="11" spans="1:9" x14ac:dyDescent="0.15">
      <c r="A11" s="1">
        <f t="shared" si="0"/>
        <v>41776</v>
      </c>
      <c r="B11" s="1">
        <v>41840</v>
      </c>
      <c r="C11" s="2">
        <f t="shared" si="1"/>
        <v>20000</v>
      </c>
      <c r="D11" s="2">
        <f>20205.39</f>
        <v>20205.39</v>
      </c>
      <c r="E11">
        <f t="shared" ref="E11" si="11">ROUND((D11-C11)*365/(B11-A11)/C11*100,2)</f>
        <v>5.86</v>
      </c>
      <c r="F11">
        <v>0</v>
      </c>
      <c r="G11">
        <f t="shared" ref="G11" si="12">ROUND((D11+F11-C11)*365/(B11-A11)/C11*100,2)</f>
        <v>5.86</v>
      </c>
      <c r="H11" s="2">
        <f>20189.83</f>
        <v>20189.830000000002</v>
      </c>
      <c r="I11">
        <f t="shared" ref="I11" si="13">ROUND((H11+F11-C11)*365/(B11-A11)/C11*100,2)</f>
        <v>5.41</v>
      </c>
    </row>
    <row r="12" spans="1:9" x14ac:dyDescent="0.15">
      <c r="A12" s="1">
        <f t="shared" si="0"/>
        <v>41776</v>
      </c>
      <c r="B12" s="1">
        <v>41847</v>
      </c>
      <c r="C12" s="2">
        <f t="shared" si="1"/>
        <v>20000</v>
      </c>
      <c r="D12" s="2">
        <f>20227.98</f>
        <v>20227.98</v>
      </c>
      <c r="E12">
        <f t="shared" ref="E12" si="14">ROUND((D12-C12)*365/(B12-A12)/C12*100,2)</f>
        <v>5.86</v>
      </c>
      <c r="F12">
        <v>0</v>
      </c>
      <c r="G12">
        <f t="shared" ref="G12" si="15">ROUND((D12+F12-C12)*365/(B12-A12)/C12*100,2)</f>
        <v>5.86</v>
      </c>
      <c r="H12" s="2">
        <f>20212.4</f>
        <v>20212.400000000001</v>
      </c>
      <c r="I12">
        <f t="shared" ref="I12" si="16">ROUND((H12+F12-C12)*365/(B12-A12)/C12*100,2)</f>
        <v>5.46</v>
      </c>
    </row>
    <row r="13" spans="1:9" x14ac:dyDescent="0.15">
      <c r="A13" s="1">
        <f t="shared" si="0"/>
        <v>41776</v>
      </c>
      <c r="B13" s="1">
        <v>41853</v>
      </c>
      <c r="C13" s="2">
        <f t="shared" si="1"/>
        <v>20000</v>
      </c>
      <c r="D13" s="2">
        <f>20247.36</f>
        <v>20247.36</v>
      </c>
      <c r="E13">
        <f t="shared" ref="E13" si="17">ROUND((D13-C13)*365/(B13-A13)/C13*100,2)</f>
        <v>5.86</v>
      </c>
      <c r="F13">
        <v>0</v>
      </c>
      <c r="G13">
        <f t="shared" ref="G13" si="18">ROUND((D13+F13-C13)*365/(B13-A13)/C13*100,2)</f>
        <v>5.86</v>
      </c>
      <c r="H13" s="2">
        <f>20231.77</f>
        <v>20231.77</v>
      </c>
      <c r="I13">
        <f t="shared" ref="I13" si="19">ROUND((H13+F13-C13)*365/(B13-A13)/C13*100,2)</f>
        <v>5.49</v>
      </c>
    </row>
    <row r="14" spans="1:9" x14ac:dyDescent="0.15">
      <c r="A14" s="1">
        <f t="shared" si="0"/>
        <v>41776</v>
      </c>
      <c r="B14" s="1">
        <v>41868</v>
      </c>
      <c r="C14" s="2">
        <f t="shared" si="1"/>
        <v>20000</v>
      </c>
      <c r="D14" s="2">
        <f>20295.91</f>
        <v>20295.91</v>
      </c>
      <c r="E14">
        <f t="shared" ref="E14" si="20">ROUND((D14-C14)*365/(B14-A14)/C14*100,2)</f>
        <v>5.87</v>
      </c>
      <c r="F14">
        <v>0</v>
      </c>
      <c r="G14">
        <f t="shared" ref="G14" si="21">ROUND((D14+F14-C14)*365/(B14-A14)/C14*100,2)</f>
        <v>5.87</v>
      </c>
      <c r="H14" s="2">
        <f>20295.91</f>
        <v>20295.91</v>
      </c>
      <c r="I14">
        <f t="shared" ref="I14" si="22">ROUND((H14+F14-C14)*365/(B14-A14)/C14*100,2)</f>
        <v>5.87</v>
      </c>
    </row>
    <row r="15" spans="1:9" x14ac:dyDescent="0.15">
      <c r="A15" s="1">
        <f t="shared" si="0"/>
        <v>41776</v>
      </c>
      <c r="B15" s="1">
        <v>41875</v>
      </c>
      <c r="C15" s="2">
        <f t="shared" si="1"/>
        <v>20000</v>
      </c>
      <c r="D15" s="2">
        <f>20318.6</f>
        <v>20318.599999999999</v>
      </c>
      <c r="E15">
        <f t="shared" ref="E15" si="23">ROUND((D15-C15)*365/(B15-A15)/C15*100,2)</f>
        <v>5.87</v>
      </c>
      <c r="F15">
        <v>0</v>
      </c>
      <c r="G15">
        <f t="shared" ref="G15" si="24">ROUND((D15+F15-C15)*365/(B15-A15)/C15*100,2)</f>
        <v>5.87</v>
      </c>
      <c r="H15" s="2">
        <f>20318.6</f>
        <v>20318.599999999999</v>
      </c>
      <c r="I15">
        <f t="shared" ref="I15" si="25">ROUND((H15+F15-C15)*365/(B15-A15)/C15*100,2)</f>
        <v>5.87</v>
      </c>
    </row>
    <row r="16" spans="1:9" x14ac:dyDescent="0.15">
      <c r="A16" s="1">
        <f t="shared" si="0"/>
        <v>41776</v>
      </c>
      <c r="B16" s="1">
        <v>41882</v>
      </c>
      <c r="C16" s="2">
        <f t="shared" si="1"/>
        <v>20000</v>
      </c>
      <c r="D16" s="2">
        <f>20341.32</f>
        <v>20341.32</v>
      </c>
      <c r="E16">
        <f t="shared" ref="E16" si="26">ROUND((D16-C16)*365/(B16-A16)/C16*100,2)</f>
        <v>5.88</v>
      </c>
      <c r="F16">
        <v>0</v>
      </c>
      <c r="G16">
        <f t="shared" ref="G16" si="27">ROUND((D16+F16-C16)*365/(B16-A16)/C16*100,2)</f>
        <v>5.88</v>
      </c>
      <c r="H16" s="2">
        <f>20341.32</f>
        <v>20341.32</v>
      </c>
      <c r="I16">
        <f t="shared" ref="I16" si="28">ROUND((H16+F16-C16)*365/(B16-A16)/C16*100,2)</f>
        <v>5.88</v>
      </c>
    </row>
    <row r="17" spans="1:9" x14ac:dyDescent="0.15">
      <c r="A17" s="1">
        <f t="shared" si="0"/>
        <v>41776</v>
      </c>
      <c r="B17" s="1">
        <v>41889</v>
      </c>
      <c r="C17" s="2">
        <f t="shared" si="1"/>
        <v>20000</v>
      </c>
      <c r="D17" s="2">
        <f>20364.06</f>
        <v>20364.060000000001</v>
      </c>
      <c r="E17">
        <f t="shared" ref="E17" si="29">ROUND((D17-C17)*365/(B17-A17)/C17*100,2)</f>
        <v>5.88</v>
      </c>
      <c r="F17">
        <v>0</v>
      </c>
      <c r="G17">
        <f t="shared" ref="G17" si="30">ROUND((D17+F17-C17)*365/(B17-A17)/C17*100,2)</f>
        <v>5.88</v>
      </c>
      <c r="H17" s="2">
        <f>20364.06</f>
        <v>20364.060000000001</v>
      </c>
      <c r="I17">
        <f t="shared" ref="I17" si="31">ROUND((H17+F17-C17)*365/(B17-A17)/C17*100,2)</f>
        <v>5.88</v>
      </c>
    </row>
    <row r="18" spans="1:9" x14ac:dyDescent="0.15">
      <c r="A18" s="1">
        <f t="shared" si="0"/>
        <v>41776</v>
      </c>
      <c r="B18" s="1">
        <v>41896</v>
      </c>
      <c r="C18" s="2">
        <f t="shared" si="1"/>
        <v>20000</v>
      </c>
      <c r="D18" s="2">
        <f>20386.83</f>
        <v>20386.830000000002</v>
      </c>
      <c r="E18">
        <f t="shared" ref="E18" si="32">ROUND((D18-C18)*365/(B18-A18)/C18*100,2)</f>
        <v>5.88</v>
      </c>
      <c r="F18">
        <v>0</v>
      </c>
      <c r="G18">
        <f t="shared" ref="G18" si="33">ROUND((D18+F18-C18)*365/(B18-A18)/C18*100,2)</f>
        <v>5.88</v>
      </c>
      <c r="H18" s="2">
        <f>20386.83</f>
        <v>20386.830000000002</v>
      </c>
      <c r="I18">
        <f t="shared" ref="I18" si="34">ROUND((H18+F18-C18)*365/(B18-A18)/C18*100,2)</f>
        <v>5.88</v>
      </c>
    </row>
    <row r="19" spans="1:9" x14ac:dyDescent="0.15">
      <c r="A19" s="1">
        <f t="shared" si="0"/>
        <v>41776</v>
      </c>
      <c r="B19" s="1">
        <v>41909</v>
      </c>
      <c r="C19" s="2">
        <f t="shared" si="1"/>
        <v>20000</v>
      </c>
      <c r="D19" s="2">
        <f>20429.18</f>
        <v>20429.18</v>
      </c>
      <c r="E19">
        <f t="shared" ref="E19" si="35">ROUND((D19-C19)*365/(B19-A19)/C19*100,2)</f>
        <v>5.89</v>
      </c>
      <c r="F19">
        <v>0</v>
      </c>
      <c r="G19">
        <f t="shared" ref="G19" si="36">ROUND((D19+F19-C19)*365/(B19-A19)/C19*100,2)</f>
        <v>5.89</v>
      </c>
      <c r="H19" s="2">
        <f>20429.18</f>
        <v>20429.18</v>
      </c>
      <c r="I19">
        <f t="shared" ref="I19" si="37">ROUND((H19+F19-C19)*365/(B19-A19)/C19*100,2)</f>
        <v>5.89</v>
      </c>
    </row>
    <row r="20" spans="1:9" x14ac:dyDescent="0.15">
      <c r="A20" s="1">
        <f t="shared" si="0"/>
        <v>41776</v>
      </c>
      <c r="B20" s="1">
        <v>41924</v>
      </c>
      <c r="C20" s="2">
        <f t="shared" si="1"/>
        <v>20000</v>
      </c>
      <c r="D20" s="2">
        <v>20478.150000000001</v>
      </c>
      <c r="E20">
        <f t="shared" ref="E20" si="38">ROUND((D20-C20)*365/(B20-A20)/C20*100,2)</f>
        <v>5.9</v>
      </c>
      <c r="F20">
        <v>0</v>
      </c>
      <c r="G20">
        <f t="shared" ref="G20" si="39">ROUND((D20+F20-C20)*365/(B20-A20)/C20*100,2)</f>
        <v>5.9</v>
      </c>
      <c r="H20" s="2">
        <f>D20</f>
        <v>20478.150000000001</v>
      </c>
      <c r="I20">
        <f t="shared" ref="I20" si="40">ROUND((H20+F20-C20)*365/(B20-A20)/C20*100,2)</f>
        <v>5.9</v>
      </c>
    </row>
    <row r="21" spans="1:9" x14ac:dyDescent="0.15">
      <c r="A21" s="1">
        <f t="shared" si="0"/>
        <v>41776</v>
      </c>
      <c r="B21" s="1">
        <v>41931</v>
      </c>
      <c r="C21" s="2">
        <f t="shared" si="1"/>
        <v>20000</v>
      </c>
      <c r="D21" s="2">
        <f>20501.05</f>
        <v>20501.05</v>
      </c>
      <c r="E21">
        <f t="shared" ref="E21" si="41">ROUND((D21-C21)*365/(B21-A21)/C21*100,2)</f>
        <v>5.9</v>
      </c>
      <c r="F21">
        <v>0</v>
      </c>
      <c r="G21">
        <f t="shared" ref="G21" si="42">ROUND((D21+F21-C21)*365/(B21-A21)/C21*100,2)</f>
        <v>5.9</v>
      </c>
      <c r="H21" s="2">
        <f>20501.05</f>
        <v>20501.05</v>
      </c>
      <c r="I21">
        <f t="shared" ref="I21" si="43">ROUND((H21+F21-C21)*365/(B21-A21)/C21*100,2)</f>
        <v>5.9</v>
      </c>
    </row>
    <row r="22" spans="1:9" x14ac:dyDescent="0.15">
      <c r="A22" s="1">
        <f t="shared" si="0"/>
        <v>41776</v>
      </c>
      <c r="B22" s="1">
        <v>41938</v>
      </c>
      <c r="C22" s="2">
        <f t="shared" si="1"/>
        <v>20000</v>
      </c>
      <c r="D22" s="2">
        <f>20523.97</f>
        <v>20523.97</v>
      </c>
      <c r="E22">
        <f t="shared" ref="E22" si="44">ROUND((D22-C22)*365/(B22-A22)/C22*100,2)</f>
        <v>5.9</v>
      </c>
      <c r="F22">
        <v>0</v>
      </c>
      <c r="G22">
        <f t="shared" ref="G22" si="45">ROUND((D22+F22-C22)*365/(B22-A22)/C22*100,2)</f>
        <v>5.9</v>
      </c>
      <c r="H22" s="2">
        <f>D22</f>
        <v>20523.97</v>
      </c>
      <c r="I22">
        <f t="shared" ref="I22" si="46">ROUND((H22+F22-C22)*365/(B22-A22)/C22*100,2)</f>
        <v>5.9</v>
      </c>
    </row>
    <row r="23" spans="1:9" x14ac:dyDescent="0.15">
      <c r="A23" s="1">
        <f t="shared" si="0"/>
        <v>41776</v>
      </c>
      <c r="B23" s="1">
        <v>41939</v>
      </c>
      <c r="C23" s="2">
        <f t="shared" si="1"/>
        <v>20000</v>
      </c>
      <c r="D23" s="2">
        <v>20527.25</v>
      </c>
      <c r="E23">
        <f t="shared" ref="E23" si="47">ROUND((D23-C23)*365/(B23-A23)/C23*100,2)</f>
        <v>5.9</v>
      </c>
      <c r="F23">
        <v>0</v>
      </c>
      <c r="G23">
        <f t="shared" ref="G23" si="48">ROUND((D23+F23-C23)*365/(B23-A23)/C23*100,2)</f>
        <v>5.9</v>
      </c>
      <c r="H23" s="2">
        <f>D23</f>
        <v>20527.25</v>
      </c>
      <c r="I23">
        <f t="shared" ref="I23" si="49">ROUND((H23+F23-C23)*365/(B23-A23)/C23*100,2)</f>
        <v>5.9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5" sqref="H15"/>
    </sheetView>
  </sheetViews>
  <sheetFormatPr defaultRowHeight="13.5" x14ac:dyDescent="0.15"/>
  <cols>
    <col min="1" max="1" width="11.625" bestFit="1" customWidth="1"/>
    <col min="2" max="2" width="11.625" style="1" bestFit="1" customWidth="1"/>
    <col min="3" max="4" width="11.625" style="2" bestFit="1" customWidth="1"/>
    <col min="6" max="6" width="11" customWidth="1"/>
    <col min="7" max="7" width="13" bestFit="1" customWidth="1"/>
    <col min="8" max="8" width="10.5" bestFit="1" customWidth="1"/>
    <col min="9" max="9" width="13" bestFit="1" customWidth="1"/>
    <col min="10" max="10" width="11.625" bestFit="1" customWidth="1"/>
  </cols>
  <sheetData>
    <row r="1" spans="1:9" x14ac:dyDescent="0.15">
      <c r="A1" t="s">
        <v>5</v>
      </c>
      <c r="B1" s="1" t="s">
        <v>0</v>
      </c>
      <c r="C1" s="2" t="s">
        <v>1</v>
      </c>
      <c r="D1" s="2" t="s">
        <v>2</v>
      </c>
      <c r="E1" t="s">
        <v>3</v>
      </c>
      <c r="F1" t="s">
        <v>16</v>
      </c>
      <c r="G1" t="s">
        <v>17</v>
      </c>
      <c r="H1" t="s">
        <v>15</v>
      </c>
      <c r="I1" t="s">
        <v>17</v>
      </c>
    </row>
    <row r="2" spans="1:9" x14ac:dyDescent="0.15">
      <c r="A2" s="1">
        <v>41825</v>
      </c>
      <c r="B2" s="1">
        <v>41825</v>
      </c>
      <c r="C2" s="2">
        <v>10000</v>
      </c>
      <c r="D2" s="2">
        <v>10000</v>
      </c>
      <c r="F2">
        <v>0</v>
      </c>
    </row>
    <row r="3" spans="1:9" x14ac:dyDescent="0.15">
      <c r="A3" s="1">
        <f t="shared" ref="A3:A15" si="0">A2</f>
        <v>41825</v>
      </c>
      <c r="B3" s="1">
        <v>41840</v>
      </c>
      <c r="C3" s="2">
        <f t="shared" ref="C3:C15" si="1">C2</f>
        <v>10000</v>
      </c>
      <c r="D3" s="2">
        <f>10023.98</f>
        <v>10023.98</v>
      </c>
      <c r="E3">
        <f t="shared" ref="E3" si="2">ROUND((D3-C3)*365/(B3-A3)/C3*100,2)</f>
        <v>5.84</v>
      </c>
      <c r="F3">
        <v>0</v>
      </c>
      <c r="G3">
        <f t="shared" ref="G3" si="3">ROUND((D3+F3-C3)*365/(B3-A3)/C3*100,2)</f>
        <v>5.84</v>
      </c>
      <c r="H3" s="2">
        <f>9923.74</f>
        <v>9923.74</v>
      </c>
      <c r="I3">
        <f t="shared" ref="I3" si="4">ROUND((H3+F3-C3)*365/(B3-A3)/C3*100,2)</f>
        <v>-18.559999999999999</v>
      </c>
    </row>
    <row r="4" spans="1:9" x14ac:dyDescent="0.15">
      <c r="A4" s="1">
        <f t="shared" si="0"/>
        <v>41825</v>
      </c>
      <c r="B4" s="1">
        <v>41847</v>
      </c>
      <c r="C4" s="2">
        <f t="shared" si="1"/>
        <v>10000</v>
      </c>
      <c r="D4" s="2">
        <f>10035.19</f>
        <v>10035.19</v>
      </c>
      <c r="E4">
        <f t="shared" ref="E4" si="5">ROUND((D4-C4)*365/(B4-A4)/C4*100,2)</f>
        <v>5.84</v>
      </c>
      <c r="F4">
        <v>0</v>
      </c>
      <c r="G4">
        <f t="shared" ref="G4" si="6">ROUND((D4+F4-C4)*365/(B4-A4)/C4*100,2)</f>
        <v>5.84</v>
      </c>
      <c r="H4" s="2">
        <f>9934.84</f>
        <v>9934.84</v>
      </c>
      <c r="I4">
        <f t="shared" ref="I4" si="7">ROUND((H4+F4-C4)*365/(B4-A4)/C4*100,2)</f>
        <v>-10.81</v>
      </c>
    </row>
    <row r="5" spans="1:9" x14ac:dyDescent="0.15">
      <c r="A5" s="1">
        <f t="shared" si="0"/>
        <v>41825</v>
      </c>
      <c r="B5" s="1">
        <v>41853</v>
      </c>
      <c r="C5" s="2">
        <f t="shared" si="1"/>
        <v>10000</v>
      </c>
      <c r="D5" s="2">
        <f>10044.81</f>
        <v>10044.81</v>
      </c>
      <c r="E5">
        <f t="shared" ref="E5" si="8">ROUND((D5-C5)*365/(B5-A5)/C5*100,2)</f>
        <v>5.84</v>
      </c>
      <c r="F5">
        <v>0</v>
      </c>
      <c r="G5">
        <f t="shared" ref="G5" si="9">ROUND((D5+F5-C5)*365/(B5-A5)/C5*100,2)</f>
        <v>5.84</v>
      </c>
      <c r="H5" s="2">
        <f>9944.36</f>
        <v>9944.36</v>
      </c>
      <c r="I5">
        <f t="shared" ref="I5" si="10">ROUND((H5+F5-C5)*365/(B5-A5)/C5*100,2)</f>
        <v>-7.25</v>
      </c>
    </row>
    <row r="6" spans="1:9" x14ac:dyDescent="0.15">
      <c r="A6" s="1">
        <f t="shared" si="0"/>
        <v>41825</v>
      </c>
      <c r="B6" s="1">
        <v>41868</v>
      </c>
      <c r="C6" s="2">
        <f t="shared" si="1"/>
        <v>10000</v>
      </c>
      <c r="D6" s="2">
        <f>10068.89</f>
        <v>10068.89</v>
      </c>
      <c r="E6">
        <f t="shared" ref="E6" si="11">ROUND((D6-C6)*365/(B6-A6)/C6*100,2)</f>
        <v>5.85</v>
      </c>
      <c r="F6">
        <v>0</v>
      </c>
      <c r="G6">
        <f t="shared" ref="G6" si="12">ROUND((D6+F6-C6)*365/(B6-A6)/C6*100,2)</f>
        <v>5.85</v>
      </c>
      <c r="H6" s="2">
        <f>10061.14</f>
        <v>10061.14</v>
      </c>
      <c r="I6">
        <f t="shared" ref="I6" si="13">ROUND((H6+F6-C6)*365/(B6-A6)/C6*100,2)</f>
        <v>5.19</v>
      </c>
    </row>
    <row r="7" spans="1:9" x14ac:dyDescent="0.15">
      <c r="A7" s="1">
        <f t="shared" si="0"/>
        <v>41825</v>
      </c>
      <c r="B7" s="1">
        <v>41875</v>
      </c>
      <c r="C7" s="2">
        <f t="shared" si="1"/>
        <v>10000</v>
      </c>
      <c r="D7" s="2">
        <f>10080.15</f>
        <v>10080.15</v>
      </c>
      <c r="E7">
        <f t="shared" ref="E7" si="14">ROUND((D7-C7)*365/(B7-A7)/C7*100,2)</f>
        <v>5.85</v>
      </c>
      <c r="F7">
        <v>0</v>
      </c>
      <c r="G7">
        <f t="shared" ref="G7" si="15">ROUND((D7+F7-C7)*365/(B7-A7)/C7*100,2)</f>
        <v>5.85</v>
      </c>
      <c r="H7" s="2">
        <f>10072.39</f>
        <v>10072.39</v>
      </c>
      <c r="I7">
        <f t="shared" ref="I7" si="16">ROUND((H7+F7-C7)*365/(B7-A7)/C7*100,2)</f>
        <v>5.28</v>
      </c>
    </row>
    <row r="8" spans="1:9" x14ac:dyDescent="0.15">
      <c r="A8" s="1">
        <f t="shared" si="0"/>
        <v>41825</v>
      </c>
      <c r="B8" s="1">
        <v>41882</v>
      </c>
      <c r="C8" s="2">
        <f t="shared" si="1"/>
        <v>10000</v>
      </c>
      <c r="D8" s="2">
        <f>10091.42</f>
        <v>10091.42</v>
      </c>
      <c r="E8">
        <f t="shared" ref="E8" si="17">ROUND((D8-C8)*365/(B8-A8)/C8*100,2)</f>
        <v>5.85</v>
      </c>
      <c r="F8">
        <v>0</v>
      </c>
      <c r="G8">
        <f t="shared" ref="G8" si="18">ROUND((D8+F8-C8)*365/(B8-A8)/C8*100,2)</f>
        <v>5.85</v>
      </c>
      <c r="H8" s="2">
        <f>10083.65</f>
        <v>10083.65</v>
      </c>
      <c r="I8">
        <f t="shared" ref="I8" si="19">ROUND((H8+F8-C8)*365/(B8-A8)/C8*100,2)</f>
        <v>5.36</v>
      </c>
    </row>
    <row r="9" spans="1:9" x14ac:dyDescent="0.15">
      <c r="A9" s="1">
        <f t="shared" si="0"/>
        <v>41825</v>
      </c>
      <c r="B9" s="1">
        <v>41889</v>
      </c>
      <c r="C9" s="2">
        <f t="shared" si="1"/>
        <v>10000</v>
      </c>
      <c r="D9" s="2">
        <f>10102.7</f>
        <v>10102.700000000001</v>
      </c>
      <c r="E9">
        <f t="shared" ref="E9" si="20">ROUND((D9-C9)*365/(B9-A9)/C9*100,2)</f>
        <v>5.86</v>
      </c>
      <c r="F9">
        <v>0</v>
      </c>
      <c r="G9">
        <f t="shared" ref="G9" si="21">ROUND((D9+F9-C9)*365/(B9-A9)/C9*100,2)</f>
        <v>5.86</v>
      </c>
      <c r="H9" s="2">
        <f>10094.92</f>
        <v>10094.92</v>
      </c>
      <c r="I9">
        <f t="shared" ref="I9" si="22">ROUND((H9+F9-C9)*365/(B9-A9)/C9*100,2)</f>
        <v>5.41</v>
      </c>
    </row>
    <row r="10" spans="1:9" x14ac:dyDescent="0.15">
      <c r="A10" s="1">
        <f t="shared" si="0"/>
        <v>41825</v>
      </c>
      <c r="B10" s="1">
        <v>41896</v>
      </c>
      <c r="C10" s="2">
        <f t="shared" si="1"/>
        <v>10000</v>
      </c>
      <c r="D10" s="2">
        <f>10114</f>
        <v>10114</v>
      </c>
      <c r="E10">
        <f t="shared" ref="E10" si="23">ROUND((D10-C10)*365/(B10-A10)/C10*100,2)</f>
        <v>5.86</v>
      </c>
      <c r="F10">
        <v>0</v>
      </c>
      <c r="G10">
        <f t="shared" ref="G10" si="24">ROUND((D10+F10-C10)*365/(B10-A10)/C10*100,2)</f>
        <v>5.86</v>
      </c>
      <c r="H10" s="2">
        <f>10106.21</f>
        <v>10106.209999999999</v>
      </c>
      <c r="I10">
        <f t="shared" ref="I10" si="25">ROUND((H10+F10-C10)*365/(B10-A10)/C10*100,2)</f>
        <v>5.46</v>
      </c>
    </row>
    <row r="11" spans="1:9" x14ac:dyDescent="0.15">
      <c r="A11" s="1">
        <f t="shared" si="0"/>
        <v>41825</v>
      </c>
      <c r="B11" s="1">
        <v>41909</v>
      </c>
      <c r="C11" s="2">
        <f t="shared" si="1"/>
        <v>10000</v>
      </c>
      <c r="D11" s="2">
        <f>10135.01</f>
        <v>10135.01</v>
      </c>
      <c r="E11">
        <f t="shared" ref="E11" si="26">ROUND((D11-C11)*365/(B11-A11)/C11*100,2)</f>
        <v>5.87</v>
      </c>
      <c r="F11">
        <v>0</v>
      </c>
      <c r="G11">
        <f t="shared" ref="G11" si="27">ROUND((D11+F11-C11)*365/(B11-A11)/C11*100,2)</f>
        <v>5.87</v>
      </c>
      <c r="H11" s="2">
        <f>10127.21</f>
        <v>10127.209999999999</v>
      </c>
      <c r="I11">
        <f t="shared" ref="I11" si="28">ROUND((H11+F11-C11)*365/(B11-A11)/C11*100,2)</f>
        <v>5.53</v>
      </c>
    </row>
    <row r="12" spans="1:9" x14ac:dyDescent="0.15">
      <c r="A12" s="1">
        <f t="shared" si="0"/>
        <v>41825</v>
      </c>
      <c r="B12" s="1">
        <v>41924</v>
      </c>
      <c r="C12" s="2">
        <f t="shared" si="1"/>
        <v>10000</v>
      </c>
      <c r="D12" s="2">
        <v>10159.32</v>
      </c>
      <c r="E12">
        <f t="shared" ref="E12" si="29">ROUND((D12-C12)*365/(B12-A12)/C12*100,2)</f>
        <v>5.87</v>
      </c>
      <c r="F12">
        <v>0</v>
      </c>
      <c r="G12">
        <f t="shared" ref="G12" si="30">ROUND((D12+F12-C12)*365/(B12-A12)/C12*100,2)</f>
        <v>5.87</v>
      </c>
      <c r="H12" s="2">
        <f>D12</f>
        <v>10159.32</v>
      </c>
      <c r="I12">
        <f t="shared" ref="I12" si="31">ROUND((H12+F12-C12)*365/(B12-A12)/C12*100,2)</f>
        <v>5.87</v>
      </c>
    </row>
    <row r="13" spans="1:9" x14ac:dyDescent="0.15">
      <c r="A13" s="1">
        <f t="shared" si="0"/>
        <v>41825</v>
      </c>
      <c r="B13" s="1">
        <v>41931</v>
      </c>
      <c r="C13" s="2">
        <f t="shared" si="1"/>
        <v>10000</v>
      </c>
      <c r="D13" s="2">
        <f>10170.68</f>
        <v>10170.68</v>
      </c>
      <c r="E13">
        <f t="shared" ref="E13" si="32">ROUND((D13-C13)*365/(B13-A13)/C13*100,2)</f>
        <v>5.88</v>
      </c>
      <c r="F13">
        <v>0</v>
      </c>
      <c r="G13">
        <f t="shared" ref="G13" si="33">ROUND((D13+F13-C13)*365/(B13-A13)/C13*100,2)</f>
        <v>5.88</v>
      </c>
      <c r="H13" s="2">
        <f>D13</f>
        <v>10170.68</v>
      </c>
      <c r="I13">
        <f t="shared" ref="I13" si="34">ROUND((H13+F13-C13)*365/(B13-A13)/C13*100,2)</f>
        <v>5.88</v>
      </c>
    </row>
    <row r="14" spans="1:9" x14ac:dyDescent="0.15">
      <c r="A14" s="1">
        <f t="shared" si="0"/>
        <v>41825</v>
      </c>
      <c r="B14" s="1">
        <v>41938</v>
      </c>
      <c r="C14" s="2">
        <f t="shared" si="1"/>
        <v>10000</v>
      </c>
      <c r="D14" s="2">
        <f>10182.05</f>
        <v>10182.049999999999</v>
      </c>
      <c r="E14">
        <f t="shared" ref="E14" si="35">ROUND((D14-C14)*365/(B14-A14)/C14*100,2)</f>
        <v>5.88</v>
      </c>
      <c r="F14">
        <v>0</v>
      </c>
      <c r="G14">
        <f t="shared" ref="G14" si="36">ROUND((D14+F14-C14)*365/(B14-A14)/C14*100,2)</f>
        <v>5.88</v>
      </c>
      <c r="H14" s="2">
        <f>D14</f>
        <v>10182.049999999999</v>
      </c>
      <c r="I14">
        <f t="shared" ref="I14" si="37">ROUND((H14+F14-C14)*365/(B14-A14)/C14*100,2)</f>
        <v>5.88</v>
      </c>
    </row>
    <row r="15" spans="1:9" x14ac:dyDescent="0.15">
      <c r="A15" s="1">
        <f t="shared" si="0"/>
        <v>41825</v>
      </c>
      <c r="B15" s="1">
        <v>41939</v>
      </c>
      <c r="C15" s="2">
        <f t="shared" si="1"/>
        <v>10000</v>
      </c>
      <c r="D15" s="2">
        <v>10183.68</v>
      </c>
      <c r="E15">
        <f t="shared" ref="E15" si="38">ROUND((D15-C15)*365/(B15-A15)/C15*100,2)</f>
        <v>5.88</v>
      </c>
      <c r="F15">
        <v>0</v>
      </c>
      <c r="G15">
        <f t="shared" ref="G15" si="39">ROUND((D15+F15-C15)*365/(B15-A15)/C15*100,2)</f>
        <v>5.88</v>
      </c>
      <c r="H15" s="2">
        <f>D15</f>
        <v>10183.68</v>
      </c>
      <c r="I15">
        <f t="shared" ref="I15" si="40">ROUND((H15+F15-C15)*365/(B15-A15)/C15*100,2)</f>
        <v>5.88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D33" sqref="D33"/>
    </sheetView>
  </sheetViews>
  <sheetFormatPr defaultRowHeight="13.5" x14ac:dyDescent="0.15"/>
  <cols>
    <col min="1" max="1" width="11.625" bestFit="1" customWidth="1"/>
    <col min="2" max="2" width="11.625" style="1" bestFit="1" customWidth="1"/>
    <col min="3" max="4" width="11.625" style="2" bestFit="1" customWidth="1"/>
    <col min="6" max="6" width="11" customWidth="1"/>
    <col min="7" max="7" width="13" bestFit="1" customWidth="1"/>
    <col min="8" max="8" width="10.5" bestFit="1" customWidth="1"/>
    <col min="9" max="9" width="13" bestFit="1" customWidth="1"/>
    <col min="10" max="10" width="11.625" bestFit="1" customWidth="1"/>
  </cols>
  <sheetData>
    <row r="1" spans="1:9" x14ac:dyDescent="0.15">
      <c r="A1" t="s">
        <v>5</v>
      </c>
      <c r="B1" s="1" t="s">
        <v>0</v>
      </c>
      <c r="C1" s="2" t="s">
        <v>1</v>
      </c>
      <c r="D1" s="2" t="s">
        <v>2</v>
      </c>
      <c r="E1" t="s">
        <v>3</v>
      </c>
      <c r="F1" t="s">
        <v>16</v>
      </c>
      <c r="G1" t="s">
        <v>17</v>
      </c>
      <c r="H1" t="s">
        <v>15</v>
      </c>
      <c r="I1" t="s">
        <v>17</v>
      </c>
    </row>
    <row r="2" spans="1:9" x14ac:dyDescent="0.15">
      <c r="A2" s="1">
        <v>41590</v>
      </c>
      <c r="B2" s="1">
        <v>41590</v>
      </c>
      <c r="C2" s="2">
        <v>5000</v>
      </c>
      <c r="D2" s="2">
        <v>5000</v>
      </c>
      <c r="F2">
        <v>0</v>
      </c>
    </row>
    <row r="3" spans="1:9" x14ac:dyDescent="0.15">
      <c r="A3" s="1">
        <f t="shared" ref="A3" si="0">A2</f>
        <v>41590</v>
      </c>
      <c r="B3" s="1">
        <v>41590</v>
      </c>
      <c r="C3" s="2">
        <f t="shared" ref="C3" si="1">C2</f>
        <v>5000</v>
      </c>
      <c r="D3" s="2">
        <v>5000</v>
      </c>
      <c r="E3" t="e">
        <f t="shared" ref="E3" si="2">ROUND((D3-C3)*365/(B3-A3)/C3*100,2)</f>
        <v>#DIV/0!</v>
      </c>
      <c r="F3">
        <v>0</v>
      </c>
      <c r="G3" t="e">
        <f t="shared" ref="G3" si="3">ROUND((D3+F3-C3)*365/(B3-A3)/C3*100,2)</f>
        <v>#DIV/0!</v>
      </c>
      <c r="H3" s="2">
        <f>C3-10</f>
        <v>4990</v>
      </c>
      <c r="I3" t="e">
        <f t="shared" ref="I3" si="4">ROUND((H3+F3-C3)*365/(B3-A3)/C3*100,2)</f>
        <v>#DIV/0!</v>
      </c>
    </row>
    <row r="4" spans="1:9" x14ac:dyDescent="0.15">
      <c r="A4" s="1">
        <v>41590</v>
      </c>
      <c r="B4" s="1">
        <v>41601</v>
      </c>
      <c r="C4" s="2">
        <v>5000</v>
      </c>
      <c r="D4" s="2">
        <f>5010.21</f>
        <v>5010.21</v>
      </c>
      <c r="E4">
        <f t="shared" ref="E4" si="5">ROUND((D4-C4)*365/(B4-A4)/C4*100,2)</f>
        <v>6.78</v>
      </c>
      <c r="F4">
        <v>0</v>
      </c>
      <c r="G4">
        <f t="shared" ref="G4" si="6">ROUND((D4+F4-C4)*365/(B4-A4)/C4*100,2)</f>
        <v>6.78</v>
      </c>
      <c r="H4" s="2">
        <f>4910.01</f>
        <v>4910.01</v>
      </c>
      <c r="I4">
        <f t="shared" ref="I4" si="7">ROUND((H4+F4-C4)*365/(B4-A4)/C4*100,2)</f>
        <v>-59.72</v>
      </c>
    </row>
    <row r="5" spans="1:9" x14ac:dyDescent="0.15">
      <c r="A5" s="1">
        <v>41590</v>
      </c>
      <c r="B5" s="1">
        <v>41604</v>
      </c>
      <c r="C5" s="2">
        <v>5000</v>
      </c>
      <c r="D5" s="2">
        <v>5013</v>
      </c>
      <c r="E5">
        <f t="shared" ref="E5" si="8">ROUND((D5-C5)*365/(B5-A5)/C5*100,2)</f>
        <v>6.78</v>
      </c>
      <c r="F5">
        <v>0</v>
      </c>
      <c r="G5">
        <f t="shared" ref="G5" si="9">ROUND((D5+F5-C5)*365/(B5-A5)/C5*100,2)</f>
        <v>6.78</v>
      </c>
      <c r="H5" s="2">
        <f>4912.74</f>
        <v>4912.74</v>
      </c>
      <c r="I5">
        <f t="shared" ref="I5" si="10">ROUND((H5+F5-C5)*365/(B5-A5)/C5*100,2)</f>
        <v>-45.5</v>
      </c>
    </row>
    <row r="6" spans="1:9" x14ac:dyDescent="0.15">
      <c r="A6" s="1">
        <v>41590</v>
      </c>
      <c r="B6" s="1">
        <v>41610</v>
      </c>
      <c r="C6" s="2">
        <v>5000</v>
      </c>
      <c r="D6" s="2">
        <f>5018.58</f>
        <v>5018.58</v>
      </c>
      <c r="E6">
        <f t="shared" ref="E6:E7" si="11">ROUND((D6-C6)*365/(B6-A6)/C6*100,2)</f>
        <v>6.78</v>
      </c>
      <c r="F6">
        <v>0</v>
      </c>
      <c r="G6">
        <f t="shared" ref="G6:G7" si="12">ROUND((D6+F6-C6)*365/(B6-A6)/C6*100,2)</f>
        <v>6.78</v>
      </c>
      <c r="H6" s="2">
        <f>4918.21</f>
        <v>4918.21</v>
      </c>
      <c r="I6">
        <f t="shared" ref="I6" si="13">ROUND((H6+F6-C6)*365/(B6-A6)/C6*100,2)</f>
        <v>-29.85</v>
      </c>
    </row>
    <row r="7" spans="1:9" x14ac:dyDescent="0.15">
      <c r="A7" s="1">
        <v>41590</v>
      </c>
      <c r="B7" s="1">
        <v>41617</v>
      </c>
      <c r="C7" s="2">
        <v>5000</v>
      </c>
      <c r="D7" s="2">
        <f>5025.09</f>
        <v>5025.09</v>
      </c>
      <c r="E7">
        <f t="shared" si="11"/>
        <v>6.78</v>
      </c>
      <c r="F7">
        <v>0</v>
      </c>
      <c r="G7">
        <f t="shared" si="12"/>
        <v>6.78</v>
      </c>
      <c r="H7" s="2">
        <f>4924.59</f>
        <v>4924.59</v>
      </c>
      <c r="I7">
        <f t="shared" ref="I7" si="14">ROUND((H7+F7-C7)*365/(B7-A7)/C7*100,2)</f>
        <v>-20.39</v>
      </c>
    </row>
    <row r="8" spans="1:9" x14ac:dyDescent="0.15">
      <c r="A8" s="1">
        <v>41590</v>
      </c>
      <c r="B8" s="1">
        <v>41630</v>
      </c>
      <c r="C8" s="2">
        <v>5000</v>
      </c>
      <c r="D8" s="2">
        <f>5037.21</f>
        <v>5037.21</v>
      </c>
      <c r="E8">
        <f t="shared" ref="E8" si="15">ROUND((D8-C8)*365/(B8-A8)/C8*100,2)</f>
        <v>6.79</v>
      </c>
      <c r="F8">
        <v>0</v>
      </c>
      <c r="G8">
        <f t="shared" ref="G8" si="16">ROUND((D8+F8-C8)*365/(B8-A8)/C8*100,2)</f>
        <v>6.79</v>
      </c>
      <c r="H8" s="2">
        <f>4924.59</f>
        <v>4924.59</v>
      </c>
      <c r="I8">
        <f t="shared" ref="I8" si="17">ROUND((H8+F8-C8)*365/(B8-A8)/C8*100,2)</f>
        <v>-13.76</v>
      </c>
    </row>
    <row r="9" spans="1:9" x14ac:dyDescent="0.15">
      <c r="A9" s="1">
        <v>41590</v>
      </c>
      <c r="B9" s="1">
        <v>41642</v>
      </c>
      <c r="C9" s="2">
        <v>5000</v>
      </c>
      <c r="D9" s="2">
        <f>5048.43</f>
        <v>5048.43</v>
      </c>
      <c r="E9">
        <f t="shared" ref="E9" si="18">ROUND((D9-C9)*365/(B9-A9)/C9*100,2)</f>
        <v>6.8</v>
      </c>
      <c r="F9">
        <v>0</v>
      </c>
      <c r="G9">
        <f t="shared" ref="G9" si="19">ROUND((D9+F9-C9)*365/(B9-A9)/C9*100,2)</f>
        <v>6.8</v>
      </c>
      <c r="H9" s="2">
        <f>4947.46</f>
        <v>4947.46</v>
      </c>
      <c r="I9">
        <f t="shared" ref="I9" si="20">ROUND((H9+F9-C9)*365/(B9-A9)/C9*100,2)</f>
        <v>-7.38</v>
      </c>
    </row>
    <row r="10" spans="1:9" x14ac:dyDescent="0.15">
      <c r="A10" s="1">
        <v>41590</v>
      </c>
      <c r="B10" s="1">
        <v>41663</v>
      </c>
      <c r="C10" s="2">
        <v>5000</v>
      </c>
      <c r="D10" s="2">
        <f>5068.13</f>
        <v>5068.13</v>
      </c>
      <c r="E10">
        <f t="shared" ref="E10" si="21">ROUND((D10-C10)*365/(B10-A10)/C10*100,2)</f>
        <v>6.81</v>
      </c>
      <c r="F10">
        <v>0</v>
      </c>
      <c r="G10">
        <f t="shared" ref="G10" si="22">ROUND((D10+F10-C10)*365/(B10-A10)/C10*100,2)</f>
        <v>6.81</v>
      </c>
      <c r="H10" s="2">
        <f>4947.46</f>
        <v>4947.46</v>
      </c>
      <c r="I10">
        <f t="shared" ref="I10" si="23">ROUND((H10+F10-C10)*365/(B10-A10)/C10*100,2)</f>
        <v>-5.25</v>
      </c>
    </row>
    <row r="11" spans="1:9" x14ac:dyDescent="0.15">
      <c r="A11" s="1">
        <v>41590</v>
      </c>
      <c r="B11" s="1">
        <v>41671</v>
      </c>
      <c r="C11" s="2">
        <v>5000</v>
      </c>
      <c r="D11" s="2">
        <f>5075.64</f>
        <v>5075.6400000000003</v>
      </c>
      <c r="E11">
        <f t="shared" ref="E11" si="24">ROUND((D11-C11)*365/(B11-A11)/C11*100,2)</f>
        <v>6.82</v>
      </c>
      <c r="F11">
        <v>0</v>
      </c>
      <c r="G11">
        <f t="shared" ref="G11" si="25">ROUND((D11+F11-C11)*365/(B11-A11)/C11*100,2)</f>
        <v>6.82</v>
      </c>
      <c r="H11" s="2">
        <f>4974.13</f>
        <v>4974.13</v>
      </c>
      <c r="I11">
        <f t="shared" ref="I11" si="26">ROUND((H11+F11-C11)*365/(B11-A11)/C11*100,2)</f>
        <v>-2.33</v>
      </c>
    </row>
    <row r="12" spans="1:9" x14ac:dyDescent="0.15">
      <c r="A12" s="1">
        <v>41590</v>
      </c>
      <c r="B12" s="1">
        <v>41701</v>
      </c>
      <c r="C12" s="2">
        <v>5000</v>
      </c>
      <c r="D12" s="2">
        <f>5103.95</f>
        <v>5103.95</v>
      </c>
      <c r="E12">
        <f t="shared" ref="E12" si="27">ROUND((D12-C12)*365/(B12-A12)/C12*100,2)</f>
        <v>6.84</v>
      </c>
      <c r="F12">
        <v>0</v>
      </c>
      <c r="G12">
        <f t="shared" ref="G12" si="28">ROUND((D12+F12-C12)*365/(B12-A12)/C12*100,2)</f>
        <v>6.84</v>
      </c>
      <c r="H12" s="2">
        <f>5002.79</f>
        <v>5002.79</v>
      </c>
      <c r="I12">
        <f t="shared" ref="I12" si="29">ROUND((H12+F12-C12)*365/(B12-A12)/C12*100,2)</f>
        <v>0.18</v>
      </c>
    </row>
    <row r="13" spans="1:9" x14ac:dyDescent="0.15">
      <c r="A13" s="1">
        <v>41590</v>
      </c>
      <c r="B13" s="1">
        <v>41733</v>
      </c>
      <c r="C13" s="2">
        <v>5000</v>
      </c>
      <c r="D13" s="2">
        <v>5134.25</v>
      </c>
      <c r="E13">
        <f t="shared" ref="E13" si="30">ROUND((D13-C13)*365/(B13-A13)/C13*100,2)</f>
        <v>6.85</v>
      </c>
      <c r="F13">
        <v>0</v>
      </c>
      <c r="G13">
        <f t="shared" ref="G13" si="31">ROUND((D13+F13-C13)*365/(B13-A13)/C13*100,2)</f>
        <v>6.85</v>
      </c>
      <c r="H13" s="2">
        <v>5031.5600000000004</v>
      </c>
      <c r="I13">
        <f t="shared" ref="I13" si="32">ROUND((H13+F13-C13)*365/(B13-A13)/C13*100,2)</f>
        <v>1.61</v>
      </c>
    </row>
    <row r="14" spans="1:9" x14ac:dyDescent="0.15">
      <c r="A14" s="1">
        <v>41590</v>
      </c>
      <c r="B14" s="1">
        <v>41760</v>
      </c>
      <c r="C14" s="2">
        <v>5000</v>
      </c>
      <c r="D14" s="2">
        <f>5160.08</f>
        <v>5160.08</v>
      </c>
      <c r="E14">
        <f t="shared" ref="E14" si="33">ROUND((D14-C14)*365/(B14-A14)/C14*100,2)</f>
        <v>6.87</v>
      </c>
      <c r="F14">
        <v>0</v>
      </c>
      <c r="G14">
        <f t="shared" ref="G14" si="34">ROUND((D14+F14-C14)*365/(B14-A14)/C14*100,2)</f>
        <v>6.87</v>
      </c>
      <c r="H14" s="2">
        <f>5056.88</f>
        <v>5056.88</v>
      </c>
      <c r="I14">
        <f t="shared" ref="I14" si="35">ROUND((H14+F14-C14)*365/(B14-A14)/C14*100,2)</f>
        <v>2.44</v>
      </c>
    </row>
    <row r="15" spans="1:9" x14ac:dyDescent="0.15">
      <c r="A15" s="1">
        <v>41590</v>
      </c>
      <c r="B15" s="1">
        <v>41791</v>
      </c>
      <c r="C15" s="2">
        <v>5000</v>
      </c>
      <c r="D15" s="2">
        <f>5189.81</f>
        <v>5189.8100000000004</v>
      </c>
      <c r="E15">
        <f t="shared" ref="E15" si="36">ROUND((D15-C15)*365/(B15-A15)/C15*100,2)</f>
        <v>6.89</v>
      </c>
      <c r="F15">
        <v>0</v>
      </c>
      <c r="G15">
        <f t="shared" ref="G15" si="37">ROUND((D15+F15-C15)*365/(B15-A15)/C15*100,2)</f>
        <v>6.89</v>
      </c>
      <c r="H15" s="2">
        <f>5086.01</f>
        <v>5086.01</v>
      </c>
      <c r="I15">
        <f t="shared" ref="I15" si="38">ROUND((H15+F15-C15)*365/(B15-A15)/C15*100,2)</f>
        <v>3.12</v>
      </c>
    </row>
    <row r="16" spans="1:9" x14ac:dyDescent="0.15">
      <c r="A16" s="1">
        <v>41590</v>
      </c>
      <c r="B16" s="1">
        <v>41822</v>
      </c>
      <c r="C16" s="2">
        <v>5000</v>
      </c>
      <c r="D16" s="2">
        <f>5219.72</f>
        <v>5219.72</v>
      </c>
      <c r="E16">
        <f t="shared" ref="E16" si="39">ROUND((D16-C16)*365/(B16-A16)/C16*100,2)</f>
        <v>6.91</v>
      </c>
      <c r="F16">
        <v>0</v>
      </c>
      <c r="G16">
        <f t="shared" ref="G16" si="40">ROUND((D16+F16-C16)*365/(B16-A16)/C16*100,2)</f>
        <v>6.91</v>
      </c>
      <c r="H16" s="2">
        <f>5115.33</f>
        <v>5115.33</v>
      </c>
      <c r="I16">
        <f t="shared" ref="I16" si="41">ROUND((H16+F16-C16)*365/(B16-A16)/C16*100,2)</f>
        <v>3.63</v>
      </c>
    </row>
    <row r="17" spans="1:9" x14ac:dyDescent="0.15">
      <c r="A17" s="1">
        <v>41590</v>
      </c>
      <c r="B17" s="1">
        <v>41853</v>
      </c>
      <c r="C17" s="2">
        <v>5000</v>
      </c>
      <c r="D17" s="2">
        <f>5249.81</f>
        <v>5249.81</v>
      </c>
      <c r="E17">
        <f t="shared" ref="E17" si="42">ROUND((D17-C17)*365/(B17-A17)/C17*100,2)</f>
        <v>6.93</v>
      </c>
      <c r="F17">
        <v>0</v>
      </c>
      <c r="G17">
        <f t="shared" ref="G17" si="43">ROUND((D17+F17-C17)*365/(B17-A17)/C17*100,2)</f>
        <v>6.93</v>
      </c>
      <c r="H17" s="2">
        <f>5144.81</f>
        <v>5144.8100000000004</v>
      </c>
      <c r="I17">
        <f t="shared" ref="I17" si="44">ROUND((H17+F17-C17)*365/(B17-A17)/C17*100,2)</f>
        <v>4.0199999999999996</v>
      </c>
    </row>
    <row r="18" spans="1:9" x14ac:dyDescent="0.15">
      <c r="A18" s="1">
        <v>41590</v>
      </c>
      <c r="B18" s="1">
        <v>41883</v>
      </c>
      <c r="C18" s="2">
        <v>5000</v>
      </c>
      <c r="D18" s="2">
        <f>5279.09</f>
        <v>5279.09</v>
      </c>
      <c r="E18">
        <f t="shared" ref="E18" si="45">ROUND((D18-C18)*365/(B18-A18)/C18*100,2)</f>
        <v>6.95</v>
      </c>
      <c r="F18">
        <v>0</v>
      </c>
      <c r="G18">
        <f t="shared" ref="G18" si="46">ROUND((D18+F18-C18)*365/(B18-A18)/C18*100,2)</f>
        <v>6.95</v>
      </c>
      <c r="H18" s="2">
        <f>5173.51</f>
        <v>5173.51</v>
      </c>
      <c r="I18">
        <f t="shared" ref="I18" si="47">ROUND((H18+F18-C18)*365/(B18-A18)/C18*100,2)</f>
        <v>4.32</v>
      </c>
    </row>
    <row r="19" spans="1:9" x14ac:dyDescent="0.15">
      <c r="A19" s="1">
        <v>41590</v>
      </c>
      <c r="B19" s="1">
        <v>41913</v>
      </c>
      <c r="C19" s="2">
        <v>5000</v>
      </c>
      <c r="D19" s="2">
        <f>5308.52</f>
        <v>5308.52</v>
      </c>
      <c r="E19">
        <f t="shared" ref="E19" si="48">ROUND((D19-C19)*365/(B19-A19)/C19*100,2)</f>
        <v>6.97</v>
      </c>
      <c r="F19">
        <v>0</v>
      </c>
      <c r="G19">
        <f t="shared" ref="G19" si="49">ROUND((D19+F19-C19)*365/(B19-A19)/C19*100,2)</f>
        <v>6.97</v>
      </c>
      <c r="H19" s="2">
        <f>5202.35</f>
        <v>5202.3500000000004</v>
      </c>
      <c r="I19">
        <f t="shared" ref="I19" si="50">ROUND((H19+F19-C19)*365/(B19-A19)/C19*100,2)</f>
        <v>4.57</v>
      </c>
    </row>
    <row r="20" spans="1:9" x14ac:dyDescent="0.15">
      <c r="A20" s="1">
        <v>41590</v>
      </c>
      <c r="B20" s="1">
        <v>41956</v>
      </c>
      <c r="C20" s="2">
        <v>5000</v>
      </c>
      <c r="D20" s="2">
        <f>5351.02</f>
        <v>5351.02</v>
      </c>
      <c r="E20">
        <f t="shared" ref="E20" si="51">ROUND((D20-C20)*365/(B20-A20)/C20*100,2)</f>
        <v>7</v>
      </c>
      <c r="F20">
        <v>0</v>
      </c>
      <c r="G20">
        <f t="shared" ref="G20" si="52">ROUND((D20+F20-C20)*365/(B20-A20)/C20*100,2)</f>
        <v>7</v>
      </c>
      <c r="H20" s="2">
        <f t="shared" ref="H20:H25" si="53">D20</f>
        <v>5351.02</v>
      </c>
      <c r="I20">
        <f t="shared" ref="I20" si="54">ROUND((H20+F20-C20)*365/(B20-A20)/C20*100,2)</f>
        <v>7</v>
      </c>
    </row>
    <row r="21" spans="1:9" x14ac:dyDescent="0.15">
      <c r="A21" s="1">
        <v>41590</v>
      </c>
      <c r="B21" s="1">
        <v>41959</v>
      </c>
      <c r="C21" s="2">
        <v>5000</v>
      </c>
      <c r="D21" s="2">
        <f>5353.99</f>
        <v>5353.99</v>
      </c>
      <c r="E21">
        <f t="shared" ref="E21" si="55">ROUND((D21-C21)*365/(B21-A21)/C21*100,2)</f>
        <v>7</v>
      </c>
      <c r="F21">
        <v>0</v>
      </c>
      <c r="G21">
        <f t="shared" ref="G21" si="56">ROUND((D21+F21-C21)*365/(B21-A21)/C21*100,2)</f>
        <v>7</v>
      </c>
      <c r="H21" s="2">
        <f t="shared" si="53"/>
        <v>5353.99</v>
      </c>
      <c r="I21">
        <f t="shared" ref="I21" si="57">ROUND((H21+F21-C21)*365/(B21-A21)/C21*100,2)</f>
        <v>7</v>
      </c>
    </row>
    <row r="22" spans="1:9" x14ac:dyDescent="0.15">
      <c r="A22" s="1">
        <v>41590</v>
      </c>
      <c r="B22" s="1">
        <v>41971</v>
      </c>
      <c r="C22" s="2">
        <v>5000</v>
      </c>
      <c r="D22" s="2">
        <f>5365.91</f>
        <v>5365.91</v>
      </c>
      <c r="E22">
        <f t="shared" ref="E22" si="58">ROUND((D22-C22)*365/(B22-A22)/C22*100,2)</f>
        <v>7.01</v>
      </c>
      <c r="F22">
        <v>0</v>
      </c>
      <c r="G22">
        <f t="shared" ref="G22" si="59">ROUND((D22+F22-C22)*365/(B22-A22)/C22*100,2)</f>
        <v>7.01</v>
      </c>
      <c r="H22" s="2">
        <f t="shared" si="53"/>
        <v>5365.91</v>
      </c>
      <c r="I22">
        <f t="shared" ref="I22" si="60">ROUND((H22+F22-C22)*365/(B22-A22)/C22*100,2)</f>
        <v>7.01</v>
      </c>
    </row>
    <row r="23" spans="1:9" x14ac:dyDescent="0.15">
      <c r="A23" s="1">
        <v>41590</v>
      </c>
      <c r="B23" s="1">
        <v>41980</v>
      </c>
      <c r="C23" s="2">
        <v>5000</v>
      </c>
      <c r="D23" s="2">
        <f>5374.87</f>
        <v>5374.87</v>
      </c>
      <c r="E23">
        <f t="shared" ref="E23" si="61">ROUND((D23-C23)*365/(B23-A23)/C23*100,2)</f>
        <v>7.02</v>
      </c>
      <c r="F23">
        <v>0</v>
      </c>
      <c r="G23">
        <f t="shared" ref="G23" si="62">ROUND((D23+F23-C23)*365/(B23-A23)/C23*100,2)</f>
        <v>7.02</v>
      </c>
      <c r="H23" s="2">
        <f t="shared" si="53"/>
        <v>5374.87</v>
      </c>
      <c r="I23">
        <f t="shared" ref="I23" si="63">ROUND((H23+F23-C23)*365/(B23-A23)/C23*100,2)</f>
        <v>7.02</v>
      </c>
    </row>
    <row r="24" spans="1:9" x14ac:dyDescent="0.15">
      <c r="A24" s="3">
        <v>41590</v>
      </c>
      <c r="B24" s="1">
        <v>41981</v>
      </c>
      <c r="C24" s="2">
        <v>5000</v>
      </c>
      <c r="D24" s="2">
        <v>5375.32</v>
      </c>
      <c r="E24">
        <f t="shared" ref="E24" si="64">ROUND((D24-C24)*365/(B24-A24)/C24*100,2)</f>
        <v>7.01</v>
      </c>
      <c r="F24">
        <v>0</v>
      </c>
      <c r="G24">
        <f t="shared" ref="G24" si="65">ROUND((D24+F24-C24)*365/(B24-A24)/C24*100,2)</f>
        <v>7.01</v>
      </c>
      <c r="H24" s="2">
        <f t="shared" si="53"/>
        <v>5375.32</v>
      </c>
      <c r="I24">
        <f t="shared" ref="I24" si="66">ROUND((H24+F24-C24)*365/(B24-A24)/C24*100,2)</f>
        <v>7.01</v>
      </c>
    </row>
    <row r="25" spans="1:9" x14ac:dyDescent="0.15">
      <c r="A25" s="3">
        <v>41590</v>
      </c>
      <c r="B25" s="1">
        <v>41987</v>
      </c>
      <c r="C25" s="2">
        <v>5000</v>
      </c>
      <c r="D25" s="2">
        <v>5380.88</v>
      </c>
      <c r="E25">
        <f t="shared" ref="E25" si="67">ROUND((D25-C25)*365/(B25-A25)/C25*100,2)</f>
        <v>7</v>
      </c>
      <c r="F25">
        <v>0</v>
      </c>
      <c r="G25">
        <f t="shared" ref="G25" si="68">ROUND((D25+F25-C25)*365/(B25-A25)/C25*100,2)</f>
        <v>7</v>
      </c>
      <c r="H25" s="2">
        <f t="shared" si="53"/>
        <v>5380.88</v>
      </c>
      <c r="I25">
        <f t="shared" ref="I25" si="69">ROUND((H25+F25-C25)*365/(B25-A25)/C25*100,2)</f>
        <v>7</v>
      </c>
    </row>
    <row r="26" spans="1:9" x14ac:dyDescent="0.15">
      <c r="A26" s="3">
        <v>41590</v>
      </c>
      <c r="B26" s="1">
        <v>41994</v>
      </c>
      <c r="C26" s="2">
        <v>5000</v>
      </c>
      <c r="D26" s="2">
        <f>5387.38</f>
        <v>5387.38</v>
      </c>
      <c r="E26">
        <f t="shared" ref="E26" si="70">ROUND((D26-C26)*365/(B26-A26)/C26*100,2)</f>
        <v>7</v>
      </c>
      <c r="F26">
        <v>0</v>
      </c>
      <c r="G26">
        <f t="shared" ref="G26" si="71">ROUND((D26+F26-C26)*365/(B26-A26)/C26*100,2)</f>
        <v>7</v>
      </c>
      <c r="H26" s="2">
        <f t="shared" ref="H26" si="72">D26</f>
        <v>5387.38</v>
      </c>
      <c r="I26">
        <f t="shared" ref="I26" si="73">ROUND((H26+F26-C26)*365/(B26-A26)/C26*100,2)</f>
        <v>7</v>
      </c>
    </row>
    <row r="27" spans="1:9" x14ac:dyDescent="0.15">
      <c r="A27" s="3">
        <v>41590</v>
      </c>
      <c r="B27" s="1">
        <v>42001</v>
      </c>
      <c r="C27" s="2">
        <v>5000</v>
      </c>
      <c r="D27" s="2">
        <f>5393.89</f>
        <v>5393.89</v>
      </c>
      <c r="E27">
        <f t="shared" ref="E27" si="74">ROUND((D27-C27)*365/(B27-A27)/C27*100,2)</f>
        <v>7</v>
      </c>
      <c r="F27">
        <v>0</v>
      </c>
      <c r="G27">
        <f t="shared" ref="G27" si="75">ROUND((D27+F27-C27)*365/(B27-A27)/C27*100,2)</f>
        <v>7</v>
      </c>
      <c r="H27" s="2">
        <f t="shared" ref="H27" si="76">D27</f>
        <v>5393.89</v>
      </c>
      <c r="I27">
        <f t="shared" ref="I27" si="77">ROUND((H27+F27-C27)*365/(B27-A27)/C27*100,2)</f>
        <v>7</v>
      </c>
    </row>
    <row r="28" spans="1:9" x14ac:dyDescent="0.15">
      <c r="A28" s="3">
        <v>41590</v>
      </c>
      <c r="B28" s="1">
        <v>42015</v>
      </c>
      <c r="C28" s="2">
        <v>5000</v>
      </c>
      <c r="D28" s="2">
        <f>5406.94</f>
        <v>5406.94</v>
      </c>
      <c r="E28">
        <f t="shared" ref="E28" si="78">ROUND((D28-C28)*365/(B28-A28)/C28*100,2)</f>
        <v>6.99</v>
      </c>
      <c r="F28">
        <v>0</v>
      </c>
      <c r="G28">
        <f t="shared" ref="G28" si="79">ROUND((D28+F28-C28)*365/(B28-A28)/C28*100,2)</f>
        <v>6.99</v>
      </c>
      <c r="H28" s="2">
        <f t="shared" ref="H28" si="80">D28</f>
        <v>5406.94</v>
      </c>
      <c r="I28">
        <f t="shared" ref="I28" si="81">ROUND((H28+F28-C28)*365/(B28-A28)/C28*100,2)</f>
        <v>6.99</v>
      </c>
    </row>
    <row r="29" spans="1:9" x14ac:dyDescent="0.15">
      <c r="A29" s="3">
        <v>41590</v>
      </c>
      <c r="B29" s="1">
        <v>42022</v>
      </c>
      <c r="C29" s="2">
        <v>5000</v>
      </c>
      <c r="D29" s="2">
        <f>5413.47</f>
        <v>5413.47</v>
      </c>
      <c r="E29">
        <f t="shared" ref="E29" si="82">ROUND((D29-C29)*365/(B29-A29)/C29*100,2)</f>
        <v>6.99</v>
      </c>
      <c r="F29">
        <v>0</v>
      </c>
      <c r="G29">
        <f t="shared" ref="G29" si="83">ROUND((D29+F29-C29)*365/(B29-A29)/C29*100,2)</f>
        <v>6.99</v>
      </c>
      <c r="H29" s="2">
        <f t="shared" ref="H29" si="84">D29</f>
        <v>5413.47</v>
      </c>
      <c r="I29">
        <f t="shared" ref="I29" si="85">ROUND((H29+F29-C29)*365/(B29-A29)/C29*100,2)</f>
        <v>6.99</v>
      </c>
    </row>
    <row r="30" spans="1:9" x14ac:dyDescent="0.15">
      <c r="A30" s="3">
        <v>41590</v>
      </c>
      <c r="B30" s="1">
        <v>42029</v>
      </c>
      <c r="C30" s="2">
        <v>5000</v>
      </c>
      <c r="D30" s="2">
        <f>5420.01</f>
        <v>5420.01</v>
      </c>
      <c r="E30">
        <f t="shared" ref="E30" si="86">ROUND((D30-C30)*365/(B30-A30)/C30*100,2)</f>
        <v>6.98</v>
      </c>
      <c r="F30">
        <v>0</v>
      </c>
      <c r="G30">
        <f t="shared" ref="G30" si="87">ROUND((D30+F30-C30)*365/(B30-A30)/C30*100,2)</f>
        <v>6.98</v>
      </c>
      <c r="H30" s="2">
        <f t="shared" ref="H30" si="88">D30</f>
        <v>5420.01</v>
      </c>
      <c r="I30">
        <f t="shared" ref="I30" si="89">ROUND((H30+F30-C30)*365/(B30-A30)/C30*100,2)</f>
        <v>6.98</v>
      </c>
    </row>
    <row r="31" spans="1:9" x14ac:dyDescent="0.15">
      <c r="A31" s="3">
        <v>41590</v>
      </c>
      <c r="B31" s="1">
        <v>42036</v>
      </c>
      <c r="C31" s="2">
        <v>5000</v>
      </c>
      <c r="D31" s="2">
        <f>5426.56</f>
        <v>5426.56</v>
      </c>
      <c r="E31">
        <f t="shared" ref="E31" si="90">ROUND((D31-C31)*365/(B31-A31)/C31*100,2)</f>
        <v>6.98</v>
      </c>
      <c r="F31">
        <v>0</v>
      </c>
      <c r="G31">
        <f t="shared" ref="G31" si="91">ROUND((D31+F31-C31)*365/(B31-A31)/C31*100,2)</f>
        <v>6.98</v>
      </c>
      <c r="H31" s="2">
        <f t="shared" ref="H31" si="92">D31</f>
        <v>5426.56</v>
      </c>
      <c r="I31">
        <f t="shared" ref="I31" si="93">ROUND((H31+F31-C31)*365/(B31-A31)/C31*100,2)</f>
        <v>6.98</v>
      </c>
    </row>
    <row r="32" spans="1:9" x14ac:dyDescent="0.15">
      <c r="A32" s="3">
        <v>41590</v>
      </c>
      <c r="B32" s="1">
        <v>42049</v>
      </c>
      <c r="C32" s="2">
        <v>5000</v>
      </c>
      <c r="D32" s="2">
        <f>5438.75</f>
        <v>5438.75</v>
      </c>
      <c r="E32">
        <f t="shared" ref="E32" si="94">ROUND((D32-C32)*365/(B32-A32)/C32*100,2)</f>
        <v>6.98</v>
      </c>
      <c r="F32">
        <v>0</v>
      </c>
      <c r="G32">
        <f t="shared" ref="G32" si="95">ROUND((D32+F32-C32)*365/(B32-A32)/C32*100,2)</f>
        <v>6.98</v>
      </c>
      <c r="H32" s="2">
        <f t="shared" ref="H32" si="96">D32</f>
        <v>5438.75</v>
      </c>
      <c r="I32">
        <f t="shared" ref="I32" si="97">ROUND((H32+F32-C32)*365/(B32-A32)/C32*100,2)</f>
        <v>6.98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2" sqref="H12"/>
    </sheetView>
  </sheetViews>
  <sheetFormatPr defaultRowHeight="13.5" x14ac:dyDescent="0.15"/>
  <cols>
    <col min="1" max="1" width="26.625" bestFit="1" customWidth="1"/>
    <col min="2" max="2" width="11.625" bestFit="1" customWidth="1"/>
    <col min="4" max="4" width="11.625" bestFit="1" customWidth="1"/>
    <col min="6" max="6" width="9" bestFit="1" customWidth="1"/>
  </cols>
  <sheetData>
    <row r="1" spans="1:8" x14ac:dyDescent="0.15"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8" x14ac:dyDescent="0.15">
      <c r="A2" t="s">
        <v>12</v>
      </c>
      <c r="B2" s="3">
        <v>41331</v>
      </c>
      <c r="C2">
        <v>1000</v>
      </c>
      <c r="D2" s="3">
        <v>41352</v>
      </c>
      <c r="E2">
        <f>1001.54</f>
        <v>1001.54</v>
      </c>
      <c r="F2">
        <f>200/100</f>
        <v>2</v>
      </c>
      <c r="G2">
        <f t="shared" ref="G2:G9" si="0">ROUND((E2+F2-C2)*365/C2/(D2-B2)*100,2)</f>
        <v>6.15</v>
      </c>
      <c r="H2" t="s">
        <v>19</v>
      </c>
    </row>
    <row r="3" spans="1:8" x14ac:dyDescent="0.15">
      <c r="A3" t="s">
        <v>10</v>
      </c>
      <c r="B3" s="3">
        <v>41402</v>
      </c>
      <c r="C3">
        <v>2000</v>
      </c>
      <c r="D3" s="3">
        <v>41422</v>
      </c>
      <c r="E3">
        <v>2002.76</v>
      </c>
      <c r="F3">
        <f>400/100</f>
        <v>4</v>
      </c>
      <c r="G3">
        <f t="shared" si="0"/>
        <v>6.17</v>
      </c>
      <c r="H3" t="s">
        <v>19</v>
      </c>
    </row>
    <row r="4" spans="1:8" x14ac:dyDescent="0.15">
      <c r="A4" t="s">
        <v>11</v>
      </c>
      <c r="B4" s="3">
        <v>41402</v>
      </c>
      <c r="C4">
        <v>1000</v>
      </c>
      <c r="D4" s="3">
        <v>41495</v>
      </c>
      <c r="E4">
        <f>1011.41</f>
        <v>1011.41</v>
      </c>
      <c r="F4">
        <f>(450+1100)/100</f>
        <v>15.5</v>
      </c>
      <c r="G4">
        <f t="shared" si="0"/>
        <v>10.56</v>
      </c>
      <c r="H4" t="s">
        <v>19</v>
      </c>
    </row>
    <row r="5" spans="1:8" x14ac:dyDescent="0.15">
      <c r="A5" t="s">
        <v>13</v>
      </c>
      <c r="B5" s="3">
        <v>41434</v>
      </c>
      <c r="C5">
        <v>1000</v>
      </c>
      <c r="D5" s="3">
        <v>41466</v>
      </c>
      <c r="E5">
        <v>1003.33</v>
      </c>
      <c r="F5">
        <f>500/100</f>
        <v>5</v>
      </c>
      <c r="G5">
        <f t="shared" si="0"/>
        <v>9.5</v>
      </c>
      <c r="H5" t="s">
        <v>19</v>
      </c>
    </row>
    <row r="6" spans="1:8" x14ac:dyDescent="0.15">
      <c r="A6" t="s">
        <v>14</v>
      </c>
      <c r="B6" s="3">
        <v>41434</v>
      </c>
      <c r="C6">
        <v>1000</v>
      </c>
      <c r="D6" s="3">
        <v>41517</v>
      </c>
      <c r="E6">
        <f>1009.92</f>
        <v>1009.92</v>
      </c>
      <c r="F6">
        <f>500/100</f>
        <v>5</v>
      </c>
      <c r="G6">
        <f t="shared" si="0"/>
        <v>6.56</v>
      </c>
      <c r="H6" t="s">
        <v>19</v>
      </c>
    </row>
    <row r="7" spans="1:8" x14ac:dyDescent="0.15">
      <c r="A7" t="s">
        <v>18</v>
      </c>
      <c r="B7" s="3">
        <v>41465</v>
      </c>
      <c r="C7">
        <v>10000</v>
      </c>
      <c r="D7" s="3">
        <v>41559</v>
      </c>
      <c r="E7">
        <v>10115.129999999999</v>
      </c>
      <c r="F7">
        <f>C7/1000*6.6</f>
        <v>66</v>
      </c>
      <c r="G7">
        <f t="shared" si="0"/>
        <v>7.03</v>
      </c>
      <c r="H7" t="s">
        <v>19</v>
      </c>
    </row>
    <row r="8" spans="1:8" x14ac:dyDescent="0.15">
      <c r="A8" t="s">
        <v>18</v>
      </c>
      <c r="B8" s="3">
        <v>41465</v>
      </c>
      <c r="C8">
        <v>3000</v>
      </c>
      <c r="D8" s="3">
        <v>41559</v>
      </c>
      <c r="E8">
        <v>3034.55</v>
      </c>
      <c r="F8">
        <f>C8/1000*6.6</f>
        <v>19.799999999999997</v>
      </c>
      <c r="G8">
        <f t="shared" ref="G8" si="1">ROUND((E8+F8-C8)*365/C8/(D8-B8)*100,2)</f>
        <v>7.03</v>
      </c>
      <c r="H8" t="s">
        <v>19</v>
      </c>
    </row>
    <row r="9" spans="1:8" x14ac:dyDescent="0.15">
      <c r="A9" t="s">
        <v>18</v>
      </c>
      <c r="B9" s="3">
        <v>41495</v>
      </c>
      <c r="C9">
        <v>5000</v>
      </c>
      <c r="D9" s="3">
        <v>41591</v>
      </c>
      <c r="E9">
        <f>5057.56</f>
        <v>5057.5600000000004</v>
      </c>
      <c r="F9">
        <v>30</v>
      </c>
      <c r="G9">
        <f t="shared" si="0"/>
        <v>6.66</v>
      </c>
      <c r="H9" t="s">
        <v>19</v>
      </c>
    </row>
    <row r="10" spans="1:8" x14ac:dyDescent="0.15">
      <c r="A10" t="s">
        <v>20</v>
      </c>
      <c r="B10" s="3">
        <v>41590</v>
      </c>
      <c r="C10">
        <v>5000</v>
      </c>
      <c r="D10" s="3">
        <v>41955</v>
      </c>
      <c r="F10">
        <v>0</v>
      </c>
    </row>
    <row r="11" spans="1:8" x14ac:dyDescent="0.15">
      <c r="A11" t="s">
        <v>21</v>
      </c>
      <c r="B11" s="3">
        <v>41604</v>
      </c>
      <c r="C11">
        <v>5000</v>
      </c>
      <c r="D11" s="3">
        <v>41696</v>
      </c>
      <c r="E11">
        <v>5055.75</v>
      </c>
      <c r="F11">
        <v>40</v>
      </c>
      <c r="G11">
        <f t="shared" ref="G11:G13" si="2">ROUND((E11+F11-C11)*365/C11/(D11-B11)*100,2)</f>
        <v>7.6</v>
      </c>
      <c r="H11" t="s">
        <v>19</v>
      </c>
    </row>
    <row r="12" spans="1:8" x14ac:dyDescent="0.15">
      <c r="A12" t="s">
        <v>22</v>
      </c>
      <c r="B12" s="3">
        <v>41776</v>
      </c>
      <c r="C12">
        <v>20000</v>
      </c>
      <c r="D12" s="3">
        <v>41939</v>
      </c>
      <c r="E12">
        <v>20527.25</v>
      </c>
      <c r="F12">
        <v>0</v>
      </c>
      <c r="G12">
        <f t="shared" si="2"/>
        <v>5.9</v>
      </c>
      <c r="H12" t="s">
        <v>19</v>
      </c>
    </row>
    <row r="13" spans="1:8" x14ac:dyDescent="0.15">
      <c r="A13" t="s">
        <v>22</v>
      </c>
      <c r="B13" s="3">
        <v>41825</v>
      </c>
      <c r="C13">
        <v>10000</v>
      </c>
      <c r="D13" s="3">
        <v>41939</v>
      </c>
      <c r="E13">
        <v>10183.68</v>
      </c>
      <c r="F13">
        <v>0</v>
      </c>
      <c r="G13">
        <f t="shared" si="2"/>
        <v>5.88</v>
      </c>
      <c r="H13" t="s">
        <v>19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国华理财宝2代1</vt:lpstr>
      <vt:lpstr>国华理财宝2代2</vt:lpstr>
      <vt:lpstr>国华华瑞2号</vt:lpstr>
      <vt:lpstr>历史收益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2013-06-12T14:02:29Z</dcterms:created>
  <dcterms:modified xsi:type="dcterms:W3CDTF">2015-02-14T10:24:21Z</dcterms:modified>
</cp:coreProperties>
</file>