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我的家\"/>
    </mc:Choice>
  </mc:AlternateContent>
  <bookViews>
    <workbookView xWindow="0" yWindow="0" windowWidth="19200" windowHeight="8250" activeTab="1"/>
  </bookViews>
  <sheets>
    <sheet name="试算" sheetId="1" r:id="rId1"/>
    <sheet name="招财宝" sheetId="2" r:id="rId2"/>
    <sheet name="招财宝_王蕾" sheetId="7" r:id="rId3"/>
    <sheet name="京东" sheetId="5" r:id="rId4"/>
    <sheet name="招财宝-其他" sheetId="11" r:id="rId5"/>
    <sheet name="资产_王蕾" sheetId="12" r:id="rId6"/>
    <sheet name="王蕾_资产统计" sheetId="13" r:id="rId7"/>
  </sheets>
  <definedNames>
    <definedName name="_xlnm._FilterDatabase" localSheetId="1" hidden="1">招财宝!$A$1:$L$176</definedName>
    <definedName name="_xlnm._FilterDatabase" localSheetId="2" hidden="1">招财宝_王蕾!$A$1:$L$115</definedName>
  </definedNames>
  <calcPr calcId="152511"/>
</workbook>
</file>

<file path=xl/calcChain.xml><?xml version="1.0" encoding="utf-8"?>
<calcChain xmlns="http://schemas.openxmlformats.org/spreadsheetml/2006/main">
  <c r="G183" i="2" l="1"/>
  <c r="F183" i="2"/>
  <c r="G117" i="7" l="1"/>
  <c r="F117" i="7"/>
  <c r="I5" i="13" l="1"/>
  <c r="B8" i="12"/>
  <c r="F7" i="12"/>
  <c r="D7" i="12"/>
  <c r="J7" i="12"/>
  <c r="H7" i="12"/>
  <c r="B7" i="12"/>
  <c r="D3" i="13"/>
  <c r="D2" i="13"/>
  <c r="B4" i="13"/>
  <c r="B2" i="13"/>
  <c r="H2" i="12"/>
  <c r="G116" i="7" l="1"/>
  <c r="F116" i="7"/>
  <c r="F182" i="2" l="1"/>
  <c r="G182" i="2"/>
  <c r="D4" i="13" l="1"/>
  <c r="I4" i="13" l="1"/>
  <c r="I3" i="13" l="1"/>
  <c r="K115" i="7" l="1"/>
  <c r="J115" i="7"/>
  <c r="H115" i="7"/>
  <c r="K176" i="2" l="1"/>
  <c r="J176" i="2"/>
  <c r="H176" i="2"/>
  <c r="E2" i="13" l="1"/>
  <c r="I2" i="13" s="1"/>
  <c r="K181" i="2" l="1"/>
  <c r="J181" i="2"/>
  <c r="K178" i="2"/>
  <c r="J178" i="2"/>
  <c r="H178" i="2"/>
  <c r="H181" i="2"/>
  <c r="K177" i="2"/>
  <c r="J177" i="2"/>
  <c r="H177" i="2"/>
  <c r="K180" i="2" l="1"/>
  <c r="J180" i="2"/>
  <c r="K179" i="2"/>
  <c r="J179" i="2"/>
  <c r="H179" i="2"/>
  <c r="H180" i="2"/>
  <c r="K114" i="7" l="1"/>
  <c r="J114" i="7"/>
  <c r="H114" i="7"/>
  <c r="F181" i="2"/>
  <c r="F180" i="2"/>
  <c r="F179" i="2"/>
  <c r="F178" i="2"/>
  <c r="F177" i="2"/>
  <c r="K113" i="7"/>
  <c r="G113" i="7"/>
  <c r="J113" i="7"/>
  <c r="H113" i="7"/>
  <c r="K175" i="2"/>
  <c r="J175" i="2"/>
  <c r="H175" i="2"/>
  <c r="K112" i="7"/>
  <c r="J112" i="7"/>
  <c r="K111" i="7"/>
  <c r="J111" i="7"/>
  <c r="K110" i="7"/>
  <c r="J110" i="7"/>
  <c r="K109" i="7"/>
  <c r="J109" i="7"/>
  <c r="H111" i="7"/>
  <c r="H110" i="7"/>
  <c r="K174" i="2"/>
  <c r="G174" i="2"/>
  <c r="J174" i="2"/>
  <c r="K173" i="2"/>
  <c r="J173" i="2"/>
  <c r="K172" i="2"/>
  <c r="J172" i="2"/>
  <c r="K169" i="2"/>
  <c r="J169" i="2"/>
  <c r="K168" i="2"/>
  <c r="J168" i="2"/>
  <c r="K167" i="2"/>
  <c r="J167" i="2"/>
  <c r="K166" i="2"/>
  <c r="J166" i="2"/>
  <c r="K164" i="2"/>
  <c r="J164" i="2"/>
  <c r="K161" i="2"/>
  <c r="J161" i="2"/>
  <c r="H169" i="2"/>
  <c r="H109" i="7"/>
  <c r="H112" i="7"/>
  <c r="H174" i="2"/>
  <c r="H173" i="2"/>
  <c r="H172" i="2"/>
  <c r="H168" i="2"/>
  <c r="H167" i="2"/>
  <c r="H164" i="2"/>
  <c r="H161" i="2"/>
  <c r="H166" i="2"/>
  <c r="K108" i="7"/>
  <c r="J108" i="7"/>
  <c r="K107" i="7"/>
  <c r="J107" i="7"/>
  <c r="K105" i="7"/>
  <c r="J105" i="7"/>
  <c r="K103" i="7"/>
  <c r="J103" i="7"/>
  <c r="H108" i="7"/>
  <c r="H107" i="7"/>
  <c r="H105" i="7"/>
  <c r="H103" i="7"/>
  <c r="K163" i="2"/>
  <c r="J163" i="2"/>
  <c r="K162" i="2"/>
  <c r="J162" i="2"/>
  <c r="K160" i="2"/>
  <c r="J160" i="2"/>
  <c r="H160" i="2"/>
  <c r="H163" i="2"/>
  <c r="H162" i="2"/>
  <c r="K171" i="2"/>
  <c r="J171" i="2"/>
  <c r="K170" i="2"/>
  <c r="J170" i="2"/>
  <c r="K165" i="2"/>
  <c r="G165" i="2"/>
  <c r="J165" i="2"/>
  <c r="H171" i="2"/>
  <c r="H170" i="2"/>
  <c r="F170" i="2"/>
  <c r="H165" i="2"/>
  <c r="H159" i="2"/>
  <c r="F176" i="2"/>
  <c r="K158" i="2"/>
  <c r="G158" i="2"/>
  <c r="J158" i="2"/>
  <c r="H158" i="2"/>
  <c r="F115" i="7"/>
  <c r="F114" i="7"/>
  <c r="K104" i="7"/>
  <c r="G104" i="7"/>
  <c r="J104" i="7"/>
  <c r="K102" i="7"/>
  <c r="G102" i="7"/>
  <c r="J102" i="7"/>
  <c r="H104" i="7"/>
  <c r="H102" i="7"/>
  <c r="G175" i="2"/>
  <c r="F175" i="2"/>
  <c r="K159" i="2"/>
  <c r="K157" i="2"/>
  <c r="H157" i="2"/>
  <c r="F113" i="7"/>
  <c r="K101" i="7"/>
  <c r="H101" i="7"/>
  <c r="F112" i="7"/>
  <c r="K100" i="7"/>
  <c r="K99" i="7"/>
  <c r="H100" i="7"/>
  <c r="H99" i="7"/>
  <c r="F174" i="2"/>
  <c r="K152" i="2"/>
  <c r="H152" i="2"/>
  <c r="F173" i="2"/>
  <c r="K151" i="2"/>
  <c r="K150" i="2"/>
  <c r="H151" i="2"/>
  <c r="H150" i="2"/>
  <c r="F111" i="7"/>
  <c r="K98" i="7"/>
  <c r="K97" i="7"/>
  <c r="H97" i="7"/>
  <c r="H98" i="7"/>
  <c r="F172" i="2"/>
  <c r="K149" i="2"/>
  <c r="K148" i="2"/>
  <c r="K146" i="2"/>
  <c r="K145" i="2"/>
  <c r="K144" i="2"/>
  <c r="K142" i="2"/>
  <c r="H148" i="2"/>
  <c r="H149" i="2"/>
  <c r="F110" i="7"/>
  <c r="F109" i="7"/>
  <c r="K96" i="7"/>
  <c r="K94" i="7"/>
  <c r="K93" i="7"/>
  <c r="H94" i="7"/>
  <c r="H96" i="7"/>
  <c r="H93" i="7"/>
  <c r="F169" i="2"/>
  <c r="F168" i="2"/>
  <c r="F167" i="2"/>
  <c r="H146" i="2"/>
  <c r="H145" i="2"/>
  <c r="H144" i="2"/>
  <c r="H142" i="2"/>
  <c r="H141" i="2"/>
  <c r="F166" i="2"/>
  <c r="K141" i="2"/>
  <c r="J141" i="2"/>
  <c r="K139" i="2"/>
  <c r="K138" i="2"/>
  <c r="K136" i="2"/>
  <c r="K134" i="2"/>
  <c r="H139" i="2"/>
  <c r="H138" i="2"/>
  <c r="H136" i="2"/>
  <c r="H134" i="2"/>
  <c r="K91" i="7"/>
  <c r="H91" i="7"/>
  <c r="K92" i="7"/>
  <c r="H92" i="7"/>
  <c r="K90" i="7"/>
  <c r="H90" i="7"/>
  <c r="K89" i="7"/>
  <c r="K87" i="7"/>
  <c r="K85" i="7"/>
  <c r="H89" i="7"/>
  <c r="H87" i="7"/>
  <c r="H85" i="7"/>
  <c r="F165" i="2"/>
  <c r="F164" i="2"/>
  <c r="K137" i="2"/>
  <c r="H137" i="2"/>
  <c r="F108" i="7"/>
  <c r="K88" i="7"/>
  <c r="H88" i="7"/>
  <c r="K135" i="2"/>
  <c r="H135" i="2"/>
  <c r="F107" i="7"/>
  <c r="K86" i="7"/>
  <c r="G86" i="7"/>
  <c r="J86" i="7"/>
  <c r="H86" i="7"/>
  <c r="G106" i="7"/>
  <c r="F161" i="2"/>
  <c r="F160" i="2"/>
  <c r="F105" i="7"/>
  <c r="K133" i="2"/>
  <c r="H133" i="2"/>
  <c r="K84" i="7"/>
  <c r="H84" i="7"/>
  <c r="K132" i="2"/>
  <c r="K131" i="2"/>
  <c r="K156" i="2"/>
  <c r="J156" i="2"/>
  <c r="K155" i="2"/>
  <c r="J155" i="2"/>
  <c r="K154" i="2"/>
  <c r="J154" i="2"/>
  <c r="K153" i="2"/>
  <c r="J153" i="2"/>
  <c r="H156" i="2"/>
  <c r="H153" i="2"/>
  <c r="H154" i="2"/>
  <c r="H155" i="2"/>
  <c r="H132" i="2"/>
  <c r="H131" i="2"/>
  <c r="F104" i="7"/>
  <c r="F103" i="7"/>
  <c r="K83" i="7"/>
  <c r="K82" i="7"/>
  <c r="H83" i="7"/>
  <c r="H82" i="7"/>
  <c r="G159" i="2"/>
  <c r="J159" i="2"/>
  <c r="F159" i="2"/>
  <c r="F158" i="2"/>
  <c r="G157" i="2"/>
  <c r="J157" i="2"/>
  <c r="F157" i="2"/>
  <c r="D156" i="2"/>
  <c r="K130" i="2"/>
  <c r="K129" i="2"/>
  <c r="H129" i="2"/>
  <c r="H130" i="2"/>
  <c r="F102" i="7"/>
  <c r="G101" i="7"/>
  <c r="J101" i="7"/>
  <c r="F101" i="7"/>
  <c r="K81" i="7"/>
  <c r="K80" i="7"/>
  <c r="H80" i="7"/>
  <c r="H81" i="7"/>
  <c r="J147" i="2"/>
  <c r="G152" i="2"/>
  <c r="J152" i="2"/>
  <c r="F152" i="2"/>
  <c r="K147" i="2"/>
  <c r="K128" i="2"/>
  <c r="K127" i="2"/>
  <c r="H128" i="2"/>
  <c r="H127" i="2"/>
  <c r="H147" i="2"/>
  <c r="G100" i="7"/>
  <c r="J100" i="7"/>
  <c r="F100" i="7"/>
  <c r="G99" i="7"/>
  <c r="J99" i="7"/>
  <c r="F99" i="7"/>
  <c r="K95" i="7"/>
  <c r="J95" i="7"/>
  <c r="K79" i="7"/>
  <c r="K78" i="7"/>
  <c r="H78" i="7"/>
  <c r="H79" i="7"/>
  <c r="H95" i="7"/>
  <c r="G98" i="7"/>
  <c r="J98" i="7"/>
  <c r="F98" i="7"/>
  <c r="G97" i="7"/>
  <c r="J97" i="7"/>
  <c r="F97" i="7"/>
  <c r="K77" i="7"/>
  <c r="K76" i="7"/>
  <c r="H76" i="7"/>
  <c r="H77" i="7"/>
  <c r="G151" i="2"/>
  <c r="J151" i="2"/>
  <c r="F151" i="2"/>
  <c r="G150" i="2"/>
  <c r="J150" i="2"/>
  <c r="F150" i="2"/>
  <c r="G149" i="2"/>
  <c r="J149" i="2"/>
  <c r="F149" i="2"/>
  <c r="G148" i="2"/>
  <c r="J148" i="2"/>
  <c r="F148" i="2"/>
  <c r="F147" i="2"/>
  <c r="K126" i="2"/>
  <c r="K124" i="2"/>
  <c r="H126" i="2"/>
  <c r="H124" i="2"/>
  <c r="K125" i="2"/>
  <c r="K123" i="2"/>
  <c r="H123" i="2"/>
  <c r="H125" i="2"/>
  <c r="K140" i="2"/>
  <c r="J140" i="2"/>
  <c r="H140" i="2"/>
  <c r="K143" i="2"/>
  <c r="J143" i="2"/>
  <c r="H143" i="2"/>
  <c r="K122" i="2"/>
  <c r="K121" i="2"/>
  <c r="H122" i="2"/>
  <c r="H121" i="2"/>
  <c r="G96" i="7"/>
  <c r="J96" i="7"/>
  <c r="F96" i="7"/>
  <c r="F95" i="7"/>
  <c r="K75" i="7"/>
  <c r="K74" i="7"/>
  <c r="H75" i="7"/>
  <c r="H74" i="7"/>
  <c r="G146" i="2"/>
  <c r="J146" i="2"/>
  <c r="F146" i="2"/>
  <c r="G145" i="2"/>
  <c r="J145" i="2"/>
  <c r="F145" i="2"/>
  <c r="G144" i="2"/>
  <c r="J144" i="2"/>
  <c r="F144" i="2"/>
  <c r="G142" i="2"/>
  <c r="J142" i="2"/>
  <c r="F142" i="2"/>
  <c r="F141" i="2"/>
  <c r="F140" i="2"/>
  <c r="D140" i="2"/>
  <c r="K120" i="2"/>
  <c r="K119" i="2"/>
  <c r="K118" i="2"/>
  <c r="K117" i="2"/>
  <c r="H120" i="2"/>
  <c r="H119" i="2"/>
  <c r="H118" i="2"/>
  <c r="H117" i="2"/>
  <c r="G94" i="7"/>
  <c r="J94" i="7"/>
  <c r="F94" i="7"/>
  <c r="G93" i="7"/>
  <c r="J93" i="7"/>
  <c r="F93" i="7"/>
  <c r="F91" i="7"/>
  <c r="G91" i="7"/>
  <c r="J91" i="7"/>
  <c r="G92" i="7"/>
  <c r="J92" i="7"/>
  <c r="F92" i="7"/>
  <c r="K73" i="7"/>
  <c r="K72" i="7"/>
  <c r="H73" i="7"/>
  <c r="H72" i="7"/>
  <c r="G3" i="5"/>
  <c r="G2" i="5"/>
  <c r="G139" i="2"/>
  <c r="J139" i="2"/>
  <c r="F139" i="2"/>
  <c r="K71" i="7"/>
  <c r="G90" i="7"/>
  <c r="J90" i="7"/>
  <c r="F90" i="7"/>
  <c r="K70" i="7"/>
  <c r="H71" i="7"/>
  <c r="H70" i="7"/>
  <c r="K116" i="2"/>
  <c r="K115" i="2"/>
  <c r="H115" i="2"/>
  <c r="H116" i="2"/>
  <c r="K69" i="7"/>
  <c r="K68" i="7"/>
  <c r="H69" i="7"/>
  <c r="H68" i="7"/>
  <c r="G138" i="2"/>
  <c r="J138" i="2"/>
  <c r="F138" i="2"/>
  <c r="G137" i="2"/>
  <c r="J137" i="2"/>
  <c r="F137" i="2"/>
  <c r="K114" i="2"/>
  <c r="K113" i="2"/>
  <c r="H113" i="2"/>
  <c r="H114" i="2"/>
  <c r="G89" i="7"/>
  <c r="J89" i="7"/>
  <c r="F89" i="7"/>
  <c r="G88" i="7"/>
  <c r="J88" i="7"/>
  <c r="F88" i="7"/>
  <c r="K67" i="7"/>
  <c r="K66" i="7"/>
  <c r="H66" i="7"/>
  <c r="H67" i="7"/>
  <c r="G87" i="7"/>
  <c r="J87" i="7"/>
  <c r="F87" i="7"/>
  <c r="F86" i="7"/>
  <c r="K65" i="7"/>
  <c r="K64" i="7"/>
  <c r="K63" i="7"/>
  <c r="H64" i="7"/>
  <c r="H65" i="7"/>
  <c r="H63" i="7"/>
  <c r="G136" i="2"/>
  <c r="J136" i="2"/>
  <c r="F136" i="2"/>
  <c r="G135" i="2"/>
  <c r="J135" i="2"/>
  <c r="F135" i="2"/>
  <c r="K112" i="2"/>
  <c r="K111" i="2"/>
  <c r="H111" i="2"/>
  <c r="H112" i="2"/>
  <c r="G85" i="7"/>
  <c r="J85" i="7"/>
  <c r="F85" i="7"/>
  <c r="G84" i="7"/>
  <c r="J84" i="7"/>
  <c r="F84" i="7"/>
  <c r="H62" i="7"/>
  <c r="K110" i="2"/>
  <c r="K109" i="2"/>
  <c r="K62" i="7"/>
  <c r="K61" i="7"/>
  <c r="H61" i="7"/>
  <c r="G134" i="2"/>
  <c r="J134" i="2"/>
  <c r="F134" i="2"/>
  <c r="G133" i="2"/>
  <c r="J133" i="2"/>
  <c r="F133" i="2"/>
  <c r="H109" i="2"/>
  <c r="H110" i="2"/>
  <c r="G132" i="2"/>
  <c r="J132" i="2"/>
  <c r="F132" i="2"/>
  <c r="G131" i="2"/>
  <c r="J131" i="2"/>
  <c r="F131" i="2"/>
  <c r="G83" i="7"/>
  <c r="J83" i="7"/>
  <c r="F83" i="7"/>
  <c r="G82" i="7"/>
  <c r="J82" i="7"/>
  <c r="F82" i="7"/>
  <c r="K60" i="7"/>
  <c r="K59" i="7"/>
  <c r="H60" i="7"/>
  <c r="H59" i="7"/>
  <c r="K108" i="2"/>
  <c r="K107" i="2"/>
  <c r="H107" i="2"/>
  <c r="H108" i="2"/>
  <c r="G81" i="7"/>
  <c r="J81" i="7"/>
  <c r="F81" i="7"/>
  <c r="G80" i="7"/>
  <c r="J80" i="7"/>
  <c r="F80" i="7"/>
  <c r="K58" i="7"/>
  <c r="K57" i="7"/>
  <c r="H57" i="7"/>
  <c r="H58" i="7"/>
  <c r="G130" i="2"/>
  <c r="J130" i="2"/>
  <c r="F130" i="2"/>
  <c r="G129" i="2"/>
  <c r="J129" i="2"/>
  <c r="F129" i="2"/>
  <c r="K106" i="2"/>
  <c r="K105" i="2"/>
  <c r="K104" i="2"/>
  <c r="K103" i="2"/>
  <c r="H103" i="2"/>
  <c r="H104" i="2"/>
  <c r="H106" i="2"/>
  <c r="H105" i="2"/>
  <c r="G128" i="2"/>
  <c r="J128" i="2"/>
  <c r="F128" i="2"/>
  <c r="G127" i="2"/>
  <c r="J127" i="2"/>
  <c r="F127" i="2"/>
  <c r="K102" i="2"/>
  <c r="K101" i="2"/>
  <c r="H101" i="2"/>
  <c r="H102" i="2"/>
  <c r="G79" i="7"/>
  <c r="J79" i="7"/>
  <c r="F79" i="7"/>
  <c r="G78" i="7"/>
  <c r="J78" i="7"/>
  <c r="F78" i="7"/>
  <c r="K56" i="7"/>
  <c r="H56" i="7"/>
  <c r="K36" i="7"/>
  <c r="J36" i="7"/>
  <c r="H36" i="7"/>
  <c r="K55" i="7"/>
  <c r="K54" i="7"/>
  <c r="H54" i="7"/>
  <c r="H55" i="7"/>
  <c r="G77" i="7"/>
  <c r="J77" i="7"/>
  <c r="F77" i="7"/>
  <c r="G76" i="7"/>
  <c r="J76" i="7"/>
  <c r="F76" i="7"/>
  <c r="G126" i="2"/>
  <c r="J126" i="2"/>
  <c r="F126" i="2"/>
  <c r="G125" i="2"/>
  <c r="J125" i="2"/>
  <c r="F125" i="2"/>
  <c r="G124" i="2"/>
  <c r="J124" i="2"/>
  <c r="F124" i="2"/>
  <c r="G123" i="2"/>
  <c r="J123" i="2"/>
  <c r="F123" i="2"/>
  <c r="H99" i="2"/>
  <c r="K100" i="2"/>
  <c r="K99" i="2"/>
  <c r="H100" i="2"/>
  <c r="K53" i="7"/>
  <c r="K52" i="7"/>
  <c r="H53" i="7"/>
  <c r="H52" i="7"/>
  <c r="G75" i="7"/>
  <c r="J75" i="7"/>
  <c r="F75" i="7"/>
  <c r="G74" i="7"/>
  <c r="J74" i="7"/>
  <c r="F74" i="7"/>
  <c r="G122" i="2"/>
  <c r="J122" i="2"/>
  <c r="F122" i="2"/>
  <c r="G121" i="2"/>
  <c r="J121" i="2"/>
  <c r="F121" i="2"/>
  <c r="K98" i="2"/>
  <c r="K97" i="2"/>
  <c r="H98" i="2"/>
  <c r="H97" i="2"/>
  <c r="K5" i="11"/>
  <c r="J5" i="11"/>
  <c r="J2" i="11"/>
  <c r="K2" i="11"/>
  <c r="J3" i="11"/>
  <c r="K3" i="11"/>
  <c r="D4" i="11"/>
  <c r="K4" i="11"/>
  <c r="J4" i="11"/>
  <c r="G120" i="2"/>
  <c r="J120" i="2"/>
  <c r="F120" i="2"/>
  <c r="G119" i="2"/>
  <c r="J119" i="2"/>
  <c r="F119" i="2"/>
  <c r="H96" i="2"/>
  <c r="K96" i="2"/>
  <c r="H95" i="2"/>
  <c r="K95" i="2"/>
  <c r="G73" i="7"/>
  <c r="J73" i="7"/>
  <c r="F73" i="7"/>
  <c r="G72" i="7"/>
  <c r="J72" i="7"/>
  <c r="F72" i="7"/>
  <c r="H50" i="7"/>
  <c r="K50" i="7"/>
  <c r="H51" i="7"/>
  <c r="K51" i="7"/>
  <c r="G71" i="7"/>
  <c r="J71" i="7"/>
  <c r="F71" i="7"/>
  <c r="G70" i="7"/>
  <c r="J70" i="7"/>
  <c r="F70" i="7"/>
  <c r="H49" i="7"/>
  <c r="G118" i="2"/>
  <c r="J118" i="2"/>
  <c r="F118" i="2"/>
  <c r="G117" i="2"/>
  <c r="J117" i="2"/>
  <c r="F117" i="2"/>
  <c r="H93" i="2"/>
  <c r="K93" i="2"/>
  <c r="K49" i="7"/>
  <c r="K48" i="7"/>
  <c r="H48" i="7"/>
  <c r="H94" i="2"/>
  <c r="K94" i="2"/>
  <c r="G69" i="7"/>
  <c r="J69" i="7"/>
  <c r="F69" i="7"/>
  <c r="G68" i="7"/>
  <c r="J68" i="7"/>
  <c r="F68" i="7"/>
  <c r="H47" i="7"/>
  <c r="K47" i="7"/>
  <c r="G116" i="2"/>
  <c r="J116" i="2"/>
  <c r="F116" i="2"/>
  <c r="G115" i="2"/>
  <c r="J115" i="2"/>
  <c r="F115" i="2"/>
  <c r="H92" i="2"/>
  <c r="K92" i="2"/>
  <c r="H91" i="2"/>
  <c r="K91" i="2"/>
  <c r="G67" i="7"/>
  <c r="J67" i="7"/>
  <c r="F67" i="7"/>
  <c r="G66" i="7"/>
  <c r="J66" i="7"/>
  <c r="F66" i="7"/>
  <c r="K45" i="7"/>
  <c r="H46" i="7"/>
  <c r="K46" i="7"/>
  <c r="H45" i="7"/>
  <c r="G114" i="2"/>
  <c r="J114" i="2"/>
  <c r="F114" i="2"/>
  <c r="G113" i="2"/>
  <c r="J113" i="2"/>
  <c r="F113" i="2"/>
  <c r="H89" i="2"/>
  <c r="K89" i="2"/>
  <c r="H90" i="2"/>
  <c r="K90" i="2"/>
  <c r="G65" i="7"/>
  <c r="J65" i="7"/>
  <c r="F65" i="7"/>
  <c r="G64" i="7"/>
  <c r="J64" i="7"/>
  <c r="F64" i="7"/>
  <c r="G63" i="7"/>
  <c r="J63" i="7"/>
  <c r="F63" i="7"/>
  <c r="H44" i="7"/>
  <c r="G112" i="2"/>
  <c r="J112" i="2"/>
  <c r="F112" i="2"/>
  <c r="G111" i="2"/>
  <c r="J111" i="2"/>
  <c r="F111" i="2"/>
  <c r="H88" i="2"/>
  <c r="K44" i="7"/>
  <c r="K43" i="7"/>
  <c r="H43" i="7"/>
  <c r="K88" i="2"/>
  <c r="H87" i="2"/>
  <c r="K87" i="2"/>
  <c r="G110" i="2"/>
  <c r="J110" i="2"/>
  <c r="F110" i="2"/>
  <c r="G109" i="2"/>
  <c r="J109" i="2"/>
  <c r="F109" i="2"/>
  <c r="H86" i="2"/>
  <c r="K86" i="2"/>
  <c r="H85" i="2"/>
  <c r="K85" i="2"/>
  <c r="G62" i="7"/>
  <c r="J62" i="7"/>
  <c r="F62" i="7"/>
  <c r="G61" i="7"/>
  <c r="J61" i="7"/>
  <c r="F61" i="7"/>
  <c r="H42" i="7"/>
  <c r="K42" i="7"/>
  <c r="H41" i="7"/>
  <c r="K41" i="7"/>
  <c r="G108" i="2"/>
  <c r="J108" i="2"/>
  <c r="F108" i="2"/>
  <c r="G107" i="2"/>
  <c r="J107" i="2"/>
  <c r="F107" i="2"/>
  <c r="H83" i="2"/>
  <c r="G60" i="7"/>
  <c r="J60" i="7"/>
  <c r="F60" i="7"/>
  <c r="G59" i="7"/>
  <c r="J59" i="7"/>
  <c r="F59" i="7"/>
  <c r="H40" i="7"/>
  <c r="K40" i="7"/>
  <c r="H39" i="7"/>
  <c r="K39" i="7"/>
  <c r="K83" i="2"/>
  <c r="H84" i="2"/>
  <c r="K84" i="2"/>
  <c r="G106" i="2"/>
  <c r="J106" i="2"/>
  <c r="F106" i="2"/>
  <c r="G105" i="2"/>
  <c r="J105" i="2"/>
  <c r="F105" i="2"/>
  <c r="K38" i="7"/>
  <c r="H38" i="7"/>
  <c r="H37" i="7"/>
  <c r="K37" i="7"/>
  <c r="G58" i="7"/>
  <c r="J58" i="7"/>
  <c r="F58" i="7"/>
  <c r="G57" i="7"/>
  <c r="J57" i="7"/>
  <c r="F57" i="7"/>
  <c r="G104" i="2"/>
  <c r="J104" i="2"/>
  <c r="F104" i="2"/>
  <c r="G103" i="2"/>
  <c r="J103" i="2"/>
  <c r="F103" i="2"/>
  <c r="G102" i="2"/>
  <c r="J102" i="2"/>
  <c r="F102" i="2"/>
  <c r="G101" i="2"/>
  <c r="J101" i="2"/>
  <c r="F101" i="2"/>
  <c r="G100" i="2"/>
  <c r="J100" i="2"/>
  <c r="F100" i="2"/>
  <c r="F78" i="2"/>
  <c r="H78" i="2"/>
  <c r="K78" i="2"/>
  <c r="H82" i="2"/>
  <c r="K82" i="2"/>
  <c r="H81" i="2"/>
  <c r="K81" i="2"/>
  <c r="H80" i="2"/>
  <c r="K80" i="2"/>
  <c r="H79" i="2"/>
  <c r="K79" i="2"/>
  <c r="J78" i="2"/>
  <c r="G56" i="7"/>
  <c r="J56" i="7"/>
  <c r="F56" i="7"/>
  <c r="H35" i="7"/>
  <c r="K35" i="7"/>
  <c r="G55" i="7"/>
  <c r="J55" i="7"/>
  <c r="F55" i="7"/>
  <c r="G54" i="7"/>
  <c r="J54" i="7"/>
  <c r="F54" i="7"/>
  <c r="K33" i="7"/>
  <c r="H33" i="7"/>
  <c r="H34" i="7"/>
  <c r="K34" i="7"/>
  <c r="G99" i="2"/>
  <c r="J99" i="2"/>
  <c r="F99" i="2"/>
  <c r="H77" i="2"/>
  <c r="K77" i="2"/>
  <c r="H32" i="7"/>
  <c r="G53" i="7"/>
  <c r="J53" i="7"/>
  <c r="F53" i="7"/>
  <c r="G52" i="7"/>
  <c r="J52" i="7"/>
  <c r="F52" i="7"/>
  <c r="G98" i="2"/>
  <c r="J98" i="2"/>
  <c r="F98" i="2"/>
  <c r="G97" i="2"/>
  <c r="J97" i="2"/>
  <c r="F97" i="2"/>
  <c r="H76" i="2"/>
  <c r="K76" i="2"/>
  <c r="H75" i="2"/>
  <c r="K75" i="2"/>
  <c r="K32" i="7"/>
  <c r="K31" i="7"/>
  <c r="H31" i="7"/>
  <c r="G96" i="2"/>
  <c r="J96" i="2"/>
  <c r="F96" i="2"/>
  <c r="G95" i="2"/>
  <c r="J95" i="2"/>
  <c r="F95" i="2"/>
  <c r="H74" i="2"/>
  <c r="K74" i="2"/>
  <c r="H73" i="2"/>
  <c r="K73" i="2"/>
  <c r="G51" i="7"/>
  <c r="J51" i="7"/>
  <c r="F51" i="7"/>
  <c r="G50" i="7"/>
  <c r="J50" i="7"/>
  <c r="F50" i="7"/>
  <c r="H30" i="7"/>
  <c r="K30" i="7"/>
  <c r="H29" i="7"/>
  <c r="K29" i="7"/>
  <c r="H70" i="2"/>
  <c r="H71" i="2"/>
  <c r="K71" i="2"/>
  <c r="H72" i="2"/>
  <c r="K72" i="2"/>
  <c r="K70" i="2"/>
  <c r="G94" i="2"/>
  <c r="J94" i="2"/>
  <c r="F94" i="2"/>
  <c r="G93" i="2"/>
  <c r="J93" i="2"/>
  <c r="F93" i="2"/>
  <c r="G49" i="7"/>
  <c r="J49" i="7"/>
  <c r="F49" i="7"/>
  <c r="G48" i="7"/>
  <c r="J48" i="7"/>
  <c r="F48" i="7"/>
  <c r="H28" i="7"/>
  <c r="K28" i="7"/>
  <c r="H27" i="7"/>
  <c r="K27" i="7"/>
  <c r="G92" i="2"/>
  <c r="J92" i="2"/>
  <c r="F92" i="2"/>
  <c r="H68" i="2"/>
  <c r="K68" i="2"/>
  <c r="G91" i="2"/>
  <c r="J91" i="2"/>
  <c r="F91" i="2"/>
  <c r="H69" i="2"/>
  <c r="K69" i="2"/>
  <c r="F47" i="7"/>
  <c r="G47" i="7"/>
  <c r="J47" i="7"/>
  <c r="H26" i="7"/>
  <c r="K26" i="7"/>
  <c r="K25" i="7"/>
  <c r="K24" i="7"/>
  <c r="H24" i="7"/>
  <c r="G46" i="7"/>
  <c r="J46" i="7"/>
  <c r="F46" i="7"/>
  <c r="G45" i="7"/>
  <c r="J45" i="7"/>
  <c r="F45" i="7"/>
  <c r="H25" i="7"/>
  <c r="G90" i="2"/>
  <c r="J90" i="2"/>
  <c r="F90" i="2"/>
  <c r="G89" i="2"/>
  <c r="J89" i="2"/>
  <c r="F89" i="2"/>
  <c r="H67" i="2"/>
  <c r="K67" i="2"/>
  <c r="H66" i="2"/>
  <c r="K66" i="2"/>
  <c r="G88" i="2"/>
  <c r="J88" i="2"/>
  <c r="F88" i="2"/>
  <c r="G87" i="2"/>
  <c r="J87" i="2"/>
  <c r="F87" i="2"/>
  <c r="H65" i="2"/>
  <c r="K65" i="2"/>
  <c r="H64" i="2"/>
  <c r="K64" i="2"/>
  <c r="G44" i="7"/>
  <c r="J44" i="7"/>
  <c r="F44" i="7"/>
  <c r="G43" i="7"/>
  <c r="J43" i="7"/>
  <c r="F43" i="7"/>
  <c r="K23" i="7"/>
  <c r="K22" i="7"/>
  <c r="H23" i="7"/>
  <c r="H22" i="7"/>
  <c r="G42" i="7"/>
  <c r="J42" i="7"/>
  <c r="F42" i="7"/>
  <c r="G41" i="7"/>
  <c r="J41" i="7"/>
  <c r="F41" i="7"/>
  <c r="H21" i="7"/>
  <c r="K21" i="7"/>
  <c r="H20" i="7"/>
  <c r="K20" i="7"/>
  <c r="G86" i="2"/>
  <c r="J86" i="2"/>
  <c r="F86" i="2"/>
  <c r="G85" i="2"/>
  <c r="J85" i="2"/>
  <c r="F85" i="2"/>
  <c r="H63" i="2"/>
  <c r="K63" i="2"/>
  <c r="H62" i="2"/>
  <c r="K62" i="2"/>
  <c r="G84" i="2"/>
  <c r="J84" i="2"/>
  <c r="F84" i="2"/>
  <c r="G83" i="2"/>
  <c r="J83" i="2"/>
  <c r="F83" i="2"/>
  <c r="H61" i="2"/>
  <c r="K61" i="2"/>
  <c r="H60" i="2"/>
  <c r="K60" i="2"/>
  <c r="G40" i="7"/>
  <c r="J40" i="7"/>
  <c r="F40" i="7"/>
  <c r="G39" i="7"/>
  <c r="J39" i="7"/>
  <c r="F39" i="7"/>
  <c r="K19" i="7"/>
  <c r="K18" i="7"/>
  <c r="H19" i="7"/>
  <c r="H18" i="7"/>
  <c r="H17" i="7"/>
  <c r="K17" i="7"/>
  <c r="H16" i="7"/>
  <c r="K16" i="7"/>
  <c r="G38" i="7"/>
  <c r="J38" i="7"/>
  <c r="F38" i="7"/>
  <c r="G37" i="7"/>
  <c r="J37" i="7"/>
  <c r="F37" i="7"/>
  <c r="G82" i="2"/>
  <c r="J82" i="2"/>
  <c r="F82" i="2"/>
  <c r="G81" i="2"/>
  <c r="J81" i="2"/>
  <c r="F81" i="2"/>
  <c r="F36" i="7"/>
  <c r="G35" i="7"/>
  <c r="J35" i="7"/>
  <c r="F35" i="7"/>
  <c r="H15" i="7"/>
  <c r="K15" i="7"/>
  <c r="H58" i="2"/>
  <c r="K58" i="2"/>
  <c r="G80" i="2"/>
  <c r="J80" i="2"/>
  <c r="F80" i="2"/>
  <c r="G79" i="2"/>
  <c r="J79" i="2"/>
  <c r="F79" i="2"/>
  <c r="H59" i="2"/>
  <c r="K59" i="2"/>
  <c r="H14" i="7"/>
  <c r="K14" i="7"/>
  <c r="G77" i="2"/>
  <c r="J77" i="2"/>
  <c r="F77" i="2"/>
  <c r="H57" i="2"/>
  <c r="K57" i="2"/>
  <c r="H56" i="2"/>
  <c r="K56" i="2"/>
  <c r="G34" i="7"/>
  <c r="J34" i="7"/>
  <c r="F34" i="7"/>
  <c r="G33" i="7"/>
  <c r="J33" i="7"/>
  <c r="F33" i="7"/>
  <c r="H13" i="7"/>
  <c r="K13" i="7"/>
  <c r="H12" i="7"/>
  <c r="K12" i="7"/>
  <c r="K11" i="7"/>
  <c r="G32" i="7"/>
  <c r="J32" i="7"/>
  <c r="F32" i="7"/>
  <c r="G31" i="7"/>
  <c r="J31" i="7"/>
  <c r="F31" i="7"/>
  <c r="G76" i="2"/>
  <c r="J76" i="2"/>
  <c r="F76" i="2"/>
  <c r="G75" i="2"/>
  <c r="J75" i="2"/>
  <c r="F75" i="2"/>
  <c r="K55" i="2"/>
  <c r="K53" i="2"/>
  <c r="K54" i="2"/>
  <c r="G74" i="2"/>
  <c r="J74" i="2"/>
  <c r="F74" i="2"/>
  <c r="G73" i="2"/>
  <c r="J73" i="2"/>
  <c r="F73" i="2"/>
  <c r="K52" i="2"/>
  <c r="G30" i="7"/>
  <c r="J30" i="7"/>
  <c r="F30" i="7"/>
  <c r="G29" i="7"/>
  <c r="J29" i="7"/>
  <c r="F29" i="7"/>
  <c r="K10" i="7"/>
  <c r="K9" i="7"/>
  <c r="G72" i="2"/>
  <c r="J72" i="2"/>
  <c r="F72" i="2"/>
  <c r="G28" i="7"/>
  <c r="J28" i="7"/>
  <c r="F28" i="7"/>
  <c r="G27" i="7"/>
  <c r="J27" i="7"/>
  <c r="F27" i="7"/>
  <c r="G71" i="2"/>
  <c r="J71" i="2"/>
  <c r="F71" i="2"/>
  <c r="G70" i="2"/>
  <c r="J70" i="2"/>
  <c r="F70" i="2"/>
  <c r="K51" i="2"/>
  <c r="G69" i="2"/>
  <c r="J69" i="2"/>
  <c r="F69" i="2"/>
  <c r="G68" i="2"/>
  <c r="J68" i="2"/>
  <c r="F68" i="2"/>
  <c r="K50" i="2"/>
  <c r="G26" i="7"/>
  <c r="J26" i="7"/>
  <c r="F26" i="7"/>
  <c r="K8" i="7"/>
  <c r="K7" i="7"/>
  <c r="J8" i="7"/>
  <c r="J7" i="7"/>
  <c r="G25" i="7"/>
  <c r="J25" i="7"/>
  <c r="F25" i="7"/>
  <c r="G24" i="7"/>
  <c r="J24" i="7"/>
  <c r="F24" i="7"/>
  <c r="G67" i="2"/>
  <c r="J67" i="2"/>
  <c r="F67" i="2"/>
  <c r="G66" i="2"/>
  <c r="J66" i="2"/>
  <c r="F66" i="2"/>
  <c r="K49" i="2"/>
  <c r="G49" i="2"/>
  <c r="J49" i="2"/>
  <c r="G65" i="2"/>
  <c r="J65" i="2"/>
  <c r="F65" i="2"/>
  <c r="G64" i="2"/>
  <c r="J64" i="2"/>
  <c r="F64" i="2"/>
  <c r="K48" i="2"/>
  <c r="K47" i="2"/>
  <c r="G23" i="7"/>
  <c r="J23" i="7"/>
  <c r="F23" i="7"/>
  <c r="G22" i="7"/>
  <c r="J22" i="7"/>
  <c r="F22" i="7"/>
  <c r="G63" i="2"/>
  <c r="J63" i="2"/>
  <c r="F63" i="2"/>
  <c r="G62" i="2"/>
  <c r="J62" i="2"/>
  <c r="F62" i="2"/>
  <c r="K46" i="2"/>
  <c r="K45" i="2"/>
  <c r="G21" i="7"/>
  <c r="J21" i="7"/>
  <c r="F21" i="7"/>
  <c r="G20" i="7"/>
  <c r="J20" i="7"/>
  <c r="F20" i="7"/>
  <c r="G19" i="7"/>
  <c r="J19" i="7"/>
  <c r="F19" i="7"/>
  <c r="G61" i="2"/>
  <c r="J61" i="2"/>
  <c r="F61" i="2"/>
  <c r="G60" i="2"/>
  <c r="J60" i="2"/>
  <c r="F60" i="2"/>
  <c r="K44" i="2"/>
  <c r="G18" i="7"/>
  <c r="J18" i="7"/>
  <c r="F18" i="7"/>
  <c r="K43" i="2"/>
  <c r="G17" i="7"/>
  <c r="J17" i="7"/>
  <c r="F17" i="7"/>
  <c r="G16" i="7"/>
  <c r="J16" i="7"/>
  <c r="F16" i="7"/>
  <c r="G59" i="2"/>
  <c r="J59" i="2"/>
  <c r="F59" i="2"/>
  <c r="G58" i="2"/>
  <c r="J58" i="2"/>
  <c r="F58" i="2"/>
  <c r="G57" i="2"/>
  <c r="J57" i="2"/>
  <c r="F57" i="2"/>
  <c r="K42" i="2"/>
  <c r="K41" i="2"/>
  <c r="K5" i="7"/>
  <c r="J5" i="7"/>
  <c r="G15" i="7"/>
  <c r="J15" i="7"/>
  <c r="F15" i="7"/>
  <c r="G14" i="7"/>
  <c r="J14" i="7"/>
  <c r="F14" i="7"/>
  <c r="G13" i="7"/>
  <c r="J13" i="7"/>
  <c r="F13" i="7"/>
  <c r="G12" i="7"/>
  <c r="J12" i="7"/>
  <c r="F12" i="7"/>
  <c r="G11" i="7"/>
  <c r="J11" i="7"/>
  <c r="F11" i="7"/>
  <c r="G56" i="2"/>
  <c r="J56" i="2"/>
  <c r="F56" i="2"/>
  <c r="K40" i="2"/>
  <c r="K39" i="2"/>
  <c r="J39" i="2"/>
  <c r="G55" i="2"/>
  <c r="J55" i="2"/>
  <c r="F55" i="2"/>
  <c r="K38" i="2"/>
  <c r="G54" i="2"/>
  <c r="J54" i="2"/>
  <c r="F54" i="2"/>
  <c r="G53" i="2"/>
  <c r="J53" i="2"/>
  <c r="F53" i="2"/>
  <c r="G10" i="7"/>
  <c r="J10" i="7"/>
  <c r="F10" i="7"/>
  <c r="K6" i="7"/>
  <c r="J6" i="7"/>
  <c r="G52" i="2"/>
  <c r="J52" i="2"/>
  <c r="F52" i="2"/>
  <c r="K37" i="2"/>
  <c r="G51" i="2"/>
  <c r="J51" i="2"/>
  <c r="F51" i="2"/>
  <c r="K36" i="2"/>
  <c r="G9" i="7"/>
  <c r="J9" i="7"/>
  <c r="F9" i="7"/>
  <c r="G50" i="2"/>
  <c r="J50" i="2"/>
  <c r="F50" i="2"/>
  <c r="K35" i="2"/>
  <c r="G35" i="2"/>
  <c r="J35" i="2"/>
  <c r="F49" i="2"/>
  <c r="K34" i="2"/>
  <c r="G34" i="2"/>
  <c r="J34" i="2"/>
  <c r="F8" i="7"/>
  <c r="G48" i="2"/>
  <c r="J48" i="2"/>
  <c r="F48" i="2"/>
  <c r="G47" i="2"/>
  <c r="J47" i="2"/>
  <c r="F47" i="2"/>
  <c r="K33" i="2"/>
  <c r="G46" i="2"/>
  <c r="J46" i="2"/>
  <c r="F46" i="2"/>
  <c r="G45" i="2"/>
  <c r="J45" i="2"/>
  <c r="F45" i="2"/>
  <c r="K32" i="2"/>
  <c r="G44" i="2"/>
  <c r="J44" i="2"/>
  <c r="F44" i="2"/>
  <c r="K31" i="2"/>
  <c r="G43" i="2"/>
  <c r="J43" i="2"/>
  <c r="F43" i="2"/>
  <c r="K30" i="2"/>
  <c r="G30" i="2"/>
  <c r="J30" i="2"/>
  <c r="G42" i="2"/>
  <c r="J42" i="2"/>
  <c r="F42" i="2"/>
  <c r="G41" i="2"/>
  <c r="J41" i="2"/>
  <c r="F41" i="2"/>
  <c r="K29" i="2"/>
  <c r="F40" i="2"/>
  <c r="G40" i="2"/>
  <c r="J40" i="2"/>
  <c r="K28" i="2"/>
  <c r="J28" i="2"/>
  <c r="F39" i="2"/>
  <c r="F7" i="7"/>
  <c r="F38" i="2"/>
  <c r="G38" i="2"/>
  <c r="J38" i="2"/>
  <c r="J27" i="2"/>
  <c r="K4" i="7"/>
  <c r="J4" i="7"/>
  <c r="K27" i="2"/>
  <c r="G37" i="2"/>
  <c r="J37" i="2"/>
  <c r="F37" i="2"/>
  <c r="J25" i="2"/>
  <c r="K25" i="2"/>
  <c r="F6" i="7"/>
  <c r="F5" i="7"/>
  <c r="G36" i="2"/>
  <c r="J36" i="2"/>
  <c r="F36" i="2"/>
  <c r="K26" i="2"/>
  <c r="K3" i="7"/>
  <c r="J26" i="2"/>
  <c r="F35" i="2"/>
  <c r="K23" i="2"/>
  <c r="J23" i="2"/>
  <c r="F34" i="2"/>
  <c r="G33" i="2"/>
  <c r="J33" i="2"/>
  <c r="F33" i="2"/>
  <c r="K24" i="2"/>
  <c r="J24" i="2"/>
  <c r="F32" i="2"/>
  <c r="G32" i="2"/>
  <c r="J32" i="2"/>
  <c r="K22" i="2"/>
  <c r="J22" i="2"/>
  <c r="G31" i="2"/>
  <c r="J31" i="2"/>
  <c r="K21" i="2"/>
  <c r="J21" i="2"/>
  <c r="G29" i="2"/>
  <c r="J29" i="2"/>
  <c r="K20" i="2"/>
  <c r="J20" i="2"/>
  <c r="G3" i="7"/>
  <c r="J3" i="7"/>
  <c r="K2" i="7"/>
  <c r="K19" i="2"/>
  <c r="J19" i="2"/>
  <c r="K18" i="2"/>
  <c r="J18" i="2"/>
  <c r="K18" i="1"/>
  <c r="K19" i="1"/>
  <c r="I9" i="2"/>
  <c r="I8" i="2"/>
  <c r="K8" i="2"/>
  <c r="K5" i="2"/>
  <c r="B18" i="1"/>
  <c r="B19" i="1"/>
  <c r="H18" i="1"/>
  <c r="H19" i="1"/>
  <c r="E18" i="1"/>
  <c r="E19" i="1"/>
  <c r="K9" i="2"/>
  <c r="J9" i="2"/>
  <c r="J5" i="2"/>
  <c r="J8" i="2"/>
  <c r="K20" i="1"/>
  <c r="K21" i="1"/>
  <c r="B20" i="1"/>
  <c r="B21" i="1"/>
  <c r="H20" i="1"/>
  <c r="H21" i="1"/>
  <c r="E20" i="1"/>
  <c r="E21" i="1"/>
  <c r="J2" i="7"/>
  <c r="K17" i="2"/>
  <c r="J17" i="2"/>
  <c r="I2" i="2"/>
  <c r="K2" i="2"/>
  <c r="J2" i="2"/>
  <c r="K16" i="2"/>
  <c r="K7" i="2"/>
  <c r="K6" i="2"/>
  <c r="K4" i="2"/>
  <c r="K3" i="2"/>
  <c r="J16" i="2"/>
  <c r="J6" i="2"/>
  <c r="J7" i="2"/>
  <c r="J4" i="2"/>
  <c r="J3" i="2"/>
  <c r="J2" i="5"/>
  <c r="K11" i="2"/>
  <c r="J11" i="2"/>
  <c r="K15" i="2"/>
  <c r="J15" i="2"/>
  <c r="K14" i="2"/>
  <c r="J14" i="2"/>
  <c r="K12" i="2"/>
  <c r="J12" i="2"/>
  <c r="K10" i="2"/>
  <c r="J10" i="2"/>
  <c r="K13" i="2"/>
  <c r="J13" i="2"/>
  <c r="F3" i="5"/>
  <c r="J3" i="5"/>
  <c r="H2" i="5"/>
  <c r="H3" i="5"/>
  <c r="B6" i="1"/>
  <c r="B7" i="1"/>
  <c r="B8" i="1"/>
  <c r="B9" i="1"/>
</calcChain>
</file>

<file path=xl/sharedStrings.xml><?xml version="1.0" encoding="utf-8"?>
<sst xmlns="http://schemas.openxmlformats.org/spreadsheetml/2006/main" count="659" uniqueCount="150">
  <si>
    <t>金额</t>
    <phoneticPr fontId="1" type="noConversion"/>
  </si>
  <si>
    <t>预期收益率</t>
    <phoneticPr fontId="1" type="noConversion"/>
  </si>
  <si>
    <t>持有天数</t>
    <phoneticPr fontId="1" type="noConversion"/>
  </si>
  <si>
    <t>总天数</t>
    <phoneticPr fontId="1" type="noConversion"/>
  </si>
  <si>
    <t>变现利率</t>
    <phoneticPr fontId="1" type="noConversion"/>
  </si>
  <si>
    <t>最高可变现金额</t>
    <phoneticPr fontId="1" type="noConversion"/>
  </si>
  <si>
    <t>变现手续费</t>
    <phoneticPr fontId="1" type="noConversion"/>
  </si>
  <si>
    <t>可变现金额</t>
    <phoneticPr fontId="1" type="noConversion"/>
  </si>
  <si>
    <t>实际收益率</t>
    <phoneticPr fontId="1" type="noConversion"/>
  </si>
  <si>
    <t>个人贷407982号</t>
    <phoneticPr fontId="1" type="noConversion"/>
  </si>
  <si>
    <t>珠江汇赢3号终身寿险</t>
    <phoneticPr fontId="1" type="noConversion"/>
  </si>
  <si>
    <t>个人贷158793号</t>
    <phoneticPr fontId="1" type="noConversion"/>
  </si>
  <si>
    <t>个人贷158875号</t>
    <phoneticPr fontId="1" type="noConversion"/>
  </si>
  <si>
    <t>个人贷158888号</t>
    <phoneticPr fontId="1" type="noConversion"/>
  </si>
  <si>
    <t>购买日期</t>
    <phoneticPr fontId="1" type="noConversion"/>
  </si>
  <si>
    <t>当前日期</t>
    <phoneticPr fontId="1" type="noConversion"/>
  </si>
  <si>
    <t>累计收益</t>
    <phoneticPr fontId="1" type="noConversion"/>
  </si>
  <si>
    <t>折算利率</t>
    <phoneticPr fontId="1" type="noConversion"/>
  </si>
  <si>
    <t>购买金额</t>
    <phoneticPr fontId="1" type="noConversion"/>
  </si>
  <si>
    <t>前海人寿聚富三号</t>
    <phoneticPr fontId="1" type="noConversion"/>
  </si>
  <si>
    <t>珠江人寿安赢一号</t>
    <phoneticPr fontId="1" type="noConversion"/>
  </si>
  <si>
    <t>前海人寿聚富四号</t>
    <phoneticPr fontId="1" type="noConversion"/>
  </si>
  <si>
    <t>中新大东方财富双盈3号</t>
    <phoneticPr fontId="1" type="noConversion"/>
  </si>
  <si>
    <t>变现日期</t>
    <phoneticPr fontId="1" type="noConversion"/>
  </si>
  <si>
    <t>起息日</t>
    <phoneticPr fontId="1" type="noConversion"/>
  </si>
  <si>
    <t>国联人寿惠泰e款</t>
    <phoneticPr fontId="1" type="noConversion"/>
  </si>
  <si>
    <t>珠江人寿安赢一号</t>
    <phoneticPr fontId="1" type="noConversion"/>
  </si>
  <si>
    <t>中融融汇2号</t>
    <phoneticPr fontId="1" type="noConversion"/>
  </si>
  <si>
    <t>前海人寿聚富三号</t>
    <phoneticPr fontId="1" type="noConversion"/>
  </si>
  <si>
    <t>变现日期</t>
    <phoneticPr fontId="1" type="noConversion"/>
  </si>
  <si>
    <t>珠江人寿安赢三号</t>
    <phoneticPr fontId="1" type="noConversion"/>
  </si>
  <si>
    <t>前海人寿聚富四号</t>
    <phoneticPr fontId="1" type="noConversion"/>
  </si>
  <si>
    <t>珠江人寿稳赢一号</t>
    <phoneticPr fontId="1" type="noConversion"/>
  </si>
  <si>
    <t>中新大东方财富双盈3号</t>
    <phoneticPr fontId="1" type="noConversion"/>
  </si>
  <si>
    <t>期限(天)</t>
    <phoneticPr fontId="1" type="noConversion"/>
  </si>
  <si>
    <t>国联人寿惠泰e款</t>
    <phoneticPr fontId="1" type="noConversion"/>
  </si>
  <si>
    <t>变现获得</t>
    <phoneticPr fontId="1" type="noConversion"/>
  </si>
  <si>
    <t>变现收益率</t>
    <phoneticPr fontId="1" type="noConversion"/>
  </si>
  <si>
    <t>弘康人寿在线理财计划3号</t>
    <phoneticPr fontId="1" type="noConversion"/>
  </si>
  <si>
    <t>起息日</t>
    <phoneticPr fontId="1" type="noConversion"/>
  </si>
  <si>
    <t>期限(天)</t>
    <phoneticPr fontId="1" type="noConversion"/>
  </si>
  <si>
    <t>赠送</t>
    <phoneticPr fontId="1" type="noConversion"/>
  </si>
  <si>
    <t>实际收益</t>
    <phoneticPr fontId="1" type="noConversion"/>
  </si>
  <si>
    <t>华夏摇钱树两全保险A款</t>
    <phoneticPr fontId="1" type="noConversion"/>
  </si>
  <si>
    <t>预估到期收益</t>
    <phoneticPr fontId="1" type="noConversion"/>
  </si>
  <si>
    <t>到期可得</t>
    <phoneticPr fontId="1" type="noConversion"/>
  </si>
  <si>
    <t>最终收益</t>
    <phoneticPr fontId="1" type="noConversion"/>
  </si>
  <si>
    <t>中融天天盈1号</t>
    <phoneticPr fontId="1" type="noConversion"/>
  </si>
  <si>
    <t>东方赢家保本混合基金</t>
    <phoneticPr fontId="1" type="noConversion"/>
  </si>
  <si>
    <t>中融天天盈1号</t>
    <phoneticPr fontId="1" type="noConversion"/>
  </si>
  <si>
    <t>前海人寿聚富三号</t>
    <phoneticPr fontId="1" type="noConversion"/>
  </si>
  <si>
    <t>正德稳溢1号</t>
    <phoneticPr fontId="1" type="noConversion"/>
  </si>
  <si>
    <t>正德稳溢1号</t>
    <phoneticPr fontId="1" type="noConversion"/>
  </si>
  <si>
    <t>东吴人寿如宁心E(C款)</t>
    <phoneticPr fontId="1" type="noConversion"/>
  </si>
  <si>
    <t>利率达标</t>
    <phoneticPr fontId="1" type="noConversion"/>
  </si>
  <si>
    <t>预期利率</t>
    <phoneticPr fontId="1" type="noConversion"/>
  </si>
  <si>
    <t>6.9(实际6.7)</t>
    <phoneticPr fontId="1" type="noConversion"/>
  </si>
  <si>
    <t>7.05(实际6.84)</t>
    <phoneticPr fontId="1" type="noConversion"/>
  </si>
  <si>
    <t>上海人寿浦江e福星一号B款</t>
    <phoneticPr fontId="1" type="noConversion"/>
  </si>
  <si>
    <t>预期利率</t>
    <phoneticPr fontId="1" type="noConversion"/>
  </si>
  <si>
    <t>正德多利1号</t>
    <phoneticPr fontId="1" type="noConversion"/>
  </si>
  <si>
    <t>华夏人寿摇钱树</t>
    <phoneticPr fontId="1" type="noConversion"/>
  </si>
  <si>
    <t>前海人寿聚富三号</t>
    <phoneticPr fontId="1" type="noConversion"/>
  </si>
  <si>
    <t>正德稳溢1号</t>
    <phoneticPr fontId="1" type="noConversion"/>
  </si>
  <si>
    <t>正德稳溢1号</t>
    <phoneticPr fontId="1" type="noConversion"/>
  </si>
  <si>
    <t>7.5(实际7.26)</t>
    <phoneticPr fontId="1" type="noConversion"/>
  </si>
  <si>
    <t>7.6(实际7.35)</t>
    <phoneticPr fontId="1" type="noConversion"/>
  </si>
  <si>
    <t>7.65(实际7.4)</t>
    <phoneticPr fontId="1" type="noConversion"/>
  </si>
  <si>
    <t>7.31(实际7.26)</t>
    <phoneticPr fontId="1" type="noConversion"/>
  </si>
  <si>
    <t>正德稳溢1号</t>
    <phoneticPr fontId="1" type="noConversion"/>
  </si>
  <si>
    <t>7.25(实际7.12)</t>
    <phoneticPr fontId="1" type="noConversion"/>
  </si>
  <si>
    <t>7.35(实际7.12)</t>
    <phoneticPr fontId="1" type="noConversion"/>
  </si>
  <si>
    <t>富德生命e理财年金保险</t>
    <phoneticPr fontId="1" type="noConversion"/>
  </si>
  <si>
    <t>正德稳溢2号</t>
    <phoneticPr fontId="1" type="noConversion"/>
  </si>
  <si>
    <t>珠江人寿宝赢二号</t>
    <phoneticPr fontId="1" type="noConversion"/>
  </si>
  <si>
    <t>富德生命人寿e理财第二版</t>
    <phoneticPr fontId="1" type="noConversion"/>
  </si>
  <si>
    <t>珠江人寿宝赢二号</t>
    <phoneticPr fontId="1" type="noConversion"/>
  </si>
  <si>
    <t>富德生命人寿招财宝一号</t>
    <phoneticPr fontId="1" type="noConversion"/>
  </si>
  <si>
    <t>正德稳溢2号</t>
    <phoneticPr fontId="1" type="noConversion"/>
  </si>
  <si>
    <t>珠江人寿利赢二号</t>
    <phoneticPr fontId="1" type="noConversion"/>
  </si>
  <si>
    <t>富德生命人寿招财宝二号</t>
    <phoneticPr fontId="1" type="noConversion"/>
  </si>
  <si>
    <t>富德e理财第二版</t>
  </si>
  <si>
    <t>富德招财宝一号</t>
  </si>
  <si>
    <t>富德招财宝二号年金</t>
  </si>
  <si>
    <t>富德招财宝二号第二版</t>
  </si>
  <si>
    <t>正德稳溢1号</t>
    <phoneticPr fontId="1" type="noConversion"/>
  </si>
  <si>
    <t>2015.06-08</t>
    <phoneticPr fontId="1" type="noConversion"/>
  </si>
  <si>
    <t>7.68(实际7.43)</t>
    <phoneticPr fontId="1" type="noConversion"/>
  </si>
  <si>
    <t>2015.07-08</t>
    <phoneticPr fontId="1" type="noConversion"/>
  </si>
  <si>
    <t>7.92(实际7.65)</t>
    <phoneticPr fontId="1" type="noConversion"/>
  </si>
  <si>
    <t>8.05(实际7.77)</t>
    <phoneticPr fontId="1" type="noConversion"/>
  </si>
  <si>
    <t>7.99(实际7.72)</t>
    <phoneticPr fontId="1" type="noConversion"/>
  </si>
  <si>
    <t>2015.06-07</t>
    <phoneticPr fontId="1" type="noConversion"/>
  </si>
  <si>
    <t>2015.05-07</t>
    <phoneticPr fontId="1" type="noConversion"/>
  </si>
  <si>
    <t>2015.02-07</t>
    <phoneticPr fontId="1" type="noConversion"/>
  </si>
  <si>
    <t>2015.03-07</t>
    <phoneticPr fontId="1" type="noConversion"/>
  </si>
  <si>
    <t>2015.07-07</t>
    <phoneticPr fontId="1" type="noConversion"/>
  </si>
  <si>
    <t>2015.08-08</t>
    <phoneticPr fontId="1" type="noConversion"/>
  </si>
  <si>
    <t>2014.11-12,2015.01-07</t>
    <phoneticPr fontId="1" type="noConversion"/>
  </si>
  <si>
    <t>东吴e禄永利</t>
    <phoneticPr fontId="1" type="noConversion"/>
  </si>
  <si>
    <t>天安人寿天利安享C款</t>
    <phoneticPr fontId="1" type="noConversion"/>
  </si>
  <si>
    <t>个人贷2015081955749419号</t>
    <phoneticPr fontId="1" type="noConversion"/>
  </si>
  <si>
    <t>珠江人寿富赢一号</t>
    <phoneticPr fontId="1" type="noConversion"/>
  </si>
  <si>
    <t>个人贷698644号</t>
    <phoneticPr fontId="1" type="noConversion"/>
  </si>
  <si>
    <t>东吴e禄永利</t>
    <phoneticPr fontId="1" type="noConversion"/>
  </si>
  <si>
    <t>天安人寿天利安享C款</t>
    <phoneticPr fontId="1" type="noConversion"/>
  </si>
  <si>
    <t>个人贷405976号</t>
    <phoneticPr fontId="1" type="noConversion"/>
  </si>
  <si>
    <t>个人贷409313号</t>
    <phoneticPr fontId="1" type="noConversion"/>
  </si>
  <si>
    <t>个人贷408586号</t>
    <phoneticPr fontId="1" type="noConversion"/>
  </si>
  <si>
    <t>个人贷413083号</t>
    <phoneticPr fontId="1" type="noConversion"/>
  </si>
  <si>
    <t>富德生命人寿e理财F款年金</t>
    <phoneticPr fontId="1" type="noConversion"/>
  </si>
  <si>
    <t>正德稳溢2号</t>
    <phoneticPr fontId="1" type="noConversion"/>
  </si>
  <si>
    <t>个人贷834903号</t>
    <phoneticPr fontId="1" type="noConversion"/>
  </si>
  <si>
    <t>富德生命人寿e理财F款年金</t>
    <phoneticPr fontId="1" type="noConversion"/>
  </si>
  <si>
    <t>个人贷021191号</t>
    <phoneticPr fontId="1" type="noConversion"/>
  </si>
  <si>
    <t>个人贷042784号</t>
    <phoneticPr fontId="1" type="noConversion"/>
  </si>
  <si>
    <t>个人贷188790号</t>
    <phoneticPr fontId="1" type="noConversion"/>
  </si>
  <si>
    <t>个人贷473164号</t>
    <phoneticPr fontId="1" type="noConversion"/>
  </si>
  <si>
    <t>富德生命人寿e理财G款</t>
    <phoneticPr fontId="1" type="noConversion"/>
  </si>
  <si>
    <t>富德生命人寿e理财G款</t>
    <phoneticPr fontId="1" type="noConversion"/>
  </si>
  <si>
    <t>个人贷152238号</t>
    <phoneticPr fontId="1" type="noConversion"/>
  </si>
  <si>
    <t>个人贷209255号</t>
    <phoneticPr fontId="1" type="noConversion"/>
  </si>
  <si>
    <t>个人贷940580号</t>
    <phoneticPr fontId="1" type="noConversion"/>
  </si>
  <si>
    <t>个人贷2015091655798988号</t>
    <phoneticPr fontId="1" type="noConversion"/>
  </si>
  <si>
    <t>余额宝</t>
    <phoneticPr fontId="1" type="noConversion"/>
  </si>
  <si>
    <t xml:space="preserve">个人贷021191号 </t>
    <phoneticPr fontId="1" type="noConversion"/>
  </si>
  <si>
    <t>合计</t>
    <phoneticPr fontId="1" type="noConversion"/>
  </si>
  <si>
    <t>个人贷743843号</t>
    <phoneticPr fontId="1" type="noConversion"/>
  </si>
  <si>
    <t>个人贷744003号</t>
    <phoneticPr fontId="1" type="noConversion"/>
  </si>
  <si>
    <t>个人贷744141号</t>
    <phoneticPr fontId="1" type="noConversion"/>
  </si>
  <si>
    <t>个人贷744276号</t>
    <phoneticPr fontId="1" type="noConversion"/>
  </si>
  <si>
    <t>日期</t>
    <phoneticPr fontId="1" type="noConversion"/>
  </si>
  <si>
    <t>余额宝</t>
    <phoneticPr fontId="1" type="noConversion"/>
  </si>
  <si>
    <t>钱大掌柜</t>
    <phoneticPr fontId="1" type="noConversion"/>
  </si>
  <si>
    <t>京东金融</t>
    <phoneticPr fontId="1" type="noConversion"/>
  </si>
  <si>
    <t>活期</t>
    <phoneticPr fontId="1" type="noConversion"/>
  </si>
  <si>
    <t>中新大东方恒大稳盈2号</t>
    <phoneticPr fontId="1" type="noConversion"/>
  </si>
  <si>
    <t>陆金所-保险/票据/基金</t>
    <phoneticPr fontId="1" type="noConversion"/>
  </si>
  <si>
    <t>保险</t>
    <phoneticPr fontId="1" type="noConversion"/>
  </si>
  <si>
    <t>招财宝</t>
    <phoneticPr fontId="1" type="noConversion"/>
  </si>
  <si>
    <t>陆金所-&gt;P2P/变现通</t>
  </si>
  <si>
    <t>陆金所-&gt;P2P/变现通</t>
    <phoneticPr fontId="1" type="noConversion"/>
  </si>
  <si>
    <t>陆金所-&gt;余额/零活宝</t>
    <phoneticPr fontId="1" type="noConversion"/>
  </si>
  <si>
    <t>招财宝</t>
    <phoneticPr fontId="1" type="noConversion"/>
  </si>
  <si>
    <t>余额宝</t>
    <phoneticPr fontId="1" type="noConversion"/>
  </si>
  <si>
    <t>活期</t>
    <phoneticPr fontId="1" type="noConversion"/>
  </si>
  <si>
    <t>合计</t>
    <phoneticPr fontId="1" type="noConversion"/>
  </si>
  <si>
    <t>中新大东方恒大稳盈2号</t>
    <phoneticPr fontId="1" type="noConversion"/>
  </si>
  <si>
    <t>小计</t>
    <phoneticPr fontId="1" type="noConversion"/>
  </si>
  <si>
    <t>陆金所-保险/票据/基金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</si>
</sst>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rgb="FF333333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14" fontId="2" fillId="0" borderId="0" xfId="0" applyNumberFormat="1" applyFont="1">
      <alignment vertical="center"/>
    </xf>
    <xf numFmtId="14" fontId="3" fillId="0" borderId="0" xfId="0" applyNumberFormat="1" applyFont="1">
      <alignment vertical="center"/>
    </xf>
    <xf numFmtId="4" fontId="4" fillId="0" borderId="0" xfId="0" applyNumberFormat="1" applyFont="1">
      <alignment vertical="center"/>
    </xf>
    <xf numFmtId="0" fontId="2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opLeftCell="A13" workbookViewId="0">
      <selection activeCell="E18" sqref="E18"/>
    </sheetView>
  </sheetViews>
  <sheetFormatPr defaultRowHeight="13.5" x14ac:dyDescent="0.15"/>
  <cols>
    <col min="1" max="1" width="15.125" bestFit="1" customWidth="1"/>
    <col min="2" max="2" width="11" bestFit="1" customWidth="1"/>
    <col min="3" max="3" width="11" customWidth="1"/>
    <col min="4" max="4" width="15.125" bestFit="1" customWidth="1"/>
    <col min="7" max="7" width="15.125" bestFit="1" customWidth="1"/>
    <col min="8" max="8" width="11.625" bestFit="1" customWidth="1"/>
    <col min="10" max="10" width="15.125" bestFit="1" customWidth="1"/>
    <col min="13" max="13" width="15.125" bestFit="1" customWidth="1"/>
  </cols>
  <sheetData>
    <row r="1" spans="1:11" x14ac:dyDescent="0.15">
      <c r="A1" t="s">
        <v>0</v>
      </c>
      <c r="B1">
        <v>10000</v>
      </c>
    </row>
    <row r="2" spans="1:11" x14ac:dyDescent="0.15">
      <c r="A2" t="s">
        <v>1</v>
      </c>
      <c r="B2">
        <v>7.1</v>
      </c>
    </row>
    <row r="3" spans="1:11" x14ac:dyDescent="0.15">
      <c r="A3" t="s">
        <v>3</v>
      </c>
      <c r="B3">
        <v>1096</v>
      </c>
    </row>
    <row r="4" spans="1:11" x14ac:dyDescent="0.15">
      <c r="A4" t="s">
        <v>2</v>
      </c>
      <c r="B4">
        <v>11</v>
      </c>
    </row>
    <row r="5" spans="1:11" x14ac:dyDescent="0.15">
      <c r="A5" t="s">
        <v>4</v>
      </c>
      <c r="B5">
        <v>6</v>
      </c>
    </row>
    <row r="6" spans="1:11" x14ac:dyDescent="0.15">
      <c r="A6" t="s">
        <v>5</v>
      </c>
      <c r="B6">
        <f>ROUND(B1*(1+B2/100*B3/365)/(1+B5/100*(B3-B4)/365),2)</f>
        <v>10295.65</v>
      </c>
    </row>
    <row r="7" spans="1:11" x14ac:dyDescent="0.15">
      <c r="A7" t="s">
        <v>6</v>
      </c>
      <c r="B7">
        <f>ROUND(B6*0.2/100,2)</f>
        <v>20.59</v>
      </c>
    </row>
    <row r="8" spans="1:11" x14ac:dyDescent="0.15">
      <c r="A8" t="s">
        <v>7</v>
      </c>
      <c r="B8">
        <f>B6-B7</f>
        <v>10275.06</v>
      </c>
    </row>
    <row r="9" spans="1:11" x14ac:dyDescent="0.15">
      <c r="A9" t="s">
        <v>8</v>
      </c>
      <c r="B9">
        <f>ROUND((B8-B1)*360/B4/B1*100,2)</f>
        <v>90.02</v>
      </c>
    </row>
    <row r="13" spans="1:11" x14ac:dyDescent="0.15">
      <c r="A13" t="s">
        <v>0</v>
      </c>
      <c r="B13">
        <v>10000</v>
      </c>
      <c r="D13" t="s">
        <v>0</v>
      </c>
      <c r="E13">
        <v>10000</v>
      </c>
      <c r="G13" t="s">
        <v>0</v>
      </c>
      <c r="H13">
        <v>10000</v>
      </c>
      <c r="J13" t="s">
        <v>0</v>
      </c>
      <c r="K13">
        <v>10000</v>
      </c>
    </row>
    <row r="14" spans="1:11" x14ac:dyDescent="0.15">
      <c r="A14" t="s">
        <v>44</v>
      </c>
      <c r="B14">
        <v>716</v>
      </c>
      <c r="D14" t="s">
        <v>44</v>
      </c>
      <c r="E14">
        <v>1502.56</v>
      </c>
      <c r="G14" t="s">
        <v>44</v>
      </c>
      <c r="H14">
        <v>2284.81</v>
      </c>
      <c r="J14" t="s">
        <v>44</v>
      </c>
      <c r="K14">
        <v>236.85</v>
      </c>
    </row>
    <row r="15" spans="1:11" x14ac:dyDescent="0.15">
      <c r="A15" t="s">
        <v>3</v>
      </c>
      <c r="B15">
        <v>366</v>
      </c>
      <c r="D15" t="s">
        <v>3</v>
      </c>
      <c r="E15">
        <v>730</v>
      </c>
      <c r="G15" t="s">
        <v>3</v>
      </c>
      <c r="H15">
        <v>1096</v>
      </c>
      <c r="J15" t="s">
        <v>3</v>
      </c>
      <c r="K15">
        <v>133</v>
      </c>
    </row>
    <row r="16" spans="1:11" x14ac:dyDescent="0.15">
      <c r="A16" t="s">
        <v>2</v>
      </c>
      <c r="B16">
        <v>11</v>
      </c>
      <c r="D16" t="s">
        <v>2</v>
      </c>
      <c r="E16">
        <v>11</v>
      </c>
      <c r="G16" t="s">
        <v>2</v>
      </c>
      <c r="H16">
        <v>11</v>
      </c>
      <c r="J16" t="s">
        <v>2</v>
      </c>
      <c r="K16">
        <v>1</v>
      </c>
    </row>
    <row r="17" spans="1:11" x14ac:dyDescent="0.15">
      <c r="A17" t="s">
        <v>4</v>
      </c>
      <c r="B17">
        <v>5.65</v>
      </c>
      <c r="D17" t="s">
        <v>4</v>
      </c>
      <c r="E17">
        <v>6.4</v>
      </c>
      <c r="G17" t="s">
        <v>4</v>
      </c>
      <c r="H17">
        <v>7.05</v>
      </c>
      <c r="J17" t="s">
        <v>4</v>
      </c>
      <c r="K17">
        <v>4.6100000000000003</v>
      </c>
    </row>
    <row r="18" spans="1:11" x14ac:dyDescent="0.15">
      <c r="A18" t="s">
        <v>5</v>
      </c>
      <c r="B18">
        <f>ROUND((B13+B14)/(1+B17/100*(B15-B16)/365),2)</f>
        <v>10157.81</v>
      </c>
      <c r="D18" t="s">
        <v>5</v>
      </c>
      <c r="E18">
        <f>ROUND((E13+E14)/(1+E17/100*(E15-E16)/365),2)</f>
        <v>10214.77</v>
      </c>
      <c r="G18" t="s">
        <v>5</v>
      </c>
      <c r="H18">
        <f>ROUND((H13+H14)/(1+H17/100*(H15-H16)/365),2)</f>
        <v>10156.36</v>
      </c>
      <c r="J18" t="s">
        <v>5</v>
      </c>
      <c r="K18">
        <f>ROUND((K13+K14)/(1+K17/100*(K15-K16)/365),2)</f>
        <v>10068.98</v>
      </c>
    </row>
    <row r="19" spans="1:11" x14ac:dyDescent="0.15">
      <c r="A19" t="s">
        <v>6</v>
      </c>
      <c r="B19">
        <f>ROUND(B18*0.2/100,2)</f>
        <v>20.32</v>
      </c>
      <c r="D19" t="s">
        <v>6</v>
      </c>
      <c r="E19">
        <f>ROUND(E18*0.2/100,2)</f>
        <v>20.43</v>
      </c>
      <c r="G19" t="s">
        <v>6</v>
      </c>
      <c r="H19">
        <f>ROUND(H18*0.2/100,2)</f>
        <v>20.309999999999999</v>
      </c>
      <c r="J19" t="s">
        <v>6</v>
      </c>
      <c r="K19">
        <f>ROUND(K18*0.2/100,2)</f>
        <v>20.14</v>
      </c>
    </row>
    <row r="20" spans="1:11" x14ac:dyDescent="0.15">
      <c r="A20" t="s">
        <v>7</v>
      </c>
      <c r="B20">
        <f>B18-B19</f>
        <v>10137.49</v>
      </c>
      <c r="D20" t="s">
        <v>7</v>
      </c>
      <c r="E20">
        <f>E18-E19</f>
        <v>10194.34</v>
      </c>
      <c r="G20" t="s">
        <v>7</v>
      </c>
      <c r="H20">
        <f>H18-H19</f>
        <v>10136.050000000001</v>
      </c>
      <c r="J20" t="s">
        <v>7</v>
      </c>
      <c r="K20">
        <f>K18-K19</f>
        <v>10048.84</v>
      </c>
    </row>
    <row r="21" spans="1:11" x14ac:dyDescent="0.15">
      <c r="A21" t="s">
        <v>8</v>
      </c>
      <c r="B21">
        <f>ROUND((B20-B13)*360/B16/B13*100,2)</f>
        <v>45</v>
      </c>
      <c r="D21" t="s">
        <v>8</v>
      </c>
      <c r="E21">
        <f>ROUND((E20-E13)*360/E16/E13*100,2)</f>
        <v>63.6</v>
      </c>
      <c r="G21" t="s">
        <v>8</v>
      </c>
      <c r="H21">
        <f>ROUND((H20-H13)*360/H16/H13*100,2)</f>
        <v>44.53</v>
      </c>
      <c r="J21" t="s">
        <v>8</v>
      </c>
      <c r="K21">
        <f>ROUND((K20-K13)*360/K16/K13*100,2)</f>
        <v>175.82</v>
      </c>
    </row>
  </sheetData>
  <phoneticPr fontId="1" type="noConversion"/>
  <pageMargins left="0.7" right="0.7" top="0.75" bottom="0.75" header="0.3" footer="0.3"/>
  <pageSetup paperSize="7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183"/>
  <sheetViews>
    <sheetView tabSelected="1" zoomScaleNormal="100" workbookViewId="0">
      <pane xSplit="5" ySplit="1" topLeftCell="F169" activePane="bottomRight" state="frozen"/>
      <selection pane="topRight" activeCell="F1" sqref="F1"/>
      <selection pane="bottomLeft" activeCell="A2" sqref="A2"/>
      <selection pane="bottomRight" activeCell="E184" sqref="E184"/>
    </sheetView>
  </sheetViews>
  <sheetFormatPr defaultRowHeight="13.5" x14ac:dyDescent="0.15"/>
  <cols>
    <col min="1" max="1" width="25.625" bestFit="1" customWidth="1"/>
    <col min="2" max="2" width="10" bestFit="1" customWidth="1"/>
    <col min="3" max="3" width="15.875" bestFit="1" customWidth="1"/>
    <col min="4" max="4" width="9.75" bestFit="1" customWidth="1"/>
    <col min="5" max="5" width="11.625" bestFit="1" customWidth="1"/>
    <col min="6" max="6" width="11.625" customWidth="1"/>
    <col min="7" max="7" width="13.25" bestFit="1" customWidth="1"/>
    <col min="8" max="9" width="11.75" bestFit="1" customWidth="1"/>
    <col min="10" max="10" width="13.875" bestFit="1" customWidth="1"/>
    <col min="11" max="11" width="11.75" bestFit="1" customWidth="1"/>
    <col min="12" max="12" width="23.875" bestFit="1" customWidth="1"/>
  </cols>
  <sheetData>
    <row r="1" spans="1:12" s="2" customFormat="1" x14ac:dyDescent="0.15">
      <c r="B1" s="2" t="s">
        <v>34</v>
      </c>
      <c r="C1" s="2" t="s">
        <v>55</v>
      </c>
      <c r="D1" s="2" t="s">
        <v>18</v>
      </c>
      <c r="E1" s="2" t="s">
        <v>14</v>
      </c>
      <c r="F1" s="2" t="s">
        <v>24</v>
      </c>
      <c r="G1" s="2" t="s">
        <v>29</v>
      </c>
      <c r="H1" s="2" t="s">
        <v>36</v>
      </c>
      <c r="I1" s="2" t="s">
        <v>45</v>
      </c>
      <c r="J1" s="2" t="s">
        <v>37</v>
      </c>
      <c r="K1" s="2" t="s">
        <v>46</v>
      </c>
      <c r="L1" s="2" t="s">
        <v>54</v>
      </c>
    </row>
    <row r="2" spans="1:12" hidden="1" x14ac:dyDescent="0.15">
      <c r="A2" t="s">
        <v>10</v>
      </c>
      <c r="B2">
        <v>731</v>
      </c>
      <c r="C2">
        <v>6.7</v>
      </c>
      <c r="D2">
        <v>2000</v>
      </c>
      <c r="E2" s="1">
        <v>41972</v>
      </c>
      <c r="F2" s="1">
        <v>41973</v>
      </c>
      <c r="G2" s="1">
        <v>42155</v>
      </c>
      <c r="H2">
        <v>1903.78</v>
      </c>
      <c r="I2">
        <f>176.86</f>
        <v>176.86</v>
      </c>
      <c r="J2">
        <f t="shared" ref="J2:J22" si="0">ROUND((H2-D2)/D2*365/(G2-E2)*100,2)</f>
        <v>-9.6</v>
      </c>
      <c r="K2">
        <f t="shared" ref="K2:K22" si="1">H2+I2-D2</f>
        <v>80.639999999999873</v>
      </c>
      <c r="L2" t="s">
        <v>98</v>
      </c>
    </row>
    <row r="3" spans="1:12" hidden="1" x14ac:dyDescent="0.15">
      <c r="A3" t="s">
        <v>19</v>
      </c>
      <c r="B3">
        <v>365</v>
      </c>
      <c r="C3" t="s">
        <v>56</v>
      </c>
      <c r="D3">
        <v>1000</v>
      </c>
      <c r="E3" s="1">
        <v>42055</v>
      </c>
      <c r="F3" s="1">
        <v>42056</v>
      </c>
      <c r="G3" s="1">
        <v>42132</v>
      </c>
      <c r="H3">
        <v>978.56999999999994</v>
      </c>
      <c r="I3">
        <v>44.02</v>
      </c>
      <c r="J3">
        <f t="shared" si="0"/>
        <v>-10.16</v>
      </c>
      <c r="K3">
        <f t="shared" si="1"/>
        <v>22.589999999999918</v>
      </c>
      <c r="L3" t="s">
        <v>94</v>
      </c>
    </row>
    <row r="4" spans="1:12" hidden="1" x14ac:dyDescent="0.15">
      <c r="A4" t="s">
        <v>20</v>
      </c>
      <c r="B4">
        <v>365</v>
      </c>
      <c r="C4">
        <v>6.9</v>
      </c>
      <c r="D4">
        <v>1000</v>
      </c>
      <c r="E4" s="1">
        <v>42055</v>
      </c>
      <c r="F4" s="1">
        <v>42056</v>
      </c>
      <c r="G4" s="1">
        <v>42132</v>
      </c>
      <c r="H4">
        <v>978.55</v>
      </c>
      <c r="I4">
        <v>44.01</v>
      </c>
      <c r="J4">
        <f t="shared" si="0"/>
        <v>-10.17</v>
      </c>
      <c r="K4">
        <f t="shared" si="1"/>
        <v>22.559999999999945</v>
      </c>
      <c r="L4" t="s">
        <v>94</v>
      </c>
    </row>
    <row r="5" spans="1:12" hidden="1" x14ac:dyDescent="0.15">
      <c r="A5" t="s">
        <v>27</v>
      </c>
      <c r="B5">
        <v>1096</v>
      </c>
      <c r="C5">
        <v>6.9</v>
      </c>
      <c r="D5">
        <v>4000</v>
      </c>
      <c r="E5" s="1">
        <v>42055</v>
      </c>
      <c r="F5" s="1">
        <v>42056</v>
      </c>
      <c r="G5" s="1">
        <v>42162</v>
      </c>
      <c r="H5">
        <v>3602.75</v>
      </c>
      <c r="I5">
        <v>586.17999999999995</v>
      </c>
      <c r="J5">
        <f t="shared" si="0"/>
        <v>-33.880000000000003</v>
      </c>
      <c r="K5">
        <f t="shared" si="1"/>
        <v>188.93000000000029</v>
      </c>
      <c r="L5" t="s">
        <v>94</v>
      </c>
    </row>
    <row r="6" spans="1:12" hidden="1" x14ac:dyDescent="0.15">
      <c r="A6" t="s">
        <v>28</v>
      </c>
      <c r="B6">
        <v>365</v>
      </c>
      <c r="C6" t="s">
        <v>56</v>
      </c>
      <c r="D6">
        <v>2000</v>
      </c>
      <c r="E6" s="1">
        <v>42055</v>
      </c>
      <c r="F6" s="1">
        <v>42056</v>
      </c>
      <c r="G6" s="1">
        <v>42132</v>
      </c>
      <c r="H6">
        <v>1957.12</v>
      </c>
      <c r="I6">
        <v>88.03</v>
      </c>
      <c r="J6">
        <f t="shared" si="0"/>
        <v>-10.16</v>
      </c>
      <c r="K6">
        <f t="shared" si="1"/>
        <v>45.149999999999864</v>
      </c>
      <c r="L6" t="s">
        <v>94</v>
      </c>
    </row>
    <row r="7" spans="1:12" hidden="1" x14ac:dyDescent="0.15">
      <c r="A7" t="s">
        <v>26</v>
      </c>
      <c r="B7">
        <v>365</v>
      </c>
      <c r="C7">
        <v>6.9</v>
      </c>
      <c r="D7">
        <v>1000</v>
      </c>
      <c r="E7" s="1">
        <v>42059</v>
      </c>
      <c r="F7" s="1">
        <v>42060</v>
      </c>
      <c r="G7" s="1">
        <v>42132</v>
      </c>
      <c r="H7">
        <v>978.04</v>
      </c>
      <c r="I7">
        <v>44.01</v>
      </c>
      <c r="J7">
        <f t="shared" si="0"/>
        <v>-10.98</v>
      </c>
      <c r="K7">
        <f t="shared" si="1"/>
        <v>22.049999999999955</v>
      </c>
      <c r="L7" t="s">
        <v>94</v>
      </c>
    </row>
    <row r="8" spans="1:12" hidden="1" x14ac:dyDescent="0.15">
      <c r="A8" t="s">
        <v>30</v>
      </c>
      <c r="B8">
        <v>1096</v>
      </c>
      <c r="C8">
        <v>6.9</v>
      </c>
      <c r="D8">
        <v>3000</v>
      </c>
      <c r="E8" s="1">
        <v>42060</v>
      </c>
      <c r="F8" s="1">
        <v>42061</v>
      </c>
      <c r="G8" s="1">
        <v>42162</v>
      </c>
      <c r="H8">
        <v>2699.8900000000003</v>
      </c>
      <c r="I8">
        <f>439.66</f>
        <v>439.66</v>
      </c>
      <c r="J8">
        <f t="shared" si="0"/>
        <v>-35.799999999999997</v>
      </c>
      <c r="K8">
        <f t="shared" si="1"/>
        <v>139.55000000000018</v>
      </c>
      <c r="L8" t="s">
        <v>94</v>
      </c>
    </row>
    <row r="9" spans="1:12" hidden="1" x14ac:dyDescent="0.15">
      <c r="A9" t="s">
        <v>31</v>
      </c>
      <c r="B9">
        <v>1096</v>
      </c>
      <c r="C9" t="s">
        <v>56</v>
      </c>
      <c r="D9">
        <v>2000</v>
      </c>
      <c r="E9" s="1">
        <v>42060</v>
      </c>
      <c r="F9" s="1">
        <v>42061</v>
      </c>
      <c r="G9" s="1">
        <v>42162</v>
      </c>
      <c r="H9">
        <v>1799.91</v>
      </c>
      <c r="I9">
        <f>293.1</f>
        <v>293.10000000000002</v>
      </c>
      <c r="J9">
        <f t="shared" si="0"/>
        <v>-35.799999999999997</v>
      </c>
      <c r="K9">
        <f t="shared" si="1"/>
        <v>93.010000000000218</v>
      </c>
      <c r="L9" t="s">
        <v>94</v>
      </c>
    </row>
    <row r="10" spans="1:12" hidden="1" x14ac:dyDescent="0.15">
      <c r="A10" t="s">
        <v>53</v>
      </c>
      <c r="B10">
        <v>365</v>
      </c>
      <c r="C10">
        <v>6.96</v>
      </c>
      <c r="D10">
        <v>4000</v>
      </c>
      <c r="E10" s="1">
        <v>42094</v>
      </c>
      <c r="F10" s="1">
        <v>42095</v>
      </c>
      <c r="G10" s="1">
        <v>42132</v>
      </c>
      <c r="H10">
        <v>3891.43</v>
      </c>
      <c r="I10">
        <v>178.41</v>
      </c>
      <c r="J10">
        <f t="shared" si="0"/>
        <v>-26.07</v>
      </c>
      <c r="K10">
        <f t="shared" si="1"/>
        <v>69.839999999999691</v>
      </c>
      <c r="L10" t="s">
        <v>95</v>
      </c>
    </row>
    <row r="11" spans="1:12" hidden="1" x14ac:dyDescent="0.15">
      <c r="A11" t="s">
        <v>32</v>
      </c>
      <c r="B11">
        <v>366</v>
      </c>
      <c r="C11">
        <v>6.96</v>
      </c>
      <c r="D11">
        <v>4000</v>
      </c>
      <c r="E11" s="1">
        <v>42094</v>
      </c>
      <c r="F11" s="1">
        <v>42095</v>
      </c>
      <c r="G11" s="1">
        <v>42132</v>
      </c>
      <c r="H11">
        <v>3891.0899999999997</v>
      </c>
      <c r="I11">
        <v>178.14</v>
      </c>
      <c r="J11">
        <f t="shared" si="0"/>
        <v>-26.15</v>
      </c>
      <c r="K11">
        <f t="shared" si="1"/>
        <v>69.229999999999563</v>
      </c>
      <c r="L11" t="s">
        <v>95</v>
      </c>
    </row>
    <row r="12" spans="1:12" hidden="1" x14ac:dyDescent="0.15">
      <c r="A12" t="s">
        <v>21</v>
      </c>
      <c r="B12">
        <v>1096</v>
      </c>
      <c r="C12" t="s">
        <v>57</v>
      </c>
      <c r="D12">
        <v>10000</v>
      </c>
      <c r="E12" s="1">
        <v>42132</v>
      </c>
      <c r="F12" s="1">
        <v>42133</v>
      </c>
      <c r="G12" s="1">
        <v>42144</v>
      </c>
      <c r="H12">
        <v>10219.800000000001</v>
      </c>
      <c r="I12">
        <v>0.01</v>
      </c>
      <c r="J12">
        <f t="shared" si="0"/>
        <v>66.86</v>
      </c>
      <c r="K12">
        <f t="shared" si="1"/>
        <v>219.81000000000131</v>
      </c>
      <c r="L12" t="s">
        <v>93</v>
      </c>
    </row>
    <row r="13" spans="1:12" hidden="1" x14ac:dyDescent="0.15">
      <c r="A13" t="s">
        <v>22</v>
      </c>
      <c r="B13">
        <v>366</v>
      </c>
      <c r="C13">
        <v>7.05</v>
      </c>
      <c r="D13">
        <v>2000</v>
      </c>
      <c r="E13" s="1">
        <v>42132</v>
      </c>
      <c r="F13" s="1">
        <v>42133</v>
      </c>
      <c r="G13" s="1">
        <v>42143</v>
      </c>
      <c r="H13">
        <v>2030.76</v>
      </c>
      <c r="I13">
        <v>0.03</v>
      </c>
      <c r="J13">
        <f t="shared" si="0"/>
        <v>51.03</v>
      </c>
      <c r="K13">
        <f t="shared" si="1"/>
        <v>30.789999999999964</v>
      </c>
      <c r="L13" t="s">
        <v>93</v>
      </c>
    </row>
    <row r="14" spans="1:12" hidden="1" x14ac:dyDescent="0.15">
      <c r="A14" t="s">
        <v>33</v>
      </c>
      <c r="B14">
        <v>366</v>
      </c>
      <c r="C14">
        <v>7.05</v>
      </c>
      <c r="D14">
        <v>5000</v>
      </c>
      <c r="E14" s="1">
        <v>42132</v>
      </c>
      <c r="F14" s="1">
        <v>42133</v>
      </c>
      <c r="G14" s="1">
        <v>42143</v>
      </c>
      <c r="H14">
        <v>5076.91</v>
      </c>
      <c r="I14">
        <v>0.02</v>
      </c>
      <c r="J14">
        <f t="shared" si="0"/>
        <v>51.04</v>
      </c>
      <c r="K14">
        <f t="shared" si="1"/>
        <v>76.930000000000291</v>
      </c>
      <c r="L14" t="s">
        <v>93</v>
      </c>
    </row>
    <row r="15" spans="1:12" hidden="1" x14ac:dyDescent="0.15">
      <c r="A15" t="s">
        <v>33</v>
      </c>
      <c r="B15">
        <v>366</v>
      </c>
      <c r="C15">
        <v>7.05</v>
      </c>
      <c r="D15">
        <v>7000</v>
      </c>
      <c r="E15" s="1">
        <v>42132</v>
      </c>
      <c r="F15" s="1">
        <v>42133</v>
      </c>
      <c r="G15" s="1">
        <v>42143</v>
      </c>
      <c r="H15">
        <v>7107.63</v>
      </c>
      <c r="I15">
        <v>0.01</v>
      </c>
      <c r="J15">
        <f t="shared" si="0"/>
        <v>51.02</v>
      </c>
      <c r="K15">
        <f t="shared" si="1"/>
        <v>107.64000000000033</v>
      </c>
      <c r="L15" t="s">
        <v>93</v>
      </c>
    </row>
    <row r="16" spans="1:12" hidden="1" x14ac:dyDescent="0.15">
      <c r="A16" t="s">
        <v>25</v>
      </c>
      <c r="B16">
        <v>366</v>
      </c>
      <c r="C16">
        <v>7.15</v>
      </c>
      <c r="D16">
        <v>10000</v>
      </c>
      <c r="E16" s="1">
        <v>42143</v>
      </c>
      <c r="F16" s="1">
        <v>42144</v>
      </c>
      <c r="G16" s="1">
        <v>42154</v>
      </c>
      <c r="H16">
        <v>10153.049999999999</v>
      </c>
      <c r="I16">
        <v>0.01</v>
      </c>
      <c r="J16">
        <f t="shared" si="0"/>
        <v>50.78</v>
      </c>
      <c r="K16">
        <f t="shared" si="1"/>
        <v>153.05999999999949</v>
      </c>
      <c r="L16" t="s">
        <v>93</v>
      </c>
    </row>
    <row r="17" spans="1:12" hidden="1" x14ac:dyDescent="0.15">
      <c r="A17" t="s">
        <v>35</v>
      </c>
      <c r="B17">
        <v>366</v>
      </c>
      <c r="C17">
        <v>7.15</v>
      </c>
      <c r="D17">
        <v>10000</v>
      </c>
      <c r="E17" s="1">
        <v>42144</v>
      </c>
      <c r="F17" s="1">
        <v>42145</v>
      </c>
      <c r="G17" s="1">
        <v>42155</v>
      </c>
      <c r="H17">
        <v>10156.94</v>
      </c>
      <c r="I17">
        <v>0.08</v>
      </c>
      <c r="J17">
        <f t="shared" si="0"/>
        <v>52.08</v>
      </c>
      <c r="K17">
        <f t="shared" si="1"/>
        <v>157.02000000000044</v>
      </c>
      <c r="L17" t="s">
        <v>93</v>
      </c>
    </row>
    <row r="18" spans="1:12" hidden="1" x14ac:dyDescent="0.15">
      <c r="A18" t="s">
        <v>58</v>
      </c>
      <c r="B18">
        <v>366</v>
      </c>
      <c r="C18">
        <v>7.15</v>
      </c>
      <c r="D18">
        <v>12000</v>
      </c>
      <c r="E18" s="1">
        <v>42154</v>
      </c>
      <c r="F18" s="1">
        <v>42155</v>
      </c>
      <c r="G18" s="1">
        <v>42165</v>
      </c>
      <c r="H18">
        <v>12159.83</v>
      </c>
      <c r="I18">
        <v>0.02</v>
      </c>
      <c r="J18">
        <f t="shared" si="0"/>
        <v>44.2</v>
      </c>
      <c r="K18">
        <f t="shared" si="1"/>
        <v>159.85000000000036</v>
      </c>
      <c r="L18" t="s">
        <v>93</v>
      </c>
    </row>
    <row r="19" spans="1:12" hidden="1" x14ac:dyDescent="0.15">
      <c r="A19" t="s">
        <v>58</v>
      </c>
      <c r="B19">
        <v>366</v>
      </c>
      <c r="C19">
        <v>7.15</v>
      </c>
      <c r="D19">
        <v>13000</v>
      </c>
      <c r="E19" s="1">
        <v>42155</v>
      </c>
      <c r="F19" s="1">
        <v>42156</v>
      </c>
      <c r="G19" s="1">
        <v>42168</v>
      </c>
      <c r="H19">
        <v>13137.67</v>
      </c>
      <c r="I19">
        <v>0.01</v>
      </c>
      <c r="J19">
        <f t="shared" si="0"/>
        <v>29.73</v>
      </c>
      <c r="K19">
        <f t="shared" si="1"/>
        <v>137.68000000000029</v>
      </c>
      <c r="L19" t="s">
        <v>93</v>
      </c>
    </row>
    <row r="20" spans="1:12" hidden="1" x14ac:dyDescent="0.15">
      <c r="A20" s="3" t="s">
        <v>47</v>
      </c>
      <c r="B20">
        <v>366</v>
      </c>
      <c r="C20">
        <v>7.16</v>
      </c>
      <c r="D20">
        <v>8000</v>
      </c>
      <c r="E20" s="1">
        <v>42162</v>
      </c>
      <c r="F20" s="1">
        <v>42163</v>
      </c>
      <c r="G20" s="5">
        <v>42173</v>
      </c>
      <c r="H20">
        <v>8084.14</v>
      </c>
      <c r="I20">
        <v>0.01</v>
      </c>
      <c r="J20">
        <f t="shared" si="0"/>
        <v>34.9</v>
      </c>
      <c r="K20">
        <f t="shared" si="1"/>
        <v>84.150000000000546</v>
      </c>
      <c r="L20" t="s">
        <v>92</v>
      </c>
    </row>
    <row r="21" spans="1:12" hidden="1" x14ac:dyDescent="0.15">
      <c r="A21" s="3" t="s">
        <v>72</v>
      </c>
      <c r="B21">
        <v>366</v>
      </c>
      <c r="C21" t="s">
        <v>70</v>
      </c>
      <c r="D21">
        <v>20000</v>
      </c>
      <c r="E21" s="1">
        <v>42164</v>
      </c>
      <c r="F21" s="1">
        <v>42165</v>
      </c>
      <c r="G21" s="5">
        <v>42175</v>
      </c>
      <c r="H21">
        <v>20227.36</v>
      </c>
      <c r="I21">
        <v>0.01</v>
      </c>
      <c r="J21">
        <f t="shared" si="0"/>
        <v>37.72</v>
      </c>
      <c r="K21">
        <f t="shared" si="1"/>
        <v>227.36999999999898</v>
      </c>
      <c r="L21" t="s">
        <v>86</v>
      </c>
    </row>
    <row r="22" spans="1:12" hidden="1" x14ac:dyDescent="0.15">
      <c r="A22" s="3" t="s">
        <v>72</v>
      </c>
      <c r="B22">
        <v>366</v>
      </c>
      <c r="C22" t="s">
        <v>70</v>
      </c>
      <c r="D22">
        <v>12000</v>
      </c>
      <c r="E22" s="1">
        <v>42165</v>
      </c>
      <c r="F22" s="1">
        <v>42166</v>
      </c>
      <c r="G22" s="5">
        <v>42177</v>
      </c>
      <c r="H22">
        <v>12140.64</v>
      </c>
      <c r="I22">
        <v>0.04</v>
      </c>
      <c r="J22">
        <f t="shared" si="0"/>
        <v>35.65</v>
      </c>
      <c r="K22">
        <f t="shared" si="1"/>
        <v>140.68000000000029</v>
      </c>
      <c r="L22" t="s">
        <v>86</v>
      </c>
    </row>
    <row r="23" spans="1:12" hidden="1" x14ac:dyDescent="0.15">
      <c r="A23" s="3" t="s">
        <v>72</v>
      </c>
      <c r="B23">
        <v>366</v>
      </c>
      <c r="C23" t="s">
        <v>70</v>
      </c>
      <c r="D23">
        <v>5000</v>
      </c>
      <c r="E23" s="1">
        <v>42165</v>
      </c>
      <c r="F23" s="1">
        <v>42166</v>
      </c>
      <c r="G23" s="5">
        <v>42179</v>
      </c>
      <c r="H23">
        <v>5057.8</v>
      </c>
      <c r="I23">
        <v>0.01</v>
      </c>
      <c r="J23">
        <f t="shared" ref="J23:J55" si="2">ROUND((H23-D23)/D23*365/(G23-E23)*100,2)</f>
        <v>30.14</v>
      </c>
      <c r="K23">
        <f t="shared" ref="K23:K55" si="3">H23+I23-D23</f>
        <v>57.8100000000004</v>
      </c>
      <c r="L23" t="s">
        <v>86</v>
      </c>
    </row>
    <row r="24" spans="1:12" hidden="1" x14ac:dyDescent="0.15">
      <c r="A24" s="3" t="s">
        <v>72</v>
      </c>
      <c r="B24">
        <v>366</v>
      </c>
      <c r="C24" t="s">
        <v>70</v>
      </c>
      <c r="D24">
        <v>6000</v>
      </c>
      <c r="E24" s="1">
        <v>42166</v>
      </c>
      <c r="F24" s="1">
        <v>42167</v>
      </c>
      <c r="G24" s="5">
        <v>42178</v>
      </c>
      <c r="H24">
        <v>6070.29</v>
      </c>
      <c r="I24">
        <v>0.01</v>
      </c>
      <c r="J24">
        <f t="shared" si="2"/>
        <v>35.630000000000003</v>
      </c>
      <c r="K24">
        <f t="shared" si="3"/>
        <v>70.300000000000182</v>
      </c>
      <c r="L24" t="s">
        <v>86</v>
      </c>
    </row>
    <row r="25" spans="1:12" hidden="1" x14ac:dyDescent="0.15">
      <c r="A25" s="3" t="s">
        <v>49</v>
      </c>
      <c r="B25">
        <v>366</v>
      </c>
      <c r="C25">
        <v>7.16</v>
      </c>
      <c r="D25">
        <v>5000</v>
      </c>
      <c r="E25" s="1">
        <v>42167</v>
      </c>
      <c r="F25" s="1">
        <v>42168</v>
      </c>
      <c r="G25" s="5">
        <v>42181</v>
      </c>
      <c r="H25">
        <v>5057.25</v>
      </c>
      <c r="I25">
        <v>0.01</v>
      </c>
      <c r="J25">
        <f t="shared" si="2"/>
        <v>29.85</v>
      </c>
      <c r="K25">
        <f t="shared" si="3"/>
        <v>57.260000000000218</v>
      </c>
      <c r="L25" t="s">
        <v>92</v>
      </c>
    </row>
    <row r="26" spans="1:12" hidden="1" x14ac:dyDescent="0.15">
      <c r="A26" s="3" t="s">
        <v>72</v>
      </c>
      <c r="B26">
        <v>366</v>
      </c>
      <c r="C26" t="s">
        <v>71</v>
      </c>
      <c r="D26">
        <v>5000</v>
      </c>
      <c r="E26" s="1">
        <v>42169</v>
      </c>
      <c r="F26" s="1">
        <v>42170</v>
      </c>
      <c r="G26" s="5">
        <v>42180</v>
      </c>
      <c r="H26">
        <v>5058.75</v>
      </c>
      <c r="I26">
        <v>0.02</v>
      </c>
      <c r="J26">
        <f t="shared" si="2"/>
        <v>38.99</v>
      </c>
      <c r="K26">
        <f t="shared" si="3"/>
        <v>58.770000000000437</v>
      </c>
      <c r="L26" t="s">
        <v>86</v>
      </c>
    </row>
    <row r="27" spans="1:12" hidden="1" x14ac:dyDescent="0.15">
      <c r="A27" s="3" t="s">
        <v>19</v>
      </c>
      <c r="B27">
        <v>366</v>
      </c>
      <c r="C27" t="s">
        <v>65</v>
      </c>
      <c r="D27">
        <v>5000</v>
      </c>
      <c r="E27" s="1">
        <v>42170</v>
      </c>
      <c r="F27" s="1">
        <v>42171</v>
      </c>
      <c r="G27" s="5">
        <v>42182</v>
      </c>
      <c r="H27">
        <v>5075.47</v>
      </c>
      <c r="I27">
        <v>0.01</v>
      </c>
      <c r="J27">
        <f t="shared" si="2"/>
        <v>45.91</v>
      </c>
      <c r="K27">
        <f t="shared" si="3"/>
        <v>75.480000000000473</v>
      </c>
      <c r="L27" t="s">
        <v>92</v>
      </c>
    </row>
    <row r="28" spans="1:12" hidden="1" x14ac:dyDescent="0.15">
      <c r="A28" s="3" t="s">
        <v>19</v>
      </c>
      <c r="B28">
        <v>366</v>
      </c>
      <c r="C28" t="s">
        <v>65</v>
      </c>
      <c r="D28">
        <v>5000</v>
      </c>
      <c r="E28" s="1">
        <v>42170</v>
      </c>
      <c r="F28" s="1">
        <v>42171</v>
      </c>
      <c r="G28" s="5">
        <v>42183</v>
      </c>
      <c r="H28">
        <v>5077.6400000000003</v>
      </c>
      <c r="I28">
        <v>0.02</v>
      </c>
      <c r="J28">
        <f t="shared" si="2"/>
        <v>43.6</v>
      </c>
      <c r="K28">
        <f t="shared" si="3"/>
        <v>77.660000000000764</v>
      </c>
      <c r="L28" t="s">
        <v>92</v>
      </c>
    </row>
    <row r="29" spans="1:12" hidden="1" x14ac:dyDescent="0.15">
      <c r="A29" s="3" t="s">
        <v>51</v>
      </c>
      <c r="B29">
        <v>366</v>
      </c>
      <c r="C29">
        <v>7.51</v>
      </c>
      <c r="D29">
        <v>8000</v>
      </c>
      <c r="E29" s="1">
        <v>42173</v>
      </c>
      <c r="F29" s="1">
        <v>42174</v>
      </c>
      <c r="G29" s="5">
        <f t="shared" ref="G29:G34" si="4">E29+11</f>
        <v>42184</v>
      </c>
      <c r="H29">
        <v>8122.53</v>
      </c>
      <c r="I29">
        <v>0.02</v>
      </c>
      <c r="J29">
        <f t="shared" si="2"/>
        <v>50.82</v>
      </c>
      <c r="K29">
        <f t="shared" si="3"/>
        <v>122.55000000000018</v>
      </c>
      <c r="L29" t="s">
        <v>92</v>
      </c>
    </row>
    <row r="30" spans="1:12" hidden="1" x14ac:dyDescent="0.15">
      <c r="A30" s="3" t="s">
        <v>52</v>
      </c>
      <c r="B30">
        <v>366</v>
      </c>
      <c r="C30">
        <v>7.51</v>
      </c>
      <c r="D30">
        <v>4000</v>
      </c>
      <c r="E30" s="1">
        <v>42174</v>
      </c>
      <c r="F30" s="1">
        <v>42175</v>
      </c>
      <c r="G30" s="5">
        <f t="shared" si="4"/>
        <v>42185</v>
      </c>
      <c r="H30">
        <v>4057.52</v>
      </c>
      <c r="I30">
        <v>0.01</v>
      </c>
      <c r="J30">
        <f t="shared" si="2"/>
        <v>47.72</v>
      </c>
      <c r="K30">
        <f t="shared" si="3"/>
        <v>57.5300000000002</v>
      </c>
      <c r="L30" t="s">
        <v>92</v>
      </c>
    </row>
    <row r="31" spans="1:12" hidden="1" x14ac:dyDescent="0.15">
      <c r="A31" s="3" t="s">
        <v>19</v>
      </c>
      <c r="B31">
        <v>366</v>
      </c>
      <c r="C31" t="s">
        <v>66</v>
      </c>
      <c r="D31">
        <v>10000</v>
      </c>
      <c r="E31" s="1">
        <v>42175</v>
      </c>
      <c r="F31" s="1">
        <v>42176</v>
      </c>
      <c r="G31" s="5">
        <f t="shared" si="4"/>
        <v>42186</v>
      </c>
      <c r="H31">
        <v>10158.84</v>
      </c>
      <c r="I31">
        <v>0.03</v>
      </c>
      <c r="J31">
        <f t="shared" si="2"/>
        <v>52.71</v>
      </c>
      <c r="K31">
        <f t="shared" si="3"/>
        <v>158.8700000000008</v>
      </c>
      <c r="L31" t="s">
        <v>92</v>
      </c>
    </row>
    <row r="32" spans="1:12" hidden="1" x14ac:dyDescent="0.15">
      <c r="A32" s="3" t="s">
        <v>19</v>
      </c>
      <c r="B32">
        <v>366</v>
      </c>
      <c r="C32" t="s">
        <v>66</v>
      </c>
      <c r="D32">
        <v>6000</v>
      </c>
      <c r="E32" s="1">
        <v>42176</v>
      </c>
      <c r="F32" s="1">
        <f t="shared" ref="F32:F38" si="5">E32+1</f>
        <v>42177</v>
      </c>
      <c r="G32" s="5">
        <f t="shared" si="4"/>
        <v>42187</v>
      </c>
      <c r="H32">
        <v>6108.83</v>
      </c>
      <c r="I32">
        <v>0.01</v>
      </c>
      <c r="J32">
        <f t="shared" si="2"/>
        <v>60.19</v>
      </c>
      <c r="K32">
        <f t="shared" si="3"/>
        <v>108.84000000000015</v>
      </c>
      <c r="L32" t="s">
        <v>92</v>
      </c>
    </row>
    <row r="33" spans="1:12" hidden="1" x14ac:dyDescent="0.15">
      <c r="A33" s="3" t="s">
        <v>19</v>
      </c>
      <c r="B33">
        <v>366</v>
      </c>
      <c r="C33" t="s">
        <v>66</v>
      </c>
      <c r="D33">
        <v>7000</v>
      </c>
      <c r="E33" s="1">
        <v>42177</v>
      </c>
      <c r="F33" s="1">
        <f t="shared" si="5"/>
        <v>42178</v>
      </c>
      <c r="G33" s="5">
        <f t="shared" si="4"/>
        <v>42188</v>
      </c>
      <c r="H33">
        <v>7127.02</v>
      </c>
      <c r="I33">
        <v>0.04</v>
      </c>
      <c r="J33">
        <f t="shared" si="2"/>
        <v>60.21</v>
      </c>
      <c r="K33">
        <f t="shared" si="3"/>
        <v>127.0600000000004</v>
      </c>
      <c r="L33" t="s">
        <v>92</v>
      </c>
    </row>
    <row r="34" spans="1:12" hidden="1" x14ac:dyDescent="0.15">
      <c r="A34" s="3" t="s">
        <v>19</v>
      </c>
      <c r="B34">
        <v>366</v>
      </c>
      <c r="C34" t="s">
        <v>66</v>
      </c>
      <c r="D34">
        <v>5000</v>
      </c>
      <c r="E34" s="1">
        <v>42178</v>
      </c>
      <c r="F34" s="1">
        <f t="shared" si="5"/>
        <v>42179</v>
      </c>
      <c r="G34" s="5">
        <f t="shared" si="4"/>
        <v>42189</v>
      </c>
      <c r="H34">
        <v>5095.87</v>
      </c>
      <c r="I34">
        <v>0.02</v>
      </c>
      <c r="J34">
        <f t="shared" si="2"/>
        <v>63.62</v>
      </c>
      <c r="K34">
        <f t="shared" si="3"/>
        <v>95.890000000000327</v>
      </c>
      <c r="L34" t="s">
        <v>92</v>
      </c>
    </row>
    <row r="35" spans="1:12" hidden="1" x14ac:dyDescent="0.15">
      <c r="A35" s="3" t="s">
        <v>19</v>
      </c>
      <c r="B35">
        <v>366</v>
      </c>
      <c r="C35" t="s">
        <v>66</v>
      </c>
      <c r="D35">
        <v>5000</v>
      </c>
      <c r="E35" s="1">
        <v>42179</v>
      </c>
      <c r="F35" s="1">
        <f t="shared" si="5"/>
        <v>42180</v>
      </c>
      <c r="G35" s="5">
        <f t="shared" ref="G35" si="6">E35+11</f>
        <v>42190</v>
      </c>
      <c r="H35">
        <v>5095.87</v>
      </c>
      <c r="I35">
        <v>0.01</v>
      </c>
      <c r="J35">
        <f t="shared" si="2"/>
        <v>63.62</v>
      </c>
      <c r="K35">
        <f t="shared" si="3"/>
        <v>95.880000000000109</v>
      </c>
      <c r="L35" t="s">
        <v>92</v>
      </c>
    </row>
    <row r="36" spans="1:12" hidden="1" x14ac:dyDescent="0.15">
      <c r="A36" s="3" t="s">
        <v>60</v>
      </c>
      <c r="B36">
        <v>366</v>
      </c>
      <c r="C36">
        <v>7.61</v>
      </c>
      <c r="D36">
        <v>5000</v>
      </c>
      <c r="E36" s="1">
        <v>42180</v>
      </c>
      <c r="F36" s="1">
        <f t="shared" si="5"/>
        <v>42181</v>
      </c>
      <c r="G36" s="5">
        <f t="shared" ref="G36" si="7">E36+11</f>
        <v>42191</v>
      </c>
      <c r="H36">
        <v>5091.16</v>
      </c>
      <c r="J36">
        <f t="shared" si="2"/>
        <v>60.5</v>
      </c>
      <c r="K36">
        <f t="shared" si="3"/>
        <v>91.159999999999854</v>
      </c>
      <c r="L36" t="s">
        <v>92</v>
      </c>
    </row>
    <row r="37" spans="1:12" hidden="1" x14ac:dyDescent="0.15">
      <c r="A37" s="3" t="s">
        <v>72</v>
      </c>
      <c r="B37">
        <v>366</v>
      </c>
      <c r="C37" t="s">
        <v>71</v>
      </c>
      <c r="D37">
        <v>5000</v>
      </c>
      <c r="E37" s="1">
        <v>42181</v>
      </c>
      <c r="F37" s="1">
        <f t="shared" si="5"/>
        <v>42182</v>
      </c>
      <c r="G37" s="5">
        <f t="shared" ref="G37:G38" si="8">E37+11</f>
        <v>42192</v>
      </c>
      <c r="H37">
        <v>5076.05</v>
      </c>
      <c r="J37">
        <f t="shared" si="2"/>
        <v>50.47</v>
      </c>
      <c r="K37">
        <f t="shared" si="3"/>
        <v>76.050000000000182</v>
      </c>
      <c r="L37" t="s">
        <v>86</v>
      </c>
    </row>
    <row r="38" spans="1:12" hidden="1" x14ac:dyDescent="0.15">
      <c r="A38" s="3" t="s">
        <v>72</v>
      </c>
      <c r="B38">
        <v>366</v>
      </c>
      <c r="C38" t="s">
        <v>71</v>
      </c>
      <c r="D38">
        <v>5000</v>
      </c>
      <c r="E38" s="1">
        <v>42182</v>
      </c>
      <c r="F38" s="1">
        <f t="shared" si="5"/>
        <v>42183</v>
      </c>
      <c r="G38" s="5">
        <f t="shared" si="8"/>
        <v>42193</v>
      </c>
      <c r="H38">
        <v>5068.5600000000004</v>
      </c>
      <c r="J38">
        <f t="shared" si="2"/>
        <v>45.5</v>
      </c>
      <c r="K38">
        <f t="shared" si="3"/>
        <v>68.5600000000004</v>
      </c>
      <c r="L38" t="s">
        <v>86</v>
      </c>
    </row>
    <row r="39" spans="1:12" hidden="1" x14ac:dyDescent="0.15">
      <c r="A39" s="3" t="s">
        <v>72</v>
      </c>
      <c r="B39">
        <v>366</v>
      </c>
      <c r="C39" t="s">
        <v>71</v>
      </c>
      <c r="D39">
        <v>1000</v>
      </c>
      <c r="E39" s="1">
        <v>42182</v>
      </c>
      <c r="F39" s="1">
        <f t="shared" ref="F39:F40" si="9">E39+1</f>
        <v>42183</v>
      </c>
      <c r="G39" s="5">
        <v>42194</v>
      </c>
      <c r="H39">
        <v>1013.6800000000001</v>
      </c>
      <c r="J39">
        <f t="shared" si="2"/>
        <v>41.61</v>
      </c>
      <c r="K39">
        <f t="shared" si="3"/>
        <v>13.680000000000064</v>
      </c>
      <c r="L39" t="s">
        <v>86</v>
      </c>
    </row>
    <row r="40" spans="1:12" hidden="1" x14ac:dyDescent="0.15">
      <c r="A40" s="3" t="s">
        <v>61</v>
      </c>
      <c r="B40">
        <v>366</v>
      </c>
      <c r="C40">
        <v>7.2</v>
      </c>
      <c r="D40">
        <v>5000</v>
      </c>
      <c r="E40" s="1">
        <v>42183</v>
      </c>
      <c r="F40" s="1">
        <f t="shared" si="9"/>
        <v>42184</v>
      </c>
      <c r="G40" s="5">
        <f t="shared" ref="G40" si="10">E40+11</f>
        <v>42194</v>
      </c>
      <c r="H40">
        <v>5058.6900000000005</v>
      </c>
      <c r="J40">
        <f t="shared" si="2"/>
        <v>38.950000000000003</v>
      </c>
      <c r="K40">
        <f t="shared" si="3"/>
        <v>58.690000000000509</v>
      </c>
      <c r="L40" t="s">
        <v>92</v>
      </c>
    </row>
    <row r="41" spans="1:12" hidden="1" x14ac:dyDescent="0.15">
      <c r="A41" s="3" t="s">
        <v>19</v>
      </c>
      <c r="B41">
        <v>366</v>
      </c>
      <c r="C41" t="s">
        <v>67</v>
      </c>
      <c r="D41">
        <v>10000</v>
      </c>
      <c r="E41" s="1">
        <v>42184</v>
      </c>
      <c r="F41" s="1">
        <f t="shared" ref="F41:F42" si="11">E41+1</f>
        <v>42185</v>
      </c>
      <c r="G41" s="5">
        <f t="shared" ref="G41:G42" si="12">E41+11</f>
        <v>42195</v>
      </c>
      <c r="H41">
        <v>10162.629999999999</v>
      </c>
      <c r="J41">
        <f t="shared" si="2"/>
        <v>53.96</v>
      </c>
      <c r="K41">
        <f t="shared" si="3"/>
        <v>162.6299999999992</v>
      </c>
      <c r="L41" t="s">
        <v>92</v>
      </c>
    </row>
    <row r="42" spans="1:12" hidden="1" x14ac:dyDescent="0.15">
      <c r="A42" s="3" t="s">
        <v>19</v>
      </c>
      <c r="B42">
        <v>366</v>
      </c>
      <c r="C42" t="s">
        <v>67</v>
      </c>
      <c r="D42">
        <v>8000</v>
      </c>
      <c r="E42" s="1">
        <v>42184</v>
      </c>
      <c r="F42" s="1">
        <f t="shared" si="11"/>
        <v>42185</v>
      </c>
      <c r="G42" s="5">
        <f t="shared" si="12"/>
        <v>42195</v>
      </c>
      <c r="H42">
        <v>8130.13</v>
      </c>
      <c r="J42">
        <f t="shared" si="2"/>
        <v>53.97</v>
      </c>
      <c r="K42">
        <f t="shared" si="3"/>
        <v>130.13000000000011</v>
      </c>
      <c r="L42" t="s">
        <v>92</v>
      </c>
    </row>
    <row r="43" spans="1:12" hidden="1" x14ac:dyDescent="0.15">
      <c r="A43" s="3" t="s">
        <v>62</v>
      </c>
      <c r="B43">
        <v>366</v>
      </c>
      <c r="C43" t="s">
        <v>67</v>
      </c>
      <c r="D43">
        <v>4000</v>
      </c>
      <c r="E43" s="1">
        <v>42185</v>
      </c>
      <c r="F43" s="1">
        <f t="shared" ref="F43" si="13">E43+1</f>
        <v>42186</v>
      </c>
      <c r="G43" s="5">
        <f t="shared" ref="G43" si="14">E43+11</f>
        <v>42196</v>
      </c>
      <c r="H43">
        <v>4068.26</v>
      </c>
      <c r="J43">
        <f t="shared" si="2"/>
        <v>56.62</v>
      </c>
      <c r="K43">
        <f t="shared" si="3"/>
        <v>68.260000000000218</v>
      </c>
      <c r="L43" t="s">
        <v>92</v>
      </c>
    </row>
    <row r="44" spans="1:12" hidden="1" x14ac:dyDescent="0.15">
      <c r="A44" s="3" t="s">
        <v>63</v>
      </c>
      <c r="B44">
        <v>366</v>
      </c>
      <c r="C44">
        <v>7.65</v>
      </c>
      <c r="D44">
        <v>10000</v>
      </c>
      <c r="E44" s="1">
        <v>42186</v>
      </c>
      <c r="F44" s="1">
        <f t="shared" ref="F44" si="15">E44+1</f>
        <v>42187</v>
      </c>
      <c r="G44" s="5">
        <f t="shared" ref="G44" si="16">E44+11</f>
        <v>42197</v>
      </c>
      <c r="H44">
        <v>10170.130000000001</v>
      </c>
      <c r="J44">
        <f t="shared" si="2"/>
        <v>56.45</v>
      </c>
      <c r="K44">
        <f t="shared" si="3"/>
        <v>170.13000000000102</v>
      </c>
      <c r="L44" t="s">
        <v>96</v>
      </c>
    </row>
    <row r="45" spans="1:12" hidden="1" x14ac:dyDescent="0.15">
      <c r="A45" s="3" t="s">
        <v>64</v>
      </c>
      <c r="B45">
        <v>366</v>
      </c>
      <c r="C45">
        <v>7.65</v>
      </c>
      <c r="D45">
        <v>6000</v>
      </c>
      <c r="E45" s="1">
        <v>42187</v>
      </c>
      <c r="F45" s="1">
        <f t="shared" ref="F45:F46" si="17">E45+1</f>
        <v>42188</v>
      </c>
      <c r="G45" s="5">
        <f t="shared" ref="G45:G46" si="18">E45+11</f>
        <v>42198</v>
      </c>
      <c r="H45">
        <v>6097.58</v>
      </c>
      <c r="J45">
        <f t="shared" si="2"/>
        <v>53.96</v>
      </c>
      <c r="K45">
        <f t="shared" si="3"/>
        <v>97.579999999999927</v>
      </c>
      <c r="L45" t="s">
        <v>96</v>
      </c>
    </row>
    <row r="46" spans="1:12" hidden="1" x14ac:dyDescent="0.15">
      <c r="A46" s="3" t="s">
        <v>51</v>
      </c>
      <c r="B46">
        <v>366</v>
      </c>
      <c r="C46">
        <v>7.65</v>
      </c>
      <c r="D46">
        <v>7000</v>
      </c>
      <c r="E46" s="1">
        <v>42187</v>
      </c>
      <c r="F46" s="1">
        <f t="shared" si="17"/>
        <v>42188</v>
      </c>
      <c r="G46" s="5">
        <f t="shared" si="18"/>
        <v>42198</v>
      </c>
      <c r="H46">
        <v>7113.84</v>
      </c>
      <c r="J46">
        <f t="shared" si="2"/>
        <v>53.96</v>
      </c>
      <c r="K46">
        <f t="shared" si="3"/>
        <v>113.84000000000015</v>
      </c>
      <c r="L46" t="s">
        <v>96</v>
      </c>
    </row>
    <row r="47" spans="1:12" hidden="1" x14ac:dyDescent="0.15">
      <c r="A47" s="3" t="s">
        <v>69</v>
      </c>
      <c r="B47">
        <v>366</v>
      </c>
      <c r="C47">
        <v>7.65</v>
      </c>
      <c r="D47">
        <v>7000</v>
      </c>
      <c r="E47" s="1">
        <v>42188</v>
      </c>
      <c r="F47" s="1">
        <f t="shared" ref="F47" si="19">E47+1</f>
        <v>42189</v>
      </c>
      <c r="G47" s="5">
        <f t="shared" ref="G47" si="20">E47+11</f>
        <v>42199</v>
      </c>
      <c r="H47">
        <v>7111.88</v>
      </c>
      <c r="J47">
        <f t="shared" si="2"/>
        <v>53.03</v>
      </c>
      <c r="K47">
        <f t="shared" si="3"/>
        <v>111.88000000000011</v>
      </c>
      <c r="L47" t="s">
        <v>96</v>
      </c>
    </row>
    <row r="48" spans="1:12" hidden="1" x14ac:dyDescent="0.15">
      <c r="A48" s="3" t="s">
        <v>51</v>
      </c>
      <c r="B48">
        <v>366</v>
      </c>
      <c r="C48">
        <v>7.65</v>
      </c>
      <c r="D48">
        <v>8000</v>
      </c>
      <c r="E48" s="1">
        <v>42188</v>
      </c>
      <c r="F48" s="1">
        <f t="shared" ref="F48" si="21">E48+1</f>
        <v>42189</v>
      </c>
      <c r="G48" s="5">
        <f t="shared" ref="G48" si="22">E48+11</f>
        <v>42199</v>
      </c>
      <c r="H48">
        <v>8127.97</v>
      </c>
      <c r="J48">
        <f t="shared" si="2"/>
        <v>53.08</v>
      </c>
      <c r="K48">
        <f t="shared" si="3"/>
        <v>127.97000000000025</v>
      </c>
      <c r="L48" t="s">
        <v>96</v>
      </c>
    </row>
    <row r="49" spans="1:12" hidden="1" x14ac:dyDescent="0.15">
      <c r="A49" s="3" t="s">
        <v>51</v>
      </c>
      <c r="B49">
        <v>366</v>
      </c>
      <c r="C49">
        <v>7.65</v>
      </c>
      <c r="D49">
        <v>5000</v>
      </c>
      <c r="E49" s="1">
        <v>42189</v>
      </c>
      <c r="F49" s="1">
        <f t="shared" ref="F49" si="23">E49+1</f>
        <v>42190</v>
      </c>
      <c r="G49" s="5">
        <f t="shared" ref="G49" si="24">E49+11</f>
        <v>42200</v>
      </c>
      <c r="H49">
        <v>5079.4399999999996</v>
      </c>
      <c r="J49">
        <f t="shared" si="2"/>
        <v>52.72</v>
      </c>
      <c r="K49">
        <f t="shared" si="3"/>
        <v>79.4399999999996</v>
      </c>
      <c r="L49" t="s">
        <v>96</v>
      </c>
    </row>
    <row r="50" spans="1:12" hidden="1" x14ac:dyDescent="0.15">
      <c r="A50" s="3" t="s">
        <v>51</v>
      </c>
      <c r="B50">
        <v>366</v>
      </c>
      <c r="C50">
        <v>7.65</v>
      </c>
      <c r="D50">
        <v>5000</v>
      </c>
      <c r="E50" s="1">
        <v>42190</v>
      </c>
      <c r="F50" s="1">
        <f t="shared" ref="F50" si="25">E50+1</f>
        <v>42191</v>
      </c>
      <c r="G50" s="5">
        <f t="shared" ref="G50" si="26">E50+11</f>
        <v>42201</v>
      </c>
      <c r="H50">
        <v>5085.5300000000007</v>
      </c>
      <c r="J50">
        <f t="shared" si="2"/>
        <v>56.76</v>
      </c>
      <c r="K50">
        <f t="shared" si="3"/>
        <v>85.530000000000655</v>
      </c>
      <c r="L50" t="s">
        <v>96</v>
      </c>
    </row>
    <row r="51" spans="1:12" hidden="1" x14ac:dyDescent="0.15">
      <c r="A51" s="3" t="s">
        <v>51</v>
      </c>
      <c r="B51">
        <v>366</v>
      </c>
      <c r="C51">
        <v>7.65</v>
      </c>
      <c r="D51">
        <v>5000</v>
      </c>
      <c r="E51" s="1">
        <v>42191</v>
      </c>
      <c r="F51" s="1">
        <f t="shared" ref="F51" si="27">E51+1</f>
        <v>42192</v>
      </c>
      <c r="G51" s="5">
        <f t="shared" ref="G51" si="28">E51+11</f>
        <v>42202</v>
      </c>
      <c r="H51">
        <v>5086.4799999999996</v>
      </c>
      <c r="J51">
        <f t="shared" si="2"/>
        <v>57.39</v>
      </c>
      <c r="K51">
        <f t="shared" si="3"/>
        <v>86.479999999999563</v>
      </c>
      <c r="L51" t="s">
        <v>96</v>
      </c>
    </row>
    <row r="52" spans="1:12" hidden="1" x14ac:dyDescent="0.15">
      <c r="A52" s="3" t="s">
        <v>73</v>
      </c>
      <c r="B52">
        <v>731</v>
      </c>
      <c r="C52">
        <v>7.25</v>
      </c>
      <c r="D52">
        <v>5000</v>
      </c>
      <c r="E52" s="1">
        <v>42192</v>
      </c>
      <c r="F52" s="1">
        <f t="shared" ref="F52" si="29">E52+1</f>
        <v>42193</v>
      </c>
      <c r="G52" s="5">
        <f t="shared" ref="G52" si="30">E52+11</f>
        <v>42203</v>
      </c>
      <c r="H52">
        <v>5114.42</v>
      </c>
      <c r="J52">
        <f t="shared" si="2"/>
        <v>75.930000000000007</v>
      </c>
      <c r="K52">
        <f t="shared" si="3"/>
        <v>114.42000000000007</v>
      </c>
      <c r="L52" t="s">
        <v>96</v>
      </c>
    </row>
    <row r="53" spans="1:12" hidden="1" x14ac:dyDescent="0.15">
      <c r="A53" s="3" t="s">
        <v>73</v>
      </c>
      <c r="B53">
        <v>731</v>
      </c>
      <c r="C53">
        <v>7.25</v>
      </c>
      <c r="D53">
        <v>20000</v>
      </c>
      <c r="E53" s="1">
        <v>42193</v>
      </c>
      <c r="F53" s="1">
        <f t="shared" ref="F53" si="31">E53+1</f>
        <v>42194</v>
      </c>
      <c r="G53" s="5">
        <f t="shared" ref="G53" si="32">E53+11</f>
        <v>42204</v>
      </c>
      <c r="H53">
        <v>20457.689999999999</v>
      </c>
      <c r="J53">
        <f t="shared" si="2"/>
        <v>75.930000000000007</v>
      </c>
      <c r="K53">
        <f t="shared" si="3"/>
        <v>457.68999999999869</v>
      </c>
      <c r="L53" t="s">
        <v>96</v>
      </c>
    </row>
    <row r="54" spans="1:12" hidden="1" x14ac:dyDescent="0.15">
      <c r="A54" s="3" t="s">
        <v>51</v>
      </c>
      <c r="B54">
        <v>366</v>
      </c>
      <c r="C54">
        <v>7.65</v>
      </c>
      <c r="D54">
        <v>15000</v>
      </c>
      <c r="E54" s="1">
        <v>42193</v>
      </c>
      <c r="F54" s="1">
        <f t="shared" ref="F54:F55" si="33">E54+1</f>
        <v>42194</v>
      </c>
      <c r="G54" s="5">
        <f t="shared" ref="G54:G55" si="34">E54+11</f>
        <v>42204</v>
      </c>
      <c r="H54">
        <v>15259.42</v>
      </c>
      <c r="J54">
        <f t="shared" si="2"/>
        <v>57.39</v>
      </c>
      <c r="K54">
        <f t="shared" si="3"/>
        <v>259.42000000000007</v>
      </c>
      <c r="L54" t="s">
        <v>96</v>
      </c>
    </row>
    <row r="55" spans="1:12" hidden="1" x14ac:dyDescent="0.15">
      <c r="A55" s="3" t="s">
        <v>73</v>
      </c>
      <c r="B55">
        <v>731</v>
      </c>
      <c r="C55">
        <v>7.25</v>
      </c>
      <c r="D55">
        <v>5000</v>
      </c>
      <c r="E55" s="1">
        <v>42193</v>
      </c>
      <c r="F55" s="1">
        <f t="shared" si="33"/>
        <v>42194</v>
      </c>
      <c r="G55" s="5">
        <f t="shared" si="34"/>
        <v>42204</v>
      </c>
      <c r="H55">
        <v>5114.43</v>
      </c>
      <c r="J55">
        <f t="shared" si="2"/>
        <v>75.94</v>
      </c>
      <c r="K55">
        <f t="shared" si="3"/>
        <v>114.43000000000029</v>
      </c>
      <c r="L55" t="s">
        <v>96</v>
      </c>
    </row>
    <row r="56" spans="1:12" hidden="1" x14ac:dyDescent="0.15">
      <c r="A56" s="3" t="s">
        <v>51</v>
      </c>
      <c r="B56" s="3">
        <v>366</v>
      </c>
      <c r="C56" s="3">
        <v>7.65</v>
      </c>
      <c r="D56" s="3">
        <v>2000</v>
      </c>
      <c r="E56" s="5">
        <v>42194</v>
      </c>
      <c r="F56" s="5">
        <f t="shared" ref="F56:F57" si="35">E56+1</f>
        <v>42195</v>
      </c>
      <c r="G56" s="5">
        <f t="shared" ref="G56:G57" si="36">E56+11</f>
        <v>42205</v>
      </c>
      <c r="H56">
        <f>2038.85-4.07</f>
        <v>2034.78</v>
      </c>
      <c r="J56">
        <f t="shared" ref="J56:J58" si="37">ROUND((H56-D56)/D56*365/(G56-E56)*100,2)</f>
        <v>57.7</v>
      </c>
      <c r="K56">
        <f t="shared" ref="K56:K58" si="38">H56+I56-D56</f>
        <v>34.779999999999973</v>
      </c>
      <c r="L56" t="s">
        <v>96</v>
      </c>
    </row>
    <row r="57" spans="1:12" hidden="1" x14ac:dyDescent="0.15">
      <c r="A57" s="3" t="s">
        <v>73</v>
      </c>
      <c r="B57" s="3">
        <v>731</v>
      </c>
      <c r="C57" s="3">
        <v>7.25</v>
      </c>
      <c r="D57" s="3">
        <v>3000</v>
      </c>
      <c r="E57" s="5">
        <v>42194</v>
      </c>
      <c r="F57" s="5">
        <f t="shared" si="35"/>
        <v>42195</v>
      </c>
      <c r="G57" s="5">
        <f t="shared" si="36"/>
        <v>42205</v>
      </c>
      <c r="H57">
        <f>3078.04-6.15</f>
        <v>3071.89</v>
      </c>
      <c r="J57">
        <f t="shared" si="37"/>
        <v>79.510000000000005</v>
      </c>
      <c r="K57">
        <f t="shared" si="38"/>
        <v>71.889999999999873</v>
      </c>
      <c r="L57" t="s">
        <v>96</v>
      </c>
    </row>
    <row r="58" spans="1:12" hidden="1" x14ac:dyDescent="0.15">
      <c r="A58" s="3" t="s">
        <v>51</v>
      </c>
      <c r="B58">
        <v>366</v>
      </c>
      <c r="C58">
        <v>7.65</v>
      </c>
      <c r="D58">
        <v>8000</v>
      </c>
      <c r="E58" s="1">
        <v>42195</v>
      </c>
      <c r="F58" s="1">
        <f t="shared" ref="F58:F59" si="39">E58+1</f>
        <v>42196</v>
      </c>
      <c r="G58" s="5">
        <f t="shared" ref="G58:G59" si="40">E58+11</f>
        <v>42206</v>
      </c>
      <c r="H58">
        <f>8154.66-8.15-8.15</f>
        <v>8138.3600000000006</v>
      </c>
      <c r="J58">
        <f t="shared" si="37"/>
        <v>57.39</v>
      </c>
      <c r="K58">
        <f t="shared" si="38"/>
        <v>138.36000000000058</v>
      </c>
      <c r="L58" t="s">
        <v>96</v>
      </c>
    </row>
    <row r="59" spans="1:12" hidden="1" x14ac:dyDescent="0.15">
      <c r="A59" s="3" t="s">
        <v>73</v>
      </c>
      <c r="B59">
        <v>731</v>
      </c>
      <c r="C59">
        <v>7.25</v>
      </c>
      <c r="D59">
        <v>10000</v>
      </c>
      <c r="E59" s="1">
        <v>42195</v>
      </c>
      <c r="F59" s="1">
        <f t="shared" si="39"/>
        <v>42196</v>
      </c>
      <c r="G59" s="5">
        <f t="shared" si="40"/>
        <v>42206</v>
      </c>
      <c r="H59">
        <f>10258.36-10.25-10.25</f>
        <v>10237.86</v>
      </c>
      <c r="J59">
        <f t="shared" ref="J59" si="41">ROUND((H59-D59)/D59*365/(G59-E59)*100,2)</f>
        <v>78.930000000000007</v>
      </c>
      <c r="K59">
        <f t="shared" ref="K59" si="42">H59+I59-D59</f>
        <v>237.86000000000058</v>
      </c>
      <c r="L59" t="s">
        <v>96</v>
      </c>
    </row>
    <row r="60" spans="1:12" hidden="1" x14ac:dyDescent="0.15">
      <c r="A60" s="3" t="s">
        <v>51</v>
      </c>
      <c r="B60">
        <v>366</v>
      </c>
      <c r="C60">
        <v>7.65</v>
      </c>
      <c r="D60">
        <v>5000</v>
      </c>
      <c r="E60" s="1">
        <v>42197</v>
      </c>
      <c r="F60" s="1">
        <f t="shared" ref="F60:F61" si="43">E60+1</f>
        <v>42198</v>
      </c>
      <c r="G60" s="5">
        <f t="shared" ref="G60:G61" si="44">E60+11</f>
        <v>42208</v>
      </c>
      <c r="H60">
        <f>5100.9-5.1*2</f>
        <v>5090.7</v>
      </c>
      <c r="J60">
        <f t="shared" ref="J60:J61" si="45">ROUND((H60-D60)/D60*365/(G60-E60)*100,2)</f>
        <v>60.19</v>
      </c>
      <c r="K60">
        <f t="shared" ref="K60:K61" si="46">H60+I60-D60</f>
        <v>90.699999999999818</v>
      </c>
      <c r="L60" t="s">
        <v>96</v>
      </c>
    </row>
    <row r="61" spans="1:12" hidden="1" x14ac:dyDescent="0.15">
      <c r="A61" s="3" t="s">
        <v>74</v>
      </c>
      <c r="B61">
        <v>731</v>
      </c>
      <c r="C61">
        <v>7.2</v>
      </c>
      <c r="D61">
        <v>4000</v>
      </c>
      <c r="E61" s="1">
        <v>42197</v>
      </c>
      <c r="F61" s="1">
        <f t="shared" si="43"/>
        <v>42198</v>
      </c>
      <c r="G61" s="5">
        <f t="shared" si="44"/>
        <v>42208</v>
      </c>
      <c r="H61">
        <f>4103.85-4.1*2</f>
        <v>4095.6500000000005</v>
      </c>
      <c r="J61">
        <f t="shared" si="45"/>
        <v>79.349999999999994</v>
      </c>
      <c r="K61">
        <f t="shared" si="46"/>
        <v>95.650000000000546</v>
      </c>
      <c r="L61" t="s">
        <v>96</v>
      </c>
    </row>
    <row r="62" spans="1:12" hidden="1" x14ac:dyDescent="0.15">
      <c r="A62" s="3" t="s">
        <v>81</v>
      </c>
      <c r="B62">
        <v>366</v>
      </c>
      <c r="C62" t="s">
        <v>87</v>
      </c>
      <c r="D62">
        <v>6000</v>
      </c>
      <c r="E62" s="1">
        <v>42198</v>
      </c>
      <c r="F62" s="1">
        <f t="shared" ref="F62:F63" si="47">E62+1</f>
        <v>42199</v>
      </c>
      <c r="G62" s="5">
        <f t="shared" ref="G62:G63" si="48">E62+11</f>
        <v>42209</v>
      </c>
      <c r="H62">
        <f>6126.75-6.12*2</f>
        <v>6114.51</v>
      </c>
      <c r="J62">
        <f t="shared" ref="J62:J63" si="49">ROUND((H62-D62)/D62*365/(G62-E62)*100,2)</f>
        <v>63.33</v>
      </c>
      <c r="K62">
        <f t="shared" ref="K62:K63" si="50">H62+I62-D62</f>
        <v>114.51000000000022</v>
      </c>
      <c r="L62" t="s">
        <v>88</v>
      </c>
    </row>
    <row r="63" spans="1:12" hidden="1" x14ac:dyDescent="0.15">
      <c r="A63" s="3" t="s">
        <v>76</v>
      </c>
      <c r="B63">
        <v>731</v>
      </c>
      <c r="C63">
        <v>7.2</v>
      </c>
      <c r="D63">
        <v>6000</v>
      </c>
      <c r="E63" s="1">
        <v>42198</v>
      </c>
      <c r="F63" s="1">
        <f t="shared" si="47"/>
        <v>42199</v>
      </c>
      <c r="G63" s="5">
        <f t="shared" si="48"/>
        <v>42209</v>
      </c>
      <c r="H63">
        <f>6176.48-6.17*2</f>
        <v>6164.1399999999994</v>
      </c>
      <c r="J63">
        <f t="shared" si="49"/>
        <v>90.77</v>
      </c>
      <c r="K63">
        <f t="shared" si="50"/>
        <v>164.13999999999942</v>
      </c>
      <c r="L63" t="s">
        <v>96</v>
      </c>
    </row>
    <row r="64" spans="1:12" hidden="1" x14ac:dyDescent="0.15">
      <c r="A64" s="3" t="s">
        <v>81</v>
      </c>
      <c r="B64">
        <v>366</v>
      </c>
      <c r="C64" t="s">
        <v>87</v>
      </c>
      <c r="D64">
        <v>3000</v>
      </c>
      <c r="E64" s="1">
        <v>42199</v>
      </c>
      <c r="F64" s="1">
        <f t="shared" ref="F64:F65" si="51">E64+1</f>
        <v>42200</v>
      </c>
      <c r="G64" s="5">
        <f t="shared" ref="G64:G65" si="52">E64+11</f>
        <v>42210</v>
      </c>
      <c r="H64">
        <f>3065.36-3.06*2</f>
        <v>3059.2400000000002</v>
      </c>
      <c r="J64">
        <f t="shared" ref="J64:J65" si="53">ROUND((H64-D64)/D64*365/(G64-E64)*100,2)</f>
        <v>65.52</v>
      </c>
      <c r="K64">
        <f t="shared" ref="K64:K65" si="54">H64+I64-D64</f>
        <v>59.240000000000236</v>
      </c>
      <c r="L64" t="s">
        <v>88</v>
      </c>
    </row>
    <row r="65" spans="1:12" hidden="1" x14ac:dyDescent="0.15">
      <c r="A65" s="3" t="s">
        <v>74</v>
      </c>
      <c r="B65">
        <v>731</v>
      </c>
      <c r="C65">
        <v>7.2</v>
      </c>
      <c r="D65">
        <v>2000</v>
      </c>
      <c r="E65" s="1">
        <v>42199</v>
      </c>
      <c r="F65" s="1">
        <f t="shared" si="51"/>
        <v>42200</v>
      </c>
      <c r="G65" s="5">
        <f t="shared" si="52"/>
        <v>42210</v>
      </c>
      <c r="H65">
        <f>2069.44-2.06*2</f>
        <v>2065.3200000000002</v>
      </c>
      <c r="J65">
        <f t="shared" si="53"/>
        <v>108.37</v>
      </c>
      <c r="K65">
        <f t="shared" si="54"/>
        <v>65.320000000000164</v>
      </c>
      <c r="L65" t="s">
        <v>96</v>
      </c>
    </row>
    <row r="66" spans="1:12" hidden="1" x14ac:dyDescent="0.15">
      <c r="A66" s="3" t="s">
        <v>81</v>
      </c>
      <c r="B66">
        <v>366</v>
      </c>
      <c r="C66" t="s">
        <v>87</v>
      </c>
      <c r="D66">
        <v>2000</v>
      </c>
      <c r="E66" s="1">
        <v>42200</v>
      </c>
      <c r="F66" s="1">
        <f t="shared" ref="F66:F67" si="55">E66+1</f>
        <v>42201</v>
      </c>
      <c r="G66" s="5">
        <f t="shared" ref="G66:G67" si="56">E66+11</f>
        <v>42211</v>
      </c>
      <c r="H66">
        <f>2043.38-2.04*2</f>
        <v>2039.3000000000002</v>
      </c>
      <c r="J66">
        <f t="shared" ref="J66:J67" si="57">ROUND((H66-D66)/D66*365/(G66-E66)*100,2)</f>
        <v>65.2</v>
      </c>
      <c r="K66">
        <f t="shared" ref="K66:K67" si="58">H66+I66-D66</f>
        <v>39.300000000000182</v>
      </c>
      <c r="L66" t="s">
        <v>88</v>
      </c>
    </row>
    <row r="67" spans="1:12" hidden="1" x14ac:dyDescent="0.15">
      <c r="A67" s="3" t="s">
        <v>74</v>
      </c>
      <c r="B67">
        <v>731</v>
      </c>
      <c r="C67">
        <v>7.2</v>
      </c>
      <c r="D67">
        <v>3000</v>
      </c>
      <c r="E67" s="1">
        <v>42200</v>
      </c>
      <c r="F67" s="1">
        <f t="shared" si="55"/>
        <v>42201</v>
      </c>
      <c r="G67" s="5">
        <f t="shared" si="56"/>
        <v>42211</v>
      </c>
      <c r="H67">
        <f>3104.72-3.1*2</f>
        <v>3098.52</v>
      </c>
      <c r="J67">
        <f t="shared" si="57"/>
        <v>108.97</v>
      </c>
      <c r="K67">
        <f t="shared" si="58"/>
        <v>98.519999999999982</v>
      </c>
      <c r="L67" t="s">
        <v>96</v>
      </c>
    </row>
    <row r="68" spans="1:12" hidden="1" x14ac:dyDescent="0.15">
      <c r="A68" s="3" t="s">
        <v>81</v>
      </c>
      <c r="B68">
        <v>366</v>
      </c>
      <c r="C68" t="s">
        <v>87</v>
      </c>
      <c r="D68">
        <v>3000</v>
      </c>
      <c r="E68" s="1">
        <v>42201</v>
      </c>
      <c r="F68" s="1">
        <f t="shared" ref="F68:F69" si="59">E68+1</f>
        <v>42202</v>
      </c>
      <c r="G68" s="5">
        <f t="shared" ref="G68:G69" si="60">E68+11</f>
        <v>42212</v>
      </c>
      <c r="H68">
        <f>500+2563.52-1-2.56*2</f>
        <v>3057.4</v>
      </c>
      <c r="J68">
        <f t="shared" ref="J68:J69" si="61">ROUND((H68-D68)/D68*365/(G68-E68)*100,2)</f>
        <v>63.49</v>
      </c>
      <c r="K68">
        <f t="shared" ref="K68:K69" si="62">H68+I68-D68</f>
        <v>57.400000000000091</v>
      </c>
      <c r="L68" t="s">
        <v>88</v>
      </c>
    </row>
    <row r="69" spans="1:12" hidden="1" x14ac:dyDescent="0.15">
      <c r="A69" s="3" t="s">
        <v>74</v>
      </c>
      <c r="B69">
        <v>731</v>
      </c>
      <c r="C69">
        <v>7.2</v>
      </c>
      <c r="D69">
        <v>2000</v>
      </c>
      <c r="E69" s="1">
        <v>42201</v>
      </c>
      <c r="F69" s="1">
        <f t="shared" si="59"/>
        <v>42202</v>
      </c>
      <c r="G69" s="5">
        <f t="shared" si="60"/>
        <v>42212</v>
      </c>
      <c r="H69">
        <f>2069.8-2.06*2</f>
        <v>2065.6800000000003</v>
      </c>
      <c r="J69">
        <f t="shared" si="61"/>
        <v>108.97</v>
      </c>
      <c r="K69">
        <f t="shared" si="62"/>
        <v>65.680000000000291</v>
      </c>
      <c r="L69" t="s">
        <v>96</v>
      </c>
    </row>
    <row r="70" spans="1:12" hidden="1" x14ac:dyDescent="0.15">
      <c r="A70" s="3" t="s">
        <v>81</v>
      </c>
      <c r="B70">
        <v>366</v>
      </c>
      <c r="C70" t="s">
        <v>87</v>
      </c>
      <c r="D70">
        <v>3000</v>
      </c>
      <c r="E70" s="1">
        <v>42202</v>
      </c>
      <c r="F70" s="1">
        <f t="shared" ref="F70:F71" si="63">E70+1</f>
        <v>42203</v>
      </c>
      <c r="G70" s="5">
        <f t="shared" ref="G70:G71" si="64">E70+11</f>
        <v>42213</v>
      </c>
      <c r="H70">
        <f>3062.24-3.06*2</f>
        <v>3056.12</v>
      </c>
      <c r="J70">
        <f t="shared" ref="J70:J71" si="65">ROUND((H70-D70)/D70*365/(G70-E70)*100,2)</f>
        <v>62.07</v>
      </c>
      <c r="K70">
        <f t="shared" ref="K70:K71" si="66">H70+I70-D70</f>
        <v>56.119999999999891</v>
      </c>
      <c r="L70" t="s">
        <v>88</v>
      </c>
    </row>
    <row r="71" spans="1:12" hidden="1" x14ac:dyDescent="0.15">
      <c r="A71" s="3" t="s">
        <v>74</v>
      </c>
      <c r="B71">
        <v>731</v>
      </c>
      <c r="C71">
        <v>7.2</v>
      </c>
      <c r="D71">
        <v>2000</v>
      </c>
      <c r="E71" s="1">
        <v>42202</v>
      </c>
      <c r="F71" s="1">
        <f t="shared" si="63"/>
        <v>42203</v>
      </c>
      <c r="G71" s="5">
        <f t="shared" si="64"/>
        <v>42213</v>
      </c>
      <c r="H71">
        <f>2066.13-2.06*2</f>
        <v>2062.0100000000002</v>
      </c>
      <c r="J71">
        <f t="shared" si="65"/>
        <v>102.88</v>
      </c>
      <c r="K71">
        <f t="shared" si="66"/>
        <v>62.010000000000218</v>
      </c>
      <c r="L71" t="s">
        <v>96</v>
      </c>
    </row>
    <row r="72" spans="1:12" hidden="1" x14ac:dyDescent="0.15">
      <c r="A72" s="3" t="s">
        <v>74</v>
      </c>
      <c r="B72">
        <v>731</v>
      </c>
      <c r="C72">
        <v>7.2</v>
      </c>
      <c r="D72">
        <v>7000</v>
      </c>
      <c r="E72" s="1">
        <v>42202</v>
      </c>
      <c r="F72" s="1">
        <f t="shared" ref="F72:F74" si="67">E72+1</f>
        <v>42203</v>
      </c>
      <c r="G72" s="5">
        <f t="shared" ref="G72:G74" si="68">E72+11</f>
        <v>42213</v>
      </c>
      <c r="H72">
        <f>7232.76-7.23*2</f>
        <v>7218.3</v>
      </c>
      <c r="J72">
        <f t="shared" ref="J72" si="69">ROUND((H72-D72)/D72*365/(G72-E72)*100,2)</f>
        <v>103.48</v>
      </c>
      <c r="K72">
        <f t="shared" ref="K72" si="70">H72+I72-D72</f>
        <v>218.30000000000018</v>
      </c>
      <c r="L72" t="s">
        <v>96</v>
      </c>
    </row>
    <row r="73" spans="1:12" hidden="1" x14ac:dyDescent="0.15">
      <c r="A73" s="3" t="s">
        <v>81</v>
      </c>
      <c r="B73">
        <v>366</v>
      </c>
      <c r="C73" t="s">
        <v>87</v>
      </c>
      <c r="D73">
        <v>2000</v>
      </c>
      <c r="E73" s="1">
        <v>42203</v>
      </c>
      <c r="F73" s="1">
        <f t="shared" si="67"/>
        <v>42204</v>
      </c>
      <c r="G73" s="5">
        <f t="shared" si="68"/>
        <v>42214</v>
      </c>
      <c r="H73">
        <f>2040.93-2.04*2</f>
        <v>2036.8500000000001</v>
      </c>
      <c r="J73">
        <f t="shared" ref="J73:J74" si="71">ROUND((H73-D73)/D73*365/(G73-E73)*100,2)</f>
        <v>61.14</v>
      </c>
      <c r="K73">
        <f t="shared" ref="K73:K74" si="72">H73+I73-D73</f>
        <v>36.850000000000136</v>
      </c>
      <c r="L73" t="s">
        <v>88</v>
      </c>
    </row>
    <row r="74" spans="1:12" hidden="1" x14ac:dyDescent="0.15">
      <c r="A74" s="3" t="s">
        <v>74</v>
      </c>
      <c r="B74">
        <v>731</v>
      </c>
      <c r="C74">
        <v>7.2</v>
      </c>
      <c r="D74">
        <v>3000</v>
      </c>
      <c r="E74" s="1">
        <v>42203</v>
      </c>
      <c r="F74" s="1">
        <f t="shared" si="67"/>
        <v>42204</v>
      </c>
      <c r="G74" s="5">
        <f t="shared" si="68"/>
        <v>42214</v>
      </c>
      <c r="H74">
        <f>3098.1-3.09*2</f>
        <v>3091.92</v>
      </c>
      <c r="J74">
        <f t="shared" si="71"/>
        <v>101.67</v>
      </c>
      <c r="K74">
        <f t="shared" si="72"/>
        <v>91.920000000000073</v>
      </c>
      <c r="L74" t="s">
        <v>96</v>
      </c>
    </row>
    <row r="75" spans="1:12" hidden="1" x14ac:dyDescent="0.15">
      <c r="A75" s="3" t="s">
        <v>81</v>
      </c>
      <c r="B75">
        <v>366</v>
      </c>
      <c r="C75" t="s">
        <v>87</v>
      </c>
      <c r="D75">
        <v>15000</v>
      </c>
      <c r="E75" s="1">
        <v>42204</v>
      </c>
      <c r="F75" s="1">
        <f t="shared" ref="F75:F76" si="73">E75+1</f>
        <v>42205</v>
      </c>
      <c r="G75" s="5">
        <f t="shared" ref="G75:G76" si="74">E75+11</f>
        <v>42215</v>
      </c>
      <c r="H75">
        <f>15315.48-15.3*2</f>
        <v>15284.88</v>
      </c>
      <c r="J75">
        <f t="shared" ref="J75:J76" si="75">ROUND((H75-D75)/D75*365/(G75-E75)*100,2)</f>
        <v>63.02</v>
      </c>
      <c r="K75">
        <f t="shared" ref="K75:K76" si="76">H75+I75-D75</f>
        <v>284.8799999999992</v>
      </c>
      <c r="L75" t="s">
        <v>88</v>
      </c>
    </row>
    <row r="76" spans="1:12" hidden="1" x14ac:dyDescent="0.15">
      <c r="A76" s="3" t="s">
        <v>74</v>
      </c>
      <c r="B76">
        <v>731</v>
      </c>
      <c r="C76">
        <v>7.2</v>
      </c>
      <c r="D76">
        <v>25000</v>
      </c>
      <c r="E76" s="1">
        <v>42204</v>
      </c>
      <c r="F76" s="1">
        <f t="shared" si="73"/>
        <v>42205</v>
      </c>
      <c r="G76" s="5">
        <f t="shared" si="74"/>
        <v>42215</v>
      </c>
      <c r="H76">
        <f>25803.84-25.8*2</f>
        <v>25752.240000000002</v>
      </c>
      <c r="J76">
        <f t="shared" si="75"/>
        <v>99.84</v>
      </c>
      <c r="K76">
        <f t="shared" si="76"/>
        <v>752.2400000000016</v>
      </c>
      <c r="L76" t="s">
        <v>96</v>
      </c>
    </row>
    <row r="77" spans="1:12" hidden="1" x14ac:dyDescent="0.15">
      <c r="A77" s="3" t="s">
        <v>81</v>
      </c>
      <c r="B77">
        <v>366</v>
      </c>
      <c r="C77" t="s">
        <v>87</v>
      </c>
      <c r="D77">
        <v>5000</v>
      </c>
      <c r="E77" s="1">
        <v>42205</v>
      </c>
      <c r="F77" s="1">
        <f t="shared" ref="F77:F78" si="77">E77+1</f>
        <v>42206</v>
      </c>
      <c r="G77" s="5">
        <f t="shared" ref="G77" si="78">E77+11</f>
        <v>42216</v>
      </c>
      <c r="H77">
        <f>5107.99-5.1*2</f>
        <v>5097.79</v>
      </c>
      <c r="J77">
        <f t="shared" ref="J77" si="79">ROUND((H77-D77)/D77*365/(G77-E77)*100,2)</f>
        <v>64.900000000000006</v>
      </c>
      <c r="K77">
        <f t="shared" ref="K77" si="80">H77+I77-D77</f>
        <v>97.789999999999964</v>
      </c>
      <c r="L77" t="s">
        <v>88</v>
      </c>
    </row>
    <row r="78" spans="1:12" hidden="1" x14ac:dyDescent="0.15">
      <c r="A78" s="3" t="s">
        <v>74</v>
      </c>
      <c r="B78">
        <v>731</v>
      </c>
      <c r="C78">
        <v>7.2</v>
      </c>
      <c r="D78">
        <v>10000</v>
      </c>
      <c r="E78" s="1">
        <v>42205</v>
      </c>
      <c r="F78" s="1">
        <f t="shared" si="77"/>
        <v>42206</v>
      </c>
      <c r="G78" s="5">
        <v>42218</v>
      </c>
      <c r="H78">
        <f>5194.55+5000-5.19*2-10</f>
        <v>10174.17</v>
      </c>
      <c r="J78">
        <f t="shared" ref="J78" si="81">ROUND((H78-D78)/D78*365/(G78-E78)*100,2)</f>
        <v>48.9</v>
      </c>
      <c r="K78">
        <f t="shared" ref="K78" si="82">H78+I78-D78</f>
        <v>174.17000000000007</v>
      </c>
      <c r="L78" t="s">
        <v>96</v>
      </c>
    </row>
    <row r="79" spans="1:12" hidden="1" x14ac:dyDescent="0.15">
      <c r="A79" s="3" t="s">
        <v>82</v>
      </c>
      <c r="B79">
        <v>366</v>
      </c>
      <c r="C79" t="s">
        <v>89</v>
      </c>
      <c r="D79">
        <v>4000</v>
      </c>
      <c r="E79" s="1">
        <v>42206</v>
      </c>
      <c r="F79" s="1">
        <f t="shared" ref="F79:F80" si="83">E79+1</f>
        <v>42207</v>
      </c>
      <c r="G79" s="5">
        <f t="shared" ref="G79:G80" si="84">E79+11</f>
        <v>42217</v>
      </c>
      <c r="H79">
        <f>4094.74-4.05*2</f>
        <v>4086.64</v>
      </c>
      <c r="J79">
        <f t="shared" ref="J79" si="85">ROUND((H79-D79)/D79*365/(G79-E79)*100,2)</f>
        <v>71.87</v>
      </c>
      <c r="K79">
        <f t="shared" ref="K79" si="86">H79+I79-D79</f>
        <v>86.639999999999873</v>
      </c>
      <c r="L79" t="s">
        <v>88</v>
      </c>
    </row>
    <row r="80" spans="1:12" hidden="1" x14ac:dyDescent="0.15">
      <c r="A80" s="3" t="s">
        <v>74</v>
      </c>
      <c r="B80">
        <v>731</v>
      </c>
      <c r="C80">
        <v>7.2</v>
      </c>
      <c r="D80">
        <v>6000</v>
      </c>
      <c r="E80" s="1">
        <v>42206</v>
      </c>
      <c r="F80" s="1">
        <f t="shared" si="83"/>
        <v>42207</v>
      </c>
      <c r="G80" s="5">
        <f t="shared" si="84"/>
        <v>42217</v>
      </c>
      <c r="H80">
        <f>6173.2-6.17*2</f>
        <v>6160.86</v>
      </c>
      <c r="J80">
        <f t="shared" ref="J80" si="87">ROUND((H80-D80)/D80*365/(G80-E80)*100,2)</f>
        <v>88.96</v>
      </c>
      <c r="K80">
        <f t="shared" ref="K80" si="88">H80+I80-D80</f>
        <v>160.85999999999967</v>
      </c>
      <c r="L80" t="s">
        <v>96</v>
      </c>
    </row>
    <row r="81" spans="1:12" hidden="1" x14ac:dyDescent="0.15">
      <c r="A81" s="3" t="s">
        <v>82</v>
      </c>
      <c r="B81">
        <v>366</v>
      </c>
      <c r="C81" t="s">
        <v>89</v>
      </c>
      <c r="D81">
        <v>4000</v>
      </c>
      <c r="E81" s="1">
        <v>42207</v>
      </c>
      <c r="F81" s="1">
        <f t="shared" ref="F81:F82" si="89">E81+1</f>
        <v>42208</v>
      </c>
      <c r="G81" s="5">
        <f t="shared" ref="G81:G82" si="90">E81+11</f>
        <v>42218</v>
      </c>
      <c r="H81">
        <f>4090.96-2.09*2-2*2</f>
        <v>4082.78</v>
      </c>
      <c r="J81">
        <f t="shared" ref="J81:J82" si="91">ROUND((H81-D81)/D81*365/(G81-E81)*100,2)</f>
        <v>68.67</v>
      </c>
      <c r="K81">
        <f t="shared" ref="K81:K82" si="92">H81+I81-D81</f>
        <v>82.7800000000002</v>
      </c>
      <c r="L81" t="s">
        <v>88</v>
      </c>
    </row>
    <row r="82" spans="1:12" hidden="1" x14ac:dyDescent="0.15">
      <c r="A82" s="3" t="s">
        <v>78</v>
      </c>
      <c r="B82">
        <v>731</v>
      </c>
      <c r="C82">
        <v>7.25</v>
      </c>
      <c r="D82">
        <v>6000</v>
      </c>
      <c r="E82" s="1">
        <v>42207</v>
      </c>
      <c r="F82" s="1">
        <f t="shared" si="89"/>
        <v>42208</v>
      </c>
      <c r="G82" s="5">
        <f t="shared" si="90"/>
        <v>42218</v>
      </c>
      <c r="H82">
        <f>6116.22-6.11*2</f>
        <v>6104</v>
      </c>
      <c r="J82">
        <f t="shared" si="91"/>
        <v>57.52</v>
      </c>
      <c r="K82">
        <f t="shared" si="92"/>
        <v>104</v>
      </c>
      <c r="L82" t="s">
        <v>96</v>
      </c>
    </row>
    <row r="83" spans="1:12" hidden="1" x14ac:dyDescent="0.15">
      <c r="A83" s="3" t="s">
        <v>82</v>
      </c>
      <c r="B83">
        <v>366</v>
      </c>
      <c r="C83" t="s">
        <v>89</v>
      </c>
      <c r="D83">
        <v>4000</v>
      </c>
      <c r="E83" s="1">
        <v>42208</v>
      </c>
      <c r="F83" s="1">
        <f t="shared" ref="F83:F84" si="93">E83+1</f>
        <v>42209</v>
      </c>
      <c r="G83" s="5">
        <f t="shared" ref="G83:G84" si="94">E83+11</f>
        <v>42219</v>
      </c>
      <c r="H83">
        <f>4081.9-4.07*2</f>
        <v>4073.76</v>
      </c>
      <c r="J83">
        <f t="shared" ref="J83:J84" si="95">ROUND((H83-D83)/D83*365/(G83-E83)*100,2)</f>
        <v>61.19</v>
      </c>
      <c r="K83">
        <f t="shared" ref="K83:K84" si="96">H83+I83-D83</f>
        <v>73.760000000000218</v>
      </c>
      <c r="L83" t="s">
        <v>88</v>
      </c>
    </row>
    <row r="84" spans="1:12" hidden="1" x14ac:dyDescent="0.15">
      <c r="A84" s="3" t="s">
        <v>73</v>
      </c>
      <c r="B84">
        <v>731</v>
      </c>
      <c r="C84">
        <v>7.25</v>
      </c>
      <c r="D84">
        <v>5000</v>
      </c>
      <c r="E84" s="1">
        <v>42208</v>
      </c>
      <c r="F84" s="1">
        <f t="shared" si="93"/>
        <v>42209</v>
      </c>
      <c r="G84" s="5">
        <f t="shared" si="94"/>
        <v>42219</v>
      </c>
      <c r="H84">
        <f>5077.3-5.07*2</f>
        <v>5067.16</v>
      </c>
      <c r="J84">
        <f t="shared" si="95"/>
        <v>44.57</v>
      </c>
      <c r="K84">
        <f t="shared" si="96"/>
        <v>67.159999999999854</v>
      </c>
      <c r="L84" t="s">
        <v>96</v>
      </c>
    </row>
    <row r="85" spans="1:12" hidden="1" x14ac:dyDescent="0.15">
      <c r="A85" s="3" t="s">
        <v>82</v>
      </c>
      <c r="B85">
        <v>366</v>
      </c>
      <c r="C85" t="s">
        <v>89</v>
      </c>
      <c r="D85">
        <v>5000</v>
      </c>
      <c r="E85" s="1">
        <v>42209</v>
      </c>
      <c r="F85" s="1">
        <f t="shared" ref="F85:F86" si="97">E85+1</f>
        <v>42210</v>
      </c>
      <c r="G85" s="5">
        <f t="shared" ref="G85:G86" si="98">E85+11</f>
        <v>42220</v>
      </c>
      <c r="H85">
        <f>5100.97-5.1*2</f>
        <v>5090.7700000000004</v>
      </c>
      <c r="J85">
        <f t="shared" ref="J85:J86" si="99">ROUND((H85-D85)/D85*365/(G85-E85)*100,2)</f>
        <v>60.24</v>
      </c>
      <c r="K85">
        <f t="shared" ref="K85:K86" si="100">H85+I85-D85</f>
        <v>90.770000000000437</v>
      </c>
      <c r="L85" t="s">
        <v>88</v>
      </c>
    </row>
    <row r="86" spans="1:12" hidden="1" x14ac:dyDescent="0.15">
      <c r="A86" s="3" t="s">
        <v>73</v>
      </c>
      <c r="B86">
        <v>731</v>
      </c>
      <c r="C86">
        <v>7.25</v>
      </c>
      <c r="D86">
        <v>7000</v>
      </c>
      <c r="E86" s="1">
        <v>42209</v>
      </c>
      <c r="F86" s="1">
        <f t="shared" si="97"/>
        <v>42210</v>
      </c>
      <c r="G86" s="5">
        <f t="shared" si="98"/>
        <v>42220</v>
      </c>
      <c r="H86">
        <f>7114.42-7.11*2</f>
        <v>7100.2</v>
      </c>
      <c r="J86">
        <f t="shared" si="99"/>
        <v>47.5</v>
      </c>
      <c r="K86">
        <f t="shared" si="100"/>
        <v>100.19999999999982</v>
      </c>
      <c r="L86" t="s">
        <v>96</v>
      </c>
    </row>
    <row r="87" spans="1:12" hidden="1" x14ac:dyDescent="0.15">
      <c r="A87" s="3" t="s">
        <v>82</v>
      </c>
      <c r="B87">
        <v>366</v>
      </c>
      <c r="C87" t="s">
        <v>89</v>
      </c>
      <c r="D87">
        <v>2000</v>
      </c>
      <c r="E87" s="1">
        <v>42210</v>
      </c>
      <c r="F87" s="1">
        <f t="shared" ref="F87:F90" si="101">E87+1</f>
        <v>42211</v>
      </c>
      <c r="G87" s="5">
        <f t="shared" ref="G87:G90" si="102">E87+11</f>
        <v>42221</v>
      </c>
      <c r="H87">
        <f>2043.59-2.04*2</f>
        <v>2039.51</v>
      </c>
      <c r="J87">
        <f t="shared" ref="J87:J88" si="103">ROUND((H87-D87)/D87*365/(G87-E87)*100,2)</f>
        <v>65.55</v>
      </c>
      <c r="K87">
        <f t="shared" ref="K87:K88" si="104">H87+I87-D87</f>
        <v>39.509999999999991</v>
      </c>
      <c r="L87" t="s">
        <v>88</v>
      </c>
    </row>
    <row r="88" spans="1:12" hidden="1" x14ac:dyDescent="0.15">
      <c r="A88" s="3" t="s">
        <v>73</v>
      </c>
      <c r="B88">
        <v>731</v>
      </c>
      <c r="C88">
        <v>7.25</v>
      </c>
      <c r="D88">
        <v>3000</v>
      </c>
      <c r="E88" s="1">
        <v>42210</v>
      </c>
      <c r="F88" s="1">
        <f t="shared" si="101"/>
        <v>42211</v>
      </c>
      <c r="G88" s="5">
        <f t="shared" si="102"/>
        <v>42221</v>
      </c>
      <c r="H88">
        <f>3045.84-3.03*2</f>
        <v>3039.78</v>
      </c>
      <c r="J88">
        <f t="shared" si="103"/>
        <v>44</v>
      </c>
      <c r="K88">
        <f t="shared" si="104"/>
        <v>39.7800000000002</v>
      </c>
      <c r="L88" t="s">
        <v>96</v>
      </c>
    </row>
    <row r="89" spans="1:12" hidden="1" x14ac:dyDescent="0.15">
      <c r="A89" s="3" t="s">
        <v>82</v>
      </c>
      <c r="B89">
        <v>366</v>
      </c>
      <c r="C89" t="s">
        <v>89</v>
      </c>
      <c r="D89">
        <v>2000</v>
      </c>
      <c r="E89" s="1">
        <v>42211</v>
      </c>
      <c r="F89" s="1">
        <f t="shared" si="101"/>
        <v>42212</v>
      </c>
      <c r="G89" s="5">
        <f t="shared" si="102"/>
        <v>42222</v>
      </c>
      <c r="H89">
        <f>2042.64-2.04*2</f>
        <v>2038.5600000000002</v>
      </c>
      <c r="J89">
        <f t="shared" ref="J89:J90" si="105">ROUND((H89-D89)/D89*365/(G89-E89)*100,2)</f>
        <v>63.97</v>
      </c>
      <c r="K89">
        <f t="shared" ref="K89:K90" si="106">H89+I89-D89</f>
        <v>38.560000000000173</v>
      </c>
      <c r="L89" t="s">
        <v>88</v>
      </c>
    </row>
    <row r="90" spans="1:12" hidden="1" x14ac:dyDescent="0.15">
      <c r="A90" s="3" t="s">
        <v>74</v>
      </c>
      <c r="B90">
        <v>731</v>
      </c>
      <c r="C90">
        <v>7.2</v>
      </c>
      <c r="D90">
        <v>3000</v>
      </c>
      <c r="E90" s="1">
        <v>42211</v>
      </c>
      <c r="F90" s="1">
        <f t="shared" si="101"/>
        <v>42212</v>
      </c>
      <c r="G90" s="5">
        <f t="shared" si="102"/>
        <v>42222</v>
      </c>
      <c r="H90">
        <f>3036.12-3.03*2</f>
        <v>3030.06</v>
      </c>
      <c r="J90">
        <f t="shared" si="105"/>
        <v>33.25</v>
      </c>
      <c r="K90">
        <f t="shared" si="106"/>
        <v>30.059999999999945</v>
      </c>
      <c r="L90" t="s">
        <v>96</v>
      </c>
    </row>
    <row r="91" spans="1:12" hidden="1" x14ac:dyDescent="0.15">
      <c r="A91" s="3" t="s">
        <v>82</v>
      </c>
      <c r="B91">
        <v>366</v>
      </c>
      <c r="C91" t="s">
        <v>89</v>
      </c>
      <c r="D91">
        <v>2000</v>
      </c>
      <c r="E91" s="1">
        <v>42212</v>
      </c>
      <c r="F91" s="1">
        <f t="shared" ref="F91:F92" si="107">E91+1</f>
        <v>42213</v>
      </c>
      <c r="G91" s="5">
        <f t="shared" ref="G91:G92" si="108">E91+11</f>
        <v>42223</v>
      </c>
      <c r="H91">
        <f>2043.21-2.03*2</f>
        <v>2039.15</v>
      </c>
      <c r="J91">
        <f t="shared" ref="J91:J92" si="109">ROUND((H91-D91)/D91*365/(G91-E91)*100,2)</f>
        <v>64.95</v>
      </c>
      <c r="K91">
        <f t="shared" ref="K91:K92" si="110">H91+I91-D91</f>
        <v>39.150000000000091</v>
      </c>
      <c r="L91" t="s">
        <v>88</v>
      </c>
    </row>
    <row r="92" spans="1:12" hidden="1" x14ac:dyDescent="0.15">
      <c r="A92" s="3" t="s">
        <v>73</v>
      </c>
      <c r="B92">
        <v>731</v>
      </c>
      <c r="C92">
        <v>7.25</v>
      </c>
      <c r="D92">
        <v>3000</v>
      </c>
      <c r="E92" s="1">
        <v>42212</v>
      </c>
      <c r="F92" s="1">
        <f t="shared" si="107"/>
        <v>42213</v>
      </c>
      <c r="G92" s="5">
        <f t="shared" si="108"/>
        <v>42223</v>
      </c>
      <c r="H92">
        <f>3040.01-3.03*2</f>
        <v>3033.9500000000003</v>
      </c>
      <c r="J92">
        <f t="shared" si="109"/>
        <v>37.549999999999997</v>
      </c>
      <c r="K92">
        <f t="shared" si="110"/>
        <v>33.950000000000273</v>
      </c>
      <c r="L92" t="s">
        <v>96</v>
      </c>
    </row>
    <row r="93" spans="1:12" hidden="1" x14ac:dyDescent="0.15">
      <c r="A93" s="3" t="s">
        <v>83</v>
      </c>
      <c r="B93">
        <v>366</v>
      </c>
      <c r="C93" t="s">
        <v>90</v>
      </c>
      <c r="D93">
        <v>4000</v>
      </c>
      <c r="E93" s="1">
        <v>42213</v>
      </c>
      <c r="F93" s="1">
        <f t="shared" ref="F93:F94" si="111">E93+1</f>
        <v>42214</v>
      </c>
      <c r="G93" s="5">
        <f t="shared" ref="G93:G94" si="112">E93+11</f>
        <v>42224</v>
      </c>
      <c r="H93">
        <f>4086.06-4.07*2</f>
        <v>4077.92</v>
      </c>
      <c r="J93">
        <f t="shared" ref="J93:J94" si="113">ROUND((H93-D93)/D93*365/(G93-E93)*100,2)</f>
        <v>64.64</v>
      </c>
      <c r="K93">
        <f t="shared" ref="K93:K94" si="114">H93+I93-D93</f>
        <v>77.920000000000073</v>
      </c>
      <c r="L93" t="s">
        <v>88</v>
      </c>
    </row>
    <row r="94" spans="1:12" hidden="1" x14ac:dyDescent="0.15">
      <c r="A94" s="3" t="s">
        <v>73</v>
      </c>
      <c r="B94">
        <v>731</v>
      </c>
      <c r="C94">
        <v>7.25</v>
      </c>
      <c r="D94">
        <v>8000</v>
      </c>
      <c r="E94" s="1">
        <v>42213</v>
      </c>
      <c r="F94" s="1">
        <f t="shared" si="111"/>
        <v>42214</v>
      </c>
      <c r="G94" s="5">
        <f t="shared" si="112"/>
        <v>42224</v>
      </c>
      <c r="H94">
        <f>8113.78-8.11*2</f>
        <v>8097.5599999999995</v>
      </c>
      <c r="J94">
        <f t="shared" si="113"/>
        <v>40.47</v>
      </c>
      <c r="K94">
        <f t="shared" si="114"/>
        <v>97.559999999999491</v>
      </c>
      <c r="L94" t="s">
        <v>96</v>
      </c>
    </row>
    <row r="95" spans="1:12" hidden="1" x14ac:dyDescent="0.15">
      <c r="A95" s="3" t="s">
        <v>83</v>
      </c>
      <c r="B95">
        <v>366</v>
      </c>
      <c r="C95" t="s">
        <v>90</v>
      </c>
      <c r="D95">
        <v>2000</v>
      </c>
      <c r="E95" s="1">
        <v>42214</v>
      </c>
      <c r="F95" s="1">
        <f t="shared" ref="F95:F96" si="115">E95+1</f>
        <v>42215</v>
      </c>
      <c r="G95" s="5">
        <f t="shared" ref="G95:G96" si="116">E95+11</f>
        <v>42225</v>
      </c>
      <c r="H95">
        <f>2042.09-2.04*2</f>
        <v>2038.01</v>
      </c>
      <c r="J95">
        <f t="shared" ref="J95:J96" si="117">ROUND((H95-D95)/D95*365/(G95-E95)*100,2)</f>
        <v>63.06</v>
      </c>
      <c r="K95">
        <f t="shared" ref="K95:K96" si="118">H95+I95-D95</f>
        <v>38.009999999999991</v>
      </c>
      <c r="L95" t="s">
        <v>88</v>
      </c>
    </row>
    <row r="96" spans="1:12" hidden="1" x14ac:dyDescent="0.15">
      <c r="A96" s="3" t="s">
        <v>73</v>
      </c>
      <c r="B96">
        <v>731</v>
      </c>
      <c r="C96">
        <v>7.25</v>
      </c>
      <c r="D96">
        <v>3000</v>
      </c>
      <c r="E96" s="1">
        <v>42214</v>
      </c>
      <c r="F96" s="1">
        <f t="shared" si="115"/>
        <v>42215</v>
      </c>
      <c r="G96" s="5">
        <f t="shared" si="116"/>
        <v>42225</v>
      </c>
      <c r="H96">
        <f>3038.95-3.03*2</f>
        <v>3032.89</v>
      </c>
      <c r="J96">
        <f t="shared" si="117"/>
        <v>36.380000000000003</v>
      </c>
      <c r="K96">
        <f t="shared" si="118"/>
        <v>32.889999999999873</v>
      </c>
      <c r="L96" t="s">
        <v>96</v>
      </c>
    </row>
    <row r="97" spans="1:12" hidden="1" x14ac:dyDescent="0.15">
      <c r="A97" s="3" t="s">
        <v>84</v>
      </c>
      <c r="B97">
        <v>366</v>
      </c>
      <c r="C97" t="s">
        <v>91</v>
      </c>
      <c r="D97">
        <v>8000</v>
      </c>
      <c r="E97" s="1">
        <v>42215</v>
      </c>
      <c r="F97" s="1">
        <f t="shared" ref="F97:F98" si="119">E97+1</f>
        <v>42216</v>
      </c>
      <c r="G97" s="5">
        <f t="shared" ref="G97:G98" si="120">E97+11</f>
        <v>42226</v>
      </c>
      <c r="H97">
        <f>8164.58-8.15*2</f>
        <v>8148.28</v>
      </c>
      <c r="J97">
        <f t="shared" ref="J97:J98" si="121">ROUND((H97-D97)/D97*365/(G97-E97)*100,2)</f>
        <v>61.5</v>
      </c>
      <c r="K97">
        <f t="shared" ref="K97:K98" si="122">H97+I97-D97</f>
        <v>148.27999999999975</v>
      </c>
      <c r="L97" t="s">
        <v>88</v>
      </c>
    </row>
    <row r="98" spans="1:12" hidden="1" x14ac:dyDescent="0.15">
      <c r="A98" s="3" t="s">
        <v>73</v>
      </c>
      <c r="B98">
        <v>731</v>
      </c>
      <c r="C98">
        <v>7.25</v>
      </c>
      <c r="D98">
        <v>18000</v>
      </c>
      <c r="E98" s="1">
        <v>42215</v>
      </c>
      <c r="F98" s="1">
        <f t="shared" si="119"/>
        <v>42216</v>
      </c>
      <c r="G98" s="5">
        <f t="shared" si="120"/>
        <v>42226</v>
      </c>
      <c r="H98">
        <f>18217.93-18.21*2</f>
        <v>18181.510000000002</v>
      </c>
      <c r="J98">
        <f t="shared" si="121"/>
        <v>33.46</v>
      </c>
      <c r="K98">
        <f t="shared" si="122"/>
        <v>181.51000000000204</v>
      </c>
      <c r="L98" t="s">
        <v>96</v>
      </c>
    </row>
    <row r="99" spans="1:12" hidden="1" x14ac:dyDescent="0.15">
      <c r="A99" s="3" t="s">
        <v>84</v>
      </c>
      <c r="B99">
        <v>366</v>
      </c>
      <c r="C99" t="s">
        <v>91</v>
      </c>
      <c r="D99">
        <v>4000</v>
      </c>
      <c r="E99" s="1">
        <v>42216</v>
      </c>
      <c r="F99" s="1">
        <f t="shared" ref="F99:F100" si="123">E99+1</f>
        <v>42217</v>
      </c>
      <c r="G99" s="5">
        <f t="shared" ref="G99:G100" si="124">E99+11</f>
        <v>42227</v>
      </c>
      <c r="H99">
        <f>4083.8-4.08*2</f>
        <v>4075.6400000000003</v>
      </c>
      <c r="J99">
        <f t="shared" ref="J99:J100" si="125">ROUND((H99-D99)/D99*365/(G99-E99)*100,2)</f>
        <v>62.75</v>
      </c>
      <c r="K99">
        <f t="shared" ref="K99:K100" si="126">H99+I99-D99</f>
        <v>75.640000000000327</v>
      </c>
      <c r="L99" t="s">
        <v>88</v>
      </c>
    </row>
    <row r="100" spans="1:12" hidden="1" x14ac:dyDescent="0.15">
      <c r="A100" s="3" t="s">
        <v>73</v>
      </c>
      <c r="B100">
        <v>731</v>
      </c>
      <c r="C100">
        <v>7.25</v>
      </c>
      <c r="D100">
        <v>6000</v>
      </c>
      <c r="E100" s="1">
        <v>42216</v>
      </c>
      <c r="F100" s="1">
        <f t="shared" si="123"/>
        <v>42217</v>
      </c>
      <c r="G100" s="5">
        <f t="shared" si="124"/>
        <v>42227</v>
      </c>
      <c r="H100">
        <f>6072.63-6.06*2</f>
        <v>6060.51</v>
      </c>
      <c r="J100">
        <f t="shared" si="125"/>
        <v>33.46</v>
      </c>
      <c r="K100">
        <f t="shared" si="126"/>
        <v>60.510000000000218</v>
      </c>
    </row>
    <row r="101" spans="1:12" hidden="1" x14ac:dyDescent="0.15">
      <c r="A101" s="3" t="s">
        <v>85</v>
      </c>
      <c r="B101">
        <v>366</v>
      </c>
      <c r="C101">
        <v>7.93</v>
      </c>
      <c r="D101">
        <v>4000</v>
      </c>
      <c r="E101" s="1">
        <v>42217</v>
      </c>
      <c r="F101" s="1">
        <f t="shared" ref="F101:F102" si="127">E101+1</f>
        <v>42218</v>
      </c>
      <c r="G101" s="5">
        <f t="shared" ref="G101:G102" si="128">E101+11</f>
        <v>42228</v>
      </c>
      <c r="H101">
        <f>4078.14-4.07*2</f>
        <v>4070</v>
      </c>
      <c r="J101">
        <f t="shared" ref="J101:J102" si="129">ROUND((H101-D101)/D101*365/(G101-E101)*100,2)</f>
        <v>58.07</v>
      </c>
      <c r="K101">
        <f t="shared" ref="K101:K102" si="130">H101+I101-D101</f>
        <v>70</v>
      </c>
    </row>
    <row r="102" spans="1:12" hidden="1" x14ac:dyDescent="0.15">
      <c r="A102" s="3" t="s">
        <v>73</v>
      </c>
      <c r="B102">
        <v>731</v>
      </c>
      <c r="C102">
        <v>7.25</v>
      </c>
      <c r="D102">
        <v>6000</v>
      </c>
      <c r="E102" s="1">
        <v>42217</v>
      </c>
      <c r="F102" s="1">
        <f t="shared" si="127"/>
        <v>42218</v>
      </c>
      <c r="G102" s="5">
        <f t="shared" si="128"/>
        <v>42228</v>
      </c>
      <c r="H102">
        <f>6075.8-6.07*2</f>
        <v>6063.66</v>
      </c>
      <c r="J102">
        <f t="shared" si="129"/>
        <v>35.21</v>
      </c>
      <c r="K102">
        <f t="shared" si="130"/>
        <v>63.659999999999854</v>
      </c>
    </row>
    <row r="103" spans="1:12" hidden="1" x14ac:dyDescent="0.15">
      <c r="A103" s="3" t="s">
        <v>85</v>
      </c>
      <c r="B103">
        <v>366</v>
      </c>
      <c r="C103">
        <v>7.93</v>
      </c>
      <c r="D103">
        <v>6000</v>
      </c>
      <c r="E103" s="1">
        <v>42218</v>
      </c>
      <c r="F103" s="1">
        <f t="shared" ref="F103:F104" si="131">E103+1</f>
        <v>42219</v>
      </c>
      <c r="G103" s="5">
        <f t="shared" ref="G103:G104" si="132">E103+11</f>
        <v>42229</v>
      </c>
      <c r="H103">
        <f>6105.4-6.1*2</f>
        <v>6093.2</v>
      </c>
      <c r="J103">
        <f t="shared" ref="J103:J106" si="133">ROUND((H103-D103)/D103*365/(G103-E103)*100,2)</f>
        <v>51.54</v>
      </c>
      <c r="K103">
        <f t="shared" ref="K103:K106" si="134">H103+I103-D103</f>
        <v>93.199999999999818</v>
      </c>
    </row>
    <row r="104" spans="1:12" hidden="1" x14ac:dyDescent="0.15">
      <c r="A104" s="3" t="s">
        <v>73</v>
      </c>
      <c r="B104">
        <v>731</v>
      </c>
      <c r="C104">
        <v>7.25</v>
      </c>
      <c r="D104">
        <v>3000</v>
      </c>
      <c r="E104" s="1">
        <v>42218</v>
      </c>
      <c r="F104" s="1">
        <f t="shared" si="131"/>
        <v>42219</v>
      </c>
      <c r="G104" s="5">
        <f t="shared" si="132"/>
        <v>42229</v>
      </c>
      <c r="H104">
        <f>3052.7-3.04*2</f>
        <v>3046.62</v>
      </c>
      <c r="J104">
        <f t="shared" si="133"/>
        <v>51.56</v>
      </c>
      <c r="K104">
        <f t="shared" si="134"/>
        <v>46.619999999999891</v>
      </c>
    </row>
    <row r="105" spans="1:12" hidden="1" x14ac:dyDescent="0.15">
      <c r="A105" s="3" t="s">
        <v>85</v>
      </c>
      <c r="B105">
        <v>366</v>
      </c>
      <c r="C105">
        <v>7.93</v>
      </c>
      <c r="D105">
        <v>3000</v>
      </c>
      <c r="E105" s="1">
        <v>42218</v>
      </c>
      <c r="F105" s="1">
        <f t="shared" ref="F105:F108" si="135">E105+1</f>
        <v>42219</v>
      </c>
      <c r="G105" s="5">
        <f t="shared" ref="G105:G108" si="136">E105+11</f>
        <v>42229</v>
      </c>
      <c r="H105">
        <f>3039.48-3.03*2</f>
        <v>3033.42</v>
      </c>
      <c r="J105">
        <f t="shared" si="133"/>
        <v>36.96</v>
      </c>
      <c r="K105">
        <f t="shared" si="134"/>
        <v>33.420000000000073</v>
      </c>
    </row>
    <row r="106" spans="1:12" hidden="1" x14ac:dyDescent="0.15">
      <c r="A106" s="3" t="s">
        <v>73</v>
      </c>
      <c r="B106">
        <v>731</v>
      </c>
      <c r="C106">
        <v>7.25</v>
      </c>
      <c r="D106">
        <v>4000</v>
      </c>
      <c r="E106" s="1">
        <v>42218</v>
      </c>
      <c r="F106" s="1">
        <f t="shared" si="135"/>
        <v>42219</v>
      </c>
      <c r="G106" s="5">
        <f t="shared" si="136"/>
        <v>42229</v>
      </c>
      <c r="H106">
        <f>4053.35-4.05*2</f>
        <v>4045.25</v>
      </c>
      <c r="J106">
        <f t="shared" si="133"/>
        <v>37.54</v>
      </c>
      <c r="K106">
        <f t="shared" si="134"/>
        <v>45.25</v>
      </c>
    </row>
    <row r="107" spans="1:12" hidden="1" x14ac:dyDescent="0.15">
      <c r="A107" s="3" t="s">
        <v>84</v>
      </c>
      <c r="B107">
        <v>366</v>
      </c>
      <c r="C107" t="s">
        <v>91</v>
      </c>
      <c r="D107">
        <v>5000</v>
      </c>
      <c r="E107" s="1">
        <v>42219</v>
      </c>
      <c r="F107" s="1">
        <f t="shared" si="135"/>
        <v>42220</v>
      </c>
      <c r="G107" s="5">
        <f t="shared" si="136"/>
        <v>42230</v>
      </c>
      <c r="H107">
        <f>5079.45-5.07*2</f>
        <v>5069.3099999999995</v>
      </c>
      <c r="J107">
        <f t="shared" ref="J107:J108" si="137">ROUND((H107-D107)/D107*365/(G107-E107)*100,2)</f>
        <v>46</v>
      </c>
      <c r="K107">
        <f t="shared" ref="K107:K108" si="138">H107+I107-D107</f>
        <v>69.309999999999491</v>
      </c>
      <c r="L107" t="s">
        <v>88</v>
      </c>
    </row>
    <row r="108" spans="1:12" hidden="1" x14ac:dyDescent="0.15">
      <c r="A108" s="3" t="s">
        <v>73</v>
      </c>
      <c r="B108">
        <v>731</v>
      </c>
      <c r="C108">
        <v>7.25</v>
      </c>
      <c r="D108">
        <v>4000</v>
      </c>
      <c r="E108" s="1">
        <v>42219</v>
      </c>
      <c r="F108" s="1">
        <f t="shared" si="135"/>
        <v>42220</v>
      </c>
      <c r="G108" s="5">
        <f t="shared" si="136"/>
        <v>42230</v>
      </c>
      <c r="H108">
        <f>4053.37-4.05*2</f>
        <v>4045.27</v>
      </c>
      <c r="J108">
        <f t="shared" si="137"/>
        <v>37.549999999999997</v>
      </c>
      <c r="K108">
        <f t="shared" si="138"/>
        <v>45.269999999999982</v>
      </c>
    </row>
    <row r="109" spans="1:12" hidden="1" x14ac:dyDescent="0.15">
      <c r="A109" s="3" t="s">
        <v>84</v>
      </c>
      <c r="B109">
        <v>366</v>
      </c>
      <c r="C109" t="s">
        <v>91</v>
      </c>
      <c r="D109">
        <v>7000</v>
      </c>
      <c r="E109" s="1">
        <v>42220</v>
      </c>
      <c r="F109" s="1">
        <f t="shared" ref="F109:F110" si="139">E109+1</f>
        <v>42221</v>
      </c>
      <c r="G109" s="5">
        <f t="shared" ref="G109:G110" si="140">E109+11</f>
        <v>42231</v>
      </c>
      <c r="H109">
        <f>7132.18-7.13*2</f>
        <v>7117.92</v>
      </c>
      <c r="J109">
        <f t="shared" ref="J109:J110" si="141">ROUND((H109-D109)/D109*365/(G109-E109)*100,2)</f>
        <v>55.9</v>
      </c>
      <c r="K109">
        <f t="shared" ref="K109:K110" si="142">H109+I109-D109</f>
        <v>117.92000000000007</v>
      </c>
      <c r="L109" t="s">
        <v>88</v>
      </c>
    </row>
    <row r="110" spans="1:12" hidden="1" x14ac:dyDescent="0.15">
      <c r="A110" s="3" t="s">
        <v>73</v>
      </c>
      <c r="B110">
        <v>731</v>
      </c>
      <c r="C110">
        <v>7.25</v>
      </c>
      <c r="D110">
        <v>4000</v>
      </c>
      <c r="E110" s="1">
        <v>42220</v>
      </c>
      <c r="F110" s="1">
        <f t="shared" si="139"/>
        <v>42221</v>
      </c>
      <c r="G110" s="5">
        <f t="shared" si="140"/>
        <v>42231</v>
      </c>
      <c r="H110">
        <f>4062.56-4.05*2</f>
        <v>4054.46</v>
      </c>
      <c r="J110">
        <f t="shared" si="141"/>
        <v>45.18</v>
      </c>
      <c r="K110">
        <f t="shared" si="142"/>
        <v>54.460000000000036</v>
      </c>
    </row>
    <row r="111" spans="1:12" hidden="1" x14ac:dyDescent="0.15">
      <c r="A111" s="3" t="s">
        <v>84</v>
      </c>
      <c r="B111">
        <v>366</v>
      </c>
      <c r="C111" t="s">
        <v>91</v>
      </c>
      <c r="D111">
        <v>6000</v>
      </c>
      <c r="E111" s="1">
        <v>42221</v>
      </c>
      <c r="F111" s="1">
        <f t="shared" ref="F111:F112" si="143">E111+1</f>
        <v>42222</v>
      </c>
      <c r="G111" s="5">
        <f t="shared" ref="G111:G112" si="144">E111+11</f>
        <v>42232</v>
      </c>
      <c r="H111">
        <f>6110.29-6.11*2</f>
        <v>6098.07</v>
      </c>
      <c r="J111">
        <f t="shared" ref="J111:J112" si="145">ROUND((H111-D111)/D111*365/(G111-E111)*100,2)</f>
        <v>54.24</v>
      </c>
      <c r="K111">
        <f t="shared" ref="K111:K112" si="146">H111+I111-D111</f>
        <v>98.069999999999709</v>
      </c>
      <c r="L111" t="s">
        <v>88</v>
      </c>
    </row>
    <row r="112" spans="1:12" hidden="1" x14ac:dyDescent="0.15">
      <c r="A112" s="3" t="s">
        <v>73</v>
      </c>
      <c r="B112">
        <v>731</v>
      </c>
      <c r="C112">
        <v>7.25</v>
      </c>
      <c r="D112">
        <v>4000</v>
      </c>
      <c r="E112" s="1">
        <v>42221</v>
      </c>
      <c r="F112" s="1">
        <f t="shared" si="143"/>
        <v>42222</v>
      </c>
      <c r="G112" s="5">
        <f t="shared" si="144"/>
        <v>42232</v>
      </c>
      <c r="H112">
        <f>4066.82-4.06*2</f>
        <v>4058.7000000000003</v>
      </c>
      <c r="J112">
        <f t="shared" si="145"/>
        <v>48.69</v>
      </c>
      <c r="K112">
        <f t="shared" si="146"/>
        <v>58.700000000000273</v>
      </c>
    </row>
    <row r="113" spans="1:12" hidden="1" x14ac:dyDescent="0.15">
      <c r="A113" s="3" t="s">
        <v>84</v>
      </c>
      <c r="B113">
        <v>366</v>
      </c>
      <c r="C113" t="s">
        <v>91</v>
      </c>
      <c r="D113">
        <v>7000</v>
      </c>
      <c r="E113" s="1">
        <v>42222</v>
      </c>
      <c r="F113" s="1">
        <f t="shared" ref="F113:F114" si="147">E113+1</f>
        <v>42223</v>
      </c>
      <c r="G113" s="5">
        <f t="shared" ref="G113:G114" si="148">E113+11</f>
        <v>42233</v>
      </c>
      <c r="H113">
        <f>7117.77-7.1*2</f>
        <v>7103.5700000000006</v>
      </c>
      <c r="J113">
        <f t="shared" ref="J113:J114" si="149">ROUND((H113-D113)/D113*365/(G113-E113)*100,2)</f>
        <v>49.09</v>
      </c>
      <c r="K113">
        <f t="shared" ref="K113:K114" si="150">H113+I113-D113</f>
        <v>103.57000000000062</v>
      </c>
      <c r="L113" t="s">
        <v>88</v>
      </c>
    </row>
    <row r="114" spans="1:12" hidden="1" x14ac:dyDescent="0.15">
      <c r="A114" s="3" t="s">
        <v>73</v>
      </c>
      <c r="B114">
        <v>731</v>
      </c>
      <c r="C114">
        <v>7.25</v>
      </c>
      <c r="D114">
        <v>3000</v>
      </c>
      <c r="E114" s="1">
        <v>42222</v>
      </c>
      <c r="F114" s="1">
        <f t="shared" si="147"/>
        <v>42223</v>
      </c>
      <c r="G114" s="5">
        <f t="shared" si="148"/>
        <v>42233</v>
      </c>
      <c r="H114">
        <f>1817.59+1230-1.23*2-1.81*2</f>
        <v>3041.51</v>
      </c>
      <c r="J114">
        <f t="shared" si="149"/>
        <v>45.91</v>
      </c>
      <c r="K114">
        <f t="shared" si="150"/>
        <v>41.510000000000218</v>
      </c>
    </row>
    <row r="115" spans="1:12" hidden="1" x14ac:dyDescent="0.15">
      <c r="A115" s="3" t="s">
        <v>84</v>
      </c>
      <c r="B115">
        <v>366</v>
      </c>
      <c r="C115" t="s">
        <v>91</v>
      </c>
      <c r="D115">
        <v>7000</v>
      </c>
      <c r="E115" s="1">
        <v>42223</v>
      </c>
      <c r="F115" s="1">
        <f t="shared" ref="F115:F116" si="151">E115+1</f>
        <v>42224</v>
      </c>
      <c r="G115" s="5">
        <f t="shared" ref="G115:G116" si="152">E115+11</f>
        <v>42234</v>
      </c>
      <c r="H115">
        <f>7114.5-7.09*2</f>
        <v>7100.32</v>
      </c>
      <c r="J115">
        <f t="shared" ref="J115:J116" si="153">ROUND((H115-D115)/D115*365/(G115-E115)*100,2)</f>
        <v>47.55</v>
      </c>
      <c r="K115">
        <f t="shared" ref="K115:K116" si="154">H115+I115-D115</f>
        <v>100.31999999999971</v>
      </c>
      <c r="L115" t="s">
        <v>88</v>
      </c>
    </row>
    <row r="116" spans="1:12" hidden="1" x14ac:dyDescent="0.15">
      <c r="A116" s="3" t="s">
        <v>73</v>
      </c>
      <c r="B116">
        <v>731</v>
      </c>
      <c r="C116">
        <v>7.25</v>
      </c>
      <c r="D116">
        <v>3000</v>
      </c>
      <c r="E116" s="1">
        <v>42223</v>
      </c>
      <c r="F116" s="1">
        <f t="shared" si="151"/>
        <v>42224</v>
      </c>
      <c r="G116" s="5">
        <f t="shared" si="152"/>
        <v>42234</v>
      </c>
      <c r="H116">
        <f>3045.86-3.04*2</f>
        <v>3039.78</v>
      </c>
      <c r="J116">
        <f t="shared" si="153"/>
        <v>44</v>
      </c>
      <c r="K116">
        <f t="shared" si="154"/>
        <v>39.7800000000002</v>
      </c>
    </row>
    <row r="117" spans="1:12" hidden="1" x14ac:dyDescent="0.15">
      <c r="A117" s="3" t="s">
        <v>84</v>
      </c>
      <c r="B117">
        <v>366</v>
      </c>
      <c r="C117" t="s">
        <v>91</v>
      </c>
      <c r="D117">
        <v>6000</v>
      </c>
      <c r="E117" s="1">
        <v>42224</v>
      </c>
      <c r="F117" s="1">
        <f t="shared" ref="F117:F118" si="155">E117+1</f>
        <v>42225</v>
      </c>
      <c r="G117" s="5">
        <f t="shared" ref="G117:G118" si="156">E117+11</f>
        <v>42235</v>
      </c>
      <c r="H117">
        <f>6100.94-6.1*2</f>
        <v>6088.74</v>
      </c>
      <c r="J117">
        <f t="shared" ref="J117:J120" si="157">ROUND((H117-D117)/D117*365/(G117-E117)*100,2)</f>
        <v>49.08</v>
      </c>
      <c r="K117">
        <f t="shared" ref="K117:K120" si="158">H117+I117-D117</f>
        <v>88.739999999999782</v>
      </c>
      <c r="L117" t="s">
        <v>97</v>
      </c>
    </row>
    <row r="118" spans="1:12" hidden="1" x14ac:dyDescent="0.15">
      <c r="A118" s="3" t="s">
        <v>73</v>
      </c>
      <c r="B118">
        <v>731</v>
      </c>
      <c r="C118">
        <v>7.25</v>
      </c>
      <c r="D118">
        <v>4000</v>
      </c>
      <c r="E118" s="1">
        <v>42224</v>
      </c>
      <c r="F118" s="1">
        <f t="shared" si="155"/>
        <v>42225</v>
      </c>
      <c r="G118" s="5">
        <f t="shared" si="156"/>
        <v>42235</v>
      </c>
      <c r="H118">
        <f>4049.14-4.04*2</f>
        <v>4041.06</v>
      </c>
      <c r="J118">
        <f t="shared" si="157"/>
        <v>34.06</v>
      </c>
      <c r="K118">
        <f t="shared" si="158"/>
        <v>41.059999999999945</v>
      </c>
    </row>
    <row r="119" spans="1:12" hidden="1" x14ac:dyDescent="0.15">
      <c r="A119" s="3" t="s">
        <v>84</v>
      </c>
      <c r="B119">
        <v>366</v>
      </c>
      <c r="C119" t="s">
        <v>91</v>
      </c>
      <c r="D119">
        <v>6000</v>
      </c>
      <c r="E119" s="1">
        <v>42225</v>
      </c>
      <c r="F119" s="1">
        <f t="shared" ref="F119:F120" si="159">E119+1</f>
        <v>42226</v>
      </c>
      <c r="G119" s="5">
        <f t="shared" ref="G119:G120" si="160">E119+11</f>
        <v>42236</v>
      </c>
      <c r="H119">
        <f>6100.38-6.09*2</f>
        <v>6088.2</v>
      </c>
      <c r="J119">
        <f t="shared" si="157"/>
        <v>48.78</v>
      </c>
      <c r="K119">
        <f t="shared" si="158"/>
        <v>88.199999999999818</v>
      </c>
      <c r="L119" t="s">
        <v>97</v>
      </c>
    </row>
    <row r="120" spans="1:12" hidden="1" x14ac:dyDescent="0.15">
      <c r="A120" s="3" t="s">
        <v>73</v>
      </c>
      <c r="B120">
        <v>731</v>
      </c>
      <c r="C120">
        <v>7.25</v>
      </c>
      <c r="D120">
        <v>4000</v>
      </c>
      <c r="E120" s="1">
        <v>42225</v>
      </c>
      <c r="F120" s="1">
        <f t="shared" si="159"/>
        <v>42226</v>
      </c>
      <c r="G120" s="5">
        <f t="shared" si="160"/>
        <v>42236</v>
      </c>
      <c r="H120">
        <f>4047.03-4.03*2</f>
        <v>4038.9700000000003</v>
      </c>
      <c r="J120">
        <f t="shared" si="157"/>
        <v>32.33</v>
      </c>
      <c r="K120">
        <f t="shared" si="158"/>
        <v>38.970000000000255</v>
      </c>
    </row>
    <row r="121" spans="1:12" hidden="1" x14ac:dyDescent="0.15">
      <c r="A121" s="3" t="s">
        <v>51</v>
      </c>
      <c r="B121">
        <v>366</v>
      </c>
      <c r="C121">
        <v>8</v>
      </c>
      <c r="D121">
        <v>10000</v>
      </c>
      <c r="E121" s="1">
        <v>42226</v>
      </c>
      <c r="F121" s="1">
        <f t="shared" ref="F121:F122" si="161">E121+1</f>
        <v>42227</v>
      </c>
      <c r="G121" s="5">
        <f t="shared" ref="G121:G122" si="162">E121+11</f>
        <v>42237</v>
      </c>
      <c r="H121">
        <f>10163.58-10.14*2</f>
        <v>10143.299999999999</v>
      </c>
      <c r="J121">
        <f t="shared" ref="J121:J122" si="163">ROUND((H121-D121)/D121*365/(G121-E121)*100,2)</f>
        <v>47.55</v>
      </c>
      <c r="K121">
        <f t="shared" ref="K121:K122" si="164">H121+I121-D121</f>
        <v>143.29999999999927</v>
      </c>
    </row>
    <row r="122" spans="1:12" hidden="1" x14ac:dyDescent="0.15">
      <c r="A122" s="3" t="s">
        <v>73</v>
      </c>
      <c r="B122">
        <v>731</v>
      </c>
      <c r="C122">
        <v>7.3</v>
      </c>
      <c r="D122">
        <v>6000</v>
      </c>
      <c r="E122" s="1">
        <v>42226</v>
      </c>
      <c r="F122" s="1">
        <f t="shared" si="161"/>
        <v>42227</v>
      </c>
      <c r="G122" s="5">
        <f t="shared" si="162"/>
        <v>42237</v>
      </c>
      <c r="H122">
        <f>6092.06-6.09*2</f>
        <v>6079.88</v>
      </c>
      <c r="J122">
        <f t="shared" si="163"/>
        <v>44.18</v>
      </c>
      <c r="K122">
        <f t="shared" si="164"/>
        <v>79.880000000000109</v>
      </c>
    </row>
    <row r="123" spans="1:12" hidden="1" x14ac:dyDescent="0.15">
      <c r="A123" s="3" t="s">
        <v>51</v>
      </c>
      <c r="B123">
        <v>366</v>
      </c>
      <c r="C123">
        <v>8</v>
      </c>
      <c r="D123">
        <v>6000</v>
      </c>
      <c r="E123" s="1">
        <v>42227</v>
      </c>
      <c r="F123" s="1">
        <f t="shared" ref="F123:F124" si="165">E123+1</f>
        <v>42228</v>
      </c>
      <c r="G123" s="5">
        <f t="shared" ref="G123:G124" si="166">E123+11</f>
        <v>42238</v>
      </c>
      <c r="H123">
        <f>6099.27-6.09*2</f>
        <v>6087.09</v>
      </c>
      <c r="J123">
        <f t="shared" ref="J123" si="167">ROUND((H123-D123)/D123*365/(G123-E123)*100,2)</f>
        <v>48.16</v>
      </c>
      <c r="K123">
        <f t="shared" ref="K123" si="168">H123+I123-D123</f>
        <v>87.090000000000146</v>
      </c>
    </row>
    <row r="124" spans="1:12" hidden="1" x14ac:dyDescent="0.15">
      <c r="A124" s="3" t="s">
        <v>73</v>
      </c>
      <c r="B124">
        <v>731</v>
      </c>
      <c r="C124">
        <v>7.3</v>
      </c>
      <c r="D124">
        <v>4000</v>
      </c>
      <c r="E124" s="1">
        <v>42227</v>
      </c>
      <c r="F124" s="1">
        <f t="shared" si="165"/>
        <v>42228</v>
      </c>
      <c r="G124" s="5">
        <f t="shared" si="166"/>
        <v>42238</v>
      </c>
      <c r="H124">
        <f>4064.91-4.06*2</f>
        <v>4056.79</v>
      </c>
      <c r="J124">
        <f t="shared" ref="J124" si="169">ROUND((H124-D124)/D124*365/(G124-E124)*100,2)</f>
        <v>47.11</v>
      </c>
      <c r="K124">
        <f t="shared" ref="K124" si="170">H124+I124-D124</f>
        <v>56.789999999999964</v>
      </c>
    </row>
    <row r="125" spans="1:12" hidden="1" x14ac:dyDescent="0.15">
      <c r="A125" s="3" t="s">
        <v>51</v>
      </c>
      <c r="B125">
        <v>366</v>
      </c>
      <c r="C125">
        <v>8</v>
      </c>
      <c r="D125">
        <v>7000</v>
      </c>
      <c r="E125" s="1">
        <v>42227</v>
      </c>
      <c r="F125" s="1">
        <f t="shared" ref="F125:F126" si="171">E125+1</f>
        <v>42228</v>
      </c>
      <c r="G125" s="5">
        <f t="shared" ref="G125:G126" si="172">E125+11</f>
        <v>42238</v>
      </c>
      <c r="H125">
        <f>7115.81-7.1*2</f>
        <v>7101.6100000000006</v>
      </c>
      <c r="J125">
        <f t="shared" ref="J125:J126" si="173">ROUND((H125-D125)/D125*365/(G125-E125)*100,2)</f>
        <v>48.17</v>
      </c>
      <c r="K125">
        <f t="shared" ref="K125:K126" si="174">H125+I125-D125</f>
        <v>101.61000000000058</v>
      </c>
    </row>
    <row r="126" spans="1:12" hidden="1" x14ac:dyDescent="0.15">
      <c r="A126" s="3" t="s">
        <v>73</v>
      </c>
      <c r="B126">
        <v>731</v>
      </c>
      <c r="C126">
        <v>7.3</v>
      </c>
      <c r="D126">
        <v>5000</v>
      </c>
      <c r="E126" s="1">
        <v>42227</v>
      </c>
      <c r="F126" s="1">
        <f t="shared" si="171"/>
        <v>42228</v>
      </c>
      <c r="G126" s="5">
        <f t="shared" si="172"/>
        <v>42238</v>
      </c>
      <c r="H126">
        <f>5081.14-5.07*2</f>
        <v>5071</v>
      </c>
      <c r="J126">
        <f t="shared" si="173"/>
        <v>47.12</v>
      </c>
      <c r="K126">
        <f t="shared" si="174"/>
        <v>71</v>
      </c>
    </row>
    <row r="127" spans="1:12" hidden="1" x14ac:dyDescent="0.15">
      <c r="A127" s="3" t="s">
        <v>51</v>
      </c>
      <c r="B127">
        <v>366</v>
      </c>
      <c r="C127">
        <v>8</v>
      </c>
      <c r="D127">
        <v>6000</v>
      </c>
      <c r="E127" s="1">
        <v>42228</v>
      </c>
      <c r="F127" s="1">
        <f t="shared" ref="F127:F128" si="175">E127+1</f>
        <v>42229</v>
      </c>
      <c r="G127" s="5">
        <f t="shared" ref="G127:G128" si="176">E127+11</f>
        <v>42239</v>
      </c>
      <c r="H127">
        <f>6097.03-6.09*2</f>
        <v>6084.8499999999995</v>
      </c>
      <c r="J127">
        <f t="shared" ref="J127:J128" si="177">ROUND((H127-D127)/D127*365/(G127-E127)*100,2)</f>
        <v>46.92</v>
      </c>
      <c r="K127">
        <f t="shared" ref="K127:K128" si="178">H127+I127-D127</f>
        <v>84.849999999999454</v>
      </c>
    </row>
    <row r="128" spans="1:12" hidden="1" x14ac:dyDescent="0.15">
      <c r="A128" s="3" t="s">
        <v>73</v>
      </c>
      <c r="B128">
        <v>731</v>
      </c>
      <c r="C128">
        <v>7.3</v>
      </c>
      <c r="D128">
        <v>4000</v>
      </c>
      <c r="E128" s="1">
        <v>42228</v>
      </c>
      <c r="F128" s="1">
        <f t="shared" si="175"/>
        <v>42229</v>
      </c>
      <c r="G128" s="5">
        <f t="shared" si="176"/>
        <v>42239</v>
      </c>
      <c r="H128">
        <f>4060.66-4.05*2</f>
        <v>4052.56</v>
      </c>
      <c r="J128">
        <f t="shared" si="177"/>
        <v>43.6</v>
      </c>
      <c r="K128">
        <f t="shared" si="178"/>
        <v>52.559999999999945</v>
      </c>
    </row>
    <row r="129" spans="1:11" hidden="1" x14ac:dyDescent="0.15">
      <c r="A129" s="3" t="s">
        <v>51</v>
      </c>
      <c r="B129">
        <v>366</v>
      </c>
      <c r="C129">
        <v>8</v>
      </c>
      <c r="D129">
        <v>7000</v>
      </c>
      <c r="E129" s="1">
        <v>42229</v>
      </c>
      <c r="F129" s="1">
        <f t="shared" ref="F129:F130" si="179">E129+1</f>
        <v>42230</v>
      </c>
      <c r="G129" s="5">
        <f t="shared" ref="G129:G130" si="180">E129+11</f>
        <v>42240</v>
      </c>
      <c r="H129">
        <f>279.63+6826.55-6.82*2-0.27*2</f>
        <v>7092</v>
      </c>
      <c r="J129">
        <f t="shared" ref="J129:J130" si="181">ROUND((H129-D129)/D129*365/(G129-E129)*100,2)</f>
        <v>43.61</v>
      </c>
      <c r="K129">
        <f t="shared" ref="K129:K130" si="182">H129+I129-D129</f>
        <v>92</v>
      </c>
    </row>
    <row r="130" spans="1:11" hidden="1" x14ac:dyDescent="0.15">
      <c r="A130" s="3" t="s">
        <v>73</v>
      </c>
      <c r="B130">
        <v>731</v>
      </c>
      <c r="C130">
        <v>7.3</v>
      </c>
      <c r="D130">
        <v>6000</v>
      </c>
      <c r="E130" s="1">
        <v>42229</v>
      </c>
      <c r="F130" s="1">
        <f t="shared" si="179"/>
        <v>42230</v>
      </c>
      <c r="G130" s="5">
        <f t="shared" si="180"/>
        <v>42240</v>
      </c>
      <c r="H130">
        <f>6073.02-6.07*2</f>
        <v>6060.88</v>
      </c>
      <c r="J130">
        <f t="shared" si="181"/>
        <v>33.67</v>
      </c>
      <c r="K130">
        <f t="shared" si="182"/>
        <v>60.880000000000109</v>
      </c>
    </row>
    <row r="131" spans="1:11" hidden="1" x14ac:dyDescent="0.15">
      <c r="A131" s="3" t="s">
        <v>51</v>
      </c>
      <c r="B131">
        <v>366</v>
      </c>
      <c r="C131">
        <v>8</v>
      </c>
      <c r="D131">
        <v>5000</v>
      </c>
      <c r="E131" s="1">
        <v>42230</v>
      </c>
      <c r="F131" s="1">
        <f t="shared" ref="F131:F132" si="183">E131+1</f>
        <v>42231</v>
      </c>
      <c r="G131" s="5">
        <f t="shared" ref="G131:G132" si="184">E131+11</f>
        <v>42241</v>
      </c>
      <c r="H131">
        <f>5069.23-5.06*2</f>
        <v>5059.1099999999997</v>
      </c>
      <c r="J131">
        <f t="shared" ref="J131:J132" si="185">ROUND((H131-D131)/D131*365/(G131-E131)*100,2)</f>
        <v>39.229999999999997</v>
      </c>
      <c r="K131">
        <f t="shared" ref="K131:K132" si="186">H131+I131-D131</f>
        <v>59.109999999999673</v>
      </c>
    </row>
    <row r="132" spans="1:11" hidden="1" x14ac:dyDescent="0.15">
      <c r="A132" s="3" t="s">
        <v>73</v>
      </c>
      <c r="B132">
        <v>731</v>
      </c>
      <c r="C132">
        <v>7.3</v>
      </c>
      <c r="D132">
        <v>4000</v>
      </c>
      <c r="E132" s="1">
        <v>42230</v>
      </c>
      <c r="F132" s="1">
        <f t="shared" si="183"/>
        <v>42231</v>
      </c>
      <c r="G132" s="5">
        <f t="shared" si="184"/>
        <v>42241</v>
      </c>
      <c r="H132">
        <f>4049.38-4.04*2</f>
        <v>4041.3</v>
      </c>
      <c r="J132">
        <f t="shared" si="185"/>
        <v>34.26</v>
      </c>
      <c r="K132">
        <f t="shared" si="186"/>
        <v>41.300000000000182</v>
      </c>
    </row>
    <row r="133" spans="1:11" hidden="1" x14ac:dyDescent="0.15">
      <c r="A133" s="3" t="s">
        <v>51</v>
      </c>
      <c r="B133">
        <v>366</v>
      </c>
      <c r="C133">
        <v>8</v>
      </c>
      <c r="D133">
        <v>6000</v>
      </c>
      <c r="E133" s="1">
        <v>42231</v>
      </c>
      <c r="F133" s="1">
        <f t="shared" ref="F133:F134" si="187">E133+1</f>
        <v>42232</v>
      </c>
      <c r="G133" s="5">
        <f t="shared" ref="G133:G134" si="188">E133+11</f>
        <v>42242</v>
      </c>
      <c r="H133">
        <f>6082.51-6.08*2</f>
        <v>6070.35</v>
      </c>
      <c r="J133">
        <f t="shared" ref="J133" si="189">ROUND((H133-D133)/D133*365/(G133-E133)*100,2)</f>
        <v>38.909999999999997</v>
      </c>
      <c r="K133">
        <f t="shared" ref="K133" si="190">H133+I133-D133</f>
        <v>70.350000000000364</v>
      </c>
    </row>
    <row r="134" spans="1:11" hidden="1" x14ac:dyDescent="0.15">
      <c r="A134" s="3" t="s">
        <v>73</v>
      </c>
      <c r="B134">
        <v>731</v>
      </c>
      <c r="C134">
        <v>7.3</v>
      </c>
      <c r="D134">
        <v>5000</v>
      </c>
      <c r="E134" s="1">
        <v>42231</v>
      </c>
      <c r="F134" s="1">
        <f t="shared" si="187"/>
        <v>42232</v>
      </c>
      <c r="G134" s="5">
        <f t="shared" si="188"/>
        <v>42242</v>
      </c>
      <c r="H134">
        <f>5049.41-5.04*2</f>
        <v>5039.33</v>
      </c>
      <c r="J134">
        <f t="shared" ref="J134" si="191">ROUND((H134-D134)/D134*365/(G134-E134)*100,2)</f>
        <v>26.1</v>
      </c>
      <c r="K134">
        <f t="shared" ref="K134" si="192">H134+I134-D134</f>
        <v>39.329999999999927</v>
      </c>
    </row>
    <row r="135" spans="1:11" hidden="1" x14ac:dyDescent="0.15">
      <c r="A135" s="3" t="s">
        <v>51</v>
      </c>
      <c r="B135">
        <v>366</v>
      </c>
      <c r="C135">
        <v>8</v>
      </c>
      <c r="D135">
        <v>5000</v>
      </c>
      <c r="E135" s="1">
        <v>42232</v>
      </c>
      <c r="F135" s="1">
        <f t="shared" ref="F135:F136" si="193">E135+1</f>
        <v>42233</v>
      </c>
      <c r="G135" s="5">
        <f t="shared" ref="G135:G136" si="194">E135+11</f>
        <v>42243</v>
      </c>
      <c r="H135">
        <f>5068.3-5.06*2</f>
        <v>5058.18</v>
      </c>
      <c r="J135">
        <f t="shared" ref="J135:J136" si="195">ROUND((H135-D135)/D135*365/(G135-E135)*100,2)</f>
        <v>38.61</v>
      </c>
      <c r="K135">
        <f t="shared" ref="K135:K136" si="196">H135+I135-D135</f>
        <v>58.180000000000291</v>
      </c>
    </row>
    <row r="136" spans="1:11" hidden="1" x14ac:dyDescent="0.15">
      <c r="A136" s="3" t="s">
        <v>73</v>
      </c>
      <c r="B136">
        <v>731</v>
      </c>
      <c r="C136">
        <v>7.3</v>
      </c>
      <c r="D136">
        <v>5000</v>
      </c>
      <c r="E136" s="1">
        <v>42232</v>
      </c>
      <c r="F136" s="1">
        <f t="shared" si="193"/>
        <v>42233</v>
      </c>
      <c r="G136" s="5">
        <f t="shared" si="194"/>
        <v>42243</v>
      </c>
      <c r="H136">
        <f>5048.55-5.04*2</f>
        <v>5038.47</v>
      </c>
      <c r="J136">
        <f t="shared" si="195"/>
        <v>25.53</v>
      </c>
      <c r="K136">
        <f t="shared" si="196"/>
        <v>38.470000000000255</v>
      </c>
    </row>
    <row r="137" spans="1:11" hidden="1" x14ac:dyDescent="0.15">
      <c r="A137" s="3" t="s">
        <v>51</v>
      </c>
      <c r="B137">
        <v>366</v>
      </c>
      <c r="C137">
        <v>7.99</v>
      </c>
      <c r="D137">
        <v>6000</v>
      </c>
      <c r="E137" s="1">
        <v>42233</v>
      </c>
      <c r="F137" s="1">
        <f t="shared" ref="F137:F138" si="197">E137+1</f>
        <v>42234</v>
      </c>
      <c r="G137" s="5">
        <f t="shared" ref="G137:G138" si="198">E137+11</f>
        <v>42244</v>
      </c>
      <c r="H137">
        <f>6087.52-6.08*2</f>
        <v>6075.3600000000006</v>
      </c>
      <c r="J137">
        <f t="shared" ref="J137:J139" si="199">ROUND((H137-D137)/D137*365/(G137-E137)*100,2)</f>
        <v>41.68</v>
      </c>
      <c r="K137">
        <f t="shared" ref="K137:K139" si="200">H137+I137-D137</f>
        <v>75.360000000000582</v>
      </c>
    </row>
    <row r="138" spans="1:11" hidden="1" x14ac:dyDescent="0.15">
      <c r="A138" s="3" t="s">
        <v>73</v>
      </c>
      <c r="B138">
        <v>731</v>
      </c>
      <c r="C138">
        <v>7.3</v>
      </c>
      <c r="D138">
        <v>5000</v>
      </c>
      <c r="E138" s="1">
        <v>42233</v>
      </c>
      <c r="F138" s="1">
        <f t="shared" si="197"/>
        <v>42234</v>
      </c>
      <c r="G138" s="5">
        <f t="shared" si="198"/>
        <v>42244</v>
      </c>
      <c r="H138">
        <f>5047.68-5.04*2</f>
        <v>5037.6000000000004</v>
      </c>
      <c r="J138">
        <f t="shared" si="199"/>
        <v>24.95</v>
      </c>
      <c r="K138">
        <f t="shared" si="200"/>
        <v>37.600000000000364</v>
      </c>
    </row>
    <row r="139" spans="1:11" hidden="1" x14ac:dyDescent="0.15">
      <c r="A139" s="3" t="s">
        <v>99</v>
      </c>
      <c r="B139">
        <v>731</v>
      </c>
      <c r="C139">
        <v>7.28</v>
      </c>
      <c r="D139">
        <v>10000</v>
      </c>
      <c r="E139" s="1">
        <v>42234</v>
      </c>
      <c r="F139" s="1">
        <f t="shared" ref="F139:F140" si="201">E139+1</f>
        <v>42235</v>
      </c>
      <c r="G139" s="5">
        <f t="shared" ref="G139" si="202">E139+11</f>
        <v>42245</v>
      </c>
      <c r="H139">
        <f>10089.89-10.08*2</f>
        <v>10069.73</v>
      </c>
      <c r="J139">
        <f t="shared" si="199"/>
        <v>23.14</v>
      </c>
      <c r="K139">
        <f t="shared" si="200"/>
        <v>69.729999999999563</v>
      </c>
    </row>
    <row r="140" spans="1:11" hidden="1" x14ac:dyDescent="0.15">
      <c r="A140" s="3" t="s">
        <v>101</v>
      </c>
      <c r="B140">
        <v>726</v>
      </c>
      <c r="C140">
        <v>6.89</v>
      </c>
      <c r="D140">
        <f>8711</f>
        <v>8711</v>
      </c>
      <c r="E140" s="1">
        <v>42235</v>
      </c>
      <c r="F140" s="1">
        <f t="shared" si="201"/>
        <v>42236</v>
      </c>
      <c r="G140" s="5">
        <v>42237</v>
      </c>
      <c r="H140">
        <f>8732.27-8.73*2</f>
        <v>8714.8100000000013</v>
      </c>
      <c r="J140">
        <f t="shared" ref="J140:J141" si="203">ROUND((H140-D140)/D140*365/(G140-E140)*100,2)</f>
        <v>7.98</v>
      </c>
      <c r="K140">
        <f t="shared" ref="K140:K142" si="204">H140+I140-D140</f>
        <v>3.8100000000013097</v>
      </c>
    </row>
    <row r="141" spans="1:11" hidden="1" x14ac:dyDescent="0.15">
      <c r="A141" s="3" t="s">
        <v>102</v>
      </c>
      <c r="B141">
        <v>180</v>
      </c>
      <c r="C141">
        <v>6.8</v>
      </c>
      <c r="D141">
        <v>6000</v>
      </c>
      <c r="E141" s="1">
        <v>42235</v>
      </c>
      <c r="F141" s="1">
        <f t="shared" ref="F141:F142" si="205">E141+1</f>
        <v>42236</v>
      </c>
      <c r="G141" s="5">
        <v>42247</v>
      </c>
      <c r="H141">
        <f>2681.7-2.68*2+3385.75-3.07*2</f>
        <v>6055.95</v>
      </c>
      <c r="J141">
        <f t="shared" si="203"/>
        <v>28.36</v>
      </c>
      <c r="K141">
        <f t="shared" si="204"/>
        <v>55.949999999999818</v>
      </c>
    </row>
    <row r="142" spans="1:11" hidden="1" x14ac:dyDescent="0.15">
      <c r="A142" s="3" t="s">
        <v>99</v>
      </c>
      <c r="B142">
        <v>731</v>
      </c>
      <c r="C142">
        <v>7.28</v>
      </c>
      <c r="D142">
        <v>4000</v>
      </c>
      <c r="E142" s="1">
        <v>42235</v>
      </c>
      <c r="F142" s="1">
        <f t="shared" si="205"/>
        <v>42236</v>
      </c>
      <c r="G142" s="5">
        <f t="shared" ref="G142" si="206">E142+11</f>
        <v>42246</v>
      </c>
      <c r="H142">
        <f>4035.26-4.03*2</f>
        <v>4027.2000000000003</v>
      </c>
      <c r="J142">
        <f>ROUND((H142-D142)/D142*365/(G142-E142)*100,2)</f>
        <v>22.56</v>
      </c>
      <c r="K142">
        <f t="shared" si="204"/>
        <v>27.200000000000273</v>
      </c>
    </row>
    <row r="143" spans="1:11" hidden="1" x14ac:dyDescent="0.15">
      <c r="A143" s="3" t="s">
        <v>103</v>
      </c>
      <c r="B143">
        <v>667</v>
      </c>
      <c r="C143">
        <v>6.92</v>
      </c>
      <c r="D143">
        <v>130</v>
      </c>
      <c r="E143" s="1">
        <v>42235</v>
      </c>
      <c r="F143" s="1">
        <v>42235</v>
      </c>
      <c r="G143" s="5">
        <v>42237</v>
      </c>
      <c r="H143">
        <f>130.33-0.13*2</f>
        <v>130.07000000000002</v>
      </c>
      <c r="J143">
        <f t="shared" ref="J143" si="207">ROUND((H143-D143)/D143*365/(G143-E143)*100,2)</f>
        <v>9.83</v>
      </c>
      <c r="K143">
        <f t="shared" ref="K143:K146" si="208">H143+I143-D143</f>
        <v>7.00000000000216E-2</v>
      </c>
    </row>
    <row r="144" spans="1:11" hidden="1" x14ac:dyDescent="0.15">
      <c r="A144" s="3" t="s">
        <v>104</v>
      </c>
      <c r="B144">
        <v>731</v>
      </c>
      <c r="C144">
        <v>7.28</v>
      </c>
      <c r="D144">
        <v>5000</v>
      </c>
      <c r="E144" s="1">
        <v>42236</v>
      </c>
      <c r="F144" s="1">
        <f t="shared" ref="F144:F146" si="209">E144+1</f>
        <v>42237</v>
      </c>
      <c r="G144" s="5">
        <f t="shared" ref="G144:G146" si="210">E144+11</f>
        <v>42247</v>
      </c>
      <c r="H144">
        <f>5046.7-5.04*2</f>
        <v>5036.62</v>
      </c>
      <c r="J144">
        <f t="shared" ref="J144:J149" si="211">ROUND((H144-D144)/D144*365/(G144-E144)*100,2)</f>
        <v>24.3</v>
      </c>
      <c r="K144">
        <f t="shared" si="208"/>
        <v>36.619999999999891</v>
      </c>
    </row>
    <row r="145" spans="1:11" hidden="1" x14ac:dyDescent="0.15">
      <c r="A145" s="3" t="s">
        <v>104</v>
      </c>
      <c r="B145">
        <v>731</v>
      </c>
      <c r="C145">
        <v>7.28</v>
      </c>
      <c r="D145">
        <v>5000</v>
      </c>
      <c r="E145" s="1">
        <v>42236</v>
      </c>
      <c r="F145" s="1">
        <f t="shared" si="209"/>
        <v>42237</v>
      </c>
      <c r="G145" s="5">
        <f t="shared" si="210"/>
        <v>42247</v>
      </c>
      <c r="H145">
        <f>5045.82-5.04*2</f>
        <v>5035.74</v>
      </c>
      <c r="J145">
        <f t="shared" si="211"/>
        <v>23.72</v>
      </c>
      <c r="K145">
        <f t="shared" si="208"/>
        <v>35.739999999999782</v>
      </c>
    </row>
    <row r="146" spans="1:11" hidden="1" x14ac:dyDescent="0.15">
      <c r="A146" s="3" t="s">
        <v>73</v>
      </c>
      <c r="B146">
        <v>731</v>
      </c>
      <c r="C146">
        <v>7.3</v>
      </c>
      <c r="D146">
        <v>12000</v>
      </c>
      <c r="E146" s="1">
        <v>42236</v>
      </c>
      <c r="F146" s="1">
        <f t="shared" si="209"/>
        <v>42237</v>
      </c>
      <c r="G146" s="5">
        <f t="shared" si="210"/>
        <v>42247</v>
      </c>
      <c r="H146">
        <f>12114.49-12.11*2</f>
        <v>12090.27</v>
      </c>
      <c r="J146">
        <f t="shared" si="211"/>
        <v>24.96</v>
      </c>
      <c r="K146">
        <f t="shared" si="208"/>
        <v>90.270000000000437</v>
      </c>
    </row>
    <row r="147" spans="1:11" hidden="1" x14ac:dyDescent="0.15">
      <c r="A147" s="3" t="s">
        <v>105</v>
      </c>
      <c r="B147">
        <v>366</v>
      </c>
      <c r="C147">
        <v>7.2</v>
      </c>
      <c r="D147">
        <v>10000</v>
      </c>
      <c r="E147" s="1">
        <v>42237</v>
      </c>
      <c r="F147" s="1">
        <f t="shared" ref="F147:F151" si="212">E147+1</f>
        <v>42238</v>
      </c>
      <c r="G147" s="5">
        <v>42239</v>
      </c>
      <c r="H147">
        <f>10071.4-20.14</f>
        <v>10051.26</v>
      </c>
      <c r="J147">
        <f t="shared" si="211"/>
        <v>93.55</v>
      </c>
      <c r="K147">
        <f t="shared" ref="K147" si="213">H147+I147-D147</f>
        <v>51.260000000000218</v>
      </c>
    </row>
    <row r="148" spans="1:11" x14ac:dyDescent="0.15">
      <c r="A148" s="3" t="s">
        <v>73</v>
      </c>
      <c r="B148">
        <v>731</v>
      </c>
      <c r="C148">
        <v>7.3</v>
      </c>
      <c r="D148">
        <v>10000</v>
      </c>
      <c r="E148" s="1">
        <v>42237</v>
      </c>
      <c r="F148" s="1">
        <f t="shared" si="212"/>
        <v>42238</v>
      </c>
      <c r="G148" s="5">
        <f t="shared" ref="G148:G151" si="214">E148+11</f>
        <v>42248</v>
      </c>
      <c r="H148">
        <f>10104.17-10.1*2</f>
        <v>10083.969999999999</v>
      </c>
      <c r="J148">
        <f t="shared" si="211"/>
        <v>27.86</v>
      </c>
      <c r="K148">
        <f t="shared" ref="K148:K149" si="215">H148+I148-D148</f>
        <v>83.969999999999345</v>
      </c>
    </row>
    <row r="149" spans="1:11" x14ac:dyDescent="0.15">
      <c r="A149" s="3" t="s">
        <v>73</v>
      </c>
      <c r="B149">
        <v>731</v>
      </c>
      <c r="C149">
        <v>7.3</v>
      </c>
      <c r="D149">
        <v>5000</v>
      </c>
      <c r="E149" s="1">
        <v>42237</v>
      </c>
      <c r="F149" s="1">
        <f t="shared" si="212"/>
        <v>42238</v>
      </c>
      <c r="G149" s="5">
        <f t="shared" si="214"/>
        <v>42248</v>
      </c>
      <c r="H149">
        <f>5052.08-5.04*2</f>
        <v>5042</v>
      </c>
      <c r="J149">
        <f t="shared" si="211"/>
        <v>27.87</v>
      </c>
      <c r="K149">
        <f t="shared" si="215"/>
        <v>42</v>
      </c>
    </row>
    <row r="150" spans="1:11" x14ac:dyDescent="0.15">
      <c r="A150" s="3" t="s">
        <v>100</v>
      </c>
      <c r="B150">
        <v>366</v>
      </c>
      <c r="C150">
        <v>7.2</v>
      </c>
      <c r="D150">
        <v>5000</v>
      </c>
      <c r="E150" s="1">
        <v>42238</v>
      </c>
      <c r="F150" s="1">
        <f t="shared" si="212"/>
        <v>42239</v>
      </c>
      <c r="G150" s="5">
        <f t="shared" si="214"/>
        <v>42249</v>
      </c>
      <c r="H150">
        <f>5061.33-5.06*2</f>
        <v>5051.21</v>
      </c>
      <c r="J150">
        <f t="shared" ref="J150:J151" si="216">ROUND((H150-D150)/D150*365/(G150-E150)*100,2)</f>
        <v>33.979999999999997</v>
      </c>
      <c r="K150">
        <f t="shared" ref="K150:K151" si="217">H150+I150-D150</f>
        <v>51.210000000000036</v>
      </c>
    </row>
    <row r="151" spans="1:11" x14ac:dyDescent="0.15">
      <c r="A151" s="3" t="s">
        <v>73</v>
      </c>
      <c r="B151">
        <v>731</v>
      </c>
      <c r="C151">
        <v>7.3</v>
      </c>
      <c r="D151">
        <v>5000</v>
      </c>
      <c r="E151" s="1">
        <v>42238</v>
      </c>
      <c r="F151" s="1">
        <f t="shared" si="212"/>
        <v>42239</v>
      </c>
      <c r="G151" s="5">
        <f t="shared" si="214"/>
        <v>42249</v>
      </c>
      <c r="H151">
        <f>5049.45-5.04*2</f>
        <v>5039.37</v>
      </c>
      <c r="J151">
        <f t="shared" si="216"/>
        <v>26.13</v>
      </c>
      <c r="K151">
        <f t="shared" si="217"/>
        <v>39.369999999999891</v>
      </c>
    </row>
    <row r="152" spans="1:11" x14ac:dyDescent="0.15">
      <c r="A152" s="3" t="s">
        <v>73</v>
      </c>
      <c r="B152">
        <v>731</v>
      </c>
      <c r="C152">
        <v>7.3</v>
      </c>
      <c r="D152">
        <v>10000</v>
      </c>
      <c r="E152" s="1">
        <v>42239</v>
      </c>
      <c r="F152" s="1">
        <f t="shared" ref="F152" si="218">E152+1</f>
        <v>42240</v>
      </c>
      <c r="G152" s="5">
        <f t="shared" ref="G152" si="219">E152+11</f>
        <v>42250</v>
      </c>
      <c r="H152">
        <f>10095.42-10.07*2</f>
        <v>10075.280000000001</v>
      </c>
      <c r="J152">
        <f t="shared" ref="J152" si="220">ROUND((H152-D152)/D152*365/(G152-E152)*100,2)</f>
        <v>24.98</v>
      </c>
      <c r="K152">
        <f t="shared" ref="K152" si="221">H152+I152-D152</f>
        <v>75.280000000000655</v>
      </c>
    </row>
    <row r="153" spans="1:11" hidden="1" x14ac:dyDescent="0.15">
      <c r="A153" s="3" t="s">
        <v>106</v>
      </c>
      <c r="B153">
        <v>721</v>
      </c>
      <c r="C153">
        <v>6.85</v>
      </c>
      <c r="D153">
        <v>2000</v>
      </c>
      <c r="E153" s="1">
        <v>42239</v>
      </c>
      <c r="F153" s="1">
        <v>42239</v>
      </c>
      <c r="G153" s="5">
        <v>42241</v>
      </c>
      <c r="H153">
        <f>1998.23-1.99*2</f>
        <v>1994.25</v>
      </c>
      <c r="J153">
        <f t="shared" ref="J153:J159" si="222">ROUND((H153-D153)/D153*365/(G153-E153)*100,2)</f>
        <v>-52.47</v>
      </c>
      <c r="K153">
        <f t="shared" ref="K153:K156" si="223">H153+I153-D153</f>
        <v>-5.75</v>
      </c>
    </row>
    <row r="154" spans="1:11" hidden="1" x14ac:dyDescent="0.15">
      <c r="A154" s="3" t="s">
        <v>107</v>
      </c>
      <c r="B154">
        <v>710</v>
      </c>
      <c r="C154">
        <v>6.84</v>
      </c>
      <c r="D154">
        <v>1003.18</v>
      </c>
      <c r="E154" s="1">
        <v>42239</v>
      </c>
      <c r="F154" s="1">
        <v>42239</v>
      </c>
      <c r="G154" s="5">
        <v>42241</v>
      </c>
      <c r="H154">
        <f>1001.62-2</f>
        <v>999.62</v>
      </c>
      <c r="J154">
        <f t="shared" si="222"/>
        <v>-64.760000000000005</v>
      </c>
      <c r="K154">
        <f t="shared" si="223"/>
        <v>-3.5599999999999454</v>
      </c>
    </row>
    <row r="155" spans="1:11" hidden="1" x14ac:dyDescent="0.15">
      <c r="A155" s="3" t="s">
        <v>108</v>
      </c>
      <c r="B155">
        <v>721</v>
      </c>
      <c r="C155">
        <v>6.84</v>
      </c>
      <c r="D155">
        <v>1014.27</v>
      </c>
      <c r="E155" s="1">
        <v>42239</v>
      </c>
      <c r="F155" s="1">
        <v>42239</v>
      </c>
      <c r="G155" s="5">
        <v>42241</v>
      </c>
      <c r="H155">
        <f>1012.66-1.01*2</f>
        <v>1010.64</v>
      </c>
      <c r="J155">
        <f t="shared" si="222"/>
        <v>-65.319999999999993</v>
      </c>
      <c r="K155">
        <f t="shared" si="223"/>
        <v>-3.6299999999999955</v>
      </c>
    </row>
    <row r="156" spans="1:11" hidden="1" x14ac:dyDescent="0.15">
      <c r="A156" s="3" t="s">
        <v>109</v>
      </c>
      <c r="B156">
        <v>721</v>
      </c>
      <c r="C156">
        <v>6.84</v>
      </c>
      <c r="D156">
        <f>3253.55</f>
        <v>3253.55</v>
      </c>
      <c r="E156" s="1">
        <v>42239</v>
      </c>
      <c r="F156" s="1">
        <v>42239</v>
      </c>
      <c r="G156" s="5">
        <v>42241</v>
      </c>
      <c r="H156">
        <f>3250.1-3.25*2</f>
        <v>3243.6</v>
      </c>
      <c r="J156">
        <f t="shared" si="222"/>
        <v>-55.81</v>
      </c>
      <c r="K156">
        <f t="shared" si="223"/>
        <v>-9.9500000000002728</v>
      </c>
    </row>
    <row r="157" spans="1:11" x14ac:dyDescent="0.15">
      <c r="A157" s="3" t="s">
        <v>60</v>
      </c>
      <c r="B157">
        <v>366</v>
      </c>
      <c r="C157">
        <v>7.7</v>
      </c>
      <c r="D157">
        <v>7000</v>
      </c>
      <c r="E157" s="1">
        <v>42240</v>
      </c>
      <c r="F157" s="1">
        <f t="shared" ref="F157:F158" si="224">E157+1</f>
        <v>42241</v>
      </c>
      <c r="G157" s="5">
        <f t="shared" ref="G157:G158" si="225">E157+11</f>
        <v>42251</v>
      </c>
      <c r="H157">
        <f>7114.33-7.11*2</f>
        <v>7100.11</v>
      </c>
      <c r="J157">
        <f t="shared" si="222"/>
        <v>47.45</v>
      </c>
      <c r="K157">
        <f t="shared" ref="K157" si="226">H157+I157-D157</f>
        <v>100.10999999999967</v>
      </c>
    </row>
    <row r="158" spans="1:11" x14ac:dyDescent="0.15">
      <c r="A158" s="3" t="s">
        <v>73</v>
      </c>
      <c r="B158">
        <v>731</v>
      </c>
      <c r="C158">
        <v>7.3</v>
      </c>
      <c r="D158">
        <v>5000</v>
      </c>
      <c r="E158" s="1">
        <v>42240</v>
      </c>
      <c r="F158" s="1">
        <f t="shared" si="224"/>
        <v>42241</v>
      </c>
      <c r="G158" s="5">
        <f t="shared" si="225"/>
        <v>42251</v>
      </c>
      <c r="H158">
        <f>5049.43-5.04*2</f>
        <v>5039.3500000000004</v>
      </c>
      <c r="J158">
        <f t="shared" si="222"/>
        <v>26.11</v>
      </c>
      <c r="K158">
        <f t="shared" ref="K158" si="227">H158+I158-D158</f>
        <v>39.350000000000364</v>
      </c>
    </row>
    <row r="159" spans="1:11" x14ac:dyDescent="0.15">
      <c r="A159" s="3" t="s">
        <v>60</v>
      </c>
      <c r="B159">
        <v>366</v>
      </c>
      <c r="C159">
        <v>7.7</v>
      </c>
      <c r="D159">
        <v>10000</v>
      </c>
      <c r="E159" s="1">
        <v>42240</v>
      </c>
      <c r="F159" s="1">
        <f t="shared" ref="F159" si="228">E159+1</f>
        <v>42241</v>
      </c>
      <c r="G159" s="5">
        <f t="shared" ref="G159" si="229">E159+11</f>
        <v>42251</v>
      </c>
      <c r="H159">
        <f>10163.34-10.16*2</f>
        <v>10143.02</v>
      </c>
      <c r="J159">
        <f t="shared" si="222"/>
        <v>47.46</v>
      </c>
      <c r="K159">
        <f t="shared" ref="K159" si="230">H159+I159-D159</f>
        <v>143.02000000000044</v>
      </c>
    </row>
    <row r="160" spans="1:11" x14ac:dyDescent="0.15">
      <c r="A160" s="3" t="s">
        <v>112</v>
      </c>
      <c r="B160">
        <v>638</v>
      </c>
      <c r="C160">
        <v>7.1</v>
      </c>
      <c r="D160">
        <v>999</v>
      </c>
      <c r="E160" s="1">
        <v>42240</v>
      </c>
      <c r="F160" s="1">
        <f t="shared" ref="F160:F161" si="231">E160+1</f>
        <v>42241</v>
      </c>
      <c r="G160" s="5">
        <v>42256</v>
      </c>
      <c r="H160">
        <f>1002.82-2</f>
        <v>1000.82</v>
      </c>
      <c r="J160">
        <f t="shared" ref="J160" si="232">ROUND((H160-D160)/D160*365/(G160-E160)*100,2)</f>
        <v>4.16</v>
      </c>
      <c r="K160">
        <f t="shared" ref="K160" si="233">H160+I160-D160</f>
        <v>1.82000000000005</v>
      </c>
    </row>
    <row r="161" spans="1:11" x14ac:dyDescent="0.15">
      <c r="A161" s="3" t="s">
        <v>113</v>
      </c>
      <c r="B161">
        <v>366</v>
      </c>
      <c r="C161">
        <v>7.99</v>
      </c>
      <c r="D161">
        <v>3000</v>
      </c>
      <c r="E161" s="1">
        <v>42242</v>
      </c>
      <c r="F161" s="1">
        <f t="shared" si="231"/>
        <v>42243</v>
      </c>
      <c r="G161" s="5">
        <v>42261</v>
      </c>
      <c r="H161">
        <f>883-1.76+2173.38-4.34</f>
        <v>3050.2799999999997</v>
      </c>
      <c r="J161">
        <f t="shared" ref="J161" si="234">ROUND((H161-D161)/D161*365/(G161-E161)*100,2)</f>
        <v>32.200000000000003</v>
      </c>
      <c r="K161">
        <f t="shared" ref="K161" si="235">H161+I161-D161</f>
        <v>50.279999999999745</v>
      </c>
    </row>
    <row r="162" spans="1:11" x14ac:dyDescent="0.15">
      <c r="A162" s="3" t="s">
        <v>115</v>
      </c>
      <c r="B162">
        <v>729</v>
      </c>
      <c r="C162">
        <v>7.15</v>
      </c>
      <c r="D162">
        <v>490</v>
      </c>
      <c r="E162" s="1">
        <v>42243</v>
      </c>
      <c r="F162" s="1">
        <v>42243</v>
      </c>
      <c r="G162" s="5">
        <v>42256</v>
      </c>
      <c r="H162">
        <f>492.19-0.49*2</f>
        <v>491.21</v>
      </c>
      <c r="J162">
        <f t="shared" ref="J162:J164" si="236">ROUND((H162-D162)/D162*365/(G162-E162)*100,2)</f>
        <v>6.93</v>
      </c>
      <c r="K162">
        <f t="shared" ref="K162:K164" si="237">H162+I162-D162</f>
        <v>1.2099999999999795</v>
      </c>
    </row>
    <row r="163" spans="1:11" x14ac:dyDescent="0.15">
      <c r="A163" s="3" t="s">
        <v>116</v>
      </c>
      <c r="B163">
        <v>729</v>
      </c>
      <c r="C163">
        <v>7.21</v>
      </c>
      <c r="D163">
        <v>999</v>
      </c>
      <c r="E163" s="1">
        <v>42243</v>
      </c>
      <c r="F163" s="1">
        <v>42243</v>
      </c>
      <c r="G163" s="5">
        <v>42256</v>
      </c>
      <c r="H163">
        <f>1004.52-2</f>
        <v>1002.52</v>
      </c>
      <c r="J163">
        <f t="shared" si="236"/>
        <v>9.89</v>
      </c>
      <c r="K163">
        <f t="shared" si="237"/>
        <v>3.5199999999999818</v>
      </c>
    </row>
    <row r="164" spans="1:11" x14ac:dyDescent="0.15">
      <c r="A164" s="3" t="s">
        <v>110</v>
      </c>
      <c r="B164">
        <v>366</v>
      </c>
      <c r="C164">
        <v>7.99</v>
      </c>
      <c r="D164">
        <v>5000</v>
      </c>
      <c r="E164" s="1">
        <v>42244</v>
      </c>
      <c r="F164" s="1">
        <f t="shared" ref="F164" si="238">E164+1</f>
        <v>42245</v>
      </c>
      <c r="G164" s="5">
        <v>42261</v>
      </c>
      <c r="H164">
        <f>5094.19-10.18</f>
        <v>5084.0099999999993</v>
      </c>
      <c r="J164">
        <f t="shared" si="236"/>
        <v>36.07</v>
      </c>
      <c r="K164">
        <f t="shared" si="237"/>
        <v>84.009999999999309</v>
      </c>
    </row>
    <row r="165" spans="1:11" x14ac:dyDescent="0.15">
      <c r="A165" s="3" t="s">
        <v>117</v>
      </c>
      <c r="B165">
        <v>629</v>
      </c>
      <c r="C165">
        <v>7.3</v>
      </c>
      <c r="D165">
        <v>999</v>
      </c>
      <c r="E165" s="1">
        <v>42244</v>
      </c>
      <c r="F165" s="1">
        <f t="shared" ref="F165:F167" si="239">E165+1</f>
        <v>42245</v>
      </c>
      <c r="G165" s="5">
        <f t="shared" ref="G165" si="240">E165+11</f>
        <v>42255</v>
      </c>
      <c r="H165">
        <f>1004.28-1*2</f>
        <v>1002.28</v>
      </c>
      <c r="J165">
        <f t="shared" ref="J165:J169" si="241">ROUND((H165-D165)/D165*365/(G165-E165)*100,2)</f>
        <v>10.89</v>
      </c>
      <c r="K165">
        <f t="shared" ref="K165:K169" si="242">H165+I165-D165</f>
        <v>3.2799999999999727</v>
      </c>
    </row>
    <row r="166" spans="1:11" x14ac:dyDescent="0.15">
      <c r="A166" s="3" t="s">
        <v>110</v>
      </c>
      <c r="B166">
        <v>366</v>
      </c>
      <c r="C166">
        <v>7.99</v>
      </c>
      <c r="D166">
        <v>31000</v>
      </c>
      <c r="E166" s="1">
        <v>42246</v>
      </c>
      <c r="F166" s="1">
        <f t="shared" si="239"/>
        <v>42247</v>
      </c>
      <c r="G166" s="5">
        <v>42261</v>
      </c>
      <c r="H166">
        <f>31573.82-31.56*2</f>
        <v>31510.7</v>
      </c>
      <c r="J166">
        <f t="shared" si="241"/>
        <v>40.090000000000003</v>
      </c>
      <c r="K166">
        <f t="shared" si="242"/>
        <v>510.70000000000073</v>
      </c>
    </row>
    <row r="167" spans="1:11" x14ac:dyDescent="0.15">
      <c r="A167" s="3" t="s">
        <v>118</v>
      </c>
      <c r="B167">
        <v>366</v>
      </c>
      <c r="C167">
        <v>7.7</v>
      </c>
      <c r="D167">
        <v>12000</v>
      </c>
      <c r="E167" s="1">
        <v>42247</v>
      </c>
      <c r="F167" s="1">
        <f t="shared" si="239"/>
        <v>42248</v>
      </c>
      <c r="G167" s="5">
        <v>42261</v>
      </c>
      <c r="H167">
        <f>12187.33-24.36</f>
        <v>12162.97</v>
      </c>
      <c r="J167">
        <f t="shared" si="241"/>
        <v>35.409999999999997</v>
      </c>
      <c r="K167">
        <f t="shared" si="242"/>
        <v>162.96999999999935</v>
      </c>
    </row>
    <row r="168" spans="1:11" x14ac:dyDescent="0.15">
      <c r="A168" s="3" t="s">
        <v>118</v>
      </c>
      <c r="B168">
        <v>366</v>
      </c>
      <c r="C168">
        <v>7.7</v>
      </c>
      <c r="D168">
        <v>12000</v>
      </c>
      <c r="E168" s="1">
        <v>42247</v>
      </c>
      <c r="F168" s="1">
        <f t="shared" ref="F168:F169" si="243">E168+1</f>
        <v>42248</v>
      </c>
      <c r="G168" s="5">
        <v>42261</v>
      </c>
      <c r="H168">
        <f>2187.33+10000-20-4.36</f>
        <v>12162.97</v>
      </c>
      <c r="J168">
        <f t="shared" si="241"/>
        <v>35.409999999999997</v>
      </c>
      <c r="K168">
        <f t="shared" si="242"/>
        <v>162.96999999999935</v>
      </c>
    </row>
    <row r="169" spans="1:11" x14ac:dyDescent="0.15">
      <c r="A169" s="3" t="s">
        <v>118</v>
      </c>
      <c r="B169">
        <v>366</v>
      </c>
      <c r="C169">
        <v>7.7</v>
      </c>
      <c r="D169">
        <v>5000</v>
      </c>
      <c r="E169" s="1">
        <v>42247</v>
      </c>
      <c r="F169" s="1">
        <f t="shared" si="243"/>
        <v>42248</v>
      </c>
      <c r="G169" s="5">
        <v>42261</v>
      </c>
      <c r="H169">
        <f>4229.97+847.7-8.44-1.68</f>
        <v>5067.55</v>
      </c>
      <c r="J169">
        <f t="shared" si="241"/>
        <v>35.22</v>
      </c>
      <c r="K169">
        <f t="shared" si="242"/>
        <v>67.550000000000182</v>
      </c>
    </row>
    <row r="170" spans="1:11" x14ac:dyDescent="0.15">
      <c r="A170" s="3" t="s">
        <v>122</v>
      </c>
      <c r="B170">
        <v>680</v>
      </c>
      <c r="C170">
        <v>7.3</v>
      </c>
      <c r="D170">
        <v>498</v>
      </c>
      <c r="E170" s="1">
        <v>42247</v>
      </c>
      <c r="F170" s="1">
        <f t="shared" ref="F170" si="244">E170+1</f>
        <v>42248</v>
      </c>
      <c r="G170" s="5">
        <v>42255</v>
      </c>
      <c r="H170">
        <f>500.56-1</f>
        <v>499.56</v>
      </c>
      <c r="J170">
        <f t="shared" ref="J170:J174" si="245">ROUND((H170-D170)/D170*365/(G170-E170)*100,2)</f>
        <v>14.29</v>
      </c>
      <c r="K170">
        <f t="shared" ref="K170:K174" si="246">H170+I170-D170</f>
        <v>1.5600000000000023</v>
      </c>
    </row>
    <row r="171" spans="1:11" x14ac:dyDescent="0.15">
      <c r="A171" s="3" t="s">
        <v>120</v>
      </c>
      <c r="B171">
        <v>697</v>
      </c>
      <c r="C171">
        <v>7.3</v>
      </c>
      <c r="D171">
        <v>589</v>
      </c>
      <c r="E171" s="1">
        <v>42248</v>
      </c>
      <c r="F171" s="1">
        <v>42248</v>
      </c>
      <c r="G171" s="5">
        <v>42255</v>
      </c>
      <c r="H171">
        <f>591.88-0.59*2</f>
        <v>590.70000000000005</v>
      </c>
      <c r="J171">
        <f t="shared" si="245"/>
        <v>15.05</v>
      </c>
      <c r="K171">
        <f t="shared" si="246"/>
        <v>1.7000000000000455</v>
      </c>
    </row>
    <row r="172" spans="1:11" x14ac:dyDescent="0.15">
      <c r="A172" s="3" t="s">
        <v>118</v>
      </c>
      <c r="B172">
        <v>366</v>
      </c>
      <c r="C172">
        <v>7.7</v>
      </c>
      <c r="D172">
        <v>15000</v>
      </c>
      <c r="E172" s="1">
        <v>42248</v>
      </c>
      <c r="F172" s="1">
        <f t="shared" ref="F172" si="247">E172+1</f>
        <v>42249</v>
      </c>
      <c r="G172" s="5">
        <v>42261</v>
      </c>
      <c r="H172">
        <f>15231.7-30.46</f>
        <v>15201.240000000002</v>
      </c>
      <c r="J172">
        <f t="shared" si="245"/>
        <v>37.67</v>
      </c>
      <c r="K172">
        <f t="shared" si="246"/>
        <v>201.2400000000016</v>
      </c>
    </row>
    <row r="173" spans="1:11" x14ac:dyDescent="0.15">
      <c r="A173" s="3" t="s">
        <v>118</v>
      </c>
      <c r="B173">
        <v>366</v>
      </c>
      <c r="C173">
        <v>7.7</v>
      </c>
      <c r="D173">
        <v>10000</v>
      </c>
      <c r="E173" s="1">
        <v>42249</v>
      </c>
      <c r="F173" s="1">
        <f t="shared" ref="F173" si="248">E173+1</f>
        <v>42250</v>
      </c>
      <c r="G173" s="5">
        <v>42261</v>
      </c>
      <c r="H173">
        <f>10152.83-20.28</f>
        <v>10132.549999999999</v>
      </c>
      <c r="J173">
        <f t="shared" si="245"/>
        <v>40.32</v>
      </c>
      <c r="K173">
        <f t="shared" si="246"/>
        <v>132.54999999999927</v>
      </c>
    </row>
    <row r="174" spans="1:11" x14ac:dyDescent="0.15">
      <c r="A174" s="3" t="s">
        <v>118</v>
      </c>
      <c r="B174">
        <v>366</v>
      </c>
      <c r="C174">
        <v>7.7</v>
      </c>
      <c r="D174">
        <v>10000</v>
      </c>
      <c r="E174" s="1">
        <v>42250</v>
      </c>
      <c r="F174" s="1">
        <f t="shared" ref="F174" si="249">E174+1</f>
        <v>42251</v>
      </c>
      <c r="G174" s="5">
        <f t="shared" ref="G174" si="250">E174+11</f>
        <v>42261</v>
      </c>
      <c r="H174">
        <f>10151.19-20.28</f>
        <v>10130.91</v>
      </c>
      <c r="J174">
        <f t="shared" si="245"/>
        <v>43.44</v>
      </c>
      <c r="K174">
        <f t="shared" si="246"/>
        <v>130.90999999999985</v>
      </c>
    </row>
    <row r="175" spans="1:11" x14ac:dyDescent="0.15">
      <c r="A175" s="3" t="s">
        <v>118</v>
      </c>
      <c r="B175">
        <v>366</v>
      </c>
      <c r="C175">
        <v>7.7</v>
      </c>
      <c r="D175">
        <v>25000</v>
      </c>
      <c r="E175" s="1">
        <v>42251</v>
      </c>
      <c r="F175" s="1">
        <f t="shared" ref="F175" si="251">E175+1</f>
        <v>42252</v>
      </c>
      <c r="G175" s="5">
        <f t="shared" ref="G175" si="252">E175+11</f>
        <v>42262</v>
      </c>
      <c r="H175">
        <f>1326.47-1.32*2+10000-20+14029.13-14*2</f>
        <v>25304.959999999999</v>
      </c>
      <c r="J175">
        <f t="shared" ref="J175" si="253">ROUND((H175-D175)/D175*365/(G175-E175)*100,2)</f>
        <v>40.479999999999997</v>
      </c>
      <c r="K175">
        <f t="shared" ref="K175" si="254">H175+I175-D175</f>
        <v>304.95999999999913</v>
      </c>
    </row>
    <row r="176" spans="1:11" x14ac:dyDescent="0.15">
      <c r="A176" s="3" t="s">
        <v>118</v>
      </c>
      <c r="B176">
        <v>366</v>
      </c>
      <c r="C176">
        <v>7.7</v>
      </c>
      <c r="D176">
        <v>5000</v>
      </c>
      <c r="E176" s="1">
        <v>42253</v>
      </c>
      <c r="F176" s="1">
        <f t="shared" ref="F176" si="255">E176+1</f>
        <v>42254</v>
      </c>
      <c r="G176" s="5">
        <v>42285</v>
      </c>
      <c r="H176">
        <f>1449-1.44*2+3684.45-3.68*2</f>
        <v>5123.21</v>
      </c>
      <c r="J176">
        <f t="shared" ref="J176" si="256">ROUND((H176-D176)/D176*365/(G176-E176)*100,2)</f>
        <v>28.11</v>
      </c>
      <c r="K176">
        <f t="shared" ref="K176" si="257">H176+I176-D176</f>
        <v>123.21000000000004</v>
      </c>
    </row>
    <row r="177" spans="1:11" x14ac:dyDescent="0.15">
      <c r="A177" s="3" t="s">
        <v>123</v>
      </c>
      <c r="B177">
        <v>728</v>
      </c>
      <c r="C177">
        <v>7.05</v>
      </c>
      <c r="D177">
        <v>10000</v>
      </c>
      <c r="E177" s="1">
        <v>42263</v>
      </c>
      <c r="F177" s="1">
        <f t="shared" ref="F177" si="258">E177+1</f>
        <v>42264</v>
      </c>
      <c r="G177" s="5">
        <v>42276</v>
      </c>
      <c r="H177">
        <f>1000-2+9058.63</f>
        <v>10056.629999999999</v>
      </c>
      <c r="J177">
        <f t="shared" ref="J177" si="259">ROUND((H177-D177)/D177*365/(G177-E177)*100,2)</f>
        <v>15.9</v>
      </c>
      <c r="K177">
        <f t="shared" ref="K177" si="260">H177+I177-D177</f>
        <v>56.6299999999992</v>
      </c>
    </row>
    <row r="178" spans="1:11" x14ac:dyDescent="0.15">
      <c r="A178" s="3" t="s">
        <v>127</v>
      </c>
      <c r="B178">
        <v>549</v>
      </c>
      <c r="C178">
        <v>7.1</v>
      </c>
      <c r="D178">
        <v>1363.67</v>
      </c>
      <c r="E178" s="1">
        <v>42264</v>
      </c>
      <c r="F178" s="1">
        <f t="shared" ref="F178" si="261">E178+1</f>
        <v>42265</v>
      </c>
      <c r="G178" s="5">
        <v>42276</v>
      </c>
      <c r="H178">
        <f>1372.94-1.37*2</f>
        <v>1370.2</v>
      </c>
      <c r="J178">
        <f t="shared" ref="J178" si="262">ROUND((H178-D178)/D178*365/(G178-E178)*100,2)</f>
        <v>14.57</v>
      </c>
      <c r="K178">
        <f t="shared" ref="K178" si="263">H178+I178-D178</f>
        <v>6.5299999999999727</v>
      </c>
    </row>
    <row r="179" spans="1:11" x14ac:dyDescent="0.15">
      <c r="A179" s="3" t="s">
        <v>128</v>
      </c>
      <c r="B179">
        <v>589</v>
      </c>
      <c r="C179">
        <v>7.1</v>
      </c>
      <c r="D179">
        <v>1006</v>
      </c>
      <c r="E179" s="1">
        <v>42264</v>
      </c>
      <c r="F179" s="1">
        <f t="shared" ref="F179:F181" si="264">E179+1</f>
        <v>42265</v>
      </c>
      <c r="G179" s="5">
        <v>42269</v>
      </c>
      <c r="H179">
        <f>1009.19-2</f>
        <v>1007.19</v>
      </c>
      <c r="J179">
        <f t="shared" ref="J179:J181" si="265">ROUND((H179-D179)/D179*365/(G179-E179)*100,2)</f>
        <v>8.64</v>
      </c>
      <c r="K179">
        <f t="shared" ref="K179:K181" si="266">H179+I179-D179</f>
        <v>1.1900000000000546</v>
      </c>
    </row>
    <row r="180" spans="1:11" x14ac:dyDescent="0.15">
      <c r="A180" s="3" t="s">
        <v>129</v>
      </c>
      <c r="B180">
        <v>654</v>
      </c>
      <c r="C180">
        <v>7.1</v>
      </c>
      <c r="D180">
        <v>5015</v>
      </c>
      <c r="E180" s="1">
        <v>42264</v>
      </c>
      <c r="F180" s="1">
        <f t="shared" si="264"/>
        <v>42265</v>
      </c>
      <c r="G180" s="5">
        <v>42269</v>
      </c>
      <c r="H180">
        <f>5032.04-5.03*2</f>
        <v>5021.9799999999996</v>
      </c>
      <c r="J180">
        <f t="shared" si="265"/>
        <v>10.16</v>
      </c>
      <c r="K180">
        <f t="shared" si="266"/>
        <v>6.9799999999995634</v>
      </c>
    </row>
    <row r="181" spans="1:11" x14ac:dyDescent="0.15">
      <c r="A181" s="3" t="s">
        <v>130</v>
      </c>
      <c r="B181">
        <v>582</v>
      </c>
      <c r="C181">
        <v>7.1</v>
      </c>
      <c r="D181">
        <v>7919.33</v>
      </c>
      <c r="E181" s="1">
        <v>42264</v>
      </c>
      <c r="F181" s="1">
        <f t="shared" si="264"/>
        <v>42265</v>
      </c>
      <c r="G181" s="5">
        <v>42276</v>
      </c>
      <c r="H181">
        <f>7975.2-7.97*2</f>
        <v>7959.26</v>
      </c>
      <c r="J181">
        <f t="shared" si="265"/>
        <v>15.34</v>
      </c>
      <c r="K181">
        <f t="shared" si="266"/>
        <v>39.930000000000291</v>
      </c>
    </row>
    <row r="182" spans="1:11" x14ac:dyDescent="0.15">
      <c r="A182" s="2" t="s">
        <v>136</v>
      </c>
      <c r="B182">
        <v>366</v>
      </c>
      <c r="C182">
        <v>6.5</v>
      </c>
      <c r="D182">
        <v>47000</v>
      </c>
      <c r="E182" s="1">
        <v>42337</v>
      </c>
      <c r="F182" s="1">
        <f>E182+1</f>
        <v>42338</v>
      </c>
      <c r="G182" s="4">
        <f>E182+11</f>
        <v>42348</v>
      </c>
    </row>
    <row r="183" spans="1:11" x14ac:dyDescent="0.15">
      <c r="A183" s="2" t="s">
        <v>136</v>
      </c>
      <c r="B183">
        <v>366</v>
      </c>
      <c r="C183">
        <v>6.5</v>
      </c>
      <c r="D183">
        <v>47000</v>
      </c>
      <c r="E183" s="1">
        <v>42344</v>
      </c>
      <c r="F183" s="1">
        <f>E183+1</f>
        <v>42345</v>
      </c>
      <c r="G183" s="4">
        <f>E183+11</f>
        <v>42355</v>
      </c>
    </row>
  </sheetData>
  <autoFilter ref="A1:L176">
    <filterColumn colId="6">
      <filters>
        <dateGroupItem year="2015" month="9" dateTimeGrouping="month"/>
      </filters>
    </filterColumn>
  </autoFilter>
  <phoneticPr fontId="1" type="noConversion"/>
  <pageMargins left="0.7" right="0.7" top="0.75" bottom="0.75" header="0.3" footer="0.3"/>
  <pageSetup paperSize="7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7"/>
  <sheetViews>
    <sheetView zoomScaleNormal="100" workbookViewId="0">
      <pane xSplit="5" ySplit="1" topLeftCell="F104" activePane="bottomRight" state="frozen"/>
      <selection pane="topRight" activeCell="E1" sqref="E1"/>
      <selection pane="bottomLeft" activeCell="A2" sqref="A2"/>
      <selection pane="bottomRight" activeCell="F117" sqref="F117"/>
    </sheetView>
  </sheetViews>
  <sheetFormatPr defaultRowHeight="13.5" x14ac:dyDescent="0.15"/>
  <cols>
    <col min="1" max="1" width="26.5" bestFit="1" customWidth="1"/>
    <col min="2" max="2" width="10" bestFit="1" customWidth="1"/>
    <col min="3" max="3" width="15.875" bestFit="1" customWidth="1"/>
    <col min="4" max="4" width="9.75" bestFit="1" customWidth="1"/>
    <col min="5" max="5" width="11.625" bestFit="1" customWidth="1"/>
    <col min="6" max="6" width="11.625" customWidth="1"/>
    <col min="7" max="7" width="13.25" bestFit="1" customWidth="1"/>
    <col min="8" max="9" width="11.75" bestFit="1" customWidth="1"/>
    <col min="10" max="10" width="13.875" bestFit="1" customWidth="1"/>
    <col min="11" max="12" width="11.75" bestFit="1" customWidth="1"/>
  </cols>
  <sheetData>
    <row r="1" spans="1:12" s="2" customFormat="1" x14ac:dyDescent="0.15">
      <c r="B1" s="2" t="s">
        <v>34</v>
      </c>
      <c r="C1" s="2" t="s">
        <v>59</v>
      </c>
      <c r="D1" s="2" t="s">
        <v>18</v>
      </c>
      <c r="E1" s="2" t="s">
        <v>14</v>
      </c>
      <c r="F1" s="2" t="s">
        <v>24</v>
      </c>
      <c r="G1" s="2" t="s">
        <v>23</v>
      </c>
      <c r="H1" s="2" t="s">
        <v>36</v>
      </c>
      <c r="I1" s="2" t="s">
        <v>45</v>
      </c>
      <c r="J1" s="2" t="s">
        <v>37</v>
      </c>
      <c r="K1" s="2" t="s">
        <v>46</v>
      </c>
      <c r="L1" s="2" t="s">
        <v>54</v>
      </c>
    </row>
    <row r="2" spans="1:12" x14ac:dyDescent="0.15">
      <c r="A2" t="s">
        <v>43</v>
      </c>
      <c r="B2">
        <v>366</v>
      </c>
      <c r="C2">
        <v>7.2</v>
      </c>
      <c r="D2">
        <v>16000</v>
      </c>
      <c r="E2" s="1">
        <v>42158</v>
      </c>
      <c r="F2" s="1">
        <v>42159</v>
      </c>
      <c r="G2" s="1">
        <v>42169</v>
      </c>
      <c r="H2">
        <v>16219.19</v>
      </c>
      <c r="I2">
        <v>0.04</v>
      </c>
      <c r="J2">
        <f t="shared" ref="J2:J12" si="0">ROUND((H2-D2)/D2*365/(G2-E2)*100,2)</f>
        <v>45.46</v>
      </c>
      <c r="K2">
        <f t="shared" ref="K2:K12" si="1">H2-D2+I2</f>
        <v>219.2300000000005</v>
      </c>
      <c r="L2" t="s">
        <v>92</v>
      </c>
    </row>
    <row r="3" spans="1:12" x14ac:dyDescent="0.15">
      <c r="A3" s="3" t="s">
        <v>50</v>
      </c>
      <c r="B3">
        <v>366</v>
      </c>
      <c r="C3" t="s">
        <v>68</v>
      </c>
      <c r="D3">
        <v>16000</v>
      </c>
      <c r="E3" s="1">
        <v>42169</v>
      </c>
      <c r="F3" s="1">
        <v>42170</v>
      </c>
      <c r="G3" s="5">
        <f>E3+11</f>
        <v>42180</v>
      </c>
      <c r="H3">
        <v>16186.57</v>
      </c>
      <c r="I3">
        <v>0.01</v>
      </c>
      <c r="J3">
        <f t="shared" si="0"/>
        <v>38.69</v>
      </c>
      <c r="K3">
        <f t="shared" si="1"/>
        <v>186.5799999999997</v>
      </c>
      <c r="L3" t="s">
        <v>92</v>
      </c>
    </row>
    <row r="4" spans="1:12" x14ac:dyDescent="0.15">
      <c r="A4" s="3" t="s">
        <v>72</v>
      </c>
      <c r="B4">
        <v>366</v>
      </c>
      <c r="C4" t="s">
        <v>71</v>
      </c>
      <c r="D4">
        <v>22000</v>
      </c>
      <c r="E4" s="1">
        <v>42169</v>
      </c>
      <c r="F4" s="1">
        <v>42170</v>
      </c>
      <c r="G4" s="5">
        <v>42182</v>
      </c>
      <c r="H4">
        <v>22304.28</v>
      </c>
      <c r="I4">
        <v>0.01</v>
      </c>
      <c r="J4">
        <f t="shared" si="0"/>
        <v>38.83</v>
      </c>
      <c r="K4">
        <f t="shared" si="1"/>
        <v>304.28999999999883</v>
      </c>
      <c r="L4" t="s">
        <v>86</v>
      </c>
    </row>
    <row r="5" spans="1:12" x14ac:dyDescent="0.15">
      <c r="A5" s="3" t="s">
        <v>60</v>
      </c>
      <c r="B5">
        <v>366</v>
      </c>
      <c r="C5">
        <v>7.61</v>
      </c>
      <c r="D5">
        <v>11000</v>
      </c>
      <c r="E5" s="1">
        <v>42180</v>
      </c>
      <c r="F5" s="1">
        <f>E5+1</f>
        <v>42181</v>
      </c>
      <c r="G5" s="5">
        <v>42195</v>
      </c>
      <c r="H5">
        <v>11181.76</v>
      </c>
      <c r="J5">
        <f t="shared" si="0"/>
        <v>40.21</v>
      </c>
      <c r="K5">
        <f t="shared" si="1"/>
        <v>181.76000000000022</v>
      </c>
      <c r="L5" t="s">
        <v>92</v>
      </c>
    </row>
    <row r="6" spans="1:12" x14ac:dyDescent="0.15">
      <c r="A6" s="3" t="s">
        <v>60</v>
      </c>
      <c r="B6">
        <v>366</v>
      </c>
      <c r="C6">
        <v>7.61</v>
      </c>
      <c r="D6">
        <v>6000</v>
      </c>
      <c r="E6" s="1">
        <v>42180</v>
      </c>
      <c r="F6" s="1">
        <f>E6+1</f>
        <v>42181</v>
      </c>
      <c r="G6" s="5">
        <v>42192</v>
      </c>
      <c r="H6">
        <v>6108.5</v>
      </c>
      <c r="J6">
        <f t="shared" si="0"/>
        <v>55</v>
      </c>
      <c r="K6">
        <f t="shared" si="1"/>
        <v>108.5</v>
      </c>
      <c r="L6" t="s">
        <v>92</v>
      </c>
    </row>
    <row r="7" spans="1:12" x14ac:dyDescent="0.15">
      <c r="A7" s="3" t="s">
        <v>72</v>
      </c>
      <c r="B7">
        <v>366</v>
      </c>
      <c r="C7" t="s">
        <v>71</v>
      </c>
      <c r="D7">
        <v>23000</v>
      </c>
      <c r="E7" s="1">
        <v>42182</v>
      </c>
      <c r="F7" s="1">
        <f>E7+1</f>
        <v>42183</v>
      </c>
      <c r="G7" s="5">
        <v>42201</v>
      </c>
      <c r="H7">
        <v>23322.880000000001</v>
      </c>
      <c r="J7">
        <f t="shared" si="0"/>
        <v>26.97</v>
      </c>
      <c r="K7">
        <f t="shared" si="1"/>
        <v>322.88000000000102</v>
      </c>
      <c r="L7" t="s">
        <v>86</v>
      </c>
    </row>
    <row r="8" spans="1:12" x14ac:dyDescent="0.15">
      <c r="A8" s="3" t="s">
        <v>51</v>
      </c>
      <c r="B8">
        <v>366</v>
      </c>
      <c r="C8">
        <v>7.65</v>
      </c>
      <c r="D8">
        <v>2000</v>
      </c>
      <c r="E8" s="1">
        <v>42188</v>
      </c>
      <c r="F8" s="1">
        <f t="shared" ref="F8" si="2">E8+1</f>
        <v>42189</v>
      </c>
      <c r="G8" s="5">
        <v>42201</v>
      </c>
      <c r="H8">
        <v>2034.8300000000002</v>
      </c>
      <c r="J8">
        <f t="shared" si="0"/>
        <v>48.9</v>
      </c>
      <c r="K8">
        <f t="shared" si="1"/>
        <v>34.830000000000155</v>
      </c>
      <c r="L8" t="s">
        <v>96</v>
      </c>
    </row>
    <row r="9" spans="1:12" x14ac:dyDescent="0.15">
      <c r="A9" s="3" t="s">
        <v>51</v>
      </c>
      <c r="B9">
        <v>366</v>
      </c>
      <c r="C9">
        <v>7.65</v>
      </c>
      <c r="D9">
        <v>4000</v>
      </c>
      <c r="E9" s="1">
        <v>42191</v>
      </c>
      <c r="F9" s="1">
        <f t="shared" ref="F9" si="3">E9+1</f>
        <v>42192</v>
      </c>
      <c r="G9" s="5">
        <f t="shared" ref="G9" si="4">E9+11</f>
        <v>42202</v>
      </c>
      <c r="H9">
        <v>4069.25</v>
      </c>
      <c r="J9">
        <f t="shared" si="0"/>
        <v>57.45</v>
      </c>
      <c r="K9">
        <f t="shared" si="1"/>
        <v>69.25</v>
      </c>
      <c r="L9" t="s">
        <v>96</v>
      </c>
    </row>
    <row r="10" spans="1:12" x14ac:dyDescent="0.15">
      <c r="A10" s="3" t="s">
        <v>73</v>
      </c>
      <c r="B10">
        <v>731</v>
      </c>
      <c r="C10">
        <v>7.25</v>
      </c>
      <c r="D10">
        <v>4000</v>
      </c>
      <c r="E10" s="1">
        <v>42192</v>
      </c>
      <c r="F10" s="1">
        <f t="shared" ref="F10" si="5">E10+1</f>
        <v>42193</v>
      </c>
      <c r="G10" s="5">
        <f t="shared" ref="G10" si="6">E10+11</f>
        <v>42203</v>
      </c>
      <c r="H10">
        <v>4091.5599999999995</v>
      </c>
      <c r="J10">
        <f t="shared" si="0"/>
        <v>75.95</v>
      </c>
      <c r="K10">
        <f t="shared" si="1"/>
        <v>91.559999999999491</v>
      </c>
      <c r="L10" t="s">
        <v>96</v>
      </c>
    </row>
    <row r="11" spans="1:12" x14ac:dyDescent="0.15">
      <c r="A11" s="3" t="s">
        <v>73</v>
      </c>
      <c r="B11">
        <v>731</v>
      </c>
      <c r="C11">
        <v>7.25</v>
      </c>
      <c r="D11">
        <v>4000</v>
      </c>
      <c r="E11" s="1">
        <v>42193</v>
      </c>
      <c r="F11" s="1">
        <f t="shared" ref="F11:F13" si="7">E11+1</f>
        <v>42194</v>
      </c>
      <c r="G11" s="5">
        <f t="shared" ref="G11:G13" si="8">E11+11</f>
        <v>42204</v>
      </c>
      <c r="H11">
        <v>4091.6499999999996</v>
      </c>
      <c r="J11">
        <f t="shared" si="0"/>
        <v>76.03</v>
      </c>
      <c r="K11">
        <f t="shared" si="1"/>
        <v>91.649999999999636</v>
      </c>
      <c r="L11" t="s">
        <v>96</v>
      </c>
    </row>
    <row r="12" spans="1:12" x14ac:dyDescent="0.15">
      <c r="A12" s="3" t="s">
        <v>51</v>
      </c>
      <c r="B12">
        <v>366</v>
      </c>
      <c r="C12">
        <v>7.65</v>
      </c>
      <c r="D12">
        <v>2000</v>
      </c>
      <c r="E12" s="1">
        <v>42194</v>
      </c>
      <c r="F12" s="1">
        <f t="shared" si="7"/>
        <v>42195</v>
      </c>
      <c r="G12" s="5">
        <f t="shared" si="8"/>
        <v>42205</v>
      </c>
      <c r="H12">
        <f>2038.85-4.07</f>
        <v>2034.78</v>
      </c>
      <c r="J12">
        <f t="shared" si="0"/>
        <v>57.7</v>
      </c>
      <c r="K12">
        <f t="shared" si="1"/>
        <v>34.779999999999973</v>
      </c>
      <c r="L12" t="s">
        <v>96</v>
      </c>
    </row>
    <row r="13" spans="1:12" x14ac:dyDescent="0.15">
      <c r="A13" s="3" t="s">
        <v>73</v>
      </c>
      <c r="B13">
        <v>731</v>
      </c>
      <c r="C13">
        <v>7.25</v>
      </c>
      <c r="D13">
        <v>2000</v>
      </c>
      <c r="E13" s="1">
        <v>42194</v>
      </c>
      <c r="F13" s="1">
        <f t="shared" si="7"/>
        <v>42195</v>
      </c>
      <c r="G13" s="5">
        <f t="shared" si="8"/>
        <v>42205</v>
      </c>
      <c r="H13">
        <f>2052.03-4.1</f>
        <v>2047.9300000000003</v>
      </c>
      <c r="J13">
        <f t="shared" ref="J13:J14" si="9">ROUND((H13-D13)/D13*365/(G13-E13)*100,2)</f>
        <v>79.52</v>
      </c>
      <c r="K13">
        <f t="shared" ref="K13:K14" si="10">H13-D13+I13</f>
        <v>47.930000000000291</v>
      </c>
      <c r="L13" t="s">
        <v>96</v>
      </c>
    </row>
    <row r="14" spans="1:12" x14ac:dyDescent="0.15">
      <c r="A14" s="3" t="s">
        <v>51</v>
      </c>
      <c r="B14">
        <v>366</v>
      </c>
      <c r="C14">
        <v>7.65</v>
      </c>
      <c r="D14">
        <v>2000</v>
      </c>
      <c r="E14" s="1">
        <v>42195</v>
      </c>
      <c r="F14" s="1">
        <f t="shared" ref="F14:F15" si="11">E14+1</f>
        <v>42196</v>
      </c>
      <c r="G14" s="5">
        <f t="shared" ref="G14:G15" si="12">E14+11</f>
        <v>42206</v>
      </c>
      <c r="H14">
        <f>2038.66-2.03-2.03</f>
        <v>2034.6000000000001</v>
      </c>
      <c r="J14">
        <f t="shared" si="9"/>
        <v>57.4</v>
      </c>
      <c r="K14">
        <f t="shared" si="10"/>
        <v>34.600000000000136</v>
      </c>
      <c r="L14" t="s">
        <v>96</v>
      </c>
    </row>
    <row r="15" spans="1:12" x14ac:dyDescent="0.15">
      <c r="A15" s="3" t="s">
        <v>73</v>
      </c>
      <c r="B15">
        <v>731</v>
      </c>
      <c r="C15">
        <v>7.25</v>
      </c>
      <c r="D15">
        <v>2000</v>
      </c>
      <c r="E15" s="1">
        <v>42195</v>
      </c>
      <c r="F15" s="1">
        <f t="shared" si="11"/>
        <v>42196</v>
      </c>
      <c r="G15" s="5">
        <f t="shared" si="12"/>
        <v>42206</v>
      </c>
      <c r="H15">
        <f>2051.67-2.04-2.04</f>
        <v>2047.5900000000001</v>
      </c>
      <c r="J15">
        <f t="shared" ref="J15" si="13">ROUND((H15-D15)/D15*365/(G15-E15)*100,2)</f>
        <v>78.959999999999994</v>
      </c>
      <c r="K15">
        <f t="shared" ref="K15" si="14">H15-D15+I15</f>
        <v>47.590000000000146</v>
      </c>
      <c r="L15" t="s">
        <v>96</v>
      </c>
    </row>
    <row r="16" spans="1:12" x14ac:dyDescent="0.15">
      <c r="A16" s="3" t="s">
        <v>51</v>
      </c>
      <c r="B16">
        <v>366</v>
      </c>
      <c r="C16">
        <v>7.65</v>
      </c>
      <c r="D16">
        <v>2000</v>
      </c>
      <c r="E16" s="1">
        <v>42196</v>
      </c>
      <c r="F16" s="1">
        <f t="shared" ref="F16:F17" si="15">E16+1</f>
        <v>42197</v>
      </c>
      <c r="G16" s="5">
        <f t="shared" ref="G16:G17" si="16">E16+11</f>
        <v>42207</v>
      </c>
      <c r="H16">
        <f>2040.17-2.04-2.04</f>
        <v>2036.0900000000001</v>
      </c>
      <c r="J16">
        <f t="shared" ref="J16" si="17">ROUND((H16-D16)/D16*365/(G16-E16)*100,2)</f>
        <v>59.88</v>
      </c>
      <c r="K16">
        <f t="shared" ref="K16" si="18">H16-D16+I16</f>
        <v>36.090000000000146</v>
      </c>
      <c r="L16" t="s">
        <v>96</v>
      </c>
    </row>
    <row r="17" spans="1:12" x14ac:dyDescent="0.15">
      <c r="A17" s="3" t="s">
        <v>73</v>
      </c>
      <c r="B17">
        <v>731</v>
      </c>
      <c r="C17">
        <v>7.25</v>
      </c>
      <c r="D17">
        <v>2000</v>
      </c>
      <c r="E17" s="1">
        <v>42196</v>
      </c>
      <c r="F17" s="1">
        <f t="shared" si="15"/>
        <v>42197</v>
      </c>
      <c r="G17" s="5">
        <f t="shared" si="16"/>
        <v>42207</v>
      </c>
      <c r="H17">
        <f>2052.39-2.05-2.05</f>
        <v>2048.2899999999995</v>
      </c>
      <c r="J17">
        <f t="shared" ref="J17" si="19">ROUND((H17-D17)/D17*365/(G17-E17)*100,2)</f>
        <v>80.12</v>
      </c>
      <c r="K17">
        <f t="shared" ref="K17" si="20">H17-D17+I17</f>
        <v>48.289999999999509</v>
      </c>
      <c r="L17" t="s">
        <v>96</v>
      </c>
    </row>
    <row r="18" spans="1:12" x14ac:dyDescent="0.15">
      <c r="A18" s="3" t="s">
        <v>51</v>
      </c>
      <c r="B18">
        <v>366</v>
      </c>
      <c r="C18">
        <v>7.65</v>
      </c>
      <c r="D18">
        <v>2000</v>
      </c>
      <c r="E18" s="1">
        <v>42197</v>
      </c>
      <c r="F18" s="1">
        <f t="shared" ref="F18:F19" si="21">E18+1</f>
        <v>42198</v>
      </c>
      <c r="G18" s="5">
        <f t="shared" ref="G18:G19" si="22">E18+11</f>
        <v>42208</v>
      </c>
      <c r="H18">
        <f>2040.36-2.04*2</f>
        <v>2036.28</v>
      </c>
      <c r="J18">
        <f t="shared" ref="J18:J19" si="23">ROUND((H18-D18)/D18*365/(G18-E18)*100,2)</f>
        <v>60.19</v>
      </c>
      <c r="K18">
        <f t="shared" ref="K18:K19" si="24">H18-D18+I18</f>
        <v>36.279999999999973</v>
      </c>
      <c r="L18" t="s">
        <v>96</v>
      </c>
    </row>
    <row r="19" spans="1:12" x14ac:dyDescent="0.15">
      <c r="A19" s="3" t="s">
        <v>74</v>
      </c>
      <c r="B19">
        <v>731</v>
      </c>
      <c r="C19">
        <v>7.2</v>
      </c>
      <c r="D19">
        <v>2000</v>
      </c>
      <c r="E19" s="1">
        <v>42197</v>
      </c>
      <c r="F19" s="1">
        <f t="shared" si="21"/>
        <v>42198</v>
      </c>
      <c r="G19" s="5">
        <f t="shared" si="22"/>
        <v>42208</v>
      </c>
      <c r="H19">
        <f>2051.92-2.05*2</f>
        <v>2047.8200000000002</v>
      </c>
      <c r="J19">
        <f t="shared" si="23"/>
        <v>79.34</v>
      </c>
      <c r="K19">
        <f t="shared" si="24"/>
        <v>47.820000000000164</v>
      </c>
      <c r="L19" t="s">
        <v>96</v>
      </c>
    </row>
    <row r="20" spans="1:12" x14ac:dyDescent="0.15">
      <c r="A20" s="3" t="s">
        <v>75</v>
      </c>
      <c r="B20">
        <v>366</v>
      </c>
      <c r="C20" t="s">
        <v>87</v>
      </c>
      <c r="D20">
        <v>3000</v>
      </c>
      <c r="E20" s="1">
        <v>42198</v>
      </c>
      <c r="F20" s="1">
        <f t="shared" ref="F20:F21" si="25">E20+1</f>
        <v>42199</v>
      </c>
      <c r="G20" s="5">
        <f t="shared" ref="G20:G21" si="26">E20+11</f>
        <v>42209</v>
      </c>
      <c r="H20">
        <f>3063.37-3.05*2</f>
        <v>3057.27</v>
      </c>
      <c r="J20">
        <f t="shared" ref="J20:J21" si="27">ROUND((H20-D20)/D20*365/(G20-E20)*100,2)</f>
        <v>63.34</v>
      </c>
      <c r="K20">
        <f t="shared" ref="K20:K21" si="28">H20-D20+I20</f>
        <v>57.269999999999982</v>
      </c>
      <c r="L20" t="s">
        <v>88</v>
      </c>
    </row>
    <row r="21" spans="1:12" x14ac:dyDescent="0.15">
      <c r="A21" s="3" t="s">
        <v>76</v>
      </c>
      <c r="B21">
        <v>731</v>
      </c>
      <c r="C21">
        <v>7.2</v>
      </c>
      <c r="D21">
        <v>1000</v>
      </c>
      <c r="E21" s="1">
        <v>42198</v>
      </c>
      <c r="F21" s="1">
        <f t="shared" si="25"/>
        <v>42199</v>
      </c>
      <c r="G21" s="5">
        <f t="shared" si="26"/>
        <v>42209</v>
      </c>
      <c r="H21">
        <f>1029.41-1.02*2</f>
        <v>1027.3700000000001</v>
      </c>
      <c r="J21">
        <f t="shared" si="27"/>
        <v>90.82</v>
      </c>
      <c r="K21">
        <f t="shared" si="28"/>
        <v>27.370000000000118</v>
      </c>
      <c r="L21" t="s">
        <v>96</v>
      </c>
    </row>
    <row r="22" spans="1:12" x14ac:dyDescent="0.15">
      <c r="A22" s="3" t="s">
        <v>75</v>
      </c>
      <c r="B22" s="3">
        <v>366</v>
      </c>
      <c r="C22" t="s">
        <v>87</v>
      </c>
      <c r="D22" s="3">
        <v>3000</v>
      </c>
      <c r="E22" s="5">
        <v>42199</v>
      </c>
      <c r="F22" s="5">
        <f t="shared" ref="F22:F23" si="29">E22+1</f>
        <v>42200</v>
      </c>
      <c r="G22" s="5">
        <f t="shared" ref="G22:G23" si="30">E22+11</f>
        <v>42210</v>
      </c>
      <c r="H22">
        <f>3065.36-3.06*2</f>
        <v>3059.2400000000002</v>
      </c>
      <c r="J22">
        <f t="shared" ref="J22:J23" si="31">ROUND((H22-D22)/D22*365/(G22-E22)*100,2)</f>
        <v>65.52</v>
      </c>
      <c r="K22">
        <f t="shared" ref="K22:K23" si="32">H22-D22+I22</f>
        <v>59.240000000000236</v>
      </c>
      <c r="L22" t="s">
        <v>88</v>
      </c>
    </row>
    <row r="23" spans="1:12" x14ac:dyDescent="0.15">
      <c r="A23" s="3" t="s">
        <v>74</v>
      </c>
      <c r="B23" s="3">
        <v>731</v>
      </c>
      <c r="C23" s="3">
        <v>7.2</v>
      </c>
      <c r="D23" s="3">
        <v>1000</v>
      </c>
      <c r="E23" s="5">
        <v>42199</v>
      </c>
      <c r="F23" s="5">
        <f t="shared" si="29"/>
        <v>42200</v>
      </c>
      <c r="G23" s="5">
        <f t="shared" si="30"/>
        <v>42210</v>
      </c>
      <c r="H23">
        <f>1034.72-1.03*2</f>
        <v>1032.6600000000001</v>
      </c>
      <c r="J23">
        <f t="shared" si="31"/>
        <v>108.37</v>
      </c>
      <c r="K23">
        <f t="shared" si="32"/>
        <v>32.660000000000082</v>
      </c>
      <c r="L23" t="s">
        <v>96</v>
      </c>
    </row>
    <row r="24" spans="1:12" x14ac:dyDescent="0.15">
      <c r="A24" s="3" t="s">
        <v>75</v>
      </c>
      <c r="B24">
        <v>366</v>
      </c>
      <c r="C24" t="s">
        <v>87</v>
      </c>
      <c r="D24">
        <v>2000</v>
      </c>
      <c r="E24" s="1">
        <v>42200</v>
      </c>
      <c r="F24" s="1">
        <f t="shared" ref="F24:F25" si="33">E24+1</f>
        <v>42201</v>
      </c>
      <c r="G24" s="5">
        <f t="shared" ref="G24:G25" si="34">E24+11</f>
        <v>42211</v>
      </c>
      <c r="H24">
        <f>2043.57-2.03*2</f>
        <v>2039.51</v>
      </c>
      <c r="J24">
        <f t="shared" ref="J24:J25" si="35">ROUND((H24-D24)/D24*365/(G24-E24)*100,2)</f>
        <v>65.55</v>
      </c>
      <c r="K24">
        <f t="shared" ref="K24:K25" si="36">H24-D24+I24</f>
        <v>39.509999999999991</v>
      </c>
      <c r="L24" t="s">
        <v>88</v>
      </c>
    </row>
    <row r="25" spans="1:12" x14ac:dyDescent="0.15">
      <c r="A25" s="3" t="s">
        <v>74</v>
      </c>
      <c r="B25">
        <v>731</v>
      </c>
      <c r="C25">
        <v>7.2</v>
      </c>
      <c r="D25">
        <v>2000</v>
      </c>
      <c r="E25" s="1">
        <v>42200</v>
      </c>
      <c r="F25" s="1">
        <f t="shared" si="33"/>
        <v>42201</v>
      </c>
      <c r="G25" s="5">
        <f t="shared" si="34"/>
        <v>42211</v>
      </c>
      <c r="H25">
        <f>2069.8-2.06*2</f>
        <v>2065.6800000000003</v>
      </c>
      <c r="J25">
        <f t="shared" si="35"/>
        <v>108.97</v>
      </c>
      <c r="K25">
        <f t="shared" si="36"/>
        <v>65.680000000000291</v>
      </c>
      <c r="L25" t="s">
        <v>96</v>
      </c>
    </row>
    <row r="26" spans="1:12" x14ac:dyDescent="0.15">
      <c r="A26" s="3" t="s">
        <v>74</v>
      </c>
      <c r="B26">
        <v>731</v>
      </c>
      <c r="C26">
        <v>7.2</v>
      </c>
      <c r="D26">
        <v>2000</v>
      </c>
      <c r="E26" s="1">
        <v>42201</v>
      </c>
      <c r="F26" s="1">
        <f t="shared" ref="F26:F28" si="37">E26+1</f>
        <v>42202</v>
      </c>
      <c r="G26" s="5">
        <f t="shared" ref="G26:G28" si="38">E26+11</f>
        <v>42212</v>
      </c>
      <c r="H26">
        <f>2069.8-2.06*2</f>
        <v>2065.6800000000003</v>
      </c>
      <c r="J26">
        <f t="shared" ref="J26" si="39">ROUND((H26-D26)/D26*365/(G26-E26)*100,2)</f>
        <v>108.97</v>
      </c>
      <c r="K26">
        <f t="shared" ref="K26" si="40">H26-D26+I26</f>
        <v>65.680000000000291</v>
      </c>
      <c r="L26" t="s">
        <v>96</v>
      </c>
    </row>
    <row r="27" spans="1:12" x14ac:dyDescent="0.15">
      <c r="A27" s="3" t="s">
        <v>75</v>
      </c>
      <c r="B27">
        <v>366</v>
      </c>
      <c r="C27" t="s">
        <v>87</v>
      </c>
      <c r="D27">
        <v>2000</v>
      </c>
      <c r="E27" s="1">
        <v>42202</v>
      </c>
      <c r="F27" s="1">
        <f t="shared" si="37"/>
        <v>42203</v>
      </c>
      <c r="G27" s="5">
        <f t="shared" si="38"/>
        <v>42213</v>
      </c>
      <c r="H27">
        <f>2041.49-2.04*2</f>
        <v>2037.41</v>
      </c>
      <c r="J27">
        <f t="shared" ref="J27:J28" si="41">ROUND((H27-D27)/D27*365/(G27-E27)*100,2)</f>
        <v>62.07</v>
      </c>
      <c r="K27">
        <f t="shared" ref="K27:K28" si="42">H27-D27+I27</f>
        <v>37.410000000000082</v>
      </c>
      <c r="L27" t="s">
        <v>88</v>
      </c>
    </row>
    <row r="28" spans="1:12" x14ac:dyDescent="0.15">
      <c r="A28" s="3" t="s">
        <v>74</v>
      </c>
      <c r="B28">
        <v>731</v>
      </c>
      <c r="C28">
        <v>7.2</v>
      </c>
      <c r="D28">
        <v>2000</v>
      </c>
      <c r="E28" s="1">
        <v>42202</v>
      </c>
      <c r="F28" s="1">
        <f t="shared" si="37"/>
        <v>42203</v>
      </c>
      <c r="G28" s="5">
        <f t="shared" si="38"/>
        <v>42213</v>
      </c>
      <c r="H28">
        <f>105+1960.45-0.1*2-1.96*2</f>
        <v>2061.33</v>
      </c>
      <c r="J28">
        <f t="shared" si="41"/>
        <v>101.75</v>
      </c>
      <c r="K28">
        <f t="shared" si="42"/>
        <v>61.329999999999927</v>
      </c>
      <c r="L28" t="s">
        <v>96</v>
      </c>
    </row>
    <row r="29" spans="1:12" x14ac:dyDescent="0.15">
      <c r="A29" s="3" t="s">
        <v>75</v>
      </c>
      <c r="B29">
        <v>366</v>
      </c>
      <c r="C29" t="s">
        <v>87</v>
      </c>
      <c r="D29">
        <v>2000</v>
      </c>
      <c r="E29" s="1">
        <v>42203</v>
      </c>
      <c r="F29" s="1">
        <f t="shared" ref="F29:F30" si="43">E29+1</f>
        <v>42204</v>
      </c>
      <c r="G29" s="5">
        <f t="shared" ref="G29:G30" si="44">E29+11</f>
        <v>42214</v>
      </c>
      <c r="H29">
        <f>2040.93-2.03*2</f>
        <v>2036.8700000000001</v>
      </c>
      <c r="J29">
        <f t="shared" ref="J29:J30" si="45">ROUND((H29-D29)/D29*365/(G29-E29)*100,2)</f>
        <v>61.17</v>
      </c>
      <c r="K29">
        <f t="shared" ref="K29:K30" si="46">H29-D29+I29</f>
        <v>36.870000000000118</v>
      </c>
      <c r="L29" t="s">
        <v>88</v>
      </c>
    </row>
    <row r="30" spans="1:12" x14ac:dyDescent="0.15">
      <c r="A30" s="3" t="s">
        <v>74</v>
      </c>
      <c r="B30">
        <v>731</v>
      </c>
      <c r="C30">
        <v>7.2</v>
      </c>
      <c r="D30">
        <v>3000</v>
      </c>
      <c r="E30" s="1">
        <v>42203</v>
      </c>
      <c r="F30" s="1">
        <f t="shared" si="43"/>
        <v>42204</v>
      </c>
      <c r="G30" s="5">
        <f t="shared" si="44"/>
        <v>42214</v>
      </c>
      <c r="H30">
        <f>3096.45-3.09*2</f>
        <v>3090.27</v>
      </c>
      <c r="J30">
        <f t="shared" si="45"/>
        <v>99.84</v>
      </c>
      <c r="K30">
        <f t="shared" si="46"/>
        <v>90.269999999999982</v>
      </c>
      <c r="L30" t="s">
        <v>96</v>
      </c>
    </row>
    <row r="31" spans="1:12" x14ac:dyDescent="0.15">
      <c r="A31" s="3" t="s">
        <v>75</v>
      </c>
      <c r="B31">
        <v>366</v>
      </c>
      <c r="C31" t="s">
        <v>87</v>
      </c>
      <c r="D31">
        <v>2000</v>
      </c>
      <c r="E31" s="1">
        <v>42204</v>
      </c>
      <c r="F31" s="1">
        <f t="shared" ref="F31:F32" si="47">E31+1</f>
        <v>42205</v>
      </c>
      <c r="G31" s="5">
        <f t="shared" ref="G31:G32" si="48">E31+11</f>
        <v>42215</v>
      </c>
      <c r="H31">
        <f>2042.44-2.04*2</f>
        <v>2038.3600000000001</v>
      </c>
      <c r="J31">
        <f t="shared" ref="J31:J32" si="49">ROUND((H31-D31)/D31*365/(G31-E31)*100,2)</f>
        <v>63.64</v>
      </c>
      <c r="K31">
        <f t="shared" ref="K31:K32" si="50">H31-D31+I31</f>
        <v>38.360000000000127</v>
      </c>
      <c r="L31" t="s">
        <v>88</v>
      </c>
    </row>
    <row r="32" spans="1:12" x14ac:dyDescent="0.15">
      <c r="A32" s="3" t="s">
        <v>74</v>
      </c>
      <c r="B32">
        <v>731</v>
      </c>
      <c r="C32">
        <v>7.2</v>
      </c>
      <c r="D32">
        <v>2000</v>
      </c>
      <c r="E32" s="1">
        <v>42204</v>
      </c>
      <c r="F32" s="1">
        <f t="shared" si="47"/>
        <v>42205</v>
      </c>
      <c r="G32" s="5">
        <f t="shared" si="48"/>
        <v>42215</v>
      </c>
      <c r="H32">
        <f>2065.03-2.06*2</f>
        <v>2060.9100000000003</v>
      </c>
      <c r="J32">
        <f t="shared" si="49"/>
        <v>101.06</v>
      </c>
      <c r="K32">
        <f t="shared" si="50"/>
        <v>60.910000000000309</v>
      </c>
      <c r="L32" t="s">
        <v>96</v>
      </c>
    </row>
    <row r="33" spans="1:12" x14ac:dyDescent="0.15">
      <c r="A33" s="3" t="s">
        <v>75</v>
      </c>
      <c r="B33">
        <v>366</v>
      </c>
      <c r="C33" t="s">
        <v>87</v>
      </c>
      <c r="D33">
        <v>2000</v>
      </c>
      <c r="E33" s="1">
        <v>42205</v>
      </c>
      <c r="F33" s="1">
        <f t="shared" ref="F33:F34" si="51">E33+1</f>
        <v>42206</v>
      </c>
      <c r="G33" s="5">
        <f t="shared" ref="G33:G34" si="52">E33+11</f>
        <v>42216</v>
      </c>
      <c r="H33">
        <f>2043.19-2.03*2</f>
        <v>2039.13</v>
      </c>
      <c r="J33">
        <f t="shared" ref="J33:J34" si="53">ROUND((H33-D33)/D33*365/(G33-E33)*100,2)</f>
        <v>64.92</v>
      </c>
      <c r="K33">
        <f t="shared" ref="K33:K34" si="54">H33-D33+I33</f>
        <v>39.130000000000109</v>
      </c>
      <c r="L33" t="s">
        <v>88</v>
      </c>
    </row>
    <row r="34" spans="1:12" x14ac:dyDescent="0.15">
      <c r="A34" s="3" t="s">
        <v>74</v>
      </c>
      <c r="B34">
        <v>731</v>
      </c>
      <c r="C34">
        <v>7.2</v>
      </c>
      <c r="D34">
        <v>2000</v>
      </c>
      <c r="E34" s="1">
        <v>42205</v>
      </c>
      <c r="F34" s="1">
        <f t="shared" si="51"/>
        <v>42206</v>
      </c>
      <c r="G34" s="5">
        <f t="shared" si="52"/>
        <v>42216</v>
      </c>
      <c r="H34">
        <f>2062.83-2.06*2</f>
        <v>2058.71</v>
      </c>
      <c r="J34">
        <f t="shared" si="53"/>
        <v>97.41</v>
      </c>
      <c r="K34">
        <f t="shared" si="54"/>
        <v>58.710000000000036</v>
      </c>
      <c r="L34" t="s">
        <v>96</v>
      </c>
    </row>
    <row r="35" spans="1:12" x14ac:dyDescent="0.15">
      <c r="A35" s="3" t="s">
        <v>77</v>
      </c>
      <c r="B35">
        <v>366</v>
      </c>
      <c r="C35" t="s">
        <v>89</v>
      </c>
      <c r="D35">
        <v>2000</v>
      </c>
      <c r="E35" s="1">
        <v>42206</v>
      </c>
      <c r="F35" s="1">
        <f t="shared" ref="F35:F36" si="55">E35+1</f>
        <v>42207</v>
      </c>
      <c r="G35" s="5">
        <f t="shared" ref="G35" si="56">E35+11</f>
        <v>42217</v>
      </c>
      <c r="H35">
        <f>2048.13-2.04*2</f>
        <v>2044.0500000000002</v>
      </c>
      <c r="J35">
        <f t="shared" ref="J35" si="57">ROUND((H35-D35)/D35*365/(G35-E35)*100,2)</f>
        <v>73.08</v>
      </c>
      <c r="K35">
        <f t="shared" ref="K35" si="58">H35-D35+I35</f>
        <v>44.050000000000182</v>
      </c>
      <c r="L35" t="s">
        <v>88</v>
      </c>
    </row>
    <row r="36" spans="1:12" x14ac:dyDescent="0.15">
      <c r="A36" s="3" t="s">
        <v>74</v>
      </c>
      <c r="B36">
        <v>731</v>
      </c>
      <c r="C36">
        <v>7.2</v>
      </c>
      <c r="D36">
        <v>2000</v>
      </c>
      <c r="E36" s="1">
        <v>42206</v>
      </c>
      <c r="F36" s="1">
        <f t="shared" si="55"/>
        <v>42207</v>
      </c>
      <c r="G36" s="5">
        <v>42227</v>
      </c>
      <c r="H36">
        <f>2028.48-2.02*2</f>
        <v>2024.44</v>
      </c>
      <c r="J36">
        <f t="shared" ref="J36" si="59">ROUND((H36-D36)/D36*365/(G36-E36)*100,2)</f>
        <v>21.24</v>
      </c>
      <c r="K36">
        <f t="shared" ref="K36" si="60">H36-D36+I36</f>
        <v>24.440000000000055</v>
      </c>
      <c r="L36" t="s">
        <v>96</v>
      </c>
    </row>
    <row r="37" spans="1:12" x14ac:dyDescent="0.15">
      <c r="A37" s="3" t="s">
        <v>77</v>
      </c>
      <c r="B37">
        <v>366</v>
      </c>
      <c r="C37" t="s">
        <v>89</v>
      </c>
      <c r="D37">
        <v>2000</v>
      </c>
      <c r="E37" s="1">
        <v>42207</v>
      </c>
      <c r="F37" s="1">
        <f t="shared" ref="F37:F38" si="61">E37+1</f>
        <v>42208</v>
      </c>
      <c r="G37" s="5">
        <f t="shared" ref="G37:G38" si="62">E37+11</f>
        <v>42218</v>
      </c>
      <c r="H37">
        <f>2045.48-2.04*2</f>
        <v>2041.4</v>
      </c>
      <c r="J37">
        <f t="shared" ref="J37:J38" si="63">ROUND((H37-D37)/D37*365/(G37-E37)*100,2)</f>
        <v>68.69</v>
      </c>
      <c r="K37">
        <f t="shared" ref="K37:K38" si="64">H37-D37+I37</f>
        <v>41.400000000000091</v>
      </c>
      <c r="L37" t="s">
        <v>88</v>
      </c>
    </row>
    <row r="38" spans="1:12" x14ac:dyDescent="0.15">
      <c r="A38" s="3" t="s">
        <v>73</v>
      </c>
      <c r="B38">
        <v>731</v>
      </c>
      <c r="C38">
        <v>7.25</v>
      </c>
      <c r="D38">
        <v>2000</v>
      </c>
      <c r="E38" s="1">
        <v>42207</v>
      </c>
      <c r="F38" s="1">
        <f t="shared" si="61"/>
        <v>42208</v>
      </c>
      <c r="G38" s="5">
        <f t="shared" si="62"/>
        <v>42218</v>
      </c>
      <c r="H38">
        <f>2039.45-2.03</f>
        <v>2037.42</v>
      </c>
      <c r="J38">
        <f t="shared" si="63"/>
        <v>62.08</v>
      </c>
      <c r="K38">
        <f t="shared" si="64"/>
        <v>37.420000000000073</v>
      </c>
      <c r="L38" t="s">
        <v>96</v>
      </c>
    </row>
    <row r="39" spans="1:12" x14ac:dyDescent="0.15">
      <c r="A39" s="3" t="s">
        <v>77</v>
      </c>
      <c r="B39">
        <v>366</v>
      </c>
      <c r="C39" t="s">
        <v>89</v>
      </c>
      <c r="D39">
        <v>2000</v>
      </c>
      <c r="E39" s="1">
        <v>42208</v>
      </c>
      <c r="F39" s="1">
        <f t="shared" ref="F39:F40" si="65">E39+1</f>
        <v>42209</v>
      </c>
      <c r="G39" s="5">
        <f t="shared" ref="G39:G40" si="66">E39+11</f>
        <v>42219</v>
      </c>
      <c r="H39">
        <f>2040.95-2.04*2</f>
        <v>2036.8700000000001</v>
      </c>
      <c r="J39">
        <f t="shared" ref="J39:J40" si="67">ROUND((H39-D39)/D39*365/(G39-E39)*100,2)</f>
        <v>61.17</v>
      </c>
      <c r="K39">
        <f t="shared" ref="K39:K40" si="68">H39-D39+I39</f>
        <v>36.870000000000118</v>
      </c>
      <c r="L39" t="s">
        <v>88</v>
      </c>
    </row>
    <row r="40" spans="1:12" x14ac:dyDescent="0.15">
      <c r="A40" s="3" t="s">
        <v>73</v>
      </c>
      <c r="B40">
        <v>731</v>
      </c>
      <c r="C40">
        <v>7.25</v>
      </c>
      <c r="D40">
        <v>2000</v>
      </c>
      <c r="E40" s="1">
        <v>42208</v>
      </c>
      <c r="F40" s="1">
        <f t="shared" si="65"/>
        <v>42209</v>
      </c>
      <c r="G40" s="5">
        <f t="shared" si="66"/>
        <v>42219</v>
      </c>
      <c r="H40">
        <f>2032.69-2.03*2</f>
        <v>2028.63</v>
      </c>
      <c r="J40">
        <f t="shared" si="67"/>
        <v>47.5</v>
      </c>
      <c r="K40">
        <f t="shared" si="68"/>
        <v>28.630000000000109</v>
      </c>
      <c r="L40" t="s">
        <v>96</v>
      </c>
    </row>
    <row r="41" spans="1:12" x14ac:dyDescent="0.15">
      <c r="A41" s="3" t="s">
        <v>77</v>
      </c>
      <c r="B41">
        <v>366</v>
      </c>
      <c r="C41" t="s">
        <v>89</v>
      </c>
      <c r="D41">
        <v>1000</v>
      </c>
      <c r="E41" s="1">
        <v>42209</v>
      </c>
      <c r="F41" s="1">
        <f t="shared" ref="F41:F42" si="69">E41+1</f>
        <v>42210</v>
      </c>
      <c r="G41" s="5">
        <f t="shared" ref="G41:G42" si="70">E41+11</f>
        <v>42220</v>
      </c>
      <c r="H41">
        <f>1020.28-1.02*2</f>
        <v>1018.24</v>
      </c>
      <c r="J41">
        <f t="shared" ref="J41:J42" si="71">ROUND((H41-D41)/D41*365/(G41-E41)*100,2)</f>
        <v>60.52</v>
      </c>
      <c r="K41">
        <f t="shared" ref="K41:K42" si="72">H41-D41+I41</f>
        <v>18.240000000000009</v>
      </c>
      <c r="L41" t="s">
        <v>88</v>
      </c>
    </row>
    <row r="42" spans="1:12" x14ac:dyDescent="0.15">
      <c r="A42" s="3" t="s">
        <v>73</v>
      </c>
      <c r="B42">
        <v>731</v>
      </c>
      <c r="C42">
        <v>7.25</v>
      </c>
      <c r="D42">
        <v>3000</v>
      </c>
      <c r="E42" s="1">
        <v>42209</v>
      </c>
      <c r="F42" s="1">
        <f t="shared" si="69"/>
        <v>42210</v>
      </c>
      <c r="G42" s="5">
        <f t="shared" si="70"/>
        <v>42220</v>
      </c>
      <c r="H42">
        <f>3049.56-3.04*2</f>
        <v>3043.48</v>
      </c>
      <c r="J42">
        <f t="shared" si="71"/>
        <v>48.09</v>
      </c>
      <c r="K42">
        <f t="shared" si="72"/>
        <v>43.480000000000018</v>
      </c>
      <c r="L42" t="s">
        <v>96</v>
      </c>
    </row>
    <row r="43" spans="1:12" x14ac:dyDescent="0.15">
      <c r="A43" s="3" t="s">
        <v>77</v>
      </c>
      <c r="B43">
        <v>366</v>
      </c>
      <c r="C43" t="s">
        <v>89</v>
      </c>
      <c r="D43">
        <v>1000</v>
      </c>
      <c r="E43" s="1">
        <v>42210</v>
      </c>
      <c r="F43" s="1">
        <f t="shared" ref="F43:F44" si="73">E43+1</f>
        <v>42211</v>
      </c>
      <c r="G43" s="5">
        <f t="shared" ref="G43:G44" si="74">E43+11</f>
        <v>42221</v>
      </c>
      <c r="H43">
        <f>1021.79-1.02*2</f>
        <v>1019.75</v>
      </c>
      <c r="J43">
        <f t="shared" ref="J43:J44" si="75">ROUND((H43-D43)/D43*365/(G43-E43)*100,2)</f>
        <v>65.53</v>
      </c>
      <c r="K43">
        <f t="shared" ref="K43:K44" si="76">H43-D43+I43</f>
        <v>19.75</v>
      </c>
      <c r="L43" t="s">
        <v>88</v>
      </c>
    </row>
    <row r="44" spans="1:12" x14ac:dyDescent="0.15">
      <c r="A44" s="3" t="s">
        <v>73</v>
      </c>
      <c r="B44">
        <v>731</v>
      </c>
      <c r="C44">
        <v>7.25</v>
      </c>
      <c r="D44">
        <v>3000</v>
      </c>
      <c r="E44" s="1">
        <v>42210</v>
      </c>
      <c r="F44" s="1">
        <f t="shared" si="73"/>
        <v>42211</v>
      </c>
      <c r="G44" s="5">
        <f t="shared" si="74"/>
        <v>42221</v>
      </c>
      <c r="H44">
        <f>3045.84-3.04*2</f>
        <v>3039.76</v>
      </c>
      <c r="J44">
        <f t="shared" si="75"/>
        <v>43.98</v>
      </c>
      <c r="K44">
        <f t="shared" si="76"/>
        <v>39.760000000000218</v>
      </c>
      <c r="L44" t="s">
        <v>96</v>
      </c>
    </row>
    <row r="45" spans="1:12" x14ac:dyDescent="0.15">
      <c r="A45" s="3" t="s">
        <v>77</v>
      </c>
      <c r="B45">
        <v>366</v>
      </c>
      <c r="C45" t="s">
        <v>89</v>
      </c>
      <c r="D45">
        <v>1000</v>
      </c>
      <c r="E45" s="1">
        <v>42211</v>
      </c>
      <c r="F45" s="1">
        <f t="shared" ref="F45:F47" si="77">E45+1</f>
        <v>42212</v>
      </c>
      <c r="G45" s="5">
        <f t="shared" ref="G45:G47" si="78">E45+11</f>
        <v>42222</v>
      </c>
      <c r="H45">
        <f>1021.89-1.02*2</f>
        <v>1019.85</v>
      </c>
      <c r="J45">
        <f t="shared" ref="J45:J46" si="79">ROUND((H45-D45)/D45*365/(G45-E45)*100,2)</f>
        <v>65.87</v>
      </c>
      <c r="K45">
        <f t="shared" ref="K45:K46" si="80">H45-D45+I45</f>
        <v>19.850000000000023</v>
      </c>
      <c r="L45" t="s">
        <v>88</v>
      </c>
    </row>
    <row r="46" spans="1:12" x14ac:dyDescent="0.15">
      <c r="A46" s="3" t="s">
        <v>74</v>
      </c>
      <c r="B46">
        <v>731</v>
      </c>
      <c r="C46">
        <v>7.2</v>
      </c>
      <c r="D46">
        <v>3000</v>
      </c>
      <c r="E46" s="1">
        <v>42211</v>
      </c>
      <c r="F46" s="1">
        <f t="shared" si="77"/>
        <v>42212</v>
      </c>
      <c r="G46" s="5">
        <f t="shared" si="78"/>
        <v>42222</v>
      </c>
      <c r="H46">
        <f>3036.12-3.03*2</f>
        <v>3030.06</v>
      </c>
      <c r="J46">
        <f t="shared" si="79"/>
        <v>33.25</v>
      </c>
      <c r="K46">
        <f t="shared" si="80"/>
        <v>30.059999999999945</v>
      </c>
      <c r="L46" t="s">
        <v>96</v>
      </c>
    </row>
    <row r="47" spans="1:12" x14ac:dyDescent="0.15">
      <c r="A47" s="3" t="s">
        <v>79</v>
      </c>
      <c r="B47">
        <v>731</v>
      </c>
      <c r="C47">
        <v>7.1</v>
      </c>
      <c r="D47">
        <v>3000</v>
      </c>
      <c r="E47" s="1">
        <v>42212</v>
      </c>
      <c r="F47" s="1">
        <f t="shared" si="77"/>
        <v>42213</v>
      </c>
      <c r="G47" s="5">
        <f t="shared" si="78"/>
        <v>42223</v>
      </c>
      <c r="H47">
        <f>3035.21-3.03*2</f>
        <v>3029.15</v>
      </c>
      <c r="J47">
        <f t="shared" ref="J47" si="81">ROUND((H47-D47)/D47*365/(G47-E47)*100,2)</f>
        <v>32.24</v>
      </c>
      <c r="K47">
        <f t="shared" ref="K47" si="82">H47-D47+I47</f>
        <v>29.150000000000091</v>
      </c>
      <c r="L47" t="s">
        <v>96</v>
      </c>
    </row>
    <row r="48" spans="1:12" x14ac:dyDescent="0.15">
      <c r="A48" s="3" t="s">
        <v>80</v>
      </c>
      <c r="B48">
        <v>366</v>
      </c>
      <c r="C48" t="s">
        <v>90</v>
      </c>
      <c r="D48">
        <v>1000</v>
      </c>
      <c r="E48" s="1">
        <v>42213</v>
      </c>
      <c r="F48" s="1">
        <f t="shared" ref="F48:F49" si="83">E48+1</f>
        <v>42214</v>
      </c>
      <c r="G48" s="5">
        <f t="shared" ref="G48:G49" si="84">E48+11</f>
        <v>42224</v>
      </c>
      <c r="H48">
        <f>1021.7-1.02*2</f>
        <v>1019.6600000000001</v>
      </c>
      <c r="J48">
        <f t="shared" ref="J48:J49" si="85">ROUND((H48-D48)/D48*365/(G48-E48)*100,2)</f>
        <v>65.239999999999995</v>
      </c>
      <c r="K48">
        <f t="shared" ref="K48:K49" si="86">H48-D48+I48</f>
        <v>19.660000000000082</v>
      </c>
      <c r="L48" t="s">
        <v>88</v>
      </c>
    </row>
    <row r="49" spans="1:12" x14ac:dyDescent="0.15">
      <c r="A49" s="3" t="s">
        <v>73</v>
      </c>
      <c r="B49">
        <v>731</v>
      </c>
      <c r="C49">
        <v>7.25</v>
      </c>
      <c r="D49">
        <v>3000</v>
      </c>
      <c r="E49" s="1">
        <v>42213</v>
      </c>
      <c r="F49" s="1">
        <f t="shared" si="83"/>
        <v>42214</v>
      </c>
      <c r="G49" s="5">
        <f t="shared" si="84"/>
        <v>42224</v>
      </c>
      <c r="H49">
        <f>3039.48-3.03*2</f>
        <v>3033.42</v>
      </c>
      <c r="J49">
        <f t="shared" si="85"/>
        <v>36.96</v>
      </c>
      <c r="K49">
        <f t="shared" si="86"/>
        <v>33.420000000000073</v>
      </c>
      <c r="L49" t="s">
        <v>96</v>
      </c>
    </row>
    <row r="50" spans="1:12" x14ac:dyDescent="0.15">
      <c r="A50" s="3" t="s">
        <v>80</v>
      </c>
      <c r="B50">
        <v>366</v>
      </c>
      <c r="C50" t="s">
        <v>90</v>
      </c>
      <c r="D50">
        <v>2000</v>
      </c>
      <c r="E50" s="1">
        <v>42214</v>
      </c>
      <c r="F50" s="1">
        <f t="shared" ref="F50:F51" si="87">E50+1</f>
        <v>42215</v>
      </c>
      <c r="G50" s="5">
        <f t="shared" ref="G50:G51" si="88">E50+11</f>
        <v>42225</v>
      </c>
      <c r="H50">
        <f>2042.09-2.04*2</f>
        <v>2038.01</v>
      </c>
      <c r="J50">
        <f t="shared" ref="J50:J51" si="89">ROUND((H50-D50)/D50*365/(G50-E50)*100,2)</f>
        <v>63.06</v>
      </c>
      <c r="K50">
        <f t="shared" ref="K50:K51" si="90">H50-D50+I50</f>
        <v>38.009999999999991</v>
      </c>
      <c r="L50" t="s">
        <v>88</v>
      </c>
    </row>
    <row r="51" spans="1:12" x14ac:dyDescent="0.15">
      <c r="A51" s="3" t="s">
        <v>73</v>
      </c>
      <c r="B51">
        <v>731</v>
      </c>
      <c r="C51" t="s">
        <v>91</v>
      </c>
      <c r="D51">
        <v>3000</v>
      </c>
      <c r="E51" s="1">
        <v>42214</v>
      </c>
      <c r="F51" s="1">
        <f t="shared" si="87"/>
        <v>42215</v>
      </c>
      <c r="G51" s="5">
        <f t="shared" si="88"/>
        <v>42225</v>
      </c>
      <c r="H51">
        <f>3038.95-3.03*2</f>
        <v>3032.89</v>
      </c>
      <c r="J51">
        <f t="shared" si="89"/>
        <v>36.380000000000003</v>
      </c>
      <c r="K51">
        <f t="shared" si="90"/>
        <v>32.889999999999873</v>
      </c>
      <c r="L51" t="s">
        <v>96</v>
      </c>
    </row>
    <row r="52" spans="1:12" x14ac:dyDescent="0.15">
      <c r="A52" s="3" t="s">
        <v>51</v>
      </c>
      <c r="B52">
        <v>366</v>
      </c>
      <c r="C52">
        <v>7.93</v>
      </c>
      <c r="D52">
        <v>1000</v>
      </c>
      <c r="E52" s="1">
        <v>42215</v>
      </c>
      <c r="F52" s="1">
        <f t="shared" ref="F52:F55" si="91">E52+1</f>
        <v>42216</v>
      </c>
      <c r="G52" s="5">
        <f t="shared" ref="G52:G55" si="92">E52+11</f>
        <v>42226</v>
      </c>
      <c r="H52">
        <f>1020-1.02*2</f>
        <v>1017.96</v>
      </c>
      <c r="J52">
        <f t="shared" ref="J52:J53" si="93">ROUND((H52-D52)/D52*365/(G52-E52)*100,2)</f>
        <v>59.59</v>
      </c>
      <c r="K52">
        <f t="shared" ref="K52:K53" si="94">H52-D52+I52</f>
        <v>17.960000000000036</v>
      </c>
      <c r="L52" t="s">
        <v>96</v>
      </c>
    </row>
    <row r="53" spans="1:12" x14ac:dyDescent="0.15">
      <c r="A53" s="3" t="s">
        <v>73</v>
      </c>
      <c r="B53">
        <v>731</v>
      </c>
      <c r="C53">
        <v>7.25</v>
      </c>
      <c r="D53">
        <v>3000</v>
      </c>
      <c r="E53" s="1">
        <v>42215</v>
      </c>
      <c r="F53" s="1">
        <f t="shared" si="91"/>
        <v>42216</v>
      </c>
      <c r="G53" s="5">
        <f t="shared" si="92"/>
        <v>42226</v>
      </c>
      <c r="H53">
        <f>3034.73-3.03*2</f>
        <v>3028.67</v>
      </c>
      <c r="J53">
        <f t="shared" si="93"/>
        <v>31.71</v>
      </c>
      <c r="K53">
        <f t="shared" si="94"/>
        <v>28.670000000000073</v>
      </c>
      <c r="L53" t="s">
        <v>96</v>
      </c>
    </row>
    <row r="54" spans="1:12" x14ac:dyDescent="0.15">
      <c r="A54" s="3" t="s">
        <v>80</v>
      </c>
      <c r="B54">
        <v>366</v>
      </c>
      <c r="C54" t="s">
        <v>91</v>
      </c>
      <c r="D54">
        <v>2000</v>
      </c>
      <c r="E54" s="1">
        <v>42216</v>
      </c>
      <c r="F54" s="1">
        <f t="shared" si="91"/>
        <v>42217</v>
      </c>
      <c r="G54" s="5">
        <f t="shared" si="92"/>
        <v>42227</v>
      </c>
      <c r="H54">
        <f>2041.71-2.04*2</f>
        <v>2037.63</v>
      </c>
      <c r="J54">
        <f t="shared" ref="J54:J55" si="95">ROUND((H54-D54)/D54*365/(G54-E54)*100,2)</f>
        <v>62.43</v>
      </c>
      <c r="K54">
        <f t="shared" ref="K54:K55" si="96">H54-D54+I54</f>
        <v>37.630000000000109</v>
      </c>
      <c r="L54" t="s">
        <v>88</v>
      </c>
    </row>
    <row r="55" spans="1:12" x14ac:dyDescent="0.15">
      <c r="A55" s="3" t="s">
        <v>73</v>
      </c>
      <c r="B55">
        <v>731</v>
      </c>
      <c r="C55">
        <v>7.25</v>
      </c>
      <c r="D55">
        <v>2000</v>
      </c>
      <c r="E55" s="1">
        <v>42216</v>
      </c>
      <c r="F55" s="1">
        <f t="shared" si="91"/>
        <v>42217</v>
      </c>
      <c r="G55" s="5">
        <f t="shared" si="92"/>
        <v>42227</v>
      </c>
      <c r="H55">
        <f>2024.21-2.02*2</f>
        <v>2020.17</v>
      </c>
      <c r="J55">
        <f t="shared" si="95"/>
        <v>33.46</v>
      </c>
      <c r="K55">
        <f t="shared" si="96"/>
        <v>20.170000000000073</v>
      </c>
    </row>
    <row r="56" spans="1:12" x14ac:dyDescent="0.15">
      <c r="A56" s="3" t="s">
        <v>51</v>
      </c>
      <c r="B56">
        <v>366</v>
      </c>
      <c r="C56">
        <v>7.93</v>
      </c>
      <c r="D56">
        <v>2000</v>
      </c>
      <c r="E56" s="1">
        <v>42217</v>
      </c>
      <c r="F56" s="1">
        <f t="shared" ref="F56:F60" si="97">E56+1</f>
        <v>42218</v>
      </c>
      <c r="G56" s="5">
        <f t="shared" ref="G56:G60" si="98">E56+11</f>
        <v>42228</v>
      </c>
      <c r="H56">
        <f>2039.07-2.03*2</f>
        <v>2035.01</v>
      </c>
      <c r="J56">
        <f t="shared" ref="J56" si="99">ROUND((H56-D56)/D56*365/(G56-E56)*100,2)</f>
        <v>58.08</v>
      </c>
      <c r="K56">
        <f t="shared" ref="K56" si="100">H56-D56+I56</f>
        <v>35.009999999999991</v>
      </c>
    </row>
    <row r="57" spans="1:12" x14ac:dyDescent="0.15">
      <c r="A57" s="3" t="s">
        <v>51</v>
      </c>
      <c r="B57">
        <v>366</v>
      </c>
      <c r="C57">
        <v>7.93</v>
      </c>
      <c r="D57">
        <v>2000</v>
      </c>
      <c r="E57" s="1">
        <v>42218</v>
      </c>
      <c r="F57" s="1">
        <f t="shared" si="97"/>
        <v>42219</v>
      </c>
      <c r="G57" s="5">
        <f t="shared" si="98"/>
        <v>42229</v>
      </c>
      <c r="H57">
        <f>2035.13-2.03*2</f>
        <v>2031.0700000000002</v>
      </c>
      <c r="J57">
        <f t="shared" ref="J57:J58" si="101">ROUND((H57-D57)/D57*365/(G57-E57)*100,2)</f>
        <v>51.55</v>
      </c>
      <c r="K57">
        <f t="shared" ref="K57:K58" si="102">H57-D57+I57</f>
        <v>31.070000000000164</v>
      </c>
    </row>
    <row r="58" spans="1:12" x14ac:dyDescent="0.15">
      <c r="A58" s="3" t="s">
        <v>73</v>
      </c>
      <c r="B58">
        <v>731</v>
      </c>
      <c r="C58">
        <v>7.25</v>
      </c>
      <c r="D58">
        <v>2000</v>
      </c>
      <c r="E58" s="1">
        <v>42218</v>
      </c>
      <c r="F58" s="1">
        <f t="shared" si="97"/>
        <v>42219</v>
      </c>
      <c r="G58" s="5">
        <f t="shared" si="98"/>
        <v>42229</v>
      </c>
      <c r="H58">
        <f>2026.67-2.02*2</f>
        <v>2022.63</v>
      </c>
      <c r="J58">
        <f t="shared" si="101"/>
        <v>37.549999999999997</v>
      </c>
      <c r="K58">
        <f t="shared" si="102"/>
        <v>22.630000000000109</v>
      </c>
    </row>
    <row r="59" spans="1:12" x14ac:dyDescent="0.15">
      <c r="A59" s="3" t="s">
        <v>80</v>
      </c>
      <c r="B59">
        <v>366</v>
      </c>
      <c r="C59" t="s">
        <v>91</v>
      </c>
      <c r="D59">
        <v>2000</v>
      </c>
      <c r="E59" s="1">
        <v>42219</v>
      </c>
      <c r="F59" s="1">
        <f t="shared" si="97"/>
        <v>42220</v>
      </c>
      <c r="G59" s="5">
        <f t="shared" si="98"/>
        <v>42230</v>
      </c>
      <c r="H59">
        <f>2031.78-2.03*2</f>
        <v>2027.72</v>
      </c>
      <c r="J59">
        <f t="shared" ref="J59:J60" si="103">ROUND((H59-D59)/D59*365/(G59-E59)*100,2)</f>
        <v>45.99</v>
      </c>
      <c r="K59">
        <f t="shared" ref="K59:K60" si="104">H59-D59+I59</f>
        <v>27.720000000000027</v>
      </c>
      <c r="L59" t="s">
        <v>88</v>
      </c>
    </row>
    <row r="60" spans="1:12" x14ac:dyDescent="0.15">
      <c r="A60" s="3" t="s">
        <v>73</v>
      </c>
      <c r="B60">
        <v>731</v>
      </c>
      <c r="C60">
        <v>7.25</v>
      </c>
      <c r="D60">
        <v>2000</v>
      </c>
      <c r="E60" s="1">
        <v>42219</v>
      </c>
      <c r="F60" s="1">
        <f t="shared" si="97"/>
        <v>42220</v>
      </c>
      <c r="G60" s="5">
        <f t="shared" si="98"/>
        <v>42230</v>
      </c>
      <c r="H60">
        <f>2026.68-2.02*2</f>
        <v>2022.64</v>
      </c>
      <c r="J60">
        <f t="shared" si="103"/>
        <v>37.56</v>
      </c>
      <c r="K60">
        <f t="shared" si="104"/>
        <v>22.6400000000001</v>
      </c>
    </row>
    <row r="61" spans="1:12" x14ac:dyDescent="0.15">
      <c r="A61" s="3" t="s">
        <v>80</v>
      </c>
      <c r="B61">
        <v>366</v>
      </c>
      <c r="C61" t="s">
        <v>91</v>
      </c>
      <c r="D61">
        <v>2000</v>
      </c>
      <c r="E61" s="1">
        <v>42220</v>
      </c>
      <c r="F61" s="1">
        <f t="shared" ref="F61:F62" si="105">E61+1</f>
        <v>42221</v>
      </c>
      <c r="G61" s="5">
        <f t="shared" ref="G61:G62" si="106">E61+11</f>
        <v>42231</v>
      </c>
      <c r="H61">
        <f>2037.95-2.03*2</f>
        <v>2033.89</v>
      </c>
      <c r="J61">
        <f t="shared" ref="J61:J62" si="107">ROUND((H61-D61)/D61*365/(G61-E61)*100,2)</f>
        <v>56.23</v>
      </c>
      <c r="K61">
        <f t="shared" ref="K61:K62" si="108">H61-D61+I61</f>
        <v>33.8900000000001</v>
      </c>
      <c r="L61" t="s">
        <v>88</v>
      </c>
    </row>
    <row r="62" spans="1:12" x14ac:dyDescent="0.15">
      <c r="A62" s="3" t="s">
        <v>73</v>
      </c>
      <c r="B62">
        <v>731</v>
      </c>
      <c r="C62">
        <v>7.25</v>
      </c>
      <c r="D62">
        <v>2000</v>
      </c>
      <c r="E62" s="1">
        <v>42220</v>
      </c>
      <c r="F62" s="1">
        <f t="shared" si="105"/>
        <v>42221</v>
      </c>
      <c r="G62" s="5">
        <f t="shared" si="106"/>
        <v>42231</v>
      </c>
      <c r="H62">
        <f>2031.28-2.03*2</f>
        <v>2027.22</v>
      </c>
      <c r="J62">
        <f t="shared" si="107"/>
        <v>45.16</v>
      </c>
      <c r="K62">
        <f t="shared" si="108"/>
        <v>27.220000000000027</v>
      </c>
    </row>
    <row r="63" spans="1:12" x14ac:dyDescent="0.15">
      <c r="A63" s="3" t="s">
        <v>80</v>
      </c>
      <c r="B63">
        <v>366</v>
      </c>
      <c r="C63" t="s">
        <v>91</v>
      </c>
      <c r="D63">
        <v>2000</v>
      </c>
      <c r="E63" s="1">
        <v>42221</v>
      </c>
      <c r="F63" s="1">
        <f t="shared" ref="F63:F64" si="109">E63+1</f>
        <v>42222</v>
      </c>
      <c r="G63" s="5">
        <f t="shared" ref="G63:G64" si="110">E63+11</f>
        <v>42232</v>
      </c>
      <c r="H63">
        <f>2036.45-2.03*2</f>
        <v>2032.39</v>
      </c>
      <c r="J63">
        <f t="shared" ref="J63:J65" si="111">ROUND((H63-D63)/D63*365/(G63-E63)*100,2)</f>
        <v>53.74</v>
      </c>
      <c r="K63">
        <f t="shared" ref="K63:K65" si="112">H63-D63+I63</f>
        <v>32.3900000000001</v>
      </c>
      <c r="L63" t="s">
        <v>88</v>
      </c>
    </row>
    <row r="64" spans="1:12" x14ac:dyDescent="0.15">
      <c r="A64" s="3" t="s">
        <v>73</v>
      </c>
      <c r="B64">
        <v>731</v>
      </c>
      <c r="C64">
        <v>7.25</v>
      </c>
      <c r="D64">
        <v>2000</v>
      </c>
      <c r="E64" s="1">
        <v>42221</v>
      </c>
      <c r="F64" s="1">
        <f t="shared" si="109"/>
        <v>42222</v>
      </c>
      <c r="G64" s="5">
        <f t="shared" si="110"/>
        <v>42232</v>
      </c>
      <c r="H64">
        <f>2033.76-2.03*2</f>
        <v>2029.7</v>
      </c>
      <c r="J64">
        <f t="shared" si="111"/>
        <v>49.28</v>
      </c>
      <c r="K64">
        <f t="shared" si="112"/>
        <v>29.700000000000045</v>
      </c>
    </row>
    <row r="65" spans="1:12" x14ac:dyDescent="0.15">
      <c r="A65" s="3" t="s">
        <v>80</v>
      </c>
      <c r="B65">
        <v>366</v>
      </c>
      <c r="C65" t="s">
        <v>91</v>
      </c>
      <c r="D65">
        <v>2000</v>
      </c>
      <c r="E65" s="1">
        <v>42221</v>
      </c>
      <c r="F65" s="1">
        <f t="shared" ref="F65:F67" si="113">E65+1</f>
        <v>42222</v>
      </c>
      <c r="G65" s="5">
        <f t="shared" ref="G65:G67" si="114">E65+11</f>
        <v>42232</v>
      </c>
      <c r="H65">
        <f>2036.45-2.03*2</f>
        <v>2032.39</v>
      </c>
      <c r="J65">
        <f t="shared" si="111"/>
        <v>53.74</v>
      </c>
      <c r="K65">
        <f t="shared" si="112"/>
        <v>32.3900000000001</v>
      </c>
      <c r="L65" t="s">
        <v>88</v>
      </c>
    </row>
    <row r="66" spans="1:12" x14ac:dyDescent="0.15">
      <c r="A66" s="3" t="s">
        <v>80</v>
      </c>
      <c r="B66">
        <v>366</v>
      </c>
      <c r="C66" t="s">
        <v>91</v>
      </c>
      <c r="D66">
        <v>3000</v>
      </c>
      <c r="E66" s="1">
        <v>42222</v>
      </c>
      <c r="F66" s="1">
        <f t="shared" si="113"/>
        <v>42223</v>
      </c>
      <c r="G66" s="5">
        <f t="shared" si="114"/>
        <v>42233</v>
      </c>
      <c r="H66">
        <f>3047.95-3.03*2</f>
        <v>3041.89</v>
      </c>
      <c r="J66">
        <f t="shared" ref="J66:J67" si="115">ROUND((H66-D66)/D66*365/(G66-E66)*100,2)</f>
        <v>46.33</v>
      </c>
      <c r="K66">
        <f t="shared" ref="K66:K67" si="116">H66-D66+I66</f>
        <v>41.889999999999873</v>
      </c>
      <c r="L66" t="s">
        <v>88</v>
      </c>
    </row>
    <row r="67" spans="1:12" x14ac:dyDescent="0.15">
      <c r="A67" s="3" t="s">
        <v>73</v>
      </c>
      <c r="B67">
        <v>731</v>
      </c>
      <c r="C67">
        <v>7.25</v>
      </c>
      <c r="D67">
        <v>1000</v>
      </c>
      <c r="E67" s="1">
        <v>42222</v>
      </c>
      <c r="F67" s="1">
        <f t="shared" si="113"/>
        <v>42223</v>
      </c>
      <c r="G67" s="5">
        <f t="shared" si="114"/>
        <v>42233</v>
      </c>
      <c r="H67">
        <f>1015.64-1.01*2</f>
        <v>1013.62</v>
      </c>
      <c r="J67">
        <f t="shared" si="115"/>
        <v>45.19</v>
      </c>
      <c r="K67">
        <f t="shared" si="116"/>
        <v>13.620000000000005</v>
      </c>
    </row>
    <row r="68" spans="1:12" x14ac:dyDescent="0.15">
      <c r="A68" s="3" t="s">
        <v>80</v>
      </c>
      <c r="B68">
        <v>366</v>
      </c>
      <c r="C68" t="s">
        <v>91</v>
      </c>
      <c r="D68">
        <v>2000</v>
      </c>
      <c r="E68" s="1">
        <v>42223</v>
      </c>
      <c r="F68" s="1">
        <f t="shared" ref="F68:F69" si="117">E68+1</f>
        <v>42224</v>
      </c>
      <c r="G68" s="5">
        <f t="shared" ref="G68:G69" si="118">E68+11</f>
        <v>42234</v>
      </c>
      <c r="H68">
        <f>2032.71-2.02*2</f>
        <v>2028.67</v>
      </c>
      <c r="J68">
        <f t="shared" ref="J68:J69" si="119">ROUND((H68-D68)/D68*365/(G68-E68)*100,2)</f>
        <v>47.57</v>
      </c>
      <c r="K68">
        <f t="shared" ref="K68:K69" si="120">H68-D68+I68</f>
        <v>28.670000000000073</v>
      </c>
      <c r="L68" t="s">
        <v>88</v>
      </c>
    </row>
    <row r="69" spans="1:12" x14ac:dyDescent="0.15">
      <c r="A69" s="3" t="s">
        <v>73</v>
      </c>
      <c r="B69">
        <v>731</v>
      </c>
      <c r="C69">
        <v>7.25</v>
      </c>
      <c r="D69">
        <v>1000</v>
      </c>
      <c r="E69" s="1">
        <v>42223</v>
      </c>
      <c r="F69" s="1">
        <f t="shared" si="117"/>
        <v>42224</v>
      </c>
      <c r="G69" s="5">
        <f t="shared" si="118"/>
        <v>42234</v>
      </c>
      <c r="H69">
        <f>1015.28-1.01*2</f>
        <v>1013.26</v>
      </c>
      <c r="J69">
        <f t="shared" si="119"/>
        <v>44</v>
      </c>
      <c r="K69">
        <f t="shared" si="120"/>
        <v>13.259999999999991</v>
      </c>
    </row>
    <row r="70" spans="1:12" x14ac:dyDescent="0.15">
      <c r="A70" s="3" t="s">
        <v>80</v>
      </c>
      <c r="B70">
        <v>366</v>
      </c>
      <c r="C70" t="s">
        <v>91</v>
      </c>
      <c r="D70">
        <v>2000</v>
      </c>
      <c r="E70" s="1">
        <v>42224</v>
      </c>
      <c r="F70" s="1">
        <f t="shared" ref="F70:F71" si="121">E70+1</f>
        <v>42225</v>
      </c>
      <c r="G70" s="5">
        <f t="shared" ref="G70:G71" si="122">E70+11</f>
        <v>42235</v>
      </c>
      <c r="H70">
        <f>2032.71-2.02*2</f>
        <v>2028.67</v>
      </c>
      <c r="J70">
        <f t="shared" ref="J70" si="123">ROUND((H70-D70)/D70*365/(G70-E70)*100,2)</f>
        <v>47.57</v>
      </c>
      <c r="K70">
        <f t="shared" ref="K70" si="124">H70-D70+I70</f>
        <v>28.670000000000073</v>
      </c>
      <c r="L70" t="s">
        <v>97</v>
      </c>
    </row>
    <row r="71" spans="1:12" x14ac:dyDescent="0.15">
      <c r="A71" s="3" t="s">
        <v>73</v>
      </c>
      <c r="B71">
        <v>731</v>
      </c>
      <c r="C71">
        <v>7.25</v>
      </c>
      <c r="D71">
        <v>1000</v>
      </c>
      <c r="E71" s="1">
        <v>42224</v>
      </c>
      <c r="F71" s="1">
        <f t="shared" si="121"/>
        <v>42225</v>
      </c>
      <c r="G71" s="5">
        <f t="shared" si="122"/>
        <v>42235</v>
      </c>
      <c r="H71">
        <f>1015.28-1.01*2</f>
        <v>1013.26</v>
      </c>
      <c r="J71">
        <f t="shared" ref="J71" si="125">ROUND((H71-D71)/D71*365/(G71-E71)*100,2)</f>
        <v>44</v>
      </c>
      <c r="K71">
        <f t="shared" ref="K71" si="126">H71-D71+I71</f>
        <v>13.259999999999991</v>
      </c>
    </row>
    <row r="72" spans="1:12" x14ac:dyDescent="0.15">
      <c r="A72" s="3" t="s">
        <v>80</v>
      </c>
      <c r="B72">
        <v>366</v>
      </c>
      <c r="C72" t="s">
        <v>91</v>
      </c>
      <c r="D72">
        <v>3000</v>
      </c>
      <c r="E72" s="1">
        <v>42225</v>
      </c>
      <c r="F72" s="1">
        <f t="shared" ref="F72:F75" si="127">E72+1</f>
        <v>42226</v>
      </c>
      <c r="G72" s="5">
        <f t="shared" ref="G72:G75" si="128">E72+11</f>
        <v>42236</v>
      </c>
      <c r="H72">
        <f>3049.63-3.03*2</f>
        <v>3043.57</v>
      </c>
      <c r="J72">
        <f t="shared" ref="J72:J73" si="129">ROUND((H72-D72)/D72*365/(G72-E72)*100,2)</f>
        <v>48.19</v>
      </c>
      <c r="K72">
        <f t="shared" ref="K72:K73" si="130">H72-D72+I72</f>
        <v>43.570000000000164</v>
      </c>
      <c r="L72" t="s">
        <v>97</v>
      </c>
    </row>
    <row r="73" spans="1:12" x14ac:dyDescent="0.15">
      <c r="A73" s="3" t="s">
        <v>73</v>
      </c>
      <c r="B73">
        <v>731</v>
      </c>
      <c r="C73">
        <v>7.25</v>
      </c>
      <c r="D73">
        <v>2000</v>
      </c>
      <c r="E73" s="1">
        <v>42225</v>
      </c>
      <c r="F73" s="1">
        <f t="shared" si="127"/>
        <v>42226</v>
      </c>
      <c r="G73" s="5">
        <f t="shared" si="128"/>
        <v>42236</v>
      </c>
      <c r="H73">
        <f>2023.16-2.02*2</f>
        <v>2019.1200000000001</v>
      </c>
      <c r="J73">
        <f t="shared" si="129"/>
        <v>31.72</v>
      </c>
      <c r="K73">
        <f t="shared" si="130"/>
        <v>19.120000000000118</v>
      </c>
    </row>
    <row r="74" spans="1:12" x14ac:dyDescent="0.15">
      <c r="A74" s="3" t="s">
        <v>51</v>
      </c>
      <c r="B74">
        <v>366</v>
      </c>
      <c r="C74">
        <v>8</v>
      </c>
      <c r="D74">
        <v>2000</v>
      </c>
      <c r="E74" s="1">
        <v>42226</v>
      </c>
      <c r="F74" s="1">
        <f t="shared" si="127"/>
        <v>42227</v>
      </c>
      <c r="G74" s="5">
        <f t="shared" si="128"/>
        <v>42237</v>
      </c>
      <c r="H74">
        <f>2032.71-2.03*2</f>
        <v>2028.65</v>
      </c>
      <c r="J74">
        <f t="shared" ref="J74:J75" si="131">ROUND((H74-D74)/D74*365/(G74-E74)*100,2)</f>
        <v>47.53</v>
      </c>
      <c r="K74">
        <f t="shared" ref="K74:K75" si="132">H74-D74+I74</f>
        <v>28.650000000000091</v>
      </c>
    </row>
    <row r="75" spans="1:12" x14ac:dyDescent="0.15">
      <c r="A75" s="3" t="s">
        <v>73</v>
      </c>
      <c r="B75">
        <v>731</v>
      </c>
      <c r="C75">
        <v>7.3</v>
      </c>
      <c r="D75">
        <v>2000</v>
      </c>
      <c r="E75" s="1">
        <v>42226</v>
      </c>
      <c r="F75" s="1">
        <f t="shared" si="127"/>
        <v>42227</v>
      </c>
      <c r="G75" s="5">
        <f t="shared" si="128"/>
        <v>42237</v>
      </c>
      <c r="H75">
        <f>2030.68-2.03*2</f>
        <v>2026.6200000000001</v>
      </c>
      <c r="J75">
        <f t="shared" si="131"/>
        <v>44.17</v>
      </c>
      <c r="K75">
        <f t="shared" si="132"/>
        <v>26.620000000000118</v>
      </c>
    </row>
    <row r="76" spans="1:12" x14ac:dyDescent="0.15">
      <c r="A76" s="3" t="s">
        <v>51</v>
      </c>
      <c r="B76">
        <v>366</v>
      </c>
      <c r="C76">
        <v>8</v>
      </c>
      <c r="D76">
        <v>2000</v>
      </c>
      <c r="E76" s="1">
        <v>42227</v>
      </c>
      <c r="F76" s="1">
        <f t="shared" ref="F76:F77" si="133">E76+1</f>
        <v>42228</v>
      </c>
      <c r="G76" s="5">
        <f t="shared" ref="G76:G77" si="134">E76+11</f>
        <v>42238</v>
      </c>
      <c r="H76">
        <f>2033.09-2.02*2</f>
        <v>2029.05</v>
      </c>
      <c r="J76">
        <f t="shared" ref="J76:J77" si="135">ROUND((H76-D76)/D76*365/(G76-E76)*100,2)</f>
        <v>48.2</v>
      </c>
      <c r="K76">
        <f t="shared" ref="K76:K77" si="136">H76-D76+I76</f>
        <v>29.049999999999955</v>
      </c>
    </row>
    <row r="77" spans="1:12" x14ac:dyDescent="0.15">
      <c r="A77" s="3" t="s">
        <v>73</v>
      </c>
      <c r="B77">
        <v>731</v>
      </c>
      <c r="C77">
        <v>7.3</v>
      </c>
      <c r="D77">
        <v>2000</v>
      </c>
      <c r="E77" s="1">
        <v>42227</v>
      </c>
      <c r="F77" s="1">
        <f t="shared" si="133"/>
        <v>42228</v>
      </c>
      <c r="G77" s="5">
        <f t="shared" si="134"/>
        <v>42238</v>
      </c>
      <c r="H77">
        <f>2032.45-2.03*2</f>
        <v>2028.39</v>
      </c>
      <c r="J77">
        <f t="shared" si="135"/>
        <v>47.1</v>
      </c>
      <c r="K77">
        <f t="shared" si="136"/>
        <v>28.3900000000001</v>
      </c>
    </row>
    <row r="78" spans="1:12" x14ac:dyDescent="0.15">
      <c r="A78" s="3" t="s">
        <v>51</v>
      </c>
      <c r="B78">
        <v>366</v>
      </c>
      <c r="C78">
        <v>8</v>
      </c>
      <c r="D78">
        <v>3000</v>
      </c>
      <c r="E78" s="1">
        <v>42228</v>
      </c>
      <c r="F78" s="1">
        <f t="shared" ref="F78:F79" si="137">E78+1</f>
        <v>42229</v>
      </c>
      <c r="G78" s="5">
        <f t="shared" ref="G78:G79" si="138">E78+11</f>
        <v>42239</v>
      </c>
      <c r="H78">
        <f>3048.51-3.04*2</f>
        <v>3042.4300000000003</v>
      </c>
      <c r="J78">
        <f t="shared" ref="J78:J79" si="139">ROUND((H78-D78)/D78*365/(G78-E78)*100,2)</f>
        <v>46.93</v>
      </c>
      <c r="K78">
        <f t="shared" ref="K78:K79" si="140">H78-D78+I78</f>
        <v>42.430000000000291</v>
      </c>
    </row>
    <row r="79" spans="1:12" x14ac:dyDescent="0.15">
      <c r="A79" s="3" t="s">
        <v>73</v>
      </c>
      <c r="B79">
        <v>731</v>
      </c>
      <c r="C79">
        <v>7.3</v>
      </c>
      <c r="D79">
        <v>2000</v>
      </c>
      <c r="E79" s="1">
        <v>42228</v>
      </c>
      <c r="F79" s="1">
        <f t="shared" si="137"/>
        <v>42229</v>
      </c>
      <c r="G79" s="5">
        <f t="shared" si="138"/>
        <v>42239</v>
      </c>
      <c r="H79">
        <f>2030.33-2.03*2</f>
        <v>2026.27</v>
      </c>
      <c r="J79">
        <f t="shared" si="139"/>
        <v>43.58</v>
      </c>
      <c r="K79">
        <f t="shared" si="140"/>
        <v>26.269999999999982</v>
      </c>
    </row>
    <row r="80" spans="1:12" x14ac:dyDescent="0.15">
      <c r="A80" s="3" t="s">
        <v>51</v>
      </c>
      <c r="B80">
        <v>366</v>
      </c>
      <c r="C80">
        <v>8</v>
      </c>
      <c r="D80">
        <v>2000</v>
      </c>
      <c r="E80" s="1">
        <v>42229</v>
      </c>
      <c r="F80" s="1">
        <f t="shared" ref="F80:F81" si="141">E80+1</f>
        <v>42230</v>
      </c>
      <c r="G80" s="5">
        <f t="shared" ref="G80:G81" si="142">E80+11</f>
        <v>42240</v>
      </c>
      <c r="H80">
        <f>2031.03-2.03*2</f>
        <v>2026.97</v>
      </c>
      <c r="J80">
        <f t="shared" ref="J80:J81" si="143">ROUND((H80-D80)/D80*365/(G80-E80)*100,2)</f>
        <v>44.75</v>
      </c>
      <c r="K80">
        <f t="shared" ref="K80:K81" si="144">H80-D80+I80</f>
        <v>26.970000000000027</v>
      </c>
    </row>
    <row r="81" spans="1:11" x14ac:dyDescent="0.15">
      <c r="A81" s="3" t="s">
        <v>73</v>
      </c>
      <c r="B81">
        <v>731</v>
      </c>
      <c r="C81">
        <v>7.3</v>
      </c>
      <c r="D81">
        <v>2000</v>
      </c>
      <c r="E81" s="1">
        <v>42229</v>
      </c>
      <c r="F81" s="1">
        <f t="shared" si="141"/>
        <v>42230</v>
      </c>
      <c r="G81" s="5">
        <f t="shared" si="142"/>
        <v>42240</v>
      </c>
      <c r="H81">
        <f>1924.67+100-1.91*2-0.2</f>
        <v>2020.65</v>
      </c>
      <c r="J81">
        <f t="shared" si="143"/>
        <v>34.26</v>
      </c>
      <c r="K81">
        <f t="shared" si="144"/>
        <v>20.650000000000091</v>
      </c>
    </row>
    <row r="82" spans="1:11" x14ac:dyDescent="0.15">
      <c r="A82" s="3" t="s">
        <v>51</v>
      </c>
      <c r="B82">
        <v>366</v>
      </c>
      <c r="C82">
        <v>8</v>
      </c>
      <c r="D82">
        <v>2000</v>
      </c>
      <c r="E82" s="1">
        <v>42230</v>
      </c>
      <c r="F82" s="1">
        <f t="shared" ref="F82:F83" si="145">E82+1</f>
        <v>42231</v>
      </c>
      <c r="G82" s="5">
        <f t="shared" ref="G82:G83" si="146">E82+11</f>
        <v>42241</v>
      </c>
      <c r="H82">
        <f>2027.69-2.02*2</f>
        <v>2023.65</v>
      </c>
      <c r="J82">
        <f t="shared" ref="J82:J83" si="147">ROUND((H82-D82)/D82*365/(G82-E82)*100,2)</f>
        <v>39.24</v>
      </c>
      <c r="K82">
        <f t="shared" ref="K82:K83" si="148">H82-D82+I82</f>
        <v>23.650000000000091</v>
      </c>
    </row>
    <row r="83" spans="1:11" x14ac:dyDescent="0.15">
      <c r="A83" s="3" t="s">
        <v>73</v>
      </c>
      <c r="B83">
        <v>731</v>
      </c>
      <c r="C83">
        <v>7.3</v>
      </c>
      <c r="D83">
        <v>2000</v>
      </c>
      <c r="E83" s="1">
        <v>42230</v>
      </c>
      <c r="F83" s="1">
        <f t="shared" si="145"/>
        <v>42231</v>
      </c>
      <c r="G83" s="5">
        <f t="shared" si="146"/>
        <v>42241</v>
      </c>
      <c r="H83">
        <f>2025.74-2.02*2</f>
        <v>2021.7</v>
      </c>
      <c r="J83">
        <f t="shared" si="147"/>
        <v>36</v>
      </c>
      <c r="K83">
        <f t="shared" si="148"/>
        <v>21.700000000000045</v>
      </c>
    </row>
    <row r="84" spans="1:11" x14ac:dyDescent="0.15">
      <c r="A84" s="3" t="s">
        <v>51</v>
      </c>
      <c r="B84">
        <v>366</v>
      </c>
      <c r="C84">
        <v>8</v>
      </c>
      <c r="D84">
        <v>2000</v>
      </c>
      <c r="E84" s="1">
        <v>42231</v>
      </c>
      <c r="F84" s="1">
        <f t="shared" ref="F84:F85" si="149">E84+1</f>
        <v>42232</v>
      </c>
      <c r="G84" s="5">
        <f t="shared" ref="G84:G85" si="150">E84+11</f>
        <v>42242</v>
      </c>
      <c r="H84">
        <f>2027.5-2.02*2</f>
        <v>2023.46</v>
      </c>
      <c r="J84">
        <f t="shared" ref="J84" si="151">ROUND((H84-D84)/D84*365/(G84-E84)*100,2)</f>
        <v>38.92</v>
      </c>
      <c r="K84">
        <f t="shared" ref="K84" si="152">H84-D84+I84</f>
        <v>23.460000000000036</v>
      </c>
    </row>
    <row r="85" spans="1:11" x14ac:dyDescent="0.15">
      <c r="A85" s="3" t="s">
        <v>73</v>
      </c>
      <c r="B85">
        <v>731</v>
      </c>
      <c r="C85">
        <v>7.3</v>
      </c>
      <c r="D85">
        <v>2000</v>
      </c>
      <c r="E85" s="1">
        <v>42231</v>
      </c>
      <c r="F85" s="1">
        <f t="shared" si="149"/>
        <v>42232</v>
      </c>
      <c r="G85" s="5">
        <f t="shared" si="150"/>
        <v>42242</v>
      </c>
      <c r="H85">
        <f>2019.76-2.01*2</f>
        <v>2015.74</v>
      </c>
      <c r="J85">
        <f t="shared" ref="J85" si="153">ROUND((H85-D85)/D85*365/(G85-E85)*100,2)</f>
        <v>26.11</v>
      </c>
      <c r="K85">
        <f t="shared" ref="K85" si="154">H85-D85+I85</f>
        <v>15.740000000000009</v>
      </c>
    </row>
    <row r="86" spans="1:11" x14ac:dyDescent="0.15">
      <c r="A86" s="3" t="s">
        <v>51</v>
      </c>
      <c r="B86">
        <v>366</v>
      </c>
      <c r="C86">
        <v>8</v>
      </c>
      <c r="D86">
        <v>3000</v>
      </c>
      <c r="E86" s="1">
        <v>42232</v>
      </c>
      <c r="F86" s="1">
        <f t="shared" ref="F86:F87" si="155">E86+1</f>
        <v>42233</v>
      </c>
      <c r="G86" s="5">
        <f t="shared" ref="G86:G87" si="156">E86+11</f>
        <v>42243</v>
      </c>
      <c r="H86">
        <f>3040.98-3.04*2</f>
        <v>3034.9</v>
      </c>
      <c r="J86">
        <f t="shared" ref="J86" si="157">ROUND((H86-D86)/D86*365/(G86-E86)*100,2)</f>
        <v>38.6</v>
      </c>
      <c r="K86">
        <f t="shared" ref="K86" si="158">H86-D86+I86</f>
        <v>34.900000000000091</v>
      </c>
    </row>
    <row r="87" spans="1:11" x14ac:dyDescent="0.15">
      <c r="A87" s="3" t="s">
        <v>73</v>
      </c>
      <c r="B87">
        <v>731</v>
      </c>
      <c r="C87">
        <v>7.3</v>
      </c>
      <c r="D87">
        <v>3000</v>
      </c>
      <c r="E87" s="1">
        <v>42232</v>
      </c>
      <c r="F87" s="1">
        <f t="shared" si="155"/>
        <v>42233</v>
      </c>
      <c r="G87" s="5">
        <f t="shared" si="156"/>
        <v>42243</v>
      </c>
      <c r="H87">
        <f>3029.12-3.02*2</f>
        <v>3023.08</v>
      </c>
      <c r="J87">
        <f t="shared" ref="J87" si="159">ROUND((H87-D87)/D87*365/(G87-E87)*100,2)</f>
        <v>25.53</v>
      </c>
      <c r="K87">
        <f t="shared" ref="K87" si="160">H87-D87+I87</f>
        <v>23.079999999999927</v>
      </c>
    </row>
    <row r="88" spans="1:11" x14ac:dyDescent="0.15">
      <c r="A88" s="3" t="s">
        <v>51</v>
      </c>
      <c r="B88">
        <v>366</v>
      </c>
      <c r="C88">
        <v>7.99</v>
      </c>
      <c r="D88">
        <v>2000</v>
      </c>
      <c r="E88" s="1">
        <v>42233</v>
      </c>
      <c r="F88" s="1">
        <f t="shared" ref="F88:F89" si="161">E88+1</f>
        <v>42234</v>
      </c>
      <c r="G88" s="5">
        <f t="shared" ref="G88:G89" si="162">E88+11</f>
        <v>42244</v>
      </c>
      <c r="H88">
        <f>2029.92-2.02*2</f>
        <v>2025.88</v>
      </c>
      <c r="J88">
        <f t="shared" ref="J88:J89" si="163">ROUND((H88-D88)/D88*365/(G88-E88)*100,2)</f>
        <v>42.94</v>
      </c>
      <c r="K88">
        <f t="shared" ref="K88:K89" si="164">H88-D88+I88</f>
        <v>25.880000000000109</v>
      </c>
    </row>
    <row r="89" spans="1:11" x14ac:dyDescent="0.15">
      <c r="A89" s="3" t="s">
        <v>73</v>
      </c>
      <c r="B89">
        <v>731</v>
      </c>
      <c r="C89">
        <v>7.3</v>
      </c>
      <c r="D89">
        <v>2000</v>
      </c>
      <c r="E89" s="1">
        <v>42233</v>
      </c>
      <c r="F89" s="1">
        <f t="shared" si="161"/>
        <v>42234</v>
      </c>
      <c r="G89" s="5">
        <f t="shared" si="162"/>
        <v>42244</v>
      </c>
      <c r="H89">
        <f>2019.06-2.01*2</f>
        <v>2015.04</v>
      </c>
      <c r="J89">
        <f t="shared" si="163"/>
        <v>24.95</v>
      </c>
      <c r="K89">
        <f t="shared" si="164"/>
        <v>15.039999999999964</v>
      </c>
    </row>
    <row r="90" spans="1:11" x14ac:dyDescent="0.15">
      <c r="A90" s="3" t="s">
        <v>99</v>
      </c>
      <c r="B90">
        <v>731</v>
      </c>
      <c r="C90">
        <v>7.28</v>
      </c>
      <c r="D90">
        <v>3000</v>
      </c>
      <c r="E90" s="1">
        <v>42234</v>
      </c>
      <c r="F90" s="1">
        <f t="shared" ref="F90:F91" si="165">E90+1</f>
        <v>42235</v>
      </c>
      <c r="G90" s="5">
        <f t="shared" ref="G90:G91" si="166">E90+11</f>
        <v>42245</v>
      </c>
      <c r="H90">
        <f>3026.96-3.02*2</f>
        <v>3020.92</v>
      </c>
      <c r="J90">
        <f t="shared" ref="J90" si="167">ROUND((H90-D90)/D90*365/(G90-E90)*100,2)</f>
        <v>23.14</v>
      </c>
      <c r="K90">
        <f t="shared" ref="K90" si="168">H90-D90+I90</f>
        <v>20.920000000000073</v>
      </c>
    </row>
    <row r="91" spans="1:11" x14ac:dyDescent="0.15">
      <c r="A91" s="3" t="s">
        <v>100</v>
      </c>
      <c r="B91">
        <v>366</v>
      </c>
      <c r="C91">
        <v>7.2</v>
      </c>
      <c r="D91">
        <v>2000</v>
      </c>
      <c r="E91" s="1">
        <v>42235</v>
      </c>
      <c r="F91" s="1">
        <f t="shared" si="165"/>
        <v>42236</v>
      </c>
      <c r="G91" s="5">
        <f t="shared" si="166"/>
        <v>42246</v>
      </c>
      <c r="H91">
        <f>2025.09-2.02*2</f>
        <v>2021.05</v>
      </c>
      <c r="J91">
        <f t="shared" ref="J91" si="169">ROUND((H91-D91)/D91*365/(G91-E91)*100,2)</f>
        <v>34.92</v>
      </c>
      <c r="K91">
        <f t="shared" ref="K91" si="170">H91-D91+I91</f>
        <v>21.049999999999955</v>
      </c>
    </row>
    <row r="92" spans="1:11" x14ac:dyDescent="0.15">
      <c r="A92" s="3" t="s">
        <v>99</v>
      </c>
      <c r="B92">
        <v>731</v>
      </c>
      <c r="C92">
        <v>7.28</v>
      </c>
      <c r="D92">
        <v>2000</v>
      </c>
      <c r="E92" s="1">
        <v>42235</v>
      </c>
      <c r="F92" s="1">
        <f t="shared" ref="F92:F93" si="171">E92+1</f>
        <v>42236</v>
      </c>
      <c r="G92" s="5">
        <f t="shared" ref="G92:G93" si="172">E92+11</f>
        <v>42246</v>
      </c>
      <c r="H92">
        <f>2017.63-2.01*2</f>
        <v>2013.6100000000001</v>
      </c>
      <c r="J92">
        <f t="shared" ref="J92" si="173">ROUND((H92-D92)/D92*365/(G92-E92)*100,2)</f>
        <v>22.58</v>
      </c>
      <c r="K92">
        <f t="shared" ref="K92" si="174">H92-D92+I92</f>
        <v>13.610000000000127</v>
      </c>
    </row>
    <row r="93" spans="1:11" x14ac:dyDescent="0.15">
      <c r="A93" s="3" t="s">
        <v>100</v>
      </c>
      <c r="B93">
        <v>366</v>
      </c>
      <c r="C93">
        <v>7.2</v>
      </c>
      <c r="D93">
        <v>3000</v>
      </c>
      <c r="E93" s="1">
        <v>42236</v>
      </c>
      <c r="F93" s="1">
        <f t="shared" si="171"/>
        <v>42237</v>
      </c>
      <c r="G93" s="5">
        <f t="shared" si="172"/>
        <v>42247</v>
      </c>
      <c r="H93">
        <f>3035.88-3.03*2</f>
        <v>3029.82</v>
      </c>
      <c r="J93">
        <f t="shared" ref="J93:J94" si="175">ROUND((H93-D93)/D93*365/(G93-E93)*100,2)</f>
        <v>32.979999999999997</v>
      </c>
      <c r="K93">
        <f t="shared" ref="K93:K94" si="176">H93-D93+I93</f>
        <v>29.820000000000164</v>
      </c>
    </row>
    <row r="94" spans="1:11" x14ac:dyDescent="0.15">
      <c r="A94" s="3" t="s">
        <v>99</v>
      </c>
      <c r="B94">
        <v>731</v>
      </c>
      <c r="C94">
        <v>7.28</v>
      </c>
      <c r="D94">
        <v>2000</v>
      </c>
      <c r="E94" s="1">
        <v>42236</v>
      </c>
      <c r="F94" s="1">
        <f t="shared" ref="F94:F96" si="177">E94+1</f>
        <v>42237</v>
      </c>
      <c r="G94" s="5">
        <f t="shared" ref="G94:G96" si="178">E94+11</f>
        <v>42247</v>
      </c>
      <c r="H94">
        <f>2020.42-2.02*2</f>
        <v>2016.38</v>
      </c>
      <c r="J94">
        <f t="shared" si="175"/>
        <v>27.18</v>
      </c>
      <c r="K94">
        <f t="shared" si="176"/>
        <v>16.380000000000109</v>
      </c>
    </row>
    <row r="95" spans="1:11" x14ac:dyDescent="0.15">
      <c r="A95" s="3" t="s">
        <v>100</v>
      </c>
      <c r="B95">
        <v>366</v>
      </c>
      <c r="C95">
        <v>7.2</v>
      </c>
      <c r="D95">
        <v>2000</v>
      </c>
      <c r="E95" s="1">
        <v>42237</v>
      </c>
      <c r="F95" s="1">
        <f t="shared" si="177"/>
        <v>42238</v>
      </c>
      <c r="G95" s="5">
        <v>42239</v>
      </c>
      <c r="H95">
        <f>2014.28-4.02</f>
        <v>2010.26</v>
      </c>
      <c r="J95">
        <f t="shared" ref="J95:J96" si="179">ROUND((H95-D95)/D95*365/(G95-E95)*100,2)</f>
        <v>93.62</v>
      </c>
      <c r="K95">
        <f t="shared" ref="K95:K96" si="180">H95-D95+I95</f>
        <v>10.259999999999991</v>
      </c>
    </row>
    <row r="96" spans="1:11" x14ac:dyDescent="0.15">
      <c r="A96" s="3" t="s">
        <v>73</v>
      </c>
      <c r="B96">
        <v>731</v>
      </c>
      <c r="C96">
        <v>7.3</v>
      </c>
      <c r="D96">
        <v>2000</v>
      </c>
      <c r="E96" s="1">
        <v>42237</v>
      </c>
      <c r="F96" s="1">
        <f t="shared" si="177"/>
        <v>42238</v>
      </c>
      <c r="G96" s="5">
        <f t="shared" si="178"/>
        <v>42248</v>
      </c>
      <c r="H96">
        <f>2020.82-2.02*2</f>
        <v>2016.78</v>
      </c>
      <c r="J96">
        <f t="shared" si="179"/>
        <v>27.84</v>
      </c>
      <c r="K96">
        <f t="shared" si="180"/>
        <v>16.779999999999973</v>
      </c>
    </row>
    <row r="97" spans="1:11" x14ac:dyDescent="0.15">
      <c r="A97" s="3" t="s">
        <v>100</v>
      </c>
      <c r="B97">
        <v>366</v>
      </c>
      <c r="C97">
        <v>7.2</v>
      </c>
      <c r="D97">
        <v>2000</v>
      </c>
      <c r="E97" s="1">
        <v>42238</v>
      </c>
      <c r="F97" s="1">
        <f t="shared" ref="F97:F98" si="181">E97+1</f>
        <v>42239</v>
      </c>
      <c r="G97" s="5">
        <f t="shared" ref="G97:G98" si="182">E97+11</f>
        <v>42249</v>
      </c>
      <c r="H97">
        <f>2024.53-2.01*2</f>
        <v>2020.51</v>
      </c>
      <c r="J97">
        <f t="shared" ref="J97:J98" si="183">ROUND((H97-D97)/D97*365/(G97-E97)*100,2)</f>
        <v>34.03</v>
      </c>
      <c r="K97">
        <f t="shared" ref="K97:K98" si="184">H97-D97+I97</f>
        <v>20.509999999999991</v>
      </c>
    </row>
    <row r="98" spans="1:11" x14ac:dyDescent="0.15">
      <c r="A98" s="3" t="s">
        <v>73</v>
      </c>
      <c r="B98">
        <v>731</v>
      </c>
      <c r="C98">
        <v>7.3</v>
      </c>
      <c r="D98">
        <v>2000</v>
      </c>
      <c r="E98" s="1">
        <v>42238</v>
      </c>
      <c r="F98" s="1">
        <f t="shared" si="181"/>
        <v>42239</v>
      </c>
      <c r="G98" s="5">
        <f t="shared" si="182"/>
        <v>42249</v>
      </c>
      <c r="H98">
        <f>2019.77-2.01*2</f>
        <v>2015.75</v>
      </c>
      <c r="J98">
        <f t="shared" si="183"/>
        <v>26.13</v>
      </c>
      <c r="K98">
        <f t="shared" si="184"/>
        <v>15.75</v>
      </c>
    </row>
    <row r="99" spans="1:11" x14ac:dyDescent="0.15">
      <c r="A99" s="3" t="s">
        <v>100</v>
      </c>
      <c r="B99">
        <v>366</v>
      </c>
      <c r="C99">
        <v>7.2</v>
      </c>
      <c r="D99">
        <v>3000</v>
      </c>
      <c r="E99" s="1">
        <v>42239</v>
      </c>
      <c r="F99" s="1">
        <f t="shared" ref="F99:F100" si="185">E99+1</f>
        <v>42240</v>
      </c>
      <c r="G99" s="5">
        <f t="shared" ref="G99:G100" si="186">E99+11</f>
        <v>42250</v>
      </c>
      <c r="H99">
        <f>3037.92-3.03*2</f>
        <v>3031.86</v>
      </c>
      <c r="J99">
        <f t="shared" ref="J99:J100" si="187">ROUND((H99-D99)/D99*365/(G99-E99)*100,2)</f>
        <v>35.24</v>
      </c>
      <c r="K99">
        <f t="shared" ref="K99:K100" si="188">H99-D99+I99</f>
        <v>31.860000000000127</v>
      </c>
    </row>
    <row r="100" spans="1:11" x14ac:dyDescent="0.15">
      <c r="A100" s="3" t="s">
        <v>73</v>
      </c>
      <c r="B100">
        <v>731</v>
      </c>
      <c r="C100">
        <v>7.3</v>
      </c>
      <c r="D100">
        <v>4000</v>
      </c>
      <c r="E100" s="1">
        <v>42239</v>
      </c>
      <c r="F100" s="1">
        <f t="shared" si="185"/>
        <v>42240</v>
      </c>
      <c r="G100" s="5">
        <f t="shared" si="186"/>
        <v>42250</v>
      </c>
      <c r="H100">
        <f>4038.16-4.01*2</f>
        <v>4030.14</v>
      </c>
      <c r="J100">
        <f t="shared" si="187"/>
        <v>25</v>
      </c>
      <c r="K100">
        <f t="shared" si="188"/>
        <v>30.139999999999873</v>
      </c>
    </row>
    <row r="101" spans="1:11" x14ac:dyDescent="0.15">
      <c r="A101" s="3" t="s">
        <v>60</v>
      </c>
      <c r="B101">
        <v>366</v>
      </c>
      <c r="C101">
        <v>7.7</v>
      </c>
      <c r="D101">
        <v>2000</v>
      </c>
      <c r="E101" s="1">
        <v>42240</v>
      </c>
      <c r="F101" s="1">
        <f t="shared" ref="F101:F102" si="189">E101+1</f>
        <v>42241</v>
      </c>
      <c r="G101" s="5">
        <f t="shared" ref="G101:G102" si="190">E101+11</f>
        <v>42251</v>
      </c>
      <c r="H101">
        <f>2032.66-2.03*2</f>
        <v>2028.6000000000001</v>
      </c>
      <c r="J101">
        <f t="shared" ref="J101" si="191">ROUND((H101-D101)/D101*365/(G101-E101)*100,2)</f>
        <v>47.45</v>
      </c>
      <c r="K101">
        <f t="shared" ref="K101" si="192">H101-D101+I101</f>
        <v>28.600000000000136</v>
      </c>
    </row>
    <row r="102" spans="1:11" x14ac:dyDescent="0.15">
      <c r="A102" s="3" t="s">
        <v>73</v>
      </c>
      <c r="B102">
        <v>731</v>
      </c>
      <c r="C102">
        <v>7.3</v>
      </c>
      <c r="D102">
        <v>2000</v>
      </c>
      <c r="E102" s="1">
        <v>42240</v>
      </c>
      <c r="F102" s="1">
        <f t="shared" si="189"/>
        <v>42241</v>
      </c>
      <c r="G102" s="5">
        <f t="shared" si="190"/>
        <v>42251</v>
      </c>
      <c r="H102">
        <f>2019.76-2.01*2</f>
        <v>2015.74</v>
      </c>
      <c r="J102">
        <f t="shared" ref="J102:J103" si="193">ROUND((H102-D102)/D102*365/(G102-E102)*100,2)</f>
        <v>26.11</v>
      </c>
      <c r="K102">
        <f t="shared" ref="K102:K103" si="194">H102-D102+I102</f>
        <v>15.740000000000009</v>
      </c>
    </row>
    <row r="103" spans="1:11" x14ac:dyDescent="0.15">
      <c r="A103" s="3" t="s">
        <v>110</v>
      </c>
      <c r="B103">
        <v>366</v>
      </c>
      <c r="C103">
        <v>7.99</v>
      </c>
      <c r="D103">
        <v>2000</v>
      </c>
      <c r="E103" s="1">
        <v>42241</v>
      </c>
      <c r="F103" s="1">
        <f t="shared" ref="F103:F104" si="195">E103+1</f>
        <v>42242</v>
      </c>
      <c r="G103" s="5">
        <v>42261</v>
      </c>
      <c r="H103">
        <f>2038.66-4.06</f>
        <v>2034.6000000000001</v>
      </c>
      <c r="J103">
        <f t="shared" si="193"/>
        <v>31.57</v>
      </c>
      <c r="K103">
        <f t="shared" si="194"/>
        <v>34.600000000000136</v>
      </c>
    </row>
    <row r="104" spans="1:11" x14ac:dyDescent="0.15">
      <c r="A104" s="3" t="s">
        <v>111</v>
      </c>
      <c r="B104">
        <v>731</v>
      </c>
      <c r="C104">
        <v>7.3</v>
      </c>
      <c r="D104">
        <v>2000</v>
      </c>
      <c r="E104" s="1">
        <v>42241</v>
      </c>
      <c r="F104" s="1">
        <f t="shared" si="195"/>
        <v>42242</v>
      </c>
      <c r="G104" s="5">
        <f t="shared" ref="G104" si="196">E104+11</f>
        <v>42252</v>
      </c>
      <c r="H104">
        <f>2019.42-2.01*2</f>
        <v>2015.4</v>
      </c>
      <c r="J104">
        <f t="shared" ref="J104" si="197">ROUND((H104-D104)/D104*365/(G104-E104)*100,2)</f>
        <v>25.55</v>
      </c>
      <c r="K104">
        <f t="shared" ref="K104" si="198">H104-D104+I104</f>
        <v>15.400000000000091</v>
      </c>
    </row>
    <row r="105" spans="1:11" x14ac:dyDescent="0.15">
      <c r="A105" s="3" t="s">
        <v>110</v>
      </c>
      <c r="B105">
        <v>366</v>
      </c>
      <c r="C105">
        <v>7.99</v>
      </c>
      <c r="D105">
        <v>2000</v>
      </c>
      <c r="E105" s="1">
        <v>42242</v>
      </c>
      <c r="F105" s="1">
        <f t="shared" ref="F105" si="199">E105+1</f>
        <v>42243</v>
      </c>
      <c r="G105" s="5">
        <v>42261</v>
      </c>
      <c r="H105">
        <f>2038.33-4.06</f>
        <v>2034.27</v>
      </c>
      <c r="J105">
        <f t="shared" ref="J105" si="200">ROUND((H105-D105)/D105*365/(G105-E105)*100,2)</f>
        <v>32.92</v>
      </c>
      <c r="K105">
        <f t="shared" ref="K105" si="201">H105-D105+I105</f>
        <v>34.269999999999982</v>
      </c>
    </row>
    <row r="106" spans="1:11" x14ac:dyDescent="0.15">
      <c r="A106" s="2" t="s">
        <v>114</v>
      </c>
      <c r="B106">
        <v>706</v>
      </c>
      <c r="C106">
        <v>7.2</v>
      </c>
      <c r="D106">
        <v>117</v>
      </c>
      <c r="E106" s="1">
        <v>42242</v>
      </c>
      <c r="F106" s="1">
        <v>42242</v>
      </c>
      <c r="G106" s="4">
        <f t="shared" ref="G106" si="202">E106+11</f>
        <v>42253</v>
      </c>
    </row>
    <row r="107" spans="1:11" x14ac:dyDescent="0.15">
      <c r="A107" s="3" t="s">
        <v>110</v>
      </c>
      <c r="B107">
        <v>366</v>
      </c>
      <c r="C107">
        <v>7.99</v>
      </c>
      <c r="D107">
        <v>3000</v>
      </c>
      <c r="E107" s="1">
        <v>42243</v>
      </c>
      <c r="F107" s="1">
        <f t="shared" ref="F107" si="203">E107+1</f>
        <v>42244</v>
      </c>
      <c r="G107" s="5">
        <v>42261</v>
      </c>
      <c r="H107">
        <f>3057.01-6.1</f>
        <v>3050.9100000000003</v>
      </c>
      <c r="J107">
        <f t="shared" ref="J107:J112" si="204">ROUND((H107-D107)/D107*365/(G107-E107)*100,2)</f>
        <v>34.409999999999997</v>
      </c>
      <c r="K107">
        <f t="shared" ref="K107:K112" si="205">H107-D107+I107</f>
        <v>50.910000000000309</v>
      </c>
    </row>
    <row r="108" spans="1:11" x14ac:dyDescent="0.15">
      <c r="A108" s="3" t="s">
        <v>110</v>
      </c>
      <c r="B108">
        <v>366</v>
      </c>
      <c r="C108">
        <v>7.99</v>
      </c>
      <c r="D108">
        <v>2000</v>
      </c>
      <c r="E108" s="1">
        <v>42244</v>
      </c>
      <c r="F108" s="1">
        <f t="shared" ref="F108" si="206">E108+1</f>
        <v>42245</v>
      </c>
      <c r="G108" s="5">
        <v>42261</v>
      </c>
      <c r="H108">
        <f>2037.67-4.06</f>
        <v>2033.6100000000001</v>
      </c>
      <c r="J108">
        <f t="shared" si="204"/>
        <v>36.08</v>
      </c>
      <c r="K108">
        <f t="shared" si="205"/>
        <v>33.610000000000127</v>
      </c>
    </row>
    <row r="109" spans="1:11" x14ac:dyDescent="0.15">
      <c r="A109" s="3" t="s">
        <v>110</v>
      </c>
      <c r="B109">
        <v>366</v>
      </c>
      <c r="C109">
        <v>7.99</v>
      </c>
      <c r="D109">
        <v>14000</v>
      </c>
      <c r="E109" s="1">
        <v>42246</v>
      </c>
      <c r="F109" s="1">
        <f t="shared" ref="F109:F110" si="207">E109+1</f>
        <v>42247</v>
      </c>
      <c r="G109" s="5">
        <v>42261</v>
      </c>
      <c r="H109">
        <f>10356.58+3901.62-10.34*2-3.9*2</f>
        <v>14229.720000000001</v>
      </c>
      <c r="J109">
        <f t="shared" si="204"/>
        <v>39.93</v>
      </c>
      <c r="K109">
        <f t="shared" si="205"/>
        <v>229.72000000000116</v>
      </c>
    </row>
    <row r="110" spans="1:11" x14ac:dyDescent="0.15">
      <c r="A110" s="3" t="s">
        <v>119</v>
      </c>
      <c r="B110">
        <v>366</v>
      </c>
      <c r="C110">
        <v>7.7</v>
      </c>
      <c r="D110">
        <v>7000</v>
      </c>
      <c r="E110" s="1">
        <v>42248</v>
      </c>
      <c r="F110" s="1">
        <f t="shared" si="207"/>
        <v>42249</v>
      </c>
      <c r="G110" s="5">
        <v>42261</v>
      </c>
      <c r="H110">
        <f>7107.48-14.2</f>
        <v>7093.28</v>
      </c>
      <c r="J110">
        <f t="shared" si="204"/>
        <v>37.409999999999997</v>
      </c>
      <c r="K110">
        <f t="shared" si="205"/>
        <v>93.279999999999745</v>
      </c>
    </row>
    <row r="111" spans="1:11" x14ac:dyDescent="0.15">
      <c r="A111" s="3" t="s">
        <v>118</v>
      </c>
      <c r="B111">
        <v>366</v>
      </c>
      <c r="C111">
        <v>7.7</v>
      </c>
      <c r="D111">
        <v>4000</v>
      </c>
      <c r="E111" s="1">
        <v>42249</v>
      </c>
      <c r="F111" s="1">
        <f t="shared" ref="F111" si="208">E111+1</f>
        <v>42250</v>
      </c>
      <c r="G111" s="5">
        <v>42261</v>
      </c>
      <c r="H111">
        <f>3961.13+100-7.92-0.2</f>
        <v>4053.01</v>
      </c>
      <c r="J111">
        <f t="shared" si="204"/>
        <v>40.31</v>
      </c>
      <c r="K111">
        <f t="shared" si="205"/>
        <v>53.010000000000218</v>
      </c>
    </row>
    <row r="112" spans="1:11" x14ac:dyDescent="0.15">
      <c r="A112" s="3" t="s">
        <v>118</v>
      </c>
      <c r="B112">
        <v>366</v>
      </c>
      <c r="C112">
        <v>7.7</v>
      </c>
      <c r="D112">
        <v>7000</v>
      </c>
      <c r="E112" s="1">
        <v>42250</v>
      </c>
      <c r="F112" s="1">
        <f t="shared" ref="F112" si="209">E112+1</f>
        <v>42251</v>
      </c>
      <c r="G112" s="5">
        <v>42261</v>
      </c>
      <c r="H112">
        <f>7105.18-7.1*2</f>
        <v>7090.9800000000005</v>
      </c>
      <c r="J112">
        <f t="shared" si="204"/>
        <v>43.13</v>
      </c>
      <c r="K112">
        <f t="shared" si="205"/>
        <v>90.980000000000473</v>
      </c>
    </row>
    <row r="113" spans="1:11" x14ac:dyDescent="0.15">
      <c r="A113" s="3" t="s">
        <v>118</v>
      </c>
      <c r="B113">
        <v>366</v>
      </c>
      <c r="C113">
        <v>7.7</v>
      </c>
      <c r="D113">
        <v>4000</v>
      </c>
      <c r="E113" s="1">
        <v>42251</v>
      </c>
      <c r="F113" s="1">
        <f t="shared" ref="F113" si="210">E113+1</f>
        <v>42252</v>
      </c>
      <c r="G113" s="5">
        <f t="shared" ref="G113" si="211">E113+11</f>
        <v>42262</v>
      </c>
      <c r="H113">
        <f>4056.74-4.05*2</f>
        <v>4048.64</v>
      </c>
      <c r="J113">
        <f t="shared" ref="J113" si="212">ROUND((H113-D113)/D113*365/(G113-E113)*100,2)</f>
        <v>40.35</v>
      </c>
      <c r="K113">
        <f t="shared" ref="K113" si="213">H113-D113+I113</f>
        <v>48.639999999999873</v>
      </c>
    </row>
    <row r="114" spans="1:11" x14ac:dyDescent="0.15">
      <c r="A114" s="3" t="s">
        <v>121</v>
      </c>
      <c r="B114">
        <v>621</v>
      </c>
      <c r="C114">
        <v>7.3</v>
      </c>
      <c r="D114">
        <v>370</v>
      </c>
      <c r="E114" s="1">
        <v>42253</v>
      </c>
      <c r="F114" s="1">
        <f>E114+1</f>
        <v>42254</v>
      </c>
      <c r="G114" s="5">
        <v>42267</v>
      </c>
      <c r="H114">
        <f>373.13-0.37*2</f>
        <v>372.39</v>
      </c>
      <c r="J114">
        <f t="shared" ref="J114" si="214">ROUND((H114-D114)/D114*365/(G114-E114)*100,2)</f>
        <v>16.84</v>
      </c>
      <c r="K114">
        <f t="shared" ref="K114" si="215">H114-D114+I114</f>
        <v>2.3899999999999864</v>
      </c>
    </row>
    <row r="115" spans="1:11" x14ac:dyDescent="0.15">
      <c r="A115" s="3" t="s">
        <v>118</v>
      </c>
      <c r="B115">
        <v>366</v>
      </c>
      <c r="C115">
        <v>7.7</v>
      </c>
      <c r="D115">
        <v>4000</v>
      </c>
      <c r="E115" s="1">
        <v>42253</v>
      </c>
      <c r="F115" s="1">
        <f>E115+1</f>
        <v>42254</v>
      </c>
      <c r="G115" s="5">
        <v>42287</v>
      </c>
      <c r="H115">
        <f>4114.31-4.1*2</f>
        <v>4106.1100000000006</v>
      </c>
      <c r="J115">
        <f t="shared" ref="J115" si="216">ROUND((H115-D115)/D115*365/(G115-E115)*100,2)</f>
        <v>28.48</v>
      </c>
      <c r="K115">
        <f t="shared" ref="K115" si="217">H115-D115+I115</f>
        <v>106.11000000000058</v>
      </c>
    </row>
    <row r="116" spans="1:11" x14ac:dyDescent="0.15">
      <c r="A116" s="2" t="s">
        <v>136</v>
      </c>
      <c r="B116">
        <v>366</v>
      </c>
      <c r="C116">
        <v>6.5</v>
      </c>
      <c r="D116">
        <v>20000</v>
      </c>
      <c r="E116" s="1">
        <v>42338</v>
      </c>
      <c r="F116" s="1">
        <f>E116+1</f>
        <v>42339</v>
      </c>
      <c r="G116" s="4">
        <f>E116+11</f>
        <v>42349</v>
      </c>
    </row>
    <row r="117" spans="1:11" x14ac:dyDescent="0.15">
      <c r="A117" s="2" t="s">
        <v>136</v>
      </c>
      <c r="B117">
        <v>366</v>
      </c>
      <c r="C117">
        <v>6.5</v>
      </c>
      <c r="D117">
        <v>13000</v>
      </c>
      <c r="E117" s="1">
        <v>42343</v>
      </c>
      <c r="F117" s="1">
        <f>E117+1</f>
        <v>42344</v>
      </c>
      <c r="G117" s="4">
        <f>E117+11</f>
        <v>42354</v>
      </c>
    </row>
  </sheetData>
  <autoFilter ref="A1:L115"/>
  <phoneticPr fontId="1" type="noConversion"/>
  <pageMargins left="0.7" right="0.7" top="0.75" bottom="0.75" header="0.3" footer="0.3"/>
  <pageSetup paperSize="7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selection activeCell="F2" sqref="F2"/>
    </sheetView>
  </sheetViews>
  <sheetFormatPr defaultRowHeight="13.5" x14ac:dyDescent="0.15"/>
  <cols>
    <col min="1" max="1" width="31.375" customWidth="1"/>
    <col min="2" max="2" width="9.125" bestFit="1" customWidth="1"/>
    <col min="3" max="3" width="9" bestFit="1" customWidth="1"/>
    <col min="4" max="4" width="11.625" bestFit="1" customWidth="1"/>
    <col min="5" max="5" width="11.625" customWidth="1"/>
    <col min="6" max="6" width="10.5" bestFit="1" customWidth="1"/>
    <col min="9" max="9" width="10.5" bestFit="1" customWidth="1"/>
  </cols>
  <sheetData>
    <row r="1" spans="1:10" x14ac:dyDescent="0.15">
      <c r="B1" t="s">
        <v>40</v>
      </c>
      <c r="C1" t="s">
        <v>18</v>
      </c>
      <c r="D1" t="s">
        <v>14</v>
      </c>
      <c r="E1" t="s">
        <v>39</v>
      </c>
      <c r="F1" t="s">
        <v>15</v>
      </c>
      <c r="G1" t="s">
        <v>16</v>
      </c>
      <c r="H1" t="s">
        <v>17</v>
      </c>
      <c r="I1" t="s">
        <v>41</v>
      </c>
      <c r="J1" t="s">
        <v>42</v>
      </c>
    </row>
    <row r="2" spans="1:10" x14ac:dyDescent="0.15">
      <c r="A2" t="s">
        <v>38</v>
      </c>
      <c r="B2">
        <v>92</v>
      </c>
      <c r="C2">
        <v>10000</v>
      </c>
      <c r="D2" s="1">
        <v>42142</v>
      </c>
      <c r="E2" s="1">
        <v>42143</v>
      </c>
      <c r="F2" s="1">
        <v>42234</v>
      </c>
      <c r="G2">
        <f>10153.46-C2</f>
        <v>153.45999999999913</v>
      </c>
      <c r="H2">
        <f>ROUND(G2*365/(F2-E2)/C2*100,2)</f>
        <v>6.16</v>
      </c>
      <c r="I2">
        <v>50</v>
      </c>
      <c r="J2">
        <f>ROUND((G2+I2)*365/(F2-D2)/C2*100,2)</f>
        <v>8.07</v>
      </c>
    </row>
    <row r="3" spans="1:10" x14ac:dyDescent="0.15">
      <c r="A3" t="s">
        <v>38</v>
      </c>
      <c r="B3">
        <v>91</v>
      </c>
      <c r="C3">
        <v>10000</v>
      </c>
      <c r="D3" s="1">
        <v>42143</v>
      </c>
      <c r="E3" s="1">
        <v>42144</v>
      </c>
      <c r="F3" s="1">
        <f>F2</f>
        <v>42234</v>
      </c>
      <c r="G3">
        <f>151.77</f>
        <v>151.77000000000001</v>
      </c>
      <c r="H3">
        <f>ROUND(G3*365/(F3-E3)/C3*100,2)</f>
        <v>6.16</v>
      </c>
      <c r="I3">
        <v>50</v>
      </c>
      <c r="J3">
        <f>ROUND((G3+I3)*365/(F3-D3)/C3*100,2)</f>
        <v>8.09</v>
      </c>
    </row>
    <row r="4" spans="1:10" x14ac:dyDescent="0.15">
      <c r="D4" s="1"/>
      <c r="E4" s="1"/>
      <c r="F4" s="1"/>
    </row>
    <row r="5" spans="1:10" x14ac:dyDescent="0.15">
      <c r="D5" s="1"/>
      <c r="E5" s="1"/>
      <c r="F5" s="1"/>
    </row>
    <row r="6" spans="1:10" x14ac:dyDescent="0.15">
      <c r="D6" s="1"/>
      <c r="E6" s="1"/>
      <c r="F6" s="1"/>
    </row>
    <row r="7" spans="1:10" x14ac:dyDescent="0.15">
      <c r="D7" s="1"/>
      <c r="E7" s="1"/>
      <c r="F7" s="1"/>
    </row>
    <row r="8" spans="1:10" x14ac:dyDescent="0.15">
      <c r="D8" s="1"/>
      <c r="E8" s="1"/>
      <c r="F8" s="1"/>
    </row>
    <row r="9" spans="1:10" x14ac:dyDescent="0.15">
      <c r="D9" s="1"/>
      <c r="E9" s="1"/>
      <c r="F9" s="1"/>
    </row>
  </sheetData>
  <phoneticPr fontId="1" type="noConversion"/>
  <pageMargins left="0.7" right="0.7" top="0.75" bottom="0.75" header="0.3" footer="0.3"/>
  <pageSetup paperSize="7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>
      <selection activeCell="A6" sqref="A6"/>
    </sheetView>
  </sheetViews>
  <sheetFormatPr defaultRowHeight="13.5" x14ac:dyDescent="0.15"/>
  <cols>
    <col min="1" max="1" width="21.375" bestFit="1" customWidth="1"/>
    <col min="5" max="6" width="11.625" bestFit="1" customWidth="1"/>
    <col min="7" max="7" width="10.5" bestFit="1" customWidth="1"/>
    <col min="8" max="9" width="9.75" bestFit="1" customWidth="1"/>
    <col min="10" max="10" width="11.875" bestFit="1" customWidth="1"/>
    <col min="11" max="11" width="9.75" bestFit="1" customWidth="1"/>
  </cols>
  <sheetData>
    <row r="1" spans="1:11" s="2" customFormat="1" x14ac:dyDescent="0.15">
      <c r="B1" s="2" t="s">
        <v>34</v>
      </c>
      <c r="C1" s="2" t="s">
        <v>55</v>
      </c>
      <c r="D1" s="2" t="s">
        <v>18</v>
      </c>
      <c r="E1" s="2" t="s">
        <v>14</v>
      </c>
      <c r="F1" s="2" t="s">
        <v>24</v>
      </c>
      <c r="G1" s="2" t="s">
        <v>23</v>
      </c>
      <c r="H1" s="2" t="s">
        <v>36</v>
      </c>
      <c r="I1" s="2" t="s">
        <v>45</v>
      </c>
      <c r="J1" s="2" t="s">
        <v>37</v>
      </c>
      <c r="K1" s="2" t="s">
        <v>46</v>
      </c>
    </row>
    <row r="2" spans="1:11" x14ac:dyDescent="0.15">
      <c r="A2" t="s">
        <v>13</v>
      </c>
      <c r="B2">
        <v>729</v>
      </c>
      <c r="C2">
        <v>6.18</v>
      </c>
      <c r="D2">
        <v>2000</v>
      </c>
      <c r="E2" s="1">
        <v>41965</v>
      </c>
      <c r="F2" s="1">
        <v>41965</v>
      </c>
      <c r="G2" s="1">
        <v>42055</v>
      </c>
      <c r="H2">
        <v>2030.74</v>
      </c>
      <c r="I2">
        <v>0.01</v>
      </c>
      <c r="J2">
        <f>ROUND((H2-D2)/D2*365/(G2-E2)*100,2)</f>
        <v>6.23</v>
      </c>
      <c r="K2">
        <f>H2+I2-D2</f>
        <v>30.75</v>
      </c>
    </row>
    <row r="3" spans="1:11" x14ac:dyDescent="0.15">
      <c r="A3" t="s">
        <v>12</v>
      </c>
      <c r="B3">
        <v>729</v>
      </c>
      <c r="C3">
        <v>6.18</v>
      </c>
      <c r="D3">
        <v>2000</v>
      </c>
      <c r="E3" s="1">
        <v>41965</v>
      </c>
      <c r="F3" s="1">
        <v>41965</v>
      </c>
      <c r="G3" s="1">
        <v>42055</v>
      </c>
      <c r="H3">
        <v>2048.5299999999997</v>
      </c>
      <c r="I3">
        <v>0.01</v>
      </c>
      <c r="J3">
        <f>ROUND((H3-D3)/D3*365/(G3-E3)*100,2)</f>
        <v>9.84</v>
      </c>
      <c r="K3">
        <f>H3+I3-D3</f>
        <v>48.539999999999964</v>
      </c>
    </row>
    <row r="4" spans="1:11" x14ac:dyDescent="0.15">
      <c r="A4" t="s">
        <v>11</v>
      </c>
      <c r="B4">
        <v>729</v>
      </c>
      <c r="C4">
        <v>6.18</v>
      </c>
      <c r="D4">
        <f>2426.85</f>
        <v>2426.85</v>
      </c>
      <c r="E4" s="1">
        <v>41965</v>
      </c>
      <c r="F4" s="1">
        <v>41965</v>
      </c>
      <c r="G4" s="1">
        <v>42055</v>
      </c>
      <c r="H4">
        <v>2485.7399999999998</v>
      </c>
      <c r="I4">
        <v>0.01</v>
      </c>
      <c r="J4">
        <f>ROUND((H4-D4)/D4*365/(G4-E4)*100,2)</f>
        <v>9.84</v>
      </c>
      <c r="K4">
        <f>H4+I4-D4</f>
        <v>58.900000000000091</v>
      </c>
    </row>
    <row r="5" spans="1:11" x14ac:dyDescent="0.15">
      <c r="A5" t="s">
        <v>9</v>
      </c>
      <c r="B5">
        <v>730</v>
      </c>
      <c r="C5">
        <v>6.95</v>
      </c>
      <c r="D5">
        <v>1000</v>
      </c>
      <c r="E5" s="1">
        <v>42010</v>
      </c>
      <c r="F5" s="1">
        <v>42010</v>
      </c>
      <c r="G5" s="1">
        <v>42059</v>
      </c>
      <c r="H5">
        <v>1038.49</v>
      </c>
      <c r="I5">
        <v>0.02</v>
      </c>
      <c r="J5">
        <f>ROUND((H5-D5)/D5*365/(G5-E5)*100,2)</f>
        <v>28.67</v>
      </c>
      <c r="K5">
        <f>H5+I5-D5</f>
        <v>38.509999999999991</v>
      </c>
    </row>
    <row r="6" spans="1:11" x14ac:dyDescent="0.15">
      <c r="A6" t="s">
        <v>48</v>
      </c>
      <c r="B6">
        <v>540</v>
      </c>
      <c r="D6">
        <v>5000</v>
      </c>
      <c r="E6" s="1">
        <v>42164</v>
      </c>
      <c r="F6" s="1">
        <v>42164</v>
      </c>
      <c r="G6" s="1">
        <v>42165</v>
      </c>
      <c r="H6">
        <v>4530.41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workbookViewId="0">
      <selection activeCell="H7" sqref="H7"/>
    </sheetView>
  </sheetViews>
  <sheetFormatPr defaultRowHeight="13.5" x14ac:dyDescent="0.15"/>
  <cols>
    <col min="1" max="1" width="22.5" bestFit="1" customWidth="1"/>
    <col min="2" max="2" width="10.25" customWidth="1"/>
    <col min="3" max="3" width="13" customWidth="1"/>
    <col min="4" max="6" width="12.625" customWidth="1"/>
    <col min="7" max="7" width="7.125" bestFit="1" customWidth="1"/>
    <col min="8" max="8" width="11.5" customWidth="1"/>
    <col min="9" max="9" width="7.25" customWidth="1"/>
    <col min="10" max="10" width="11.625" customWidth="1"/>
  </cols>
  <sheetData>
    <row r="1" spans="1:10" x14ac:dyDescent="0.15">
      <c r="A1" s="7" t="s">
        <v>143</v>
      </c>
      <c r="B1" s="7"/>
      <c r="C1" s="7" t="s">
        <v>149</v>
      </c>
      <c r="D1" s="7"/>
      <c r="E1" s="7" t="s">
        <v>140</v>
      </c>
      <c r="F1" s="7"/>
      <c r="G1" s="7" t="s">
        <v>144</v>
      </c>
      <c r="H1" s="7"/>
      <c r="I1" s="7" t="s">
        <v>145</v>
      </c>
      <c r="J1" s="7"/>
    </row>
    <row r="2" spans="1:10" ht="14.25" x14ac:dyDescent="0.15">
      <c r="A2" t="s">
        <v>125</v>
      </c>
      <c r="B2">
        <v>117</v>
      </c>
      <c r="C2" t="s">
        <v>138</v>
      </c>
      <c r="D2">
        <v>10000</v>
      </c>
      <c r="G2" t="s">
        <v>124</v>
      </c>
      <c r="H2">
        <f>15114.67</f>
        <v>15114.67</v>
      </c>
      <c r="I2" t="s">
        <v>135</v>
      </c>
      <c r="J2" s="6">
        <v>0</v>
      </c>
    </row>
    <row r="3" spans="1:10" x14ac:dyDescent="0.15">
      <c r="A3" t="s">
        <v>147</v>
      </c>
      <c r="B3">
        <v>20000</v>
      </c>
    </row>
    <row r="4" spans="1:10" x14ac:dyDescent="0.15">
      <c r="A4" t="s">
        <v>147</v>
      </c>
      <c r="B4">
        <v>13000</v>
      </c>
    </row>
    <row r="5" spans="1:10" x14ac:dyDescent="0.15">
      <c r="C5" s="2"/>
    </row>
    <row r="6" spans="1:10" x14ac:dyDescent="0.15">
      <c r="C6" s="2"/>
    </row>
    <row r="7" spans="1:10" x14ac:dyDescent="0.15">
      <c r="A7" t="s">
        <v>148</v>
      </c>
      <c r="B7">
        <f>SUM(B2:B4)</f>
        <v>33117</v>
      </c>
      <c r="C7" t="s">
        <v>148</v>
      </c>
      <c r="D7">
        <f>SUM(D2:D4)</f>
        <v>10000</v>
      </c>
      <c r="E7" t="s">
        <v>148</v>
      </c>
      <c r="F7">
        <f>SUM(F2:F4)</f>
        <v>0</v>
      </c>
      <c r="G7" t="s">
        <v>148</v>
      </c>
      <c r="H7">
        <f>SUM(H2:H4)</f>
        <v>15114.67</v>
      </c>
      <c r="I7" t="s">
        <v>148</v>
      </c>
      <c r="J7">
        <f>SUM(J2:J4)</f>
        <v>0</v>
      </c>
    </row>
    <row r="8" spans="1:10" x14ac:dyDescent="0.15">
      <c r="A8" t="s">
        <v>146</v>
      </c>
      <c r="B8">
        <f>B7+D7+F7+H7+J7</f>
        <v>58231.67</v>
      </c>
    </row>
  </sheetData>
  <mergeCells count="5">
    <mergeCell ref="A1:B1"/>
    <mergeCell ref="C1:D1"/>
    <mergeCell ref="G1:H1"/>
    <mergeCell ref="I1:J1"/>
    <mergeCell ref="E1:F1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selection activeCell="I5" sqref="I5"/>
    </sheetView>
  </sheetViews>
  <sheetFormatPr defaultRowHeight="13.5" x14ac:dyDescent="0.15"/>
  <cols>
    <col min="1" max="1" width="11.625" bestFit="1" customWidth="1"/>
    <col min="2" max="2" width="13.125" bestFit="1" customWidth="1"/>
    <col min="3" max="3" width="20.875" customWidth="1"/>
    <col min="4" max="4" width="19.75" bestFit="1" customWidth="1"/>
    <col min="5" max="5" width="19.875" customWidth="1"/>
  </cols>
  <sheetData>
    <row r="1" spans="1:9" x14ac:dyDescent="0.15">
      <c r="A1" t="s">
        <v>131</v>
      </c>
      <c r="B1" t="s">
        <v>139</v>
      </c>
      <c r="C1" t="s">
        <v>137</v>
      </c>
      <c r="D1" t="s">
        <v>141</v>
      </c>
      <c r="E1" t="s">
        <v>142</v>
      </c>
      <c r="F1" t="s">
        <v>132</v>
      </c>
      <c r="G1" t="s">
        <v>133</v>
      </c>
      <c r="H1" t="s">
        <v>134</v>
      </c>
      <c r="I1" t="s">
        <v>126</v>
      </c>
    </row>
    <row r="2" spans="1:9" x14ac:dyDescent="0.15">
      <c r="A2" s="1">
        <v>42278</v>
      </c>
      <c r="B2">
        <f>4000+117</f>
        <v>4117</v>
      </c>
      <c r="C2">
        <v>20000</v>
      </c>
      <c r="D2">
        <f>21868.09+10000-2914.99</f>
        <v>28953.1</v>
      </c>
      <c r="E2">
        <f>29-8</f>
        <v>21</v>
      </c>
      <c r="F2">
        <v>0</v>
      </c>
      <c r="G2">
        <v>0</v>
      </c>
      <c r="H2">
        <v>0</v>
      </c>
      <c r="I2">
        <f>SUM(B2:H2)</f>
        <v>53091.1</v>
      </c>
    </row>
    <row r="3" spans="1:9" x14ac:dyDescent="0.15">
      <c r="A3" s="1">
        <v>42305</v>
      </c>
      <c r="B3">
        <v>117</v>
      </c>
      <c r="C3">
        <v>0</v>
      </c>
      <c r="D3">
        <f>21296.18+1006.07</f>
        <v>22302.25</v>
      </c>
      <c r="E3">
        <v>31191.34</v>
      </c>
      <c r="F3">
        <v>0</v>
      </c>
      <c r="G3">
        <v>0</v>
      </c>
      <c r="H3">
        <v>0</v>
      </c>
      <c r="I3">
        <f>SUM(B3:H3)</f>
        <v>53610.59</v>
      </c>
    </row>
    <row r="4" spans="1:9" x14ac:dyDescent="0.15">
      <c r="A4" s="1">
        <v>42338</v>
      </c>
      <c r="B4">
        <f>20000+117</f>
        <v>20117</v>
      </c>
      <c r="C4">
        <v>0</v>
      </c>
      <c r="D4">
        <f>20720.27</f>
        <v>20720.27</v>
      </c>
      <c r="E4">
        <v>0</v>
      </c>
      <c r="F4">
        <v>15323.94</v>
      </c>
      <c r="G4">
        <v>0</v>
      </c>
      <c r="H4">
        <v>0</v>
      </c>
      <c r="I4">
        <f>SUM(B4:H4)</f>
        <v>56161.210000000006</v>
      </c>
    </row>
    <row r="5" spans="1:9" x14ac:dyDescent="0.15">
      <c r="A5" s="1">
        <v>42343</v>
      </c>
      <c r="B5">
        <v>33117</v>
      </c>
      <c r="C5">
        <v>10000</v>
      </c>
      <c r="D5">
        <v>0</v>
      </c>
      <c r="E5">
        <v>0</v>
      </c>
      <c r="F5">
        <v>15114.67</v>
      </c>
      <c r="G5">
        <v>0</v>
      </c>
      <c r="H5">
        <v>0</v>
      </c>
      <c r="I5">
        <f>SUM(B5:H5)</f>
        <v>58231.67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试算</vt:lpstr>
      <vt:lpstr>招财宝</vt:lpstr>
      <vt:lpstr>招财宝_王蕾</vt:lpstr>
      <vt:lpstr>京东</vt:lpstr>
      <vt:lpstr>招财宝-其他</vt:lpstr>
      <vt:lpstr>资产_王蕾</vt:lpstr>
      <vt:lpstr>王蕾_资产统计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BB</dc:creator>
  <cp:lastModifiedBy>Kenny</cp:lastModifiedBy>
  <dcterms:created xsi:type="dcterms:W3CDTF">2014-11-15T05:48:29Z</dcterms:created>
  <dcterms:modified xsi:type="dcterms:W3CDTF">2015-12-06T05:53:24Z</dcterms:modified>
</cp:coreProperties>
</file>