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纸尿裤" sheetId="1" r:id="rId1"/>
    <sheet name="防溢乳垫" sheetId="2" r:id="rId2"/>
    <sheet name="湿纸巾" sheetId="3" r:id="rId3"/>
    <sheet name="米粉" sheetId="4" r:id="rId4"/>
  </sheets>
  <definedNames>
    <definedName name="_xlnm._FilterDatabase" localSheetId="2" hidden="1">湿纸巾!$A$2:$I$28</definedName>
  </definedNames>
  <calcPr calcId="152511"/>
</workbook>
</file>

<file path=xl/calcChain.xml><?xml version="1.0" encoding="utf-8"?>
<calcChain xmlns="http://schemas.openxmlformats.org/spreadsheetml/2006/main">
  <c r="E76" i="1" l="1"/>
  <c r="E75" i="1"/>
  <c r="E74" i="1"/>
  <c r="E73" i="1"/>
  <c r="C76" i="1"/>
  <c r="C75" i="1"/>
  <c r="C74" i="1"/>
  <c r="C73" i="1"/>
  <c r="D76" i="1"/>
  <c r="C102" i="1"/>
  <c r="E72" i="1" l="1"/>
  <c r="E71" i="1" l="1"/>
  <c r="E70" i="1"/>
  <c r="E69" i="1" l="1"/>
  <c r="E101" i="1"/>
  <c r="H45" i="1" l="1"/>
  <c r="E68" i="1" l="1"/>
  <c r="E67" i="1" l="1"/>
  <c r="I30" i="3" l="1"/>
  <c r="I29" i="3" l="1"/>
  <c r="E111" i="1"/>
  <c r="E100" i="1"/>
  <c r="E99" i="1"/>
  <c r="E66" i="1"/>
  <c r="C98" i="1" l="1"/>
  <c r="E98" i="1" s="1"/>
  <c r="E65" i="1"/>
  <c r="E64" i="1" l="1"/>
  <c r="E63" i="1" l="1"/>
  <c r="E97" i="1" l="1"/>
  <c r="E62" i="1"/>
  <c r="E96" i="1" l="1"/>
  <c r="E95" i="1"/>
  <c r="C94" i="1" l="1"/>
  <c r="E94" i="1" s="1"/>
  <c r="C93" i="1" l="1"/>
  <c r="E93" i="1" s="1"/>
  <c r="E61" i="1"/>
  <c r="C34" i="1" l="1"/>
  <c r="E34" i="1" s="1"/>
  <c r="E60" i="1" l="1"/>
  <c r="E33" i="1"/>
  <c r="E59" i="1" l="1"/>
  <c r="E110" i="1" l="1"/>
  <c r="C58" i="1" l="1"/>
  <c r="E58" i="1" s="1"/>
  <c r="C57" i="1" l="1"/>
  <c r="E57" i="1" s="1"/>
  <c r="C56" i="1"/>
  <c r="E56" i="1" s="1"/>
  <c r="D55" i="1" l="1"/>
  <c r="D54" i="1"/>
  <c r="D53" i="1"/>
  <c r="C55" i="1"/>
  <c r="C54" i="1"/>
  <c r="C53" i="1"/>
  <c r="E54" i="1" l="1"/>
  <c r="E53" i="1"/>
  <c r="E55" i="1"/>
  <c r="E52" i="1"/>
  <c r="E51" i="1" l="1"/>
  <c r="H78" i="1" l="1"/>
  <c r="D50" i="1"/>
  <c r="E50" i="1" s="1"/>
  <c r="E49" i="1" l="1"/>
  <c r="C10" i="2" l="1"/>
  <c r="B9" i="2"/>
  <c r="C9" i="2" s="1"/>
  <c r="D92" i="1" l="1"/>
  <c r="D104" i="1" s="1"/>
  <c r="C92" i="1"/>
  <c r="D48" i="1"/>
  <c r="C48" i="1"/>
  <c r="E92" i="1" l="1"/>
  <c r="E48" i="1"/>
  <c r="E91" i="1"/>
  <c r="E47" i="1" l="1"/>
  <c r="A35" i="1" l="1"/>
  <c r="I27" i="3" l="1"/>
  <c r="C8" i="2"/>
  <c r="C7" i="2"/>
  <c r="C6" i="2"/>
  <c r="C5" i="2"/>
  <c r="E90" i="1" l="1"/>
  <c r="E32" i="1" l="1"/>
  <c r="D7" i="4" l="1"/>
  <c r="C7" i="4"/>
  <c r="D6" i="4"/>
  <c r="C6" i="4"/>
  <c r="D5" i="4"/>
  <c r="C5" i="4"/>
  <c r="D3" i="4"/>
  <c r="C3" i="4"/>
  <c r="I26" i="3" l="1"/>
  <c r="I25" i="3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3" i="3"/>
  <c r="A17" i="1" l="1"/>
  <c r="D31" i="1" l="1"/>
  <c r="D36" i="1" s="1"/>
  <c r="E31" i="1" l="1"/>
  <c r="E30" i="1"/>
  <c r="C89" i="1" l="1"/>
  <c r="E89" i="1" s="1"/>
  <c r="C88" i="1"/>
  <c r="E88" i="1" s="1"/>
  <c r="C87" i="1" l="1"/>
  <c r="E87" i="1" s="1"/>
  <c r="C86" i="1"/>
  <c r="E86" i="1" s="1"/>
  <c r="C7" i="3" l="1"/>
  <c r="C10" i="3"/>
  <c r="C17" i="3"/>
  <c r="C85" i="1" l="1"/>
  <c r="C104" i="1" s="1"/>
  <c r="C106" i="1" s="1"/>
  <c r="E85" i="1" l="1"/>
  <c r="E16" i="1"/>
  <c r="A20" i="1" l="1"/>
  <c r="A5" i="1" l="1"/>
  <c r="E29" i="1" l="1"/>
  <c r="D45" i="1" l="1"/>
  <c r="E28" i="1"/>
  <c r="E45" i="1" l="1"/>
  <c r="D78" i="1"/>
  <c r="E44" i="1"/>
  <c r="E43" i="1"/>
  <c r="E42" i="1" l="1"/>
  <c r="E25" i="1"/>
  <c r="E26" i="1"/>
  <c r="E27" i="1"/>
  <c r="E24" i="1"/>
  <c r="E10" i="1"/>
  <c r="E11" i="1"/>
  <c r="E12" i="1"/>
  <c r="E13" i="1"/>
  <c r="E14" i="1"/>
  <c r="E15" i="1"/>
  <c r="E9" i="1"/>
  <c r="E2" i="1"/>
  <c r="B4" i="2"/>
  <c r="C4" i="2" s="1"/>
  <c r="C23" i="3"/>
  <c r="C11" i="3"/>
  <c r="C22" i="3"/>
  <c r="B3" i="2"/>
  <c r="C3" i="2" s="1"/>
  <c r="C16" i="3"/>
  <c r="C15" i="3"/>
  <c r="C14" i="3"/>
  <c r="C12" i="3"/>
  <c r="B2" i="2"/>
  <c r="F1" i="2" l="1"/>
  <c r="G1" i="3"/>
  <c r="C2" i="2"/>
  <c r="D18" i="1"/>
  <c r="D3" i="1"/>
  <c r="C78" i="1"/>
  <c r="C80" i="1" s="1"/>
  <c r="H1" i="1" l="1"/>
  <c r="C36" i="1"/>
  <c r="C38" i="1" s="1"/>
  <c r="C18" i="1"/>
  <c r="C20" i="1" s="1"/>
  <c r="C3" i="1"/>
  <c r="C5" i="1" s="1"/>
</calcChain>
</file>

<file path=xl/sharedStrings.xml><?xml version="1.0" encoding="utf-8"?>
<sst xmlns="http://schemas.openxmlformats.org/spreadsheetml/2006/main" count="359" uniqueCount="219">
  <si>
    <t>好奇铂金装</t>
    <phoneticPr fontId="1" type="noConversion"/>
  </si>
  <si>
    <t>好奇金装</t>
    <phoneticPr fontId="1" type="noConversion"/>
  </si>
  <si>
    <t>S</t>
    <phoneticPr fontId="1" type="noConversion"/>
  </si>
  <si>
    <t>M</t>
    <phoneticPr fontId="1" type="noConversion"/>
  </si>
  <si>
    <t>NB</t>
    <phoneticPr fontId="1" type="noConversion"/>
  </si>
  <si>
    <t>L</t>
    <phoneticPr fontId="1" type="noConversion"/>
  </si>
  <si>
    <t>S</t>
    <phoneticPr fontId="1" type="noConversion"/>
  </si>
  <si>
    <t>绿帮</t>
    <phoneticPr fontId="1" type="noConversion"/>
  </si>
  <si>
    <t>合计</t>
    <phoneticPr fontId="1" type="noConversion"/>
  </si>
  <si>
    <t>平均每天使用</t>
    <phoneticPr fontId="1" type="noConversion"/>
  </si>
  <si>
    <t>可以使用的天数</t>
    <phoneticPr fontId="1" type="noConversion"/>
  </si>
  <si>
    <t>好奇银装</t>
    <phoneticPr fontId="1" type="noConversion"/>
  </si>
  <si>
    <t>价格</t>
    <phoneticPr fontId="1" type="noConversion"/>
  </si>
  <si>
    <t>2014.02.19-2014.03.03</t>
    <phoneticPr fontId="1" type="noConversion"/>
  </si>
  <si>
    <t>总消费</t>
    <phoneticPr fontId="1" type="noConversion"/>
  </si>
  <si>
    <t>帮宝适白金帮</t>
    <phoneticPr fontId="1" type="noConversion"/>
  </si>
  <si>
    <t xml:space="preserve">贝亲（Pigeon）婴儿柔湿巾80片装（3包） PL135 </t>
    <phoneticPr fontId="1" type="noConversion"/>
  </si>
  <si>
    <t xml:space="preserve">贝亲防溢乳垫（120+12）片装pl163（塑料袋装） </t>
    <phoneticPr fontId="1" type="noConversion"/>
  </si>
  <si>
    <t>贝亲（Pigeon）防溢乳垫（120+12片装）PL163 促销装 *2</t>
    <phoneticPr fontId="1" type="noConversion"/>
  </si>
  <si>
    <t xml:space="preserve">贝亲（Pigeon）婴儿柔湿巾25片装 KA37 </t>
    <phoneticPr fontId="1" type="noConversion"/>
  </si>
  <si>
    <t xml:space="preserve">贝亲（Pigeon）婴儿柔湿巾80片装（3包）PL224 </t>
    <phoneticPr fontId="1" type="noConversion"/>
  </si>
  <si>
    <t>贝亲（Pigeon）婴儿柔湿巾25片装 KA37 *10</t>
    <phoneticPr fontId="1" type="noConversion"/>
  </si>
  <si>
    <t>6YYA080 优选婴儿PP清洁湿巾 480片</t>
    <phoneticPr fontId="1" type="noConversion"/>
  </si>
  <si>
    <t>合计</t>
    <phoneticPr fontId="1" type="noConversion"/>
  </si>
  <si>
    <t>日康防溢乳垫66片</t>
    <phoneticPr fontId="1" type="noConversion"/>
  </si>
  <si>
    <t>名称</t>
    <phoneticPr fontId="1" type="noConversion"/>
  </si>
  <si>
    <t>价格</t>
    <phoneticPr fontId="1" type="noConversion"/>
  </si>
  <si>
    <t>单片价格</t>
    <phoneticPr fontId="1" type="noConversion"/>
  </si>
  <si>
    <t>使用时间</t>
    <phoneticPr fontId="1" type="noConversion"/>
  </si>
  <si>
    <t>单价</t>
    <phoneticPr fontId="1" type="noConversion"/>
  </si>
  <si>
    <t>2014.02.25-2014.03.04</t>
    <phoneticPr fontId="1" type="noConversion"/>
  </si>
  <si>
    <t>2014.03.04-2014.03.06</t>
    <phoneticPr fontId="1" type="noConversion"/>
  </si>
  <si>
    <t>绿帮L164</t>
    <phoneticPr fontId="1" type="noConversion"/>
  </si>
  <si>
    <t>绿帮</t>
    <phoneticPr fontId="1" type="noConversion"/>
  </si>
  <si>
    <t>绿帮L138</t>
    <phoneticPr fontId="1" type="noConversion"/>
  </si>
  <si>
    <t>强生（Johnson） 娇嫩倍护湿巾 20片×4</t>
    <phoneticPr fontId="1" type="noConversion"/>
  </si>
  <si>
    <t>好奇(Huggies) 超厚倍柔婴儿湿巾 清爽型80片补充装×2</t>
    <phoneticPr fontId="1" type="noConversion"/>
  </si>
  <si>
    <t>强生婴儿Johnson 娇嫩倍护肤湿巾 温和无香 80片*7</t>
    <phoneticPr fontId="1" type="noConversion"/>
  </si>
  <si>
    <t>Huggies好奇超厚倍柔湿巾清爽型80抽补充装*6包装</t>
    <phoneticPr fontId="1" type="noConversion"/>
  </si>
  <si>
    <t>2014.03.05-2014.03.12
2014.03.13-2014.03.18</t>
    <phoneticPr fontId="1" type="noConversion"/>
  </si>
  <si>
    <t>2014.03.04-2014.03.18</t>
    <phoneticPr fontId="1" type="noConversion"/>
  </si>
  <si>
    <t>2014.02.19-2014.02.25
2014.03.19-2014.03.22</t>
    <phoneticPr fontId="1" type="noConversion"/>
  </si>
  <si>
    <t>用完</t>
    <phoneticPr fontId="1" type="noConversion"/>
  </si>
  <si>
    <t>强生婴儿Johnson 娇嫩倍护肤湿巾 温和无香 80片*6</t>
    <phoneticPr fontId="1" type="noConversion"/>
  </si>
  <si>
    <t>强生（Johnson）婴儿清爽洁肤柔口手湿巾80片*3包（进口）</t>
    <phoneticPr fontId="1" type="noConversion"/>
  </si>
  <si>
    <t>用完</t>
    <phoneticPr fontId="1" type="noConversion"/>
  </si>
  <si>
    <t>绿帮</t>
    <phoneticPr fontId="1" type="noConversion"/>
  </si>
  <si>
    <t>2014.03.19-2014.04.04</t>
    <phoneticPr fontId="1" type="noConversion"/>
  </si>
  <si>
    <t>新白金帮</t>
    <phoneticPr fontId="1" type="noConversion"/>
  </si>
  <si>
    <t>2014.03.07-2014.04.09</t>
    <phoneticPr fontId="1" type="noConversion"/>
  </si>
  <si>
    <t>XL</t>
    <phoneticPr fontId="1" type="noConversion"/>
  </si>
  <si>
    <t>绿帮68+8XL</t>
    <phoneticPr fontId="1" type="noConversion"/>
  </si>
  <si>
    <t>2014.02.20-2014.04.08</t>
    <phoneticPr fontId="1" type="noConversion"/>
  </si>
  <si>
    <t>用完</t>
    <phoneticPr fontId="1" type="noConversion"/>
  </si>
  <si>
    <t>强生婴儿Johnson 娇嫩倍护肤湿巾 温和无香 80片*3*2</t>
    <phoneticPr fontId="1" type="noConversion"/>
  </si>
  <si>
    <t>强生（Johnson） 娇嫩倍护湿巾 20片×3</t>
    <phoneticPr fontId="1" type="noConversion"/>
  </si>
  <si>
    <t>强生（Johnson）婴儿清爽洁肤柔口手湿巾80片*3包（进口)*2</t>
    <phoneticPr fontId="1" type="noConversion"/>
  </si>
  <si>
    <t>2014.04.09-2014.04.16</t>
    <phoneticPr fontId="1" type="noConversion"/>
  </si>
  <si>
    <t>强生（Johnson）婴儿护肤湿巾（娇嫩倍护）20片*3包（进口）*5</t>
    <phoneticPr fontId="1" type="noConversion"/>
  </si>
  <si>
    <t>强生婴儿Johnson 娇嫩倍护肤湿巾 温和无香 80片*3</t>
    <phoneticPr fontId="1" type="noConversion"/>
  </si>
  <si>
    <t>强生（Johnson）婴儿护肤湿巾（娇嫩倍护）20片*3包（进口）</t>
    <phoneticPr fontId="1" type="noConversion"/>
  </si>
  <si>
    <t>强生（Johnson）婴儿护肤湿巾（娇嫩倍护）20片*3包（进口）有香</t>
    <phoneticPr fontId="1" type="noConversion"/>
  </si>
  <si>
    <t>强生（Johnson）婴儿清爽洁肤柔口手湿巾20片*3</t>
    <phoneticPr fontId="1" type="noConversion"/>
  </si>
  <si>
    <t>强生（Johnson） 娇嫩倍护湿巾 20片×4</t>
    <phoneticPr fontId="1" type="noConversion"/>
  </si>
  <si>
    <t>2014-02-16_JD</t>
    <phoneticPr fontId="1" type="noConversion"/>
  </si>
  <si>
    <t>2014-03-17_JD</t>
    <phoneticPr fontId="1" type="noConversion"/>
  </si>
  <si>
    <t>2014-03-23_jD</t>
    <phoneticPr fontId="1" type="noConversion"/>
  </si>
  <si>
    <t>2014-04-17_JD</t>
    <phoneticPr fontId="1" type="noConversion"/>
  </si>
  <si>
    <t>2014-04-18_JD</t>
    <phoneticPr fontId="1" type="noConversion"/>
  </si>
  <si>
    <t>购买日期_地点</t>
    <phoneticPr fontId="1" type="noConversion"/>
  </si>
  <si>
    <t>2014-01-02_jd</t>
    <phoneticPr fontId="1" type="noConversion"/>
  </si>
  <si>
    <t>2014-02-28_JD</t>
    <phoneticPr fontId="1" type="noConversion"/>
  </si>
  <si>
    <t>强生无香20</t>
    <phoneticPr fontId="1" type="noConversion"/>
  </si>
  <si>
    <t>强生有香20</t>
    <phoneticPr fontId="1" type="noConversion"/>
  </si>
  <si>
    <t>剩余</t>
    <phoneticPr fontId="1" type="noConversion"/>
  </si>
  <si>
    <t>强生无香80</t>
    <phoneticPr fontId="1" type="noConversion"/>
  </si>
  <si>
    <t>强生口手80</t>
    <phoneticPr fontId="1" type="noConversion"/>
  </si>
  <si>
    <t>强生口手20</t>
    <phoneticPr fontId="1" type="noConversion"/>
  </si>
  <si>
    <t>贝亲25</t>
    <phoneticPr fontId="1" type="noConversion"/>
  </si>
  <si>
    <t>好奇80</t>
    <phoneticPr fontId="1" type="noConversion"/>
  </si>
  <si>
    <t xml:space="preserve">嗳呵 elsker 婴儿芦荟护肤柔湿巾160+80片促销装 </t>
    <phoneticPr fontId="1" type="noConversion"/>
  </si>
  <si>
    <t>嗳呵80</t>
    <phoneticPr fontId="1" type="noConversion"/>
  </si>
  <si>
    <t>心相印80</t>
    <phoneticPr fontId="1" type="noConversion"/>
  </si>
  <si>
    <t>贝亲80</t>
    <phoneticPr fontId="1" type="noConversion"/>
  </si>
  <si>
    <t>品种</t>
    <phoneticPr fontId="1" type="noConversion"/>
  </si>
  <si>
    <t>有效期</t>
    <phoneticPr fontId="1" type="noConversion"/>
  </si>
  <si>
    <t>2014-03-01_JD</t>
    <phoneticPr fontId="1" type="noConversion"/>
  </si>
  <si>
    <t>绿帮L52*2</t>
    <phoneticPr fontId="1" type="noConversion"/>
  </si>
  <si>
    <t>2014.04.16-2014.04.26</t>
    <phoneticPr fontId="1" type="noConversion"/>
  </si>
  <si>
    <t>花王M64</t>
    <phoneticPr fontId="1" type="noConversion"/>
  </si>
  <si>
    <t>贝亲M32</t>
    <phoneticPr fontId="1" type="noConversion"/>
  </si>
  <si>
    <t>2014.03.22-2014.03.27
2014.03.27-2014.03.30
2014.03.30-2014.04.04
2014.04.04-2014.04.10
2014.04.10-2014.04.17
2014.04.17-2014.04.24
2014.04.25-2014.05.03</t>
    <phoneticPr fontId="1" type="noConversion"/>
  </si>
  <si>
    <t>2014.04.08-2014.05.02</t>
    <phoneticPr fontId="1" type="noConversion"/>
  </si>
  <si>
    <t>2014-05-08_yx</t>
    <phoneticPr fontId="1" type="noConversion"/>
  </si>
  <si>
    <t>贝亲（Pigeon）婴儿柔湿巾80片装（3包） PL135 *3</t>
    <phoneticPr fontId="1" type="noConversion"/>
  </si>
  <si>
    <t>2014.03.20-2014.03.21
2014.04.26-2014.05.13</t>
    <phoneticPr fontId="1" type="noConversion"/>
  </si>
  <si>
    <t>2014.05.13-2014.05.15</t>
    <phoneticPr fontId="1" type="noConversion"/>
  </si>
  <si>
    <t>2014.04.27-2014.05.07</t>
    <phoneticPr fontId="1" type="noConversion"/>
  </si>
  <si>
    <t>2014.05.04-2014.05.11
2014.05.11-2014.05.19
2014.05.19-2014.05.28</t>
    <phoneticPr fontId="1" type="noConversion"/>
  </si>
  <si>
    <t>2014.05.07-2014.05.25
2014.05.25-2014.06.08</t>
    <phoneticPr fontId="1" type="noConversion"/>
  </si>
  <si>
    <t>剩余片数</t>
    <phoneticPr fontId="1" type="noConversion"/>
  </si>
  <si>
    <t>2014-06-14_JD</t>
    <phoneticPr fontId="1" type="noConversion"/>
  </si>
  <si>
    <t>强生（Johnson）婴儿清爽洁肤柔口手湿巾10片*6包*4</t>
    <phoneticPr fontId="1" type="noConversion"/>
  </si>
  <si>
    <t>强生口手10</t>
    <phoneticPr fontId="1" type="noConversion"/>
  </si>
  <si>
    <t>强生（Johnson）婴儿护肤湿巾（娇嫩倍护）10片*6包（无香） *6</t>
    <phoneticPr fontId="1" type="noConversion"/>
  </si>
  <si>
    <t>强生无香10</t>
    <phoneticPr fontId="1" type="noConversion"/>
  </si>
  <si>
    <t>2014.05.15-2014.06.18</t>
    <phoneticPr fontId="1" type="noConversion"/>
  </si>
  <si>
    <t>2014.06.19-</t>
    <phoneticPr fontId="1" type="noConversion"/>
  </si>
  <si>
    <t>2014.06.08-2014.06.25</t>
    <phoneticPr fontId="1" type="noConversion"/>
  </si>
  <si>
    <t>2014-6-6_Amazon</t>
    <phoneticPr fontId="1" type="noConversion"/>
  </si>
  <si>
    <t>价格</t>
    <phoneticPr fontId="1" type="noConversion"/>
  </si>
  <si>
    <t>数量</t>
    <phoneticPr fontId="1" type="noConversion"/>
  </si>
  <si>
    <t>2014-7-4_Yixun</t>
    <phoneticPr fontId="1" type="noConversion"/>
  </si>
  <si>
    <t>Heinz 亨氏 1阶段 婴儿营养米粉 250g</t>
    <phoneticPr fontId="1" type="noConversion"/>
  </si>
  <si>
    <t>Heinz 亨氏 2阶段 鳕鱼苹果营养米粉 225g</t>
    <phoneticPr fontId="1" type="noConversion"/>
  </si>
  <si>
    <t>Heinz 亨氏 2阶段 鸡肉蔬菜营养米粉 225g</t>
    <phoneticPr fontId="1" type="noConversion"/>
  </si>
  <si>
    <t>Heinz 亨氏 3阶段 牛肉番茄营养米粉 225g</t>
    <phoneticPr fontId="1" type="noConversion"/>
  </si>
  <si>
    <t>Heinz 亨氏 1阶段 婴儿营养米粉 250g</t>
    <phoneticPr fontId="1" type="noConversion"/>
  </si>
  <si>
    <t>Heinz 亨氏 3阶段 鱼肉蔬菜营养米粉 225g</t>
    <phoneticPr fontId="1" type="noConversion"/>
  </si>
  <si>
    <t>2014.05.28-2014.06.06
2014.06.06-2014.06.14
2014.06.14-2014.06.21
2014.06.21-2014.06.28
2014.06.28-2014.07.09
2014.07.09-2014.07.21</t>
    <phoneticPr fontId="1" type="noConversion"/>
  </si>
  <si>
    <t>2014.06.25-2014.07.10
2014.07.10-2014.07.25</t>
    <phoneticPr fontId="1" type="noConversion"/>
  </si>
  <si>
    <t>2014.07.25-2014</t>
    <phoneticPr fontId="1" type="noConversion"/>
  </si>
  <si>
    <t>帮宝适拉拉裤XL*18</t>
    <phoneticPr fontId="1" type="noConversion"/>
  </si>
  <si>
    <t>贝亲防溢乳垫72+6</t>
    <phoneticPr fontId="1" type="noConversion"/>
  </si>
  <si>
    <t>贝亲防溢乳垫6</t>
    <phoneticPr fontId="1" type="noConversion"/>
  </si>
  <si>
    <t>2014.05.02-2014.07.31</t>
    <phoneticPr fontId="1" type="noConversion"/>
  </si>
  <si>
    <t>2014-08-31_Ama</t>
    <phoneticPr fontId="1" type="noConversion"/>
  </si>
  <si>
    <t>贝亲（Pigeon）婴儿柔湿巾80片装</t>
    <phoneticPr fontId="1" type="noConversion"/>
  </si>
  <si>
    <t>2014.07.21-2014.08.02
2014.08.02-2014.08.15
2014.08.11-2014.08.27
2014.08.16-2014.08.30
2014.08.27-2014.09.25
2014.08.30-2014.09.25</t>
    <phoneticPr fontId="1" type="noConversion"/>
  </si>
  <si>
    <t>2014.09.15-2014.10.10</t>
    <phoneticPr fontId="1" type="noConversion"/>
  </si>
  <si>
    <t>绿帮L112</t>
    <phoneticPr fontId="1" type="noConversion"/>
  </si>
  <si>
    <t>2014.03-2014.05.24
2014.05.24-2014.07.13
2014.07.15-2014.07.27
2014.07.27-2014.10.22</t>
    <phoneticPr fontId="1" type="noConversion"/>
  </si>
  <si>
    <t>2014.10
2014.11</t>
    <phoneticPr fontId="1" type="noConversion"/>
  </si>
  <si>
    <t>2014.07.12-2014.07.20
2014.09.20-2014.</t>
    <phoneticPr fontId="1" type="noConversion"/>
  </si>
  <si>
    <t>贝亲L30*4</t>
    <phoneticPr fontId="1" type="noConversion"/>
  </si>
  <si>
    <t>贝亲XL8*4</t>
    <phoneticPr fontId="1" type="noConversion"/>
  </si>
  <si>
    <t>2014-11-03_JD</t>
    <phoneticPr fontId="1" type="noConversion"/>
  </si>
  <si>
    <t>贝亲KA38 10片×4</t>
    <phoneticPr fontId="1" type="noConversion"/>
  </si>
  <si>
    <t>贝亲10</t>
    <phoneticPr fontId="1" type="noConversion"/>
  </si>
  <si>
    <t>2014.11.09</t>
    <phoneticPr fontId="1" type="noConversion"/>
  </si>
  <si>
    <t>2014.09.25-2014.10.06
2014.09.26-2014.10.23
2014.10.06-2014.10.30
2014.10.24-2014.11.11
2014.10.30-2014.11.11
2014.11.02-2014.11.18</t>
    <phoneticPr fontId="1" type="noConversion"/>
  </si>
  <si>
    <t>贝亲防溢乳垫36片装（塑料包装）</t>
    <phoneticPr fontId="1" type="noConversion"/>
  </si>
  <si>
    <t>2014.08.01-2014.09.01</t>
    <phoneticPr fontId="1" type="noConversion"/>
  </si>
  <si>
    <t>2014.09.01-2014.10.01</t>
    <phoneticPr fontId="1" type="noConversion"/>
  </si>
  <si>
    <t>2014.10.15-2014</t>
    <phoneticPr fontId="1" type="noConversion"/>
  </si>
  <si>
    <t>2014.10.20-2014.12.06</t>
    <phoneticPr fontId="1" type="noConversion"/>
  </si>
  <si>
    <t>2014.12.10-2014</t>
    <phoneticPr fontId="1" type="noConversion"/>
  </si>
  <si>
    <t>白金帮L46</t>
    <phoneticPr fontId="1" type="noConversion"/>
  </si>
  <si>
    <t>绿帮L112</t>
    <phoneticPr fontId="1" type="noConversion"/>
  </si>
  <si>
    <t>2014.11.15-2014.11.28
2014.11.18-2014.12.10
2014.12.01-2014.12.27</t>
    <phoneticPr fontId="1" type="noConversion"/>
  </si>
  <si>
    <t>好奇银装20+4L</t>
    <phoneticPr fontId="1" type="noConversion"/>
  </si>
  <si>
    <t>2014.12.28-2015.01.11
2015.01.01-2015</t>
    <phoneticPr fontId="1" type="noConversion"/>
  </si>
  <si>
    <t>2014.10.10-2014.12.10
2014.12.10-2015.01.13</t>
    <phoneticPr fontId="1" type="noConversion"/>
  </si>
  <si>
    <t>帮宝适拉拉裤84L</t>
    <phoneticPr fontId="1" type="noConversion"/>
  </si>
  <si>
    <t>2015.01.12-2015.01.27</t>
    <phoneticPr fontId="1" type="noConversion"/>
  </si>
  <si>
    <t>帮宝适拉拉裤L2*23</t>
    <phoneticPr fontId="1" type="noConversion"/>
  </si>
  <si>
    <t>好奇银装20+4L * 3</t>
    <phoneticPr fontId="1" type="noConversion"/>
  </si>
  <si>
    <t>帮宝适拉拉裤L21*4</t>
    <phoneticPr fontId="1" type="noConversion"/>
  </si>
  <si>
    <t>2014.10.21-2014.12.17
2014.12.17-2015.02.01</t>
    <phoneticPr fontId="1" type="noConversion"/>
  </si>
  <si>
    <t>好奇银装20+4L * 4</t>
    <phoneticPr fontId="1" type="noConversion"/>
  </si>
  <si>
    <t>绿帮XXL34</t>
    <phoneticPr fontId="1" type="noConversion"/>
  </si>
  <si>
    <t>XXL</t>
    <phoneticPr fontId="1" type="noConversion"/>
  </si>
  <si>
    <t>2015.01.14-2015.02.28
2015.02.01-2015.03.06</t>
    <phoneticPr fontId="1" type="noConversion"/>
  </si>
  <si>
    <t>2014.11.01-2014.12.09
2014.12.10-2015.01.10
2015.01.11-2015.02.07
2015.02.08-2015.03.13</t>
    <phoneticPr fontId="1" type="noConversion"/>
  </si>
  <si>
    <t>好奇金装24M</t>
    <phoneticPr fontId="1" type="noConversion"/>
  </si>
  <si>
    <t>2015.03.15-2015</t>
    <phoneticPr fontId="1" type="noConversion"/>
  </si>
  <si>
    <t>帮宝适拉拉裤4L</t>
    <phoneticPr fontId="1" type="noConversion"/>
  </si>
  <si>
    <t>帮宝适M2*2*26</t>
    <phoneticPr fontId="1" type="noConversion"/>
  </si>
  <si>
    <t>好奇银装24L</t>
    <phoneticPr fontId="1" type="noConversion"/>
  </si>
  <si>
    <t>好奇银装XL19*6</t>
    <phoneticPr fontId="1" type="noConversion"/>
  </si>
  <si>
    <t>2014.04.10-2014.09
2014.11.24-2014
2015.03.23-2015.04.09</t>
    <phoneticPr fontId="1" type="noConversion"/>
  </si>
  <si>
    <t>好奇银装XL19*4</t>
    <phoneticPr fontId="1" type="noConversion"/>
  </si>
  <si>
    <t>帮宝适拉拉裤XL*40*2</t>
    <phoneticPr fontId="1" type="noConversion"/>
  </si>
  <si>
    <t>2015.03.07-2015.04.15</t>
    <phoneticPr fontId="1" type="noConversion"/>
  </si>
  <si>
    <t>好奇银装XL*19</t>
    <phoneticPr fontId="1" type="noConversion"/>
  </si>
  <si>
    <t>2015.04.09-2015.04.26
2015.04.27-2015</t>
    <phoneticPr fontId="1" type="noConversion"/>
  </si>
  <si>
    <t>2015.04.22-2015.05.10</t>
    <phoneticPr fontId="1" type="noConversion"/>
  </si>
  <si>
    <t>.</t>
    <phoneticPr fontId="1" type="noConversion"/>
  </si>
  <si>
    <t>2015.04.01-2015.04.30 
2015.05.17</t>
    <phoneticPr fontId="1" type="noConversion"/>
  </si>
  <si>
    <t>2015.04.25-2015.05.25</t>
    <phoneticPr fontId="1" type="noConversion"/>
  </si>
  <si>
    <t>帮宝适拉拉裤22L</t>
    <phoneticPr fontId="1" type="noConversion"/>
  </si>
  <si>
    <t>好奇金装18L</t>
    <phoneticPr fontId="1" type="noConversion"/>
  </si>
  <si>
    <t>好奇金装15XL*12</t>
    <phoneticPr fontId="1" type="noConversion"/>
  </si>
  <si>
    <t>帮宝适拉拉裤XL*54</t>
    <phoneticPr fontId="1" type="noConversion"/>
  </si>
  <si>
    <t>帮宝适拉拉裤XXL12</t>
    <phoneticPr fontId="1" type="noConversion"/>
  </si>
  <si>
    <t>2015-06-09_JD</t>
    <phoneticPr fontId="1" type="noConversion"/>
  </si>
  <si>
    <t>帮宝适湿巾64*3</t>
    <phoneticPr fontId="1" type="noConversion"/>
  </si>
  <si>
    <t>帮宝适64</t>
    <phoneticPr fontId="1" type="noConversion"/>
  </si>
  <si>
    <t>帮宝适拉拉裤L84</t>
    <phoneticPr fontId="1" type="noConversion"/>
  </si>
  <si>
    <t>2015.04.21-2015.06.15</t>
    <phoneticPr fontId="1" type="noConversion"/>
  </si>
  <si>
    <t>帮宝适湿巾56*3</t>
    <phoneticPr fontId="1" type="noConversion"/>
  </si>
  <si>
    <t>帮宝适56</t>
    <phoneticPr fontId="1" type="noConversion"/>
  </si>
  <si>
    <t>新安怡25</t>
    <phoneticPr fontId="1" type="noConversion"/>
  </si>
  <si>
    <t>2015-06-16_JD</t>
    <phoneticPr fontId="1" type="noConversion"/>
  </si>
  <si>
    <t>2015-06-17_JD</t>
    <phoneticPr fontId="1" type="noConversion"/>
  </si>
  <si>
    <t>2015-06-18_JD</t>
    <phoneticPr fontId="1" type="noConversion"/>
  </si>
  <si>
    <t>2015-06-19_JD</t>
    <phoneticPr fontId="1" type="noConversion"/>
  </si>
  <si>
    <t>2015-06-20_JD</t>
    <phoneticPr fontId="1" type="noConversion"/>
  </si>
  <si>
    <t>贝亲湿巾80*3</t>
    <phoneticPr fontId="1" type="noConversion"/>
  </si>
  <si>
    <t>贝亲80</t>
    <phoneticPr fontId="1" type="noConversion"/>
  </si>
  <si>
    <t>2015.06.14-2015.07.02</t>
    <phoneticPr fontId="1" type="noConversion"/>
  </si>
  <si>
    <t>2015.06.19-2015.07.02
2015.07.03-2015.07.25</t>
    <phoneticPr fontId="1" type="noConversion"/>
  </si>
  <si>
    <t>剩余1*24</t>
    <phoneticPr fontId="1" type="noConversion"/>
  </si>
  <si>
    <t>2015.06.11-2015.08.06</t>
    <phoneticPr fontId="1" type="noConversion"/>
  </si>
  <si>
    <t>2015.05.11-2015.05.24
2015.05.25-2015.06.10
2015.06.10-2015.06.19
2015.08.06-2015.08.14</t>
    <phoneticPr fontId="1" type="noConversion"/>
  </si>
  <si>
    <t>2015.07.26-2015.08.17</t>
    <phoneticPr fontId="1" type="noConversion"/>
  </si>
  <si>
    <t>2015.08.29-2015.09.12</t>
    <phoneticPr fontId="1" type="noConversion"/>
  </si>
  <si>
    <t>2014.10.12-2014.10.20
2014.10.12-2014.10.20
2015.04.28-2015.06.11
2015.09.25-2015</t>
    <phoneticPr fontId="1" type="noConversion"/>
  </si>
  <si>
    <t>剩余2*23</t>
    <phoneticPr fontId="1" type="noConversion"/>
  </si>
  <si>
    <t>2015.05.26-2015.06.10
2015.08.18-2015.08.29
2015.09.02-2015.09.18
2015.09.12-2015.09.24</t>
    <phoneticPr fontId="1" type="noConversion"/>
  </si>
  <si>
    <t>2*21</t>
    <phoneticPr fontId="1" type="noConversion"/>
  </si>
  <si>
    <t>2015.08.16-2015.09.01
2015.09.25-2015.10.03</t>
    <phoneticPr fontId="1" type="noConversion"/>
  </si>
  <si>
    <t>好奇银装50L</t>
    <phoneticPr fontId="1" type="noConversion"/>
  </si>
  <si>
    <t>2015.10.21-2015</t>
    <phoneticPr fontId="1" type="noConversion"/>
  </si>
  <si>
    <t>2015.09.19-2015.10.03
2015.09.01租房用
2015.10.13-2015.10.21</t>
    <phoneticPr fontId="1" type="noConversion"/>
  </si>
  <si>
    <t>好奇银装15XL*3</t>
    <phoneticPr fontId="1" type="noConversion"/>
  </si>
  <si>
    <t>好奇银装18L*12</t>
    <phoneticPr fontId="1" type="noConversion"/>
  </si>
  <si>
    <t>好奇银装18L*9</t>
    <phoneticPr fontId="1" type="noConversion"/>
  </si>
  <si>
    <t>2015.11.10-2015.
2015.11.14租房用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</si>
</sst>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topLeftCell="A65" workbookViewId="0">
      <selection activeCell="G76" sqref="G76"/>
    </sheetView>
  </sheetViews>
  <sheetFormatPr defaultRowHeight="13.5" x14ac:dyDescent="0.15"/>
  <cols>
    <col min="1" max="1" width="10.5" bestFit="1" customWidth="1"/>
    <col min="2" max="2" width="23" bestFit="1" customWidth="1"/>
    <col min="6" max="6" width="23.875" bestFit="1" customWidth="1"/>
    <col min="10" max="10" width="24.125" customWidth="1"/>
  </cols>
  <sheetData>
    <row r="1" spans="1:8" x14ac:dyDescent="0.15">
      <c r="B1" t="s">
        <v>4</v>
      </c>
      <c r="C1" t="s">
        <v>4</v>
      </c>
      <c r="D1" t="s">
        <v>12</v>
      </c>
      <c r="E1" t="s">
        <v>29</v>
      </c>
      <c r="G1" t="s">
        <v>14</v>
      </c>
      <c r="H1">
        <f>D3+D18+D36+D78</f>
        <v>2751.8900000000003</v>
      </c>
    </row>
    <row r="2" spans="1:8" x14ac:dyDescent="0.15">
      <c r="A2" s="2">
        <v>41689</v>
      </c>
      <c r="B2" t="s">
        <v>0</v>
      </c>
      <c r="C2">
        <v>80</v>
      </c>
      <c r="D2">
        <v>95</v>
      </c>
      <c r="E2">
        <f>ROUND(D2/C2,2)</f>
        <v>1.19</v>
      </c>
      <c r="F2" t="s">
        <v>13</v>
      </c>
      <c r="G2" t="s">
        <v>45</v>
      </c>
    </row>
    <row r="3" spans="1:8" x14ac:dyDescent="0.15">
      <c r="B3" t="s">
        <v>8</v>
      </c>
      <c r="C3">
        <f>SUM(C2:C2)</f>
        <v>80</v>
      </c>
      <c r="D3">
        <f>SUM(D2:D2)</f>
        <v>95</v>
      </c>
    </row>
    <row r="4" spans="1:8" x14ac:dyDescent="0.15">
      <c r="A4" s="2">
        <v>41701</v>
      </c>
      <c r="B4" t="s">
        <v>9</v>
      </c>
      <c r="C4">
        <v>7</v>
      </c>
    </row>
    <row r="5" spans="1:8" x14ac:dyDescent="0.15">
      <c r="A5" s="3">
        <f>A4-A2</f>
        <v>12</v>
      </c>
      <c r="B5" t="s">
        <v>10</v>
      </c>
      <c r="C5">
        <f>C3/C4</f>
        <v>11.428571428571429</v>
      </c>
    </row>
    <row r="8" spans="1:8" x14ac:dyDescent="0.15">
      <c r="B8" t="s">
        <v>2</v>
      </c>
      <c r="C8" t="s">
        <v>6</v>
      </c>
      <c r="D8" t="s">
        <v>12</v>
      </c>
      <c r="E8" t="s">
        <v>29</v>
      </c>
    </row>
    <row r="9" spans="1:8" x14ac:dyDescent="0.15">
      <c r="A9" s="2">
        <v>41702</v>
      </c>
      <c r="B9" t="s">
        <v>1</v>
      </c>
      <c r="C9">
        <v>120</v>
      </c>
      <c r="D9">
        <v>99</v>
      </c>
      <c r="E9">
        <f>ROUND(D9/C9,2)</f>
        <v>0.83</v>
      </c>
      <c r="F9" t="s">
        <v>49</v>
      </c>
      <c r="G9" t="s">
        <v>42</v>
      </c>
    </row>
    <row r="10" spans="1:8" x14ac:dyDescent="0.15">
      <c r="B10" t="s">
        <v>1</v>
      </c>
      <c r="C10">
        <v>12</v>
      </c>
      <c r="D10">
        <v>10</v>
      </c>
      <c r="E10">
        <f t="shared" ref="E10:E16" si="0">ROUND(D10/C10,2)</f>
        <v>0.83</v>
      </c>
      <c r="F10" t="s">
        <v>31</v>
      </c>
      <c r="G10" t="s">
        <v>42</v>
      </c>
    </row>
    <row r="11" spans="1:8" x14ac:dyDescent="0.15">
      <c r="B11" t="s">
        <v>1</v>
      </c>
      <c r="C11">
        <v>60</v>
      </c>
      <c r="D11">
        <v>42</v>
      </c>
      <c r="E11">
        <f t="shared" si="0"/>
        <v>0.7</v>
      </c>
      <c r="F11" t="s">
        <v>57</v>
      </c>
      <c r="G11" t="s">
        <v>45</v>
      </c>
    </row>
    <row r="12" spans="1:8" x14ac:dyDescent="0.15">
      <c r="B12" t="s">
        <v>1</v>
      </c>
      <c r="C12">
        <v>60</v>
      </c>
      <c r="D12">
        <v>42</v>
      </c>
      <c r="E12">
        <f t="shared" si="0"/>
        <v>0.7</v>
      </c>
      <c r="F12" t="s">
        <v>88</v>
      </c>
      <c r="G12" t="s">
        <v>42</v>
      </c>
    </row>
    <row r="13" spans="1:8" x14ac:dyDescent="0.15">
      <c r="B13" t="s">
        <v>11</v>
      </c>
      <c r="C13">
        <v>94</v>
      </c>
      <c r="D13">
        <v>49</v>
      </c>
      <c r="E13">
        <f t="shared" si="0"/>
        <v>0.52</v>
      </c>
      <c r="F13" t="s">
        <v>40</v>
      </c>
      <c r="G13" t="s">
        <v>45</v>
      </c>
    </row>
    <row r="14" spans="1:8" x14ac:dyDescent="0.15">
      <c r="B14" t="s">
        <v>11</v>
      </c>
      <c r="C14">
        <v>94</v>
      </c>
      <c r="D14">
        <v>49</v>
      </c>
      <c r="E14">
        <f t="shared" si="0"/>
        <v>0.52</v>
      </c>
      <c r="F14" t="s">
        <v>47</v>
      </c>
      <c r="G14" t="s">
        <v>42</v>
      </c>
    </row>
    <row r="15" spans="1:8" ht="79.5" customHeight="1" x14ac:dyDescent="0.15">
      <c r="B15" t="s">
        <v>15</v>
      </c>
      <c r="C15">
        <v>40</v>
      </c>
      <c r="D15">
        <v>18</v>
      </c>
      <c r="E15">
        <f t="shared" si="0"/>
        <v>0.45</v>
      </c>
      <c r="F15" s="1" t="s">
        <v>95</v>
      </c>
      <c r="G15" t="s">
        <v>42</v>
      </c>
    </row>
    <row r="16" spans="1:8" x14ac:dyDescent="0.15">
      <c r="A16" s="2">
        <v>41774</v>
      </c>
      <c r="B16" t="s">
        <v>48</v>
      </c>
      <c r="C16">
        <v>20</v>
      </c>
      <c r="D16">
        <v>20</v>
      </c>
      <c r="E16">
        <f t="shared" si="0"/>
        <v>1</v>
      </c>
      <c r="F16" t="s">
        <v>96</v>
      </c>
      <c r="G16" t="s">
        <v>42</v>
      </c>
    </row>
    <row r="17" spans="1:7" x14ac:dyDescent="0.15">
      <c r="A17" s="4">
        <f>A16-A9</f>
        <v>72</v>
      </c>
    </row>
    <row r="18" spans="1:7" x14ac:dyDescent="0.15">
      <c r="B18" t="s">
        <v>8</v>
      </c>
      <c r="C18">
        <f>SUM(C9:C17)</f>
        <v>500</v>
      </c>
      <c r="D18">
        <f>SUM(D9:D16)</f>
        <v>329</v>
      </c>
    </row>
    <row r="19" spans="1:7" x14ac:dyDescent="0.15">
      <c r="A19" s="2">
        <v>41733</v>
      </c>
      <c r="B19" t="s">
        <v>9</v>
      </c>
      <c r="C19">
        <v>9</v>
      </c>
    </row>
    <row r="20" spans="1:7" x14ac:dyDescent="0.15">
      <c r="A20">
        <f>A19-A9</f>
        <v>31</v>
      </c>
      <c r="B20" t="s">
        <v>10</v>
      </c>
      <c r="C20">
        <f>C18/C19</f>
        <v>55.555555555555557</v>
      </c>
    </row>
    <row r="23" spans="1:7" x14ac:dyDescent="0.15">
      <c r="B23" t="s">
        <v>3</v>
      </c>
      <c r="C23" t="s">
        <v>3</v>
      </c>
      <c r="D23" t="s">
        <v>12</v>
      </c>
      <c r="E23" t="s">
        <v>29</v>
      </c>
    </row>
    <row r="24" spans="1:7" x14ac:dyDescent="0.15">
      <c r="A24" s="2">
        <v>41756</v>
      </c>
      <c r="B24" t="s">
        <v>7</v>
      </c>
      <c r="C24">
        <v>110</v>
      </c>
      <c r="D24">
        <v>115</v>
      </c>
      <c r="E24">
        <f>ROUND(D24/C24,2)</f>
        <v>1.05</v>
      </c>
      <c r="F24" t="s">
        <v>108</v>
      </c>
      <c r="G24" t="s">
        <v>42</v>
      </c>
    </row>
    <row r="25" spans="1:7" ht="27" x14ac:dyDescent="0.15">
      <c r="B25" t="s">
        <v>11</v>
      </c>
      <c r="C25">
        <v>160</v>
      </c>
      <c r="D25">
        <v>115.4</v>
      </c>
      <c r="E25">
        <f t="shared" ref="E25:E34" si="1">ROUND(D25/C25,2)</f>
        <v>0.72</v>
      </c>
      <c r="F25" s="1" t="s">
        <v>99</v>
      </c>
      <c r="G25" t="s">
        <v>42</v>
      </c>
    </row>
    <row r="26" spans="1:7" ht="27" x14ac:dyDescent="0.15">
      <c r="B26" t="s">
        <v>11</v>
      </c>
      <c r="C26">
        <v>160</v>
      </c>
      <c r="D26">
        <v>137.80000000000001</v>
      </c>
      <c r="E26">
        <f t="shared" si="1"/>
        <v>0.86</v>
      </c>
      <c r="F26" s="1" t="s">
        <v>120</v>
      </c>
      <c r="G26" t="s">
        <v>42</v>
      </c>
    </row>
    <row r="27" spans="1:7" x14ac:dyDescent="0.15">
      <c r="B27" t="s">
        <v>11</v>
      </c>
      <c r="C27">
        <v>52</v>
      </c>
      <c r="D27">
        <v>43.6</v>
      </c>
      <c r="E27">
        <f t="shared" si="1"/>
        <v>0.84</v>
      </c>
      <c r="F27" t="s">
        <v>97</v>
      </c>
      <c r="G27" t="s">
        <v>42</v>
      </c>
    </row>
    <row r="28" spans="1:7" x14ac:dyDescent="0.15">
      <c r="B28" t="s">
        <v>33</v>
      </c>
      <c r="C28">
        <v>62</v>
      </c>
      <c r="D28">
        <v>64.84</v>
      </c>
      <c r="E28">
        <f t="shared" si="1"/>
        <v>1.05</v>
      </c>
      <c r="G28" t="s">
        <v>42</v>
      </c>
    </row>
    <row r="29" spans="1:7" x14ac:dyDescent="0.15">
      <c r="B29" t="s">
        <v>46</v>
      </c>
      <c r="C29">
        <v>110</v>
      </c>
      <c r="D29">
        <v>117</v>
      </c>
      <c r="E29">
        <f t="shared" si="1"/>
        <v>1.06</v>
      </c>
      <c r="F29" t="s">
        <v>121</v>
      </c>
      <c r="G29" t="s">
        <v>42</v>
      </c>
    </row>
    <row r="30" spans="1:7" x14ac:dyDescent="0.15">
      <c r="B30" t="s">
        <v>89</v>
      </c>
      <c r="C30">
        <v>64</v>
      </c>
      <c r="D30">
        <v>128.19999999999999</v>
      </c>
      <c r="E30">
        <f t="shared" si="1"/>
        <v>2</v>
      </c>
      <c r="F30" t="s">
        <v>107</v>
      </c>
      <c r="G30" t="s">
        <v>42</v>
      </c>
    </row>
    <row r="31" spans="1:7" x14ac:dyDescent="0.15">
      <c r="B31" t="s">
        <v>90</v>
      </c>
      <c r="C31">
        <v>32</v>
      </c>
      <c r="D31">
        <f>56*0.95</f>
        <v>53.199999999999996</v>
      </c>
      <c r="E31">
        <f t="shared" si="1"/>
        <v>1.66</v>
      </c>
      <c r="F31" t="s">
        <v>106</v>
      </c>
      <c r="G31" t="s">
        <v>42</v>
      </c>
    </row>
    <row r="32" spans="1:7" x14ac:dyDescent="0.15">
      <c r="A32" s="2">
        <v>41897</v>
      </c>
      <c r="B32" t="s">
        <v>7</v>
      </c>
      <c r="C32">
        <v>110</v>
      </c>
      <c r="D32">
        <v>101.75</v>
      </c>
      <c r="E32">
        <f t="shared" si="1"/>
        <v>0.93</v>
      </c>
      <c r="G32" t="s">
        <v>42</v>
      </c>
    </row>
    <row r="33" spans="1:8" x14ac:dyDescent="0.15">
      <c r="A33" s="2"/>
      <c r="B33" t="s">
        <v>164</v>
      </c>
      <c r="C33">
        <v>24</v>
      </c>
      <c r="D33">
        <v>39.799999999999997</v>
      </c>
      <c r="E33">
        <f t="shared" si="1"/>
        <v>1.66</v>
      </c>
      <c r="F33" t="s">
        <v>165</v>
      </c>
      <c r="G33" t="s">
        <v>42</v>
      </c>
    </row>
    <row r="34" spans="1:8" x14ac:dyDescent="0.15">
      <c r="A34" s="2"/>
      <c r="B34" t="s">
        <v>167</v>
      </c>
      <c r="C34">
        <f>2*2*26</f>
        <v>104</v>
      </c>
      <c r="D34">
        <v>98.15</v>
      </c>
      <c r="E34">
        <f t="shared" si="1"/>
        <v>0.94</v>
      </c>
      <c r="G34" t="s">
        <v>42</v>
      </c>
    </row>
    <row r="35" spans="1:8" x14ac:dyDescent="0.15">
      <c r="A35">
        <f>A32-A24</f>
        <v>141</v>
      </c>
    </row>
    <row r="36" spans="1:8" x14ac:dyDescent="0.15">
      <c r="B36" t="s">
        <v>8</v>
      </c>
      <c r="C36">
        <f>SUM(C24:C35)</f>
        <v>988</v>
      </c>
      <c r="D36">
        <f>SUM(D24:D34)</f>
        <v>1014.7400000000001</v>
      </c>
    </row>
    <row r="37" spans="1:8" x14ac:dyDescent="0.15">
      <c r="B37" t="s">
        <v>9</v>
      </c>
      <c r="C37">
        <v>5</v>
      </c>
    </row>
    <row r="38" spans="1:8" x14ac:dyDescent="0.15">
      <c r="B38" t="s">
        <v>10</v>
      </c>
      <c r="C38">
        <f>C36/C37</f>
        <v>197.6</v>
      </c>
    </row>
    <row r="41" spans="1:8" x14ac:dyDescent="0.15">
      <c r="A41" s="2">
        <v>41897</v>
      </c>
      <c r="B41" t="s">
        <v>5</v>
      </c>
      <c r="C41" t="s">
        <v>5</v>
      </c>
      <c r="D41" t="s">
        <v>12</v>
      </c>
      <c r="E41" t="s">
        <v>29</v>
      </c>
    </row>
    <row r="42" spans="1:8" ht="27" x14ac:dyDescent="0.15">
      <c r="B42" t="s">
        <v>11</v>
      </c>
      <c r="C42">
        <v>128</v>
      </c>
      <c r="D42">
        <v>139</v>
      </c>
      <c r="E42">
        <f>ROUND(D42/C42,2)</f>
        <v>1.0900000000000001</v>
      </c>
      <c r="F42" s="1" t="s">
        <v>152</v>
      </c>
      <c r="G42" t="s">
        <v>42</v>
      </c>
    </row>
    <row r="43" spans="1:8" ht="27" x14ac:dyDescent="0.15">
      <c r="B43" t="s">
        <v>32</v>
      </c>
      <c r="C43">
        <v>164</v>
      </c>
      <c r="D43">
        <v>198.9</v>
      </c>
      <c r="E43">
        <f>ROUND(D43/C43,2)</f>
        <v>1.21</v>
      </c>
      <c r="F43" s="1" t="s">
        <v>158</v>
      </c>
      <c r="G43" t="s">
        <v>42</v>
      </c>
    </row>
    <row r="44" spans="1:8" x14ac:dyDescent="0.15">
      <c r="B44" t="s">
        <v>32</v>
      </c>
      <c r="C44">
        <v>164</v>
      </c>
      <c r="D44">
        <v>199</v>
      </c>
      <c r="E44">
        <f>ROUND(D44/C44,2)</f>
        <v>1.21</v>
      </c>
      <c r="F44" t="s">
        <v>173</v>
      </c>
      <c r="G44" t="s">
        <v>42</v>
      </c>
    </row>
    <row r="45" spans="1:8" ht="54" x14ac:dyDescent="0.15">
      <c r="B45" t="s">
        <v>34</v>
      </c>
      <c r="C45">
        <v>138</v>
      </c>
      <c r="D45">
        <f>224-64.84</f>
        <v>159.16</v>
      </c>
      <c r="E45">
        <f>ROUND(D45/C45,2)</f>
        <v>1.1499999999999999</v>
      </c>
      <c r="F45" s="1" t="s">
        <v>207</v>
      </c>
      <c r="G45" t="s">
        <v>208</v>
      </c>
      <c r="H45">
        <f>3*23</f>
        <v>69</v>
      </c>
    </row>
    <row r="46" spans="1:8" x14ac:dyDescent="0.15">
      <c r="B46" t="s">
        <v>87</v>
      </c>
      <c r="C46">
        <v>104</v>
      </c>
      <c r="D46">
        <v>0</v>
      </c>
      <c r="E46">
        <v>0</v>
      </c>
      <c r="F46" t="s">
        <v>129</v>
      </c>
      <c r="G46" t="s">
        <v>42</v>
      </c>
    </row>
    <row r="47" spans="1:8" x14ac:dyDescent="0.15">
      <c r="B47" t="s">
        <v>130</v>
      </c>
      <c r="C47">
        <v>112</v>
      </c>
      <c r="D47">
        <v>125.3</v>
      </c>
      <c r="E47">
        <f t="shared" ref="E47:E63" si="2">ROUND(D47/C47,2)</f>
        <v>1.1200000000000001</v>
      </c>
      <c r="F47" t="s">
        <v>145</v>
      </c>
      <c r="G47" t="s">
        <v>42</v>
      </c>
    </row>
    <row r="48" spans="1:8" ht="54" x14ac:dyDescent="0.15">
      <c r="B48" t="s">
        <v>134</v>
      </c>
      <c r="C48">
        <f>30*4</f>
        <v>120</v>
      </c>
      <c r="D48">
        <f>43*4</f>
        <v>172</v>
      </c>
      <c r="E48">
        <f t="shared" si="2"/>
        <v>1.43</v>
      </c>
      <c r="F48" s="1" t="s">
        <v>163</v>
      </c>
      <c r="G48" t="s">
        <v>42</v>
      </c>
    </row>
    <row r="49" spans="2:8" x14ac:dyDescent="0.15">
      <c r="B49" t="s">
        <v>147</v>
      </c>
      <c r="C49">
        <v>46</v>
      </c>
      <c r="D49">
        <v>0</v>
      </c>
      <c r="E49">
        <f t="shared" si="2"/>
        <v>0</v>
      </c>
      <c r="F49" t="s">
        <v>189</v>
      </c>
      <c r="G49" t="s">
        <v>42</v>
      </c>
    </row>
    <row r="50" spans="2:8" ht="27" x14ac:dyDescent="0.15">
      <c r="B50" t="s">
        <v>148</v>
      </c>
      <c r="C50">
        <v>112</v>
      </c>
      <c r="D50">
        <f>116.76</f>
        <v>116.76</v>
      </c>
      <c r="E50">
        <f t="shared" si="2"/>
        <v>1.04</v>
      </c>
      <c r="F50" s="1" t="s">
        <v>162</v>
      </c>
      <c r="G50" t="s">
        <v>42</v>
      </c>
    </row>
    <row r="51" spans="2:8" x14ac:dyDescent="0.15">
      <c r="B51" t="s">
        <v>150</v>
      </c>
      <c r="C51">
        <v>24</v>
      </c>
      <c r="D51">
        <v>20</v>
      </c>
      <c r="E51">
        <f t="shared" si="2"/>
        <v>0.83</v>
      </c>
      <c r="F51" t="s">
        <v>154</v>
      </c>
      <c r="G51" t="s">
        <v>42</v>
      </c>
    </row>
    <row r="52" spans="2:8" x14ac:dyDescent="0.15">
      <c r="B52" t="s">
        <v>153</v>
      </c>
      <c r="C52">
        <v>84</v>
      </c>
      <c r="D52">
        <v>115</v>
      </c>
      <c r="E52">
        <f t="shared" si="2"/>
        <v>1.37</v>
      </c>
      <c r="F52" s="1" t="s">
        <v>176</v>
      </c>
      <c r="G52" t="s">
        <v>42</v>
      </c>
      <c r="H52">
        <v>0</v>
      </c>
    </row>
    <row r="53" spans="2:8" x14ac:dyDescent="0.15">
      <c r="B53" t="s">
        <v>155</v>
      </c>
      <c r="C53">
        <f>2*23</f>
        <v>46</v>
      </c>
      <c r="D53">
        <f>ROUND(70.5*0.965,2)</f>
        <v>68.03</v>
      </c>
      <c r="E53">
        <f t="shared" si="2"/>
        <v>1.48</v>
      </c>
      <c r="F53" t="s">
        <v>177</v>
      </c>
      <c r="H53">
        <v>0</v>
      </c>
    </row>
    <row r="54" spans="2:8" ht="54" x14ac:dyDescent="0.15">
      <c r="B54" t="s">
        <v>156</v>
      </c>
      <c r="C54">
        <f>24*3</f>
        <v>72</v>
      </c>
      <c r="D54">
        <f>ROUND(105*0.965,2)</f>
        <v>101.33</v>
      </c>
      <c r="E54">
        <f t="shared" si="2"/>
        <v>1.41</v>
      </c>
      <c r="F54" s="1" t="s">
        <v>209</v>
      </c>
      <c r="G54" t="s">
        <v>42</v>
      </c>
      <c r="H54">
        <v>15</v>
      </c>
    </row>
    <row r="55" spans="2:8" ht="40.5" x14ac:dyDescent="0.15">
      <c r="B55" t="s">
        <v>156</v>
      </c>
      <c r="C55">
        <f>24*3</f>
        <v>72</v>
      </c>
      <c r="D55">
        <f>ROUND(105*0.965,2)</f>
        <v>101.33</v>
      </c>
      <c r="E55">
        <f t="shared" si="2"/>
        <v>1.41</v>
      </c>
      <c r="F55" s="1" t="s">
        <v>214</v>
      </c>
      <c r="G55" t="s">
        <v>42</v>
      </c>
      <c r="H55">
        <v>0</v>
      </c>
    </row>
    <row r="56" spans="2:8" ht="54" x14ac:dyDescent="0.15">
      <c r="B56" t="s">
        <v>157</v>
      </c>
      <c r="C56">
        <f>21*4</f>
        <v>84</v>
      </c>
      <c r="D56">
        <v>105.8</v>
      </c>
      <c r="E56">
        <f t="shared" si="2"/>
        <v>1.26</v>
      </c>
      <c r="F56" s="1" t="s">
        <v>204</v>
      </c>
      <c r="G56" t="s">
        <v>42</v>
      </c>
      <c r="H56">
        <v>0</v>
      </c>
    </row>
    <row r="57" spans="2:8" ht="27" x14ac:dyDescent="0.15">
      <c r="B57" t="s">
        <v>157</v>
      </c>
      <c r="C57">
        <f>21*4</f>
        <v>84</v>
      </c>
      <c r="D57">
        <v>105.8</v>
      </c>
      <c r="E57">
        <f t="shared" si="2"/>
        <v>1.26</v>
      </c>
      <c r="F57" s="1" t="s">
        <v>211</v>
      </c>
      <c r="G57" t="s">
        <v>210</v>
      </c>
      <c r="H57">
        <v>42</v>
      </c>
    </row>
    <row r="58" spans="2:8" ht="27" x14ac:dyDescent="0.15">
      <c r="B58" t="s">
        <v>159</v>
      </c>
      <c r="C58">
        <f>24*4</f>
        <v>96</v>
      </c>
      <c r="D58">
        <v>121.1</v>
      </c>
      <c r="E58">
        <f t="shared" si="2"/>
        <v>1.26</v>
      </c>
      <c r="F58" s="1" t="s">
        <v>201</v>
      </c>
      <c r="G58" t="s">
        <v>202</v>
      </c>
      <c r="H58">
        <v>24</v>
      </c>
    </row>
    <row r="59" spans="2:8" x14ac:dyDescent="0.15">
      <c r="B59" t="s">
        <v>153</v>
      </c>
      <c r="C59">
        <v>84</v>
      </c>
      <c r="D59">
        <v>100.83</v>
      </c>
      <c r="E59">
        <f t="shared" si="2"/>
        <v>1.2</v>
      </c>
      <c r="F59" t="s">
        <v>179</v>
      </c>
      <c r="G59" t="s">
        <v>42</v>
      </c>
      <c r="H59">
        <v>0</v>
      </c>
    </row>
    <row r="60" spans="2:8" x14ac:dyDescent="0.15">
      <c r="B60" t="s">
        <v>166</v>
      </c>
      <c r="C60">
        <v>4</v>
      </c>
      <c r="D60">
        <v>2</v>
      </c>
      <c r="E60">
        <f t="shared" si="2"/>
        <v>0.5</v>
      </c>
      <c r="H60">
        <v>0</v>
      </c>
    </row>
    <row r="61" spans="2:8" x14ac:dyDescent="0.15">
      <c r="B61" t="s">
        <v>168</v>
      </c>
      <c r="C61">
        <v>24</v>
      </c>
      <c r="D61">
        <v>34.96</v>
      </c>
      <c r="E61">
        <f t="shared" si="2"/>
        <v>1.46</v>
      </c>
      <c r="H61">
        <v>24</v>
      </c>
    </row>
    <row r="62" spans="2:8" x14ac:dyDescent="0.15">
      <c r="B62" t="s">
        <v>168</v>
      </c>
      <c r="C62">
        <v>24</v>
      </c>
      <c r="D62">
        <v>22.23</v>
      </c>
      <c r="E62">
        <f t="shared" si="2"/>
        <v>0.93</v>
      </c>
      <c r="H62">
        <v>24</v>
      </c>
    </row>
    <row r="63" spans="2:8" x14ac:dyDescent="0.15">
      <c r="B63" t="s">
        <v>180</v>
      </c>
      <c r="C63">
        <v>22</v>
      </c>
      <c r="D63">
        <v>9</v>
      </c>
      <c r="E63">
        <f t="shared" si="2"/>
        <v>0.41</v>
      </c>
      <c r="F63" t="s">
        <v>205</v>
      </c>
      <c r="G63" t="s">
        <v>42</v>
      </c>
      <c r="H63">
        <v>0</v>
      </c>
    </row>
    <row r="64" spans="2:8" x14ac:dyDescent="0.15">
      <c r="B64" t="s">
        <v>180</v>
      </c>
      <c r="C64">
        <v>22</v>
      </c>
      <c r="D64">
        <v>19</v>
      </c>
      <c r="E64">
        <f t="shared" ref="E64:E69" si="3">ROUND(D64/C64,2)</f>
        <v>0.86</v>
      </c>
      <c r="H64">
        <v>22</v>
      </c>
    </row>
    <row r="65" spans="2:8" x14ac:dyDescent="0.15">
      <c r="B65" t="s">
        <v>181</v>
      </c>
      <c r="C65">
        <v>18</v>
      </c>
      <c r="D65">
        <v>35.159999999999997</v>
      </c>
      <c r="E65">
        <f t="shared" si="3"/>
        <v>1.95</v>
      </c>
      <c r="F65" t="s">
        <v>200</v>
      </c>
      <c r="G65" t="s">
        <v>42</v>
      </c>
      <c r="H65">
        <v>0</v>
      </c>
    </row>
    <row r="66" spans="2:8" x14ac:dyDescent="0.15">
      <c r="B66" t="s">
        <v>188</v>
      </c>
      <c r="C66">
        <v>84</v>
      </c>
      <c r="D66">
        <v>106</v>
      </c>
      <c r="E66">
        <f t="shared" si="3"/>
        <v>1.26</v>
      </c>
      <c r="F66" t="s">
        <v>203</v>
      </c>
      <c r="G66" t="s">
        <v>42</v>
      </c>
      <c r="H66">
        <v>0</v>
      </c>
    </row>
    <row r="67" spans="2:8" x14ac:dyDescent="0.15">
      <c r="B67" t="s">
        <v>168</v>
      </c>
      <c r="C67">
        <v>24</v>
      </c>
      <c r="D67">
        <v>17</v>
      </c>
      <c r="E67">
        <f t="shared" si="3"/>
        <v>0.71</v>
      </c>
      <c r="H67">
        <v>24</v>
      </c>
    </row>
    <row r="68" spans="2:8" x14ac:dyDescent="0.15">
      <c r="B68" t="s">
        <v>180</v>
      </c>
      <c r="C68">
        <v>22</v>
      </c>
      <c r="D68">
        <v>30</v>
      </c>
      <c r="E68">
        <f t="shared" si="3"/>
        <v>1.36</v>
      </c>
      <c r="F68" t="s">
        <v>206</v>
      </c>
      <c r="G68" t="s">
        <v>42</v>
      </c>
      <c r="H68">
        <v>0</v>
      </c>
    </row>
    <row r="69" spans="2:8" x14ac:dyDescent="0.15">
      <c r="B69" t="s">
        <v>212</v>
      </c>
      <c r="C69">
        <v>50</v>
      </c>
      <c r="D69">
        <v>46.5</v>
      </c>
      <c r="E69">
        <f t="shared" si="3"/>
        <v>0.93</v>
      </c>
      <c r="F69" t="s">
        <v>213</v>
      </c>
      <c r="H69">
        <v>50</v>
      </c>
    </row>
    <row r="70" spans="2:8" x14ac:dyDescent="0.15">
      <c r="B70" t="s">
        <v>168</v>
      </c>
      <c r="C70">
        <v>24</v>
      </c>
      <c r="D70">
        <v>20.9</v>
      </c>
      <c r="E70">
        <f t="shared" ref="E70:E76" si="4">ROUND(D70/C70,2)</f>
        <v>0.87</v>
      </c>
      <c r="H70">
        <v>24</v>
      </c>
    </row>
    <row r="71" spans="2:8" x14ac:dyDescent="0.15">
      <c r="B71" t="s">
        <v>168</v>
      </c>
      <c r="C71">
        <v>24</v>
      </c>
      <c r="D71">
        <v>21.2</v>
      </c>
      <c r="E71">
        <f t="shared" si="4"/>
        <v>0.88</v>
      </c>
      <c r="H71">
        <v>24</v>
      </c>
    </row>
    <row r="72" spans="2:8" x14ac:dyDescent="0.15">
      <c r="B72" t="s">
        <v>212</v>
      </c>
      <c r="C72">
        <v>50</v>
      </c>
      <c r="D72">
        <v>47</v>
      </c>
      <c r="E72">
        <f t="shared" si="4"/>
        <v>0.94</v>
      </c>
      <c r="H72">
        <v>50</v>
      </c>
    </row>
    <row r="73" spans="2:8" x14ac:dyDescent="0.15">
      <c r="B73" t="s">
        <v>216</v>
      </c>
      <c r="C73">
        <f>18*12</f>
        <v>216</v>
      </c>
      <c r="D73">
        <v>180.6</v>
      </c>
      <c r="E73">
        <f t="shared" si="4"/>
        <v>0.84</v>
      </c>
      <c r="H73">
        <v>216</v>
      </c>
    </row>
    <row r="74" spans="2:8" x14ac:dyDescent="0.15">
      <c r="B74" t="s">
        <v>216</v>
      </c>
      <c r="C74">
        <f>18*12</f>
        <v>216</v>
      </c>
      <c r="D74">
        <v>181.6</v>
      </c>
      <c r="E74">
        <f t="shared" si="4"/>
        <v>0.84</v>
      </c>
      <c r="H74">
        <v>216</v>
      </c>
    </row>
    <row r="75" spans="2:8" x14ac:dyDescent="0.15">
      <c r="B75" t="s">
        <v>216</v>
      </c>
      <c r="C75">
        <f>18*12</f>
        <v>216</v>
      </c>
      <c r="D75">
        <v>181.6</v>
      </c>
      <c r="E75">
        <f t="shared" si="4"/>
        <v>0.84</v>
      </c>
      <c r="H75">
        <v>216</v>
      </c>
    </row>
    <row r="76" spans="2:8" ht="27" x14ac:dyDescent="0.15">
      <c r="B76" t="s">
        <v>217</v>
      </c>
      <c r="C76">
        <f>18*9</f>
        <v>162</v>
      </c>
      <c r="D76">
        <f>181.6/4*3</f>
        <v>136.19999999999999</v>
      </c>
      <c r="E76">
        <f t="shared" si="4"/>
        <v>0.84</v>
      </c>
      <c r="F76" s="1" t="s">
        <v>218</v>
      </c>
      <c r="G76">
        <v>7</v>
      </c>
      <c r="H76">
        <v>162</v>
      </c>
    </row>
    <row r="78" spans="2:8" x14ac:dyDescent="0.15">
      <c r="B78" t="s">
        <v>8</v>
      </c>
      <c r="C78">
        <f>SUM(C42:C77)</f>
        <v>2936</v>
      </c>
      <c r="D78">
        <f>SUM(D42:D53)</f>
        <v>1313.1499999999999</v>
      </c>
      <c r="H78">
        <f>SUM(H42:H77)</f>
        <v>1202</v>
      </c>
    </row>
    <row r="79" spans="2:8" x14ac:dyDescent="0.15">
      <c r="B79" t="s">
        <v>9</v>
      </c>
      <c r="C79">
        <v>5</v>
      </c>
    </row>
    <row r="80" spans="2:8" x14ac:dyDescent="0.15">
      <c r="B80" t="s">
        <v>10</v>
      </c>
      <c r="C80">
        <f>C78/C79</f>
        <v>587.20000000000005</v>
      </c>
    </row>
    <row r="84" spans="2:5" x14ac:dyDescent="0.15">
      <c r="B84" t="s">
        <v>50</v>
      </c>
      <c r="C84" t="s">
        <v>50</v>
      </c>
      <c r="D84" t="s">
        <v>12</v>
      </c>
      <c r="E84" t="s">
        <v>29</v>
      </c>
    </row>
    <row r="85" spans="2:5" x14ac:dyDescent="0.15">
      <c r="B85" t="s">
        <v>51</v>
      </c>
      <c r="C85">
        <f>68+8</f>
        <v>76</v>
      </c>
      <c r="D85">
        <v>117.35</v>
      </c>
      <c r="E85">
        <f t="shared" ref="E85:E100" si="5">ROUND(D85/C85,2)</f>
        <v>1.54</v>
      </c>
    </row>
    <row r="86" spans="2:5" x14ac:dyDescent="0.15">
      <c r="B86" t="s">
        <v>51</v>
      </c>
      <c r="C86">
        <f>68+8</f>
        <v>76</v>
      </c>
      <c r="D86">
        <v>117</v>
      </c>
      <c r="E86">
        <f t="shared" si="5"/>
        <v>1.54</v>
      </c>
    </row>
    <row r="87" spans="2:5" x14ac:dyDescent="0.15">
      <c r="B87" t="s">
        <v>51</v>
      </c>
      <c r="C87">
        <f>68+8</f>
        <v>76</v>
      </c>
      <c r="D87">
        <v>115</v>
      </c>
      <c r="E87">
        <f t="shared" si="5"/>
        <v>1.51</v>
      </c>
    </row>
    <row r="88" spans="2:5" x14ac:dyDescent="0.15">
      <c r="B88" t="s">
        <v>51</v>
      </c>
      <c r="C88">
        <f>68+8</f>
        <v>76</v>
      </c>
      <c r="D88">
        <v>117</v>
      </c>
      <c r="E88">
        <f t="shared" si="5"/>
        <v>1.54</v>
      </c>
    </row>
    <row r="89" spans="2:5" x14ac:dyDescent="0.15">
      <c r="B89" t="s">
        <v>51</v>
      </c>
      <c r="C89">
        <f>68+8</f>
        <v>76</v>
      </c>
      <c r="D89">
        <v>107</v>
      </c>
      <c r="E89">
        <f t="shared" si="5"/>
        <v>1.41</v>
      </c>
    </row>
    <row r="90" spans="2:5" x14ac:dyDescent="0.15">
      <c r="B90" t="s">
        <v>122</v>
      </c>
      <c r="C90">
        <v>18</v>
      </c>
      <c r="D90">
        <v>26.8</v>
      </c>
      <c r="E90">
        <f t="shared" si="5"/>
        <v>1.49</v>
      </c>
    </row>
    <row r="91" spans="2:5" x14ac:dyDescent="0.15">
      <c r="B91" t="s">
        <v>122</v>
      </c>
      <c r="C91">
        <v>18</v>
      </c>
      <c r="D91">
        <v>0</v>
      </c>
      <c r="E91">
        <f t="shared" si="5"/>
        <v>0</v>
      </c>
    </row>
    <row r="92" spans="2:5" x14ac:dyDescent="0.15">
      <c r="B92" t="s">
        <v>135</v>
      </c>
      <c r="C92">
        <f>8*4</f>
        <v>32</v>
      </c>
      <c r="D92">
        <f>13*4</f>
        <v>52</v>
      </c>
      <c r="E92">
        <f t="shared" si="5"/>
        <v>1.63</v>
      </c>
    </row>
    <row r="93" spans="2:5" x14ac:dyDescent="0.15">
      <c r="B93" t="s">
        <v>169</v>
      </c>
      <c r="C93">
        <f>19*6</f>
        <v>114</v>
      </c>
      <c r="D93">
        <v>199</v>
      </c>
      <c r="E93">
        <f t="shared" si="5"/>
        <v>1.75</v>
      </c>
    </row>
    <row r="94" spans="2:5" x14ac:dyDescent="0.15">
      <c r="B94" t="s">
        <v>171</v>
      </c>
      <c r="C94">
        <f>4*19</f>
        <v>76</v>
      </c>
      <c r="D94">
        <v>100.49</v>
      </c>
      <c r="E94">
        <f t="shared" si="5"/>
        <v>1.32</v>
      </c>
    </row>
    <row r="95" spans="2:5" x14ac:dyDescent="0.15">
      <c r="B95" t="s">
        <v>122</v>
      </c>
      <c r="C95">
        <v>18</v>
      </c>
      <c r="D95">
        <v>23.5</v>
      </c>
      <c r="E95">
        <f t="shared" si="5"/>
        <v>1.31</v>
      </c>
    </row>
    <row r="96" spans="2:5" x14ac:dyDescent="0.15">
      <c r="B96" t="s">
        <v>172</v>
      </c>
      <c r="C96">
        <v>80</v>
      </c>
      <c r="D96">
        <v>90.77</v>
      </c>
      <c r="E96">
        <f t="shared" si="5"/>
        <v>1.1299999999999999</v>
      </c>
    </row>
    <row r="97" spans="2:5" x14ac:dyDescent="0.15">
      <c r="B97" t="s">
        <v>174</v>
      </c>
      <c r="C97">
        <v>19</v>
      </c>
      <c r="D97">
        <v>22.22</v>
      </c>
      <c r="E97">
        <f t="shared" si="5"/>
        <v>1.17</v>
      </c>
    </row>
    <row r="98" spans="2:5" x14ac:dyDescent="0.15">
      <c r="B98" t="s">
        <v>182</v>
      </c>
      <c r="C98">
        <f>15*12</f>
        <v>180</v>
      </c>
      <c r="D98">
        <v>322.74</v>
      </c>
      <c r="E98">
        <f t="shared" si="5"/>
        <v>1.79</v>
      </c>
    </row>
    <row r="99" spans="2:5" x14ac:dyDescent="0.15">
      <c r="B99" t="s">
        <v>122</v>
      </c>
      <c r="C99">
        <v>18</v>
      </c>
      <c r="D99">
        <v>29</v>
      </c>
      <c r="E99">
        <f t="shared" si="5"/>
        <v>1.61</v>
      </c>
    </row>
    <row r="100" spans="2:5" x14ac:dyDescent="0.15">
      <c r="B100" t="s">
        <v>183</v>
      </c>
      <c r="C100">
        <v>54</v>
      </c>
      <c r="D100">
        <v>10</v>
      </c>
      <c r="E100">
        <f t="shared" si="5"/>
        <v>0.19</v>
      </c>
    </row>
    <row r="101" spans="2:5" x14ac:dyDescent="0.15">
      <c r="B101" t="s">
        <v>174</v>
      </c>
      <c r="C101">
        <v>19</v>
      </c>
      <c r="D101">
        <v>11.9</v>
      </c>
      <c r="E101">
        <f t="shared" ref="E101" si="6">ROUND(D101/C101,2)</f>
        <v>0.63</v>
      </c>
    </row>
    <row r="102" spans="2:5" x14ac:dyDescent="0.15">
      <c r="B102" t="s">
        <v>215</v>
      </c>
      <c r="C102">
        <f>15*3</f>
        <v>45</v>
      </c>
      <c r="D102">
        <v>45.4</v>
      </c>
      <c r="E102">
        <v>45.4</v>
      </c>
    </row>
    <row r="104" spans="2:5" x14ac:dyDescent="0.15">
      <c r="B104" t="s">
        <v>8</v>
      </c>
      <c r="C104">
        <f>SUM(C85:C103)</f>
        <v>1071</v>
      </c>
      <c r="D104">
        <f>SUM(D85:D100)</f>
        <v>1449.8700000000001</v>
      </c>
    </row>
    <row r="105" spans="2:5" x14ac:dyDescent="0.15">
      <c r="B105" t="s">
        <v>9</v>
      </c>
      <c r="C105">
        <v>5</v>
      </c>
    </row>
    <row r="106" spans="2:5" x14ac:dyDescent="0.15">
      <c r="B106" t="s">
        <v>10</v>
      </c>
      <c r="C106">
        <f>C104/C105</f>
        <v>214.2</v>
      </c>
    </row>
    <row r="109" spans="2:5" x14ac:dyDescent="0.15">
      <c r="B109" t="s">
        <v>161</v>
      </c>
    </row>
    <row r="110" spans="2:5" x14ac:dyDescent="0.15">
      <c r="B110" t="s">
        <v>160</v>
      </c>
      <c r="C110">
        <v>34</v>
      </c>
      <c r="D110">
        <v>59</v>
      </c>
      <c r="E110">
        <f t="shared" ref="E110:E111" si="7">ROUND(D110/C110,2)</f>
        <v>1.74</v>
      </c>
    </row>
    <row r="111" spans="2:5" x14ac:dyDescent="0.15">
      <c r="B111" t="s">
        <v>184</v>
      </c>
      <c r="C111">
        <v>12</v>
      </c>
      <c r="D111">
        <v>29</v>
      </c>
      <c r="E111">
        <f t="shared" si="7"/>
        <v>2.42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9" sqref="E9"/>
    </sheetView>
  </sheetViews>
  <sheetFormatPr defaultRowHeight="13.5" x14ac:dyDescent="0.15"/>
  <cols>
    <col min="1" max="1" width="52" customWidth="1"/>
    <col min="4" max="4" width="24.875" customWidth="1"/>
  </cols>
  <sheetData>
    <row r="1" spans="1:6" x14ac:dyDescent="0.15">
      <c r="A1" t="s">
        <v>25</v>
      </c>
      <c r="B1" t="s">
        <v>26</v>
      </c>
      <c r="C1" t="s">
        <v>27</v>
      </c>
      <c r="D1" t="s">
        <v>28</v>
      </c>
      <c r="E1" t="s">
        <v>23</v>
      </c>
      <c r="F1">
        <f>SUM(B2:B101)</f>
        <v>449.77</v>
      </c>
    </row>
    <row r="2" spans="1:6" x14ac:dyDescent="0.15">
      <c r="A2" t="s">
        <v>17</v>
      </c>
      <c r="B2">
        <f>ROUND(79.9*97.6*0.9/213.9,2)</f>
        <v>32.81</v>
      </c>
      <c r="C2">
        <f>B2/132</f>
        <v>0.24856060606060607</v>
      </c>
      <c r="D2" t="s">
        <v>52</v>
      </c>
      <c r="E2" t="s">
        <v>53</v>
      </c>
    </row>
    <row r="3" spans="1:6" x14ac:dyDescent="0.15">
      <c r="A3" t="s">
        <v>18</v>
      </c>
      <c r="B3">
        <f>ROUND(79.8*2*145.44*0.9/203.2,2)</f>
        <v>102.81</v>
      </c>
      <c r="C3">
        <f>B3/132/2</f>
        <v>0.38943181818181821</v>
      </c>
      <c r="D3" t="s">
        <v>125</v>
      </c>
      <c r="E3" t="s">
        <v>42</v>
      </c>
    </row>
    <row r="4" spans="1:6" x14ac:dyDescent="0.15">
      <c r="A4" t="s">
        <v>24</v>
      </c>
      <c r="B4">
        <f>40.6-10.15</f>
        <v>30.450000000000003</v>
      </c>
      <c r="C4">
        <f>B4/66</f>
        <v>0.46136363636363642</v>
      </c>
      <c r="D4" t="s">
        <v>92</v>
      </c>
      <c r="E4" t="s">
        <v>42</v>
      </c>
    </row>
    <row r="5" spans="1:6" x14ac:dyDescent="0.15">
      <c r="A5" t="s">
        <v>123</v>
      </c>
      <c r="B5">
        <v>45</v>
      </c>
      <c r="C5">
        <f>B5/78</f>
        <v>0.57692307692307687</v>
      </c>
      <c r="D5" t="s">
        <v>142</v>
      </c>
      <c r="E5" t="s">
        <v>42</v>
      </c>
    </row>
    <row r="6" spans="1:6" x14ac:dyDescent="0.15">
      <c r="A6" t="s">
        <v>123</v>
      </c>
      <c r="B6">
        <v>45</v>
      </c>
      <c r="C6">
        <f>B6/78</f>
        <v>0.57692307692307687</v>
      </c>
      <c r="D6" t="s">
        <v>143</v>
      </c>
      <c r="E6" t="s">
        <v>42</v>
      </c>
    </row>
    <row r="7" spans="1:6" x14ac:dyDescent="0.15">
      <c r="A7" t="s">
        <v>123</v>
      </c>
      <c r="B7">
        <v>45</v>
      </c>
      <c r="C7">
        <f>B7/78</f>
        <v>0.57692307692307687</v>
      </c>
      <c r="D7" t="s">
        <v>144</v>
      </c>
    </row>
    <row r="8" spans="1:6" x14ac:dyDescent="0.15">
      <c r="A8" t="s">
        <v>124</v>
      </c>
      <c r="B8">
        <v>9</v>
      </c>
      <c r="C8">
        <f>B8/6</f>
        <v>1.5</v>
      </c>
    </row>
    <row r="9" spans="1:6" x14ac:dyDescent="0.15">
      <c r="A9" t="s">
        <v>18</v>
      </c>
      <c r="B9">
        <f>139.7-9.9</f>
        <v>129.79999999999998</v>
      </c>
      <c r="C9">
        <f>B9/2/132</f>
        <v>0.49166666666666659</v>
      </c>
    </row>
    <row r="10" spans="1:6" x14ac:dyDescent="0.15">
      <c r="A10" t="s">
        <v>141</v>
      </c>
      <c r="B10">
        <v>9.9</v>
      </c>
      <c r="C10">
        <f>B10/36</f>
        <v>0.27500000000000002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"/>
  <sheetViews>
    <sheetView workbookViewId="0">
      <selection activeCell="F37" sqref="F37"/>
    </sheetView>
  </sheetViews>
  <sheetFormatPr defaultRowHeight="13.5" x14ac:dyDescent="0.15"/>
  <cols>
    <col min="1" max="1" width="15" bestFit="1" customWidth="1"/>
    <col min="2" max="2" width="60.75" bestFit="1" customWidth="1"/>
    <col min="4" max="4" width="23.875" bestFit="1" customWidth="1"/>
    <col min="6" max="6" width="11.125" bestFit="1" customWidth="1"/>
  </cols>
  <sheetData>
    <row r="1" spans="1:9" x14ac:dyDescent="0.15">
      <c r="F1" t="s">
        <v>23</v>
      </c>
      <c r="G1">
        <f>SUM(C12:C107)</f>
        <v>461.9</v>
      </c>
    </row>
    <row r="2" spans="1:9" x14ac:dyDescent="0.15">
      <c r="A2" t="s">
        <v>69</v>
      </c>
      <c r="E2" t="s">
        <v>74</v>
      </c>
      <c r="F2" t="s">
        <v>84</v>
      </c>
      <c r="G2" t="s">
        <v>85</v>
      </c>
      <c r="I2" t="s">
        <v>100</v>
      </c>
    </row>
    <row r="3" spans="1:9" ht="39.75" hidden="1" customHeight="1" x14ac:dyDescent="0.15">
      <c r="B3" t="s">
        <v>36</v>
      </c>
      <c r="C3">
        <v>22.5</v>
      </c>
      <c r="D3" s="1" t="s">
        <v>41</v>
      </c>
      <c r="E3">
        <v>0</v>
      </c>
      <c r="F3" t="s">
        <v>79</v>
      </c>
      <c r="G3">
        <v>2015.07</v>
      </c>
      <c r="H3">
        <v>80</v>
      </c>
      <c r="I3">
        <f>E3*H3</f>
        <v>0</v>
      </c>
    </row>
    <row r="4" spans="1:9" ht="81" hidden="1" x14ac:dyDescent="0.15">
      <c r="B4" t="s">
        <v>38</v>
      </c>
      <c r="C4">
        <v>59.96</v>
      </c>
      <c r="D4" s="1" t="s">
        <v>140</v>
      </c>
      <c r="E4">
        <v>0</v>
      </c>
      <c r="F4" t="s">
        <v>79</v>
      </c>
      <c r="G4">
        <v>2015.07</v>
      </c>
      <c r="H4">
        <v>80</v>
      </c>
      <c r="I4">
        <f t="shared" ref="I4:I30" si="0">E4*H4</f>
        <v>0</v>
      </c>
    </row>
    <row r="5" spans="1:9" ht="94.5" hidden="1" x14ac:dyDescent="0.15">
      <c r="A5" t="s">
        <v>65</v>
      </c>
      <c r="B5" t="s">
        <v>37</v>
      </c>
      <c r="C5">
        <v>60.81</v>
      </c>
      <c r="D5" s="1" t="s">
        <v>91</v>
      </c>
      <c r="E5">
        <v>0</v>
      </c>
      <c r="F5" t="s">
        <v>75</v>
      </c>
      <c r="G5">
        <v>2015.08</v>
      </c>
      <c r="H5">
        <v>80</v>
      </c>
      <c r="I5">
        <f t="shared" si="0"/>
        <v>0</v>
      </c>
    </row>
    <row r="6" spans="1:9" ht="81" hidden="1" x14ac:dyDescent="0.15">
      <c r="A6" t="s">
        <v>66</v>
      </c>
      <c r="B6" t="s">
        <v>43</v>
      </c>
      <c r="C6">
        <v>62.3</v>
      </c>
      <c r="D6" s="1" t="s">
        <v>119</v>
      </c>
      <c r="E6">
        <v>0</v>
      </c>
      <c r="F6" t="s">
        <v>75</v>
      </c>
      <c r="G6">
        <v>2015.08</v>
      </c>
      <c r="H6">
        <v>80</v>
      </c>
      <c r="I6">
        <f t="shared" si="0"/>
        <v>0</v>
      </c>
    </row>
    <row r="7" spans="1:9" ht="81" hidden="1" x14ac:dyDescent="0.15">
      <c r="A7" t="s">
        <v>67</v>
      </c>
      <c r="B7" t="s">
        <v>54</v>
      </c>
      <c r="C7">
        <f>47.52</f>
        <v>47.52</v>
      </c>
      <c r="D7" s="1" t="s">
        <v>128</v>
      </c>
      <c r="E7">
        <v>0</v>
      </c>
      <c r="F7" t="s">
        <v>75</v>
      </c>
      <c r="G7">
        <v>2015.08</v>
      </c>
      <c r="H7">
        <v>80</v>
      </c>
      <c r="I7">
        <f t="shared" si="0"/>
        <v>0</v>
      </c>
    </row>
    <row r="8" spans="1:9" ht="40.5" hidden="1" x14ac:dyDescent="0.15">
      <c r="A8" t="s">
        <v>68</v>
      </c>
      <c r="B8" t="s">
        <v>59</v>
      </c>
      <c r="C8">
        <v>23.9</v>
      </c>
      <c r="D8" s="1" t="s">
        <v>98</v>
      </c>
      <c r="E8">
        <v>0</v>
      </c>
      <c r="F8" t="s">
        <v>75</v>
      </c>
      <c r="G8">
        <v>2015.08</v>
      </c>
      <c r="H8">
        <v>80</v>
      </c>
      <c r="I8">
        <f t="shared" si="0"/>
        <v>0</v>
      </c>
    </row>
    <row r="9" spans="1:9" ht="40.5" hidden="1" x14ac:dyDescent="0.15">
      <c r="A9" t="s">
        <v>66</v>
      </c>
      <c r="B9" t="s">
        <v>44</v>
      </c>
      <c r="C9">
        <v>23.83</v>
      </c>
      <c r="D9" s="1" t="s">
        <v>170</v>
      </c>
      <c r="E9">
        <v>0</v>
      </c>
      <c r="F9" t="s">
        <v>76</v>
      </c>
      <c r="G9">
        <v>2015.08</v>
      </c>
      <c r="H9">
        <v>80</v>
      </c>
      <c r="I9">
        <f t="shared" si="0"/>
        <v>0</v>
      </c>
    </row>
    <row r="10" spans="1:9" ht="27" x14ac:dyDescent="0.15">
      <c r="A10" t="s">
        <v>67</v>
      </c>
      <c r="B10" t="s">
        <v>56</v>
      </c>
      <c r="C10">
        <f>33.12</f>
        <v>33.119999999999997</v>
      </c>
      <c r="D10" s="1" t="s">
        <v>175</v>
      </c>
      <c r="E10">
        <v>4</v>
      </c>
      <c r="F10" t="s">
        <v>76</v>
      </c>
      <c r="G10">
        <v>2015.08</v>
      </c>
      <c r="H10">
        <v>80</v>
      </c>
      <c r="I10">
        <f t="shared" si="0"/>
        <v>320</v>
      </c>
    </row>
    <row r="11" spans="1:9" ht="50.25" hidden="1" customHeight="1" x14ac:dyDescent="0.15">
      <c r="A11" t="s">
        <v>71</v>
      </c>
      <c r="B11" s="1" t="s">
        <v>20</v>
      </c>
      <c r="C11">
        <f>ROUND(36.8*145.44*0.9/203.2,2)</f>
        <v>23.71</v>
      </c>
      <c r="D11" s="1" t="s">
        <v>39</v>
      </c>
      <c r="E11">
        <v>0</v>
      </c>
      <c r="F11" t="s">
        <v>83</v>
      </c>
      <c r="G11">
        <v>2016.06</v>
      </c>
      <c r="H11">
        <v>80</v>
      </c>
      <c r="I11">
        <f t="shared" si="0"/>
        <v>0</v>
      </c>
    </row>
    <row r="12" spans="1:9" ht="39.75" hidden="1" customHeight="1" x14ac:dyDescent="0.15">
      <c r="A12" t="s">
        <v>70</v>
      </c>
      <c r="B12" t="s">
        <v>16</v>
      </c>
      <c r="C12">
        <f>ROUND(36.8*149.7*0.9/204.6,2)</f>
        <v>24.23</v>
      </c>
      <c r="D12" s="1" t="s">
        <v>151</v>
      </c>
      <c r="E12">
        <v>0</v>
      </c>
      <c r="F12" t="s">
        <v>83</v>
      </c>
      <c r="G12">
        <v>2016.06</v>
      </c>
      <c r="H12">
        <v>80</v>
      </c>
      <c r="I12">
        <f t="shared" si="0"/>
        <v>0</v>
      </c>
    </row>
    <row r="13" spans="1:9" ht="39.75" hidden="1" customHeight="1" x14ac:dyDescent="0.15">
      <c r="A13" t="s">
        <v>93</v>
      </c>
      <c r="B13" t="s">
        <v>94</v>
      </c>
      <c r="C13">
        <v>61.53</v>
      </c>
      <c r="D13" s="1" t="s">
        <v>178</v>
      </c>
      <c r="E13">
        <v>7</v>
      </c>
      <c r="F13" t="s">
        <v>83</v>
      </c>
      <c r="G13">
        <v>2016.03</v>
      </c>
      <c r="H13">
        <v>80</v>
      </c>
      <c r="I13">
        <f t="shared" si="0"/>
        <v>560</v>
      </c>
    </row>
    <row r="14" spans="1:9" ht="40.5" hidden="1" x14ac:dyDescent="0.15">
      <c r="A14" t="s">
        <v>70</v>
      </c>
      <c r="B14" t="s">
        <v>80</v>
      </c>
      <c r="C14">
        <f>ROUND(28.8*149.7*0.9/204.6,2)</f>
        <v>18.96</v>
      </c>
      <c r="D14" s="1" t="s">
        <v>149</v>
      </c>
      <c r="E14">
        <v>0</v>
      </c>
      <c r="F14" t="s">
        <v>81</v>
      </c>
      <c r="G14">
        <v>2015.07</v>
      </c>
      <c r="H14">
        <v>80</v>
      </c>
      <c r="I14">
        <f t="shared" si="0"/>
        <v>0</v>
      </c>
    </row>
    <row r="15" spans="1:9" ht="54" hidden="1" x14ac:dyDescent="0.15">
      <c r="A15" t="s">
        <v>64</v>
      </c>
      <c r="B15" t="s">
        <v>63</v>
      </c>
      <c r="C15">
        <f>ROUND(4.8*3*47.04*0.9/54.08,2)</f>
        <v>11.27</v>
      </c>
      <c r="D15" s="1" t="s">
        <v>131</v>
      </c>
      <c r="E15">
        <v>0</v>
      </c>
      <c r="F15" t="s">
        <v>72</v>
      </c>
      <c r="G15">
        <v>2015.08</v>
      </c>
      <c r="H15">
        <v>20</v>
      </c>
      <c r="I15">
        <f t="shared" si="0"/>
        <v>0</v>
      </c>
    </row>
    <row r="16" spans="1:9" ht="27" hidden="1" x14ac:dyDescent="0.15">
      <c r="A16" t="s">
        <v>64</v>
      </c>
      <c r="B16" t="s">
        <v>35</v>
      </c>
      <c r="C16">
        <f>ROUND(4.8*3*49.28*0.9/54.08,2)</f>
        <v>11.81</v>
      </c>
      <c r="D16" s="1" t="s">
        <v>132</v>
      </c>
      <c r="E16">
        <v>0</v>
      </c>
      <c r="F16" t="s">
        <v>72</v>
      </c>
      <c r="G16">
        <v>2015.08</v>
      </c>
      <c r="H16">
        <v>20</v>
      </c>
      <c r="I16">
        <f t="shared" si="0"/>
        <v>0</v>
      </c>
    </row>
    <row r="17" spans="1:9" x14ac:dyDescent="0.15">
      <c r="A17" t="s">
        <v>67</v>
      </c>
      <c r="B17" t="s">
        <v>55</v>
      </c>
      <c r="C17">
        <f>9.36</f>
        <v>9.36</v>
      </c>
      <c r="D17" s="1" t="s">
        <v>139</v>
      </c>
      <c r="E17">
        <v>0.1</v>
      </c>
      <c r="F17" t="s">
        <v>72</v>
      </c>
      <c r="G17">
        <v>2015.08</v>
      </c>
      <c r="H17">
        <v>20</v>
      </c>
      <c r="I17">
        <f t="shared" si="0"/>
        <v>2</v>
      </c>
    </row>
    <row r="18" spans="1:9" x14ac:dyDescent="0.15">
      <c r="A18" t="s">
        <v>68</v>
      </c>
      <c r="B18" t="s">
        <v>58</v>
      </c>
      <c r="C18">
        <v>40.4</v>
      </c>
      <c r="E18">
        <v>15</v>
      </c>
      <c r="F18" t="s">
        <v>72</v>
      </c>
      <c r="G18">
        <v>2015.08</v>
      </c>
      <c r="H18">
        <v>20</v>
      </c>
      <c r="I18">
        <f t="shared" si="0"/>
        <v>300</v>
      </c>
    </row>
    <row r="19" spans="1:9" x14ac:dyDescent="0.15">
      <c r="A19" t="s">
        <v>68</v>
      </c>
      <c r="B19" t="s">
        <v>60</v>
      </c>
      <c r="C19">
        <v>9</v>
      </c>
      <c r="E19">
        <v>3</v>
      </c>
      <c r="F19" t="s">
        <v>72</v>
      </c>
      <c r="G19">
        <v>2015.08</v>
      </c>
      <c r="H19">
        <v>20</v>
      </c>
      <c r="I19">
        <f t="shared" si="0"/>
        <v>60</v>
      </c>
    </row>
    <row r="20" spans="1:9" ht="27" x14ac:dyDescent="0.15">
      <c r="A20" t="s">
        <v>68</v>
      </c>
      <c r="B20" t="s">
        <v>61</v>
      </c>
      <c r="C20">
        <v>9</v>
      </c>
      <c r="D20" s="1" t="s">
        <v>133</v>
      </c>
      <c r="E20">
        <v>1</v>
      </c>
      <c r="F20" t="s">
        <v>73</v>
      </c>
      <c r="G20">
        <v>2015.08</v>
      </c>
      <c r="H20">
        <v>20</v>
      </c>
      <c r="I20">
        <f t="shared" si="0"/>
        <v>20</v>
      </c>
    </row>
    <row r="21" spans="1:9" x14ac:dyDescent="0.15">
      <c r="A21" t="s">
        <v>68</v>
      </c>
      <c r="B21" t="s">
        <v>62</v>
      </c>
      <c r="C21">
        <v>8.9</v>
      </c>
      <c r="E21">
        <v>3</v>
      </c>
      <c r="F21" t="s">
        <v>77</v>
      </c>
      <c r="G21">
        <v>2015.08</v>
      </c>
      <c r="H21">
        <v>20</v>
      </c>
      <c r="I21">
        <f t="shared" si="0"/>
        <v>60</v>
      </c>
    </row>
    <row r="22" spans="1:9" x14ac:dyDescent="0.15">
      <c r="A22" t="s">
        <v>71</v>
      </c>
      <c r="B22" t="s">
        <v>19</v>
      </c>
      <c r="C22">
        <f>ROUND(6.8*145.44*0.9/203.2,2)</f>
        <v>4.38</v>
      </c>
      <c r="E22">
        <v>1</v>
      </c>
      <c r="F22" t="s">
        <v>78</v>
      </c>
      <c r="G22">
        <v>2016.06</v>
      </c>
      <c r="H22">
        <v>25</v>
      </c>
      <c r="I22">
        <f t="shared" si="0"/>
        <v>25</v>
      </c>
    </row>
    <row r="23" spans="1:9" x14ac:dyDescent="0.15">
      <c r="A23" t="s">
        <v>86</v>
      </c>
      <c r="B23" t="s">
        <v>21</v>
      </c>
      <c r="C23">
        <f>ROUND(4.8*10*0.9,2)</f>
        <v>43.2</v>
      </c>
      <c r="E23">
        <v>10</v>
      </c>
      <c r="F23" t="s">
        <v>78</v>
      </c>
      <c r="G23">
        <v>2016.06</v>
      </c>
      <c r="H23">
        <v>25</v>
      </c>
      <c r="I23">
        <f t="shared" si="0"/>
        <v>250</v>
      </c>
    </row>
    <row r="24" spans="1:9" ht="54" hidden="1" customHeight="1" x14ac:dyDescent="0.15">
      <c r="B24" t="s">
        <v>22</v>
      </c>
      <c r="C24">
        <v>49.9</v>
      </c>
      <c r="D24" t="s">
        <v>30</v>
      </c>
      <c r="E24">
        <v>0</v>
      </c>
      <c r="F24" t="s">
        <v>82</v>
      </c>
      <c r="H24">
        <v>80</v>
      </c>
      <c r="I24">
        <f t="shared" si="0"/>
        <v>0</v>
      </c>
    </row>
    <row r="25" spans="1:9" x14ac:dyDescent="0.15">
      <c r="A25" t="s">
        <v>101</v>
      </c>
      <c r="B25" t="s">
        <v>102</v>
      </c>
      <c r="C25">
        <v>20.2</v>
      </c>
      <c r="E25">
        <v>24</v>
      </c>
      <c r="F25" t="s">
        <v>103</v>
      </c>
      <c r="G25">
        <v>2016.02</v>
      </c>
      <c r="H25">
        <v>10</v>
      </c>
      <c r="I25">
        <f t="shared" si="0"/>
        <v>240</v>
      </c>
    </row>
    <row r="26" spans="1:9" x14ac:dyDescent="0.15">
      <c r="A26" t="s">
        <v>101</v>
      </c>
      <c r="B26" t="s">
        <v>104</v>
      </c>
      <c r="C26">
        <v>30.3</v>
      </c>
      <c r="E26">
        <v>36</v>
      </c>
      <c r="F26" t="s">
        <v>105</v>
      </c>
      <c r="G26">
        <v>2016.02</v>
      </c>
      <c r="H26">
        <v>10</v>
      </c>
      <c r="I26">
        <f t="shared" si="0"/>
        <v>360</v>
      </c>
    </row>
    <row r="27" spans="1:9" hidden="1" x14ac:dyDescent="0.15">
      <c r="A27" t="s">
        <v>126</v>
      </c>
      <c r="B27" t="s">
        <v>127</v>
      </c>
      <c r="C27">
        <v>0</v>
      </c>
      <c r="D27" t="s">
        <v>146</v>
      </c>
      <c r="E27">
        <v>0</v>
      </c>
      <c r="F27" t="s">
        <v>83</v>
      </c>
      <c r="H27">
        <v>80</v>
      </c>
      <c r="I27">
        <f t="shared" si="0"/>
        <v>0</v>
      </c>
    </row>
    <row r="28" spans="1:9" x14ac:dyDescent="0.15">
      <c r="A28" t="s">
        <v>136</v>
      </c>
      <c r="B28" t="s">
        <v>137</v>
      </c>
      <c r="C28">
        <v>15.16</v>
      </c>
      <c r="E28">
        <v>4</v>
      </c>
      <c r="F28" t="s">
        <v>138</v>
      </c>
    </row>
    <row r="29" spans="1:9" x14ac:dyDescent="0.15">
      <c r="A29" t="s">
        <v>185</v>
      </c>
      <c r="B29" t="s">
        <v>186</v>
      </c>
      <c r="C29">
        <v>19</v>
      </c>
      <c r="E29">
        <v>3</v>
      </c>
      <c r="F29" t="s">
        <v>187</v>
      </c>
      <c r="H29">
        <v>64</v>
      </c>
      <c r="I29">
        <f t="shared" si="0"/>
        <v>192</v>
      </c>
    </row>
    <row r="30" spans="1:9" x14ac:dyDescent="0.15">
      <c r="A30" t="s">
        <v>193</v>
      </c>
      <c r="B30" t="s">
        <v>190</v>
      </c>
      <c r="C30">
        <v>9.5</v>
      </c>
      <c r="E30">
        <v>3</v>
      </c>
      <c r="F30" t="s">
        <v>191</v>
      </c>
      <c r="H30">
        <v>56</v>
      </c>
      <c r="I30">
        <f t="shared" si="0"/>
        <v>168</v>
      </c>
    </row>
    <row r="31" spans="1:9" x14ac:dyDescent="0.15">
      <c r="A31" t="s">
        <v>194</v>
      </c>
      <c r="B31" t="s">
        <v>190</v>
      </c>
      <c r="C31">
        <v>8</v>
      </c>
      <c r="E31">
        <v>3</v>
      </c>
      <c r="F31" t="s">
        <v>191</v>
      </c>
    </row>
    <row r="32" spans="1:9" x14ac:dyDescent="0.15">
      <c r="A32" t="s">
        <v>194</v>
      </c>
      <c r="B32" t="s">
        <v>192</v>
      </c>
      <c r="C32">
        <v>1.4</v>
      </c>
      <c r="E32">
        <v>1</v>
      </c>
      <c r="F32" t="s">
        <v>192</v>
      </c>
    </row>
    <row r="33" spans="1:6" x14ac:dyDescent="0.15">
      <c r="A33" t="s">
        <v>195</v>
      </c>
      <c r="B33" t="s">
        <v>190</v>
      </c>
      <c r="C33">
        <v>13</v>
      </c>
      <c r="E33">
        <v>3</v>
      </c>
      <c r="F33" t="s">
        <v>191</v>
      </c>
    </row>
    <row r="34" spans="1:6" x14ac:dyDescent="0.15">
      <c r="A34" t="s">
        <v>196</v>
      </c>
      <c r="B34" t="s">
        <v>190</v>
      </c>
      <c r="C34">
        <v>9.5</v>
      </c>
      <c r="E34">
        <v>3</v>
      </c>
      <c r="F34" t="s">
        <v>191</v>
      </c>
    </row>
    <row r="35" spans="1:6" x14ac:dyDescent="0.15">
      <c r="A35" t="s">
        <v>196</v>
      </c>
      <c r="B35" t="s">
        <v>190</v>
      </c>
      <c r="C35">
        <v>9.5</v>
      </c>
      <c r="E35">
        <v>3</v>
      </c>
      <c r="F35" t="s">
        <v>191</v>
      </c>
    </row>
    <row r="36" spans="1:6" x14ac:dyDescent="0.15">
      <c r="A36" t="s">
        <v>196</v>
      </c>
      <c r="B36" t="s">
        <v>198</v>
      </c>
      <c r="C36">
        <v>14.9</v>
      </c>
      <c r="E36">
        <v>3</v>
      </c>
      <c r="F36" t="s">
        <v>199</v>
      </c>
    </row>
    <row r="37" spans="1:6" x14ac:dyDescent="0.15">
      <c r="A37" t="s">
        <v>197</v>
      </c>
      <c r="B37" t="s">
        <v>190</v>
      </c>
      <c r="C37">
        <v>9.5</v>
      </c>
      <c r="E37">
        <v>3</v>
      </c>
      <c r="F37" t="s">
        <v>191</v>
      </c>
    </row>
  </sheetData>
  <autoFilter ref="A2:I28">
    <filterColumn colId="4">
      <filters>
        <filter val="0.1"/>
        <filter val="1"/>
        <filter val="10"/>
        <filter val="15"/>
        <filter val="24"/>
        <filter val="3"/>
        <filter val="36"/>
        <filter val="4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"/>
    </sheetView>
  </sheetViews>
  <sheetFormatPr defaultRowHeight="13.5" x14ac:dyDescent="0.15"/>
  <cols>
    <col min="1" max="1" width="17.25" bestFit="1" customWidth="1"/>
    <col min="2" max="2" width="46.625" customWidth="1"/>
  </cols>
  <sheetData>
    <row r="1" spans="1:4" x14ac:dyDescent="0.15">
      <c r="C1" t="s">
        <v>110</v>
      </c>
      <c r="D1" t="s">
        <v>111</v>
      </c>
    </row>
    <row r="2" spans="1:4" x14ac:dyDescent="0.15">
      <c r="A2" t="s">
        <v>109</v>
      </c>
      <c r="B2" t="s">
        <v>117</v>
      </c>
      <c r="C2">
        <v>10</v>
      </c>
      <c r="D2">
        <v>1</v>
      </c>
    </row>
    <row r="3" spans="1:4" x14ac:dyDescent="0.15">
      <c r="A3" t="s">
        <v>112</v>
      </c>
      <c r="B3" t="s">
        <v>113</v>
      </c>
      <c r="C3">
        <f>13.07+9.55+13+6.5</f>
        <v>42.120000000000005</v>
      </c>
      <c r="D3">
        <f>2+1+2+1</f>
        <v>6</v>
      </c>
    </row>
    <row r="4" spans="1:4" x14ac:dyDescent="0.15">
      <c r="A4" t="s">
        <v>112</v>
      </c>
      <c r="B4" t="s">
        <v>114</v>
      </c>
      <c r="C4">
        <v>9.5500000000000007</v>
      </c>
      <c r="D4">
        <v>1</v>
      </c>
    </row>
    <row r="5" spans="1:4" x14ac:dyDescent="0.15">
      <c r="A5" t="s">
        <v>112</v>
      </c>
      <c r="B5" s="5" t="s">
        <v>115</v>
      </c>
      <c r="C5">
        <f>9.55+9.5+9.5</f>
        <v>28.55</v>
      </c>
      <c r="D5">
        <f>1+1+1</f>
        <v>3</v>
      </c>
    </row>
    <row r="6" spans="1:4" x14ac:dyDescent="0.15">
      <c r="A6" t="s">
        <v>112</v>
      </c>
      <c r="B6" t="s">
        <v>116</v>
      </c>
      <c r="C6">
        <f>8.5+17.17</f>
        <v>25.67</v>
      </c>
      <c r="D6">
        <f>1+2</f>
        <v>3</v>
      </c>
    </row>
    <row r="7" spans="1:4" x14ac:dyDescent="0.15">
      <c r="A7" t="s">
        <v>112</v>
      </c>
      <c r="B7" t="s">
        <v>118</v>
      </c>
      <c r="C7">
        <f>9.5+9.5</f>
        <v>19</v>
      </c>
      <c r="D7">
        <f>1+1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纸尿裤</vt:lpstr>
      <vt:lpstr>防溢乳垫</vt:lpstr>
      <vt:lpstr>湿纸巾</vt:lpstr>
      <vt:lpstr>米粉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2014-01-05T11:33:59Z</dcterms:created>
  <dcterms:modified xsi:type="dcterms:W3CDTF">2015-11-14T12:00:17Z</dcterms:modified>
</cp:coreProperties>
</file>