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11055" windowHeight="4665" activeTab="6"/>
  </bookViews>
  <sheets>
    <sheet name="汇总" sheetId="7" r:id="rId1"/>
    <sheet name="装修公司" sheetId="5" r:id="rId2"/>
    <sheet name="物业公司" sheetId="6" r:id="rId3"/>
    <sheet name="灯具" sheetId="1" r:id="rId4"/>
    <sheet name="厨房卫浴" sheetId="2" r:id="rId5"/>
    <sheet name="开关插座" sheetId="3" r:id="rId6"/>
    <sheet name="家具_软装" sheetId="8" r:id="rId7"/>
    <sheet name="电器" sheetId="9" r:id="rId8"/>
    <sheet name="杂七杂八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8" l="1"/>
  <c r="D36" i="8" l="1"/>
  <c r="D35" i="8" l="1"/>
  <c r="D34" i="8" l="1"/>
  <c r="D28" i="8" l="1"/>
  <c r="D33" i="8" l="1"/>
  <c r="C24" i="7" l="1"/>
  <c r="D13" i="9" l="1"/>
  <c r="D12" i="9"/>
  <c r="F1" i="10" l="1"/>
  <c r="C22" i="7" s="1"/>
  <c r="B5" i="10"/>
  <c r="D27" i="8" l="1"/>
  <c r="D26" i="8"/>
  <c r="D25" i="8"/>
  <c r="D11" i="9" l="1"/>
  <c r="C11" i="9"/>
  <c r="D24" i="9" l="1"/>
  <c r="C24" i="9"/>
  <c r="D23" i="9"/>
  <c r="D22" i="9"/>
  <c r="C6" i="9" l="1"/>
  <c r="C5" i="9"/>
  <c r="C4" i="9"/>
  <c r="C7" i="9"/>
  <c r="D21" i="9"/>
  <c r="D20" i="9"/>
  <c r="D24" i="8" l="1"/>
  <c r="C23" i="8" l="1"/>
  <c r="D23" i="8" s="1"/>
  <c r="C22" i="8"/>
  <c r="D22" i="8" s="1"/>
  <c r="C21" i="8"/>
  <c r="D21" i="8" s="1"/>
  <c r="D37" i="2" l="1"/>
  <c r="D36" i="2"/>
  <c r="D20" i="8" l="1"/>
  <c r="D19" i="9" l="1"/>
  <c r="D35" i="2"/>
  <c r="C14" i="7" l="1"/>
  <c r="D34" i="2" l="1"/>
  <c r="D33" i="2" l="1"/>
  <c r="C23" i="7" l="1"/>
  <c r="D18" i="9"/>
  <c r="B6" i="5"/>
  <c r="B4" i="5"/>
  <c r="C93" i="7"/>
  <c r="C46" i="7"/>
  <c r="D33" i="3" l="1"/>
  <c r="D10" i="9" l="1"/>
  <c r="C9" i="9"/>
  <c r="D5" i="9"/>
  <c r="D6" i="9"/>
  <c r="C8" i="9"/>
  <c r="C3" i="9"/>
  <c r="C2" i="9"/>
  <c r="D17" i="8" l="1"/>
  <c r="D16" i="8" l="1"/>
  <c r="D17" i="9" l="1"/>
  <c r="D16" i="9"/>
  <c r="D32" i="2" l="1"/>
  <c r="D15" i="8" l="1"/>
  <c r="C28" i="2" l="1"/>
  <c r="D31" i="2"/>
  <c r="D32" i="3" l="1"/>
  <c r="D24" i="1" l="1"/>
  <c r="D30" i="2" l="1"/>
  <c r="C21" i="1" l="1"/>
  <c r="C19" i="7" l="1"/>
  <c r="D29" i="2"/>
  <c r="C13" i="7" l="1"/>
  <c r="C31" i="3" l="1"/>
  <c r="C21" i="7" l="1"/>
  <c r="D31" i="3" l="1"/>
  <c r="D30" i="3" l="1"/>
  <c r="D29" i="3"/>
  <c r="D28" i="2" l="1"/>
  <c r="D27" i="2" l="1"/>
  <c r="D26" i="2" l="1"/>
  <c r="D25" i="2"/>
  <c r="D24" i="2"/>
  <c r="C20" i="1" l="1"/>
  <c r="D23" i="2"/>
  <c r="D4" i="8"/>
  <c r="C14" i="8" l="1"/>
  <c r="C13" i="8"/>
  <c r="C11" i="8" l="1"/>
  <c r="D11" i="8" s="1"/>
  <c r="C10" i="8"/>
  <c r="D10" i="8" s="1"/>
  <c r="C9" i="8"/>
  <c r="C12" i="8"/>
  <c r="D12" i="8" s="1"/>
  <c r="C7" i="8"/>
  <c r="C6" i="8"/>
  <c r="C5" i="8"/>
  <c r="D3" i="8"/>
  <c r="D2" i="8"/>
  <c r="D23" i="1" l="1"/>
  <c r="D22" i="1"/>
  <c r="D13" i="8" l="1"/>
  <c r="D14" i="8" l="1"/>
  <c r="D9" i="8"/>
  <c r="D7" i="9"/>
  <c r="D9" i="9"/>
  <c r="D8" i="9"/>
  <c r="D4" i="9"/>
  <c r="D3" i="9"/>
  <c r="D2" i="9"/>
  <c r="D8" i="8"/>
  <c r="D7" i="8"/>
  <c r="D6" i="8"/>
  <c r="D5" i="8"/>
  <c r="D21" i="1"/>
  <c r="D20" i="1"/>
  <c r="C25" i="7"/>
  <c r="C92" i="7"/>
  <c r="C94" i="7"/>
  <c r="C86" i="7"/>
  <c r="C80" i="7"/>
  <c r="C69" i="7"/>
  <c r="C78" i="7"/>
  <c r="C60" i="7"/>
  <c r="C53" i="7"/>
  <c r="C34" i="7"/>
  <c r="C42" i="7"/>
  <c r="G1" i="9" l="1"/>
  <c r="C27" i="7" s="1"/>
  <c r="G1" i="8"/>
  <c r="C26" i="7" s="1"/>
  <c r="D19" i="1"/>
  <c r="C103" i="7" l="1"/>
  <c r="C87" i="7"/>
  <c r="C77" i="7"/>
  <c r="C66" i="7"/>
  <c r="C56" i="7"/>
  <c r="C88" i="7"/>
  <c r="C83" i="7"/>
  <c r="C81" i="7"/>
  <c r="C84" i="7" s="1"/>
  <c r="C82" i="7"/>
  <c r="C76" i="7"/>
  <c r="C75" i="7"/>
  <c r="C74" i="7"/>
  <c r="C73" i="7"/>
  <c r="C72" i="7"/>
  <c r="C71" i="7"/>
  <c r="C70" i="7"/>
  <c r="C63" i="7"/>
  <c r="C54" i="7"/>
  <c r="C55" i="7"/>
  <c r="C58" i="7" s="1"/>
  <c r="C47" i="7"/>
  <c r="C45" i="7"/>
  <c r="C39" i="7"/>
  <c r="C37" i="7"/>
  <c r="C97" i="7" l="1"/>
  <c r="C90" i="7"/>
  <c r="C67" i="7"/>
  <c r="C49" i="7"/>
  <c r="C48" i="7" l="1"/>
  <c r="C51" i="7" s="1"/>
  <c r="C18" i="7"/>
  <c r="C44" i="7" l="1"/>
  <c r="C31" i="7"/>
  <c r="C20" i="2"/>
  <c r="D18" i="1" l="1"/>
  <c r="C18" i="1"/>
  <c r="C16" i="7" l="1"/>
  <c r="D22" i="2" l="1"/>
  <c r="C22" i="2"/>
  <c r="D21" i="2" l="1"/>
  <c r="D20" i="2" l="1"/>
  <c r="D19" i="2"/>
  <c r="D17" i="1" l="1"/>
  <c r="D18" i="2" l="1"/>
  <c r="D28" i="3"/>
  <c r="D27" i="3"/>
  <c r="D16" i="1" l="1"/>
  <c r="D14" i="1"/>
  <c r="D13" i="1"/>
  <c r="D12" i="1" l="1"/>
  <c r="D11" i="1"/>
  <c r="C11" i="1"/>
  <c r="D26" i="3" l="1"/>
  <c r="D25" i="3"/>
  <c r="D24" i="3" l="1"/>
  <c r="D18" i="3" l="1"/>
  <c r="D23" i="3" l="1"/>
  <c r="D19" i="3" l="1"/>
  <c r="D16" i="3" l="1"/>
  <c r="D22" i="3" l="1"/>
  <c r="D21" i="3"/>
  <c r="C17" i="3" l="1"/>
  <c r="D17" i="3" s="1"/>
  <c r="C35" i="7" l="1"/>
  <c r="C20" i="3"/>
  <c r="D20" i="3" s="1"/>
  <c r="C11" i="7"/>
  <c r="B6" i="6" l="1"/>
  <c r="D6" i="6"/>
  <c r="D7" i="6"/>
  <c r="D5" i="6"/>
  <c r="D4" i="6"/>
  <c r="D3" i="6"/>
  <c r="D2" i="6"/>
  <c r="G1" i="6" l="1"/>
  <c r="G1" i="5" l="1"/>
  <c r="E31" i="7" s="1"/>
  <c r="D15" i="3" l="1"/>
  <c r="D17" i="2" l="1"/>
  <c r="C17" i="2"/>
  <c r="D16" i="2" l="1"/>
  <c r="D14" i="3" l="1"/>
  <c r="D15" i="2"/>
  <c r="C8" i="1" l="1"/>
  <c r="D8" i="1" s="1"/>
  <c r="D7" i="3" l="1"/>
  <c r="D6" i="3" l="1"/>
  <c r="D13" i="3" l="1"/>
  <c r="D14" i="2" l="1"/>
  <c r="D13" i="2" l="1"/>
  <c r="D12" i="2"/>
  <c r="D11" i="2"/>
  <c r="D9" i="3"/>
  <c r="D5" i="3"/>
  <c r="D3" i="3"/>
  <c r="D11" i="3"/>
  <c r="D10" i="3"/>
  <c r="D10" i="2"/>
  <c r="D8" i="3"/>
  <c r="D4" i="3"/>
  <c r="D2" i="3"/>
  <c r="D12" i="3"/>
  <c r="D9" i="2"/>
  <c r="D8" i="2"/>
  <c r="D6" i="1"/>
  <c r="D7" i="1"/>
  <c r="D7" i="2"/>
  <c r="D6" i="2"/>
  <c r="D5" i="2"/>
  <c r="D4" i="2"/>
  <c r="D3" i="2"/>
  <c r="G1" i="3" l="1"/>
  <c r="C8" i="7" s="1"/>
  <c r="D5" i="1"/>
  <c r="D4" i="1"/>
  <c r="D3" i="1"/>
  <c r="D2" i="1"/>
  <c r="D10" i="1"/>
  <c r="D9" i="1"/>
  <c r="D2" i="2"/>
  <c r="G1" i="2" s="1"/>
  <c r="C9" i="7" s="1"/>
  <c r="G1" i="1" l="1"/>
  <c r="C7" i="7" s="1"/>
  <c r="C28" i="7" s="1"/>
  <c r="C3" i="7" l="1"/>
  <c r="C1" i="7" s="1"/>
</calcChain>
</file>

<file path=xl/sharedStrings.xml><?xml version="1.0" encoding="utf-8"?>
<sst xmlns="http://schemas.openxmlformats.org/spreadsheetml/2006/main" count="296" uniqueCount="240">
  <si>
    <t>数量</t>
    <phoneticPr fontId="1" type="noConversion"/>
  </si>
  <si>
    <t>单价</t>
    <phoneticPr fontId="1" type="noConversion"/>
  </si>
  <si>
    <t>总计</t>
    <phoneticPr fontId="1" type="noConversion"/>
  </si>
  <si>
    <t>九牧洗衣机龙头</t>
    <phoneticPr fontId="1" type="noConversion"/>
  </si>
  <si>
    <t>欧普照明阳台吸顶灯4.5W</t>
    <phoneticPr fontId="1" type="noConversion"/>
  </si>
  <si>
    <t>欧普照明3W筒灯3个</t>
    <phoneticPr fontId="1" type="noConversion"/>
  </si>
  <si>
    <t>九牧角阀-冷</t>
    <phoneticPr fontId="1" type="noConversion"/>
  </si>
  <si>
    <t>九牧角阀-热</t>
    <phoneticPr fontId="1" type="noConversion"/>
  </si>
  <si>
    <t>欧普浴霸</t>
    <phoneticPr fontId="1" type="noConversion"/>
  </si>
  <si>
    <t>欧普led吊顶灯10W</t>
    <phoneticPr fontId="1" type="noConversion"/>
  </si>
  <si>
    <t>欧普筒灯3W*2</t>
    <phoneticPr fontId="1" type="noConversion"/>
  </si>
  <si>
    <t>欧普凉霸</t>
    <phoneticPr fontId="1" type="noConversion"/>
  </si>
  <si>
    <t>九牧花洒+毛巾架</t>
    <phoneticPr fontId="1" type="noConversion"/>
  </si>
  <si>
    <t>西门子远景6类网线</t>
    <phoneticPr fontId="1" type="noConversion"/>
  </si>
  <si>
    <t>价格</t>
    <phoneticPr fontId="1" type="noConversion"/>
  </si>
  <si>
    <t>西门子远景双开单控</t>
    <phoneticPr fontId="1" type="noConversion"/>
  </si>
  <si>
    <t>西门子远景单开单控</t>
    <phoneticPr fontId="1" type="noConversion"/>
  </si>
  <si>
    <t>西门子远景5孔</t>
    <phoneticPr fontId="1" type="noConversion"/>
  </si>
  <si>
    <t>欧普换气扇</t>
    <phoneticPr fontId="1" type="noConversion"/>
  </si>
  <si>
    <t>西门子远景5孔带开关</t>
    <phoneticPr fontId="1" type="noConversion"/>
  </si>
  <si>
    <t>西门子远景16A带开关</t>
    <phoneticPr fontId="1" type="noConversion"/>
  </si>
  <si>
    <t>九牧拖把池龙头</t>
    <phoneticPr fontId="1" type="noConversion"/>
  </si>
  <si>
    <t>九牧软管40CM</t>
    <phoneticPr fontId="1" type="noConversion"/>
  </si>
  <si>
    <t>九牧软管50CM</t>
    <phoneticPr fontId="1" type="noConversion"/>
  </si>
  <si>
    <t>设计费</t>
    <phoneticPr fontId="1" type="noConversion"/>
  </si>
  <si>
    <t>潜水艇地漏3只装</t>
    <phoneticPr fontId="1" type="noConversion"/>
  </si>
  <si>
    <t>合计</t>
    <phoneticPr fontId="1" type="noConversion"/>
  </si>
  <si>
    <t>西门子远景有线</t>
    <phoneticPr fontId="1" type="noConversion"/>
  </si>
  <si>
    <t>松下LED吸顶灯</t>
    <phoneticPr fontId="1" type="noConversion"/>
  </si>
  <si>
    <t>九牧水槽02094+33080龙头</t>
    <phoneticPr fontId="1" type="noConversion"/>
  </si>
  <si>
    <t>网线+水晶头</t>
    <phoneticPr fontId="1" type="noConversion"/>
  </si>
  <si>
    <t>九牧花洒</t>
    <phoneticPr fontId="1" type="noConversion"/>
  </si>
  <si>
    <t>雷士照明灯暖浴霸</t>
    <phoneticPr fontId="1" type="noConversion"/>
  </si>
  <si>
    <t>首期款</t>
    <phoneticPr fontId="1" type="noConversion"/>
  </si>
  <si>
    <t>主材款</t>
    <phoneticPr fontId="1" type="noConversion"/>
  </si>
  <si>
    <t>中期款</t>
    <phoneticPr fontId="1" type="noConversion"/>
  </si>
  <si>
    <t>尾款</t>
    <phoneticPr fontId="1" type="noConversion"/>
  </si>
  <si>
    <t>插座防水盒</t>
    <phoneticPr fontId="1" type="noConversion"/>
  </si>
  <si>
    <t>开关防水盒</t>
    <phoneticPr fontId="1" type="noConversion"/>
  </si>
  <si>
    <t>水费</t>
    <phoneticPr fontId="1" type="noConversion"/>
  </si>
  <si>
    <t>垃圾搬运费</t>
    <phoneticPr fontId="1" type="noConversion"/>
  </si>
  <si>
    <t>拆墙垃圾</t>
    <phoneticPr fontId="1" type="noConversion"/>
  </si>
  <si>
    <t>保温层垃圾</t>
    <phoneticPr fontId="1" type="noConversion"/>
  </si>
  <si>
    <t>装修管理费</t>
    <phoneticPr fontId="1" type="noConversion"/>
  </si>
  <si>
    <t>合计</t>
    <phoneticPr fontId="1" type="noConversion"/>
  </si>
  <si>
    <t>出入证</t>
    <phoneticPr fontId="1" type="noConversion"/>
  </si>
  <si>
    <t>垃圾清理费</t>
    <phoneticPr fontId="1" type="noConversion"/>
  </si>
  <si>
    <t>灯具</t>
    <phoneticPr fontId="1" type="noConversion"/>
  </si>
  <si>
    <t>开关插座</t>
    <phoneticPr fontId="1" type="noConversion"/>
  </si>
  <si>
    <t>厨房卫浴</t>
  </si>
  <si>
    <t>封阳台</t>
    <phoneticPr fontId="1" type="noConversion"/>
  </si>
  <si>
    <t>自己消费</t>
    <phoneticPr fontId="1" type="noConversion"/>
  </si>
  <si>
    <t>敲墙</t>
    <phoneticPr fontId="1" type="noConversion"/>
  </si>
  <si>
    <t>砌墙</t>
    <phoneticPr fontId="1" type="noConversion"/>
  </si>
  <si>
    <t>甲醛检测仪</t>
    <phoneticPr fontId="1" type="noConversion"/>
  </si>
  <si>
    <t>配电箱</t>
    <phoneticPr fontId="1" type="noConversion"/>
  </si>
  <si>
    <t>瓷砖</t>
    <phoneticPr fontId="1" type="noConversion"/>
  </si>
  <si>
    <t>电路改造</t>
    <phoneticPr fontId="1" type="noConversion"/>
  </si>
  <si>
    <t>地面铺砖</t>
    <phoneticPr fontId="1" type="noConversion"/>
  </si>
  <si>
    <t>门槛石铺设</t>
    <phoneticPr fontId="1" type="noConversion"/>
  </si>
  <si>
    <t>防水</t>
    <phoneticPr fontId="1" type="noConversion"/>
  </si>
  <si>
    <t>地面找平</t>
    <phoneticPr fontId="1" type="noConversion"/>
  </si>
  <si>
    <t>卫生间回填及找平</t>
    <phoneticPr fontId="1" type="noConversion"/>
  </si>
  <si>
    <t>地固</t>
    <phoneticPr fontId="1" type="noConversion"/>
  </si>
  <si>
    <t>铲保温层和粉墙</t>
    <phoneticPr fontId="1" type="noConversion"/>
  </si>
  <si>
    <t>洁具挂件安装</t>
    <phoneticPr fontId="1" type="noConversion"/>
  </si>
  <si>
    <t>墙面刮腻子处护角线和人工</t>
    <phoneticPr fontId="1" type="noConversion"/>
  </si>
  <si>
    <t>吊顶</t>
    <phoneticPr fontId="1" type="noConversion"/>
  </si>
  <si>
    <t>铝扣板吊顶</t>
    <phoneticPr fontId="1" type="noConversion"/>
  </si>
  <si>
    <t>灯具安装</t>
    <phoneticPr fontId="1" type="noConversion"/>
  </si>
  <si>
    <t>房门</t>
    <phoneticPr fontId="1" type="noConversion"/>
  </si>
  <si>
    <t>餐边柜</t>
    <phoneticPr fontId="1" type="noConversion"/>
  </si>
  <si>
    <t>电视柜</t>
    <phoneticPr fontId="1" type="noConversion"/>
  </si>
  <si>
    <t>父母房衣柜</t>
    <phoneticPr fontId="1" type="noConversion"/>
  </si>
  <si>
    <t>女孩房衣柜</t>
    <phoneticPr fontId="1" type="noConversion"/>
  </si>
  <si>
    <t>男孩房衣柜</t>
    <phoneticPr fontId="1" type="noConversion"/>
  </si>
  <si>
    <t>鞋柜</t>
    <phoneticPr fontId="1" type="noConversion"/>
  </si>
  <si>
    <t>防潮防干裂</t>
    <phoneticPr fontId="1" type="noConversion"/>
  </si>
  <si>
    <t>杂费</t>
    <phoneticPr fontId="1" type="noConversion"/>
  </si>
  <si>
    <t>地板</t>
    <phoneticPr fontId="1" type="noConversion"/>
  </si>
  <si>
    <t>管理费</t>
    <phoneticPr fontId="1" type="noConversion"/>
  </si>
  <si>
    <t>蹲便器</t>
    <phoneticPr fontId="1" type="noConversion"/>
  </si>
  <si>
    <t>插座防水盒子</t>
    <phoneticPr fontId="1" type="noConversion"/>
  </si>
  <si>
    <t>空气开关4个</t>
    <phoneticPr fontId="1" type="noConversion"/>
  </si>
  <si>
    <t>有退货</t>
    <phoneticPr fontId="1" type="noConversion"/>
  </si>
  <si>
    <t>空气开关DZ47P-20A</t>
    <phoneticPr fontId="1" type="noConversion"/>
  </si>
  <si>
    <t>改燃气表</t>
    <phoneticPr fontId="1" type="noConversion"/>
  </si>
  <si>
    <t>自复式过欠压保护器</t>
    <phoneticPr fontId="1" type="noConversion"/>
  </si>
  <si>
    <t>5cm螺丝60只</t>
    <phoneticPr fontId="1" type="noConversion"/>
  </si>
  <si>
    <t>移烟雾报警器</t>
    <phoneticPr fontId="1" type="noConversion"/>
  </si>
  <si>
    <t>空气开关DZ47P-20A</t>
    <phoneticPr fontId="1" type="noConversion"/>
  </si>
  <si>
    <t>空气开关DZ47P-25A</t>
    <phoneticPr fontId="1" type="noConversion"/>
  </si>
  <si>
    <t>欧普照明柜灯</t>
    <phoneticPr fontId="1" type="noConversion"/>
  </si>
  <si>
    <t>欧普照明橱柜灯</t>
    <phoneticPr fontId="1" type="noConversion"/>
  </si>
  <si>
    <t>美的LED吸顶灯</t>
    <phoneticPr fontId="1" type="noConversion"/>
  </si>
  <si>
    <t>飞利浦LED灯泡</t>
    <phoneticPr fontId="1" type="noConversion"/>
  </si>
  <si>
    <t>欧普LED灯泡</t>
    <phoneticPr fontId="1" type="noConversion"/>
  </si>
  <si>
    <t>走线盒</t>
    <phoneticPr fontId="1" type="noConversion"/>
  </si>
  <si>
    <t>锁芯</t>
    <phoneticPr fontId="1" type="noConversion"/>
  </si>
  <si>
    <t>西门子远景5孔</t>
    <phoneticPr fontId="1" type="noConversion"/>
  </si>
  <si>
    <t>潜水艇下水管</t>
    <phoneticPr fontId="1" type="noConversion"/>
  </si>
  <si>
    <t>欧普LED灯泡</t>
    <phoneticPr fontId="1" type="noConversion"/>
  </si>
  <si>
    <t>箭牌AP406台下盆</t>
    <phoneticPr fontId="1" type="noConversion"/>
  </si>
  <si>
    <t>箭牌下水器</t>
    <phoneticPr fontId="1" type="noConversion"/>
  </si>
  <si>
    <t>九牧面盆龙头32267-3341</t>
    <phoneticPr fontId="1" type="noConversion"/>
  </si>
  <si>
    <t>浴室镜</t>
    <phoneticPr fontId="1" type="noConversion"/>
  </si>
  <si>
    <t>镜前灯</t>
    <phoneticPr fontId="1" type="noConversion"/>
  </si>
  <si>
    <t>淋浴隔断</t>
    <phoneticPr fontId="1" type="noConversion"/>
  </si>
  <si>
    <t>拉手</t>
    <phoneticPr fontId="1" type="noConversion"/>
  </si>
  <si>
    <t>拉手损耗及退货</t>
    <phoneticPr fontId="1" type="noConversion"/>
  </si>
  <si>
    <t>橱柜</t>
    <phoneticPr fontId="1" type="noConversion"/>
  </si>
  <si>
    <t>浴室柜</t>
    <phoneticPr fontId="1" type="noConversion"/>
  </si>
  <si>
    <t>雷士照明led吊顶灯10W</t>
    <phoneticPr fontId="1" type="noConversion"/>
  </si>
  <si>
    <t>水路改造</t>
    <phoneticPr fontId="1" type="noConversion"/>
  </si>
  <si>
    <t>地面</t>
    <phoneticPr fontId="1" type="noConversion"/>
  </si>
  <si>
    <t>墙面</t>
    <phoneticPr fontId="1" type="noConversion"/>
  </si>
  <si>
    <t>墙砖</t>
    <phoneticPr fontId="1" type="noConversion"/>
  </si>
  <si>
    <t>墙漆</t>
    <phoneticPr fontId="1" type="noConversion"/>
  </si>
  <si>
    <t>顶面</t>
    <phoneticPr fontId="1" type="noConversion"/>
  </si>
  <si>
    <t>顶漆</t>
    <phoneticPr fontId="1" type="noConversion"/>
  </si>
  <si>
    <t>门窗</t>
    <phoneticPr fontId="1" type="noConversion"/>
  </si>
  <si>
    <t>铝合金平开门</t>
    <phoneticPr fontId="1" type="noConversion"/>
  </si>
  <si>
    <t>铝合金推拉门</t>
    <phoneticPr fontId="1" type="noConversion"/>
  </si>
  <si>
    <t>推拉门轨道盒</t>
    <phoneticPr fontId="1" type="noConversion"/>
  </si>
  <si>
    <t>门洞修整</t>
    <phoneticPr fontId="1" type="noConversion"/>
  </si>
  <si>
    <t>门套</t>
    <phoneticPr fontId="1" type="noConversion"/>
  </si>
  <si>
    <t>柜子</t>
    <phoneticPr fontId="1" type="noConversion"/>
  </si>
  <si>
    <t>女孩房书柜</t>
    <phoneticPr fontId="1" type="noConversion"/>
  </si>
  <si>
    <t>燃气表柜和包管</t>
    <phoneticPr fontId="1" type="noConversion"/>
  </si>
  <si>
    <t>清漆</t>
    <phoneticPr fontId="1" type="noConversion"/>
  </si>
  <si>
    <t>擦色漆</t>
    <phoneticPr fontId="1" type="noConversion"/>
  </si>
  <si>
    <t>包管</t>
    <phoneticPr fontId="1" type="noConversion"/>
  </si>
  <si>
    <t>设计费抵扣</t>
    <phoneticPr fontId="1" type="noConversion"/>
  </si>
  <si>
    <t>油漆及防潮</t>
    <phoneticPr fontId="1" type="noConversion"/>
  </si>
  <si>
    <t>水电</t>
    <phoneticPr fontId="1" type="noConversion"/>
  </si>
  <si>
    <t>大理石</t>
    <phoneticPr fontId="1" type="noConversion"/>
  </si>
  <si>
    <t>推拉门</t>
    <phoneticPr fontId="1" type="noConversion"/>
  </si>
  <si>
    <t>装修公司</t>
    <phoneticPr fontId="1" type="noConversion"/>
  </si>
  <si>
    <t>主材</t>
    <phoneticPr fontId="1" type="noConversion"/>
  </si>
  <si>
    <t>总计</t>
    <phoneticPr fontId="1" type="noConversion"/>
  </si>
  <si>
    <t>小计</t>
    <phoneticPr fontId="1" type="noConversion"/>
  </si>
  <si>
    <t>实际交纳</t>
    <phoneticPr fontId="1" type="noConversion"/>
  </si>
  <si>
    <t>零头</t>
    <phoneticPr fontId="1" type="noConversion"/>
  </si>
  <si>
    <t>电费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</si>
  <si>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</si>
  <si>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</si>
  <si>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</si>
  <si>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箭牌座便器AB1116</t>
    <phoneticPr fontId="1" type="noConversion"/>
  </si>
  <si>
    <t>女孩房书柜床</t>
    <phoneticPr fontId="1" type="noConversion"/>
  </si>
  <si>
    <t>男孩房书柜床</t>
    <phoneticPr fontId="1" type="noConversion"/>
  </si>
  <si>
    <t>父母房1.5米床</t>
    <phoneticPr fontId="1" type="noConversion"/>
  </si>
  <si>
    <t>餐桌</t>
    <phoneticPr fontId="1" type="noConversion"/>
  </si>
  <si>
    <t>沙发</t>
    <phoneticPr fontId="1" type="noConversion"/>
  </si>
  <si>
    <t>过道灯－希尔顿</t>
    <phoneticPr fontId="1" type="noConversion"/>
  </si>
  <si>
    <t>客餐厅灯-希尔顿</t>
    <phoneticPr fontId="1" type="noConversion"/>
  </si>
  <si>
    <t>家具</t>
    <phoneticPr fontId="1" type="noConversion"/>
  </si>
  <si>
    <t>电器</t>
    <phoneticPr fontId="1" type="noConversion"/>
  </si>
  <si>
    <t>晾衣架</t>
    <phoneticPr fontId="1" type="noConversion"/>
  </si>
  <si>
    <t>美的LED 3W</t>
    <phoneticPr fontId="1" type="noConversion"/>
  </si>
  <si>
    <t>雷士照明LED 3W</t>
    <phoneticPr fontId="1" type="noConversion"/>
  </si>
  <si>
    <t>全友优惠券</t>
    <phoneticPr fontId="1" type="noConversion"/>
  </si>
  <si>
    <t>换鞋凳</t>
    <phoneticPr fontId="1" type="noConversion"/>
  </si>
  <si>
    <t>小沙发</t>
    <phoneticPr fontId="1" type="noConversion"/>
  </si>
  <si>
    <t>斗柜</t>
    <phoneticPr fontId="1" type="noConversion"/>
  </si>
  <si>
    <t>书柜</t>
    <phoneticPr fontId="1" type="noConversion"/>
  </si>
  <si>
    <t>成人床垫</t>
    <phoneticPr fontId="1" type="noConversion"/>
  </si>
  <si>
    <t>儿童床垫</t>
    <phoneticPr fontId="1" type="noConversion"/>
  </si>
  <si>
    <t>抱枕</t>
    <phoneticPr fontId="1" type="noConversion"/>
  </si>
  <si>
    <t>风帽</t>
    <phoneticPr fontId="1" type="noConversion"/>
  </si>
  <si>
    <t>排气扇软管</t>
    <phoneticPr fontId="1" type="noConversion"/>
  </si>
  <si>
    <t>燃气管</t>
    <phoneticPr fontId="1" type="noConversion"/>
  </si>
  <si>
    <t>防风管</t>
    <phoneticPr fontId="1" type="noConversion"/>
  </si>
  <si>
    <t>16A插座</t>
    <phoneticPr fontId="1" type="noConversion"/>
  </si>
  <si>
    <t>空白面板</t>
    <phoneticPr fontId="1" type="noConversion"/>
  </si>
  <si>
    <t>金刚网和防盗窗</t>
    <phoneticPr fontId="1" type="noConversion"/>
  </si>
  <si>
    <t>ABB空气开关</t>
    <phoneticPr fontId="1" type="noConversion"/>
  </si>
  <si>
    <t>美缝</t>
    <phoneticPr fontId="1" type="noConversion"/>
  </si>
  <si>
    <t>排气管转接头</t>
    <phoneticPr fontId="1" type="noConversion"/>
  </si>
  <si>
    <t>原来58.5</t>
    <phoneticPr fontId="1" type="noConversion"/>
  </si>
  <si>
    <t>退货18</t>
    <phoneticPr fontId="1" type="noConversion"/>
  </si>
  <si>
    <t>密封圈</t>
    <phoneticPr fontId="1" type="noConversion"/>
  </si>
  <si>
    <t>镜前灯灯罩</t>
    <phoneticPr fontId="1" type="noConversion"/>
  </si>
  <si>
    <t>西门子远景二开单控</t>
    <phoneticPr fontId="1" type="noConversion"/>
  </si>
  <si>
    <t>沙发</t>
    <phoneticPr fontId="1" type="noConversion"/>
  </si>
  <si>
    <t>防水贴纸和美纹纸</t>
    <phoneticPr fontId="1" type="noConversion"/>
  </si>
  <si>
    <t>电钻</t>
    <phoneticPr fontId="1" type="noConversion"/>
  </si>
  <si>
    <t>HDMI线</t>
    <phoneticPr fontId="1" type="noConversion"/>
  </si>
  <si>
    <t>海尔 JSQ24-UT(12T) 12L燃气热水器</t>
    <phoneticPr fontId="1" type="noConversion"/>
  </si>
  <si>
    <t>小超人 KFR-50LW/10AH-2U1 2匹智能定频立式空调</t>
    <phoneticPr fontId="1" type="noConversion"/>
  </si>
  <si>
    <t>海尔 EG8012HB86S 8公斤 洗烘一体洗衣机</t>
    <phoneticPr fontId="1" type="noConversion"/>
  </si>
  <si>
    <t>Haier/海尔 BCD-206STPA 206升</t>
    <phoneticPr fontId="1" type="noConversion"/>
  </si>
  <si>
    <t>沙发罩</t>
    <phoneticPr fontId="1" type="noConversion"/>
  </si>
  <si>
    <t>沙发套</t>
    <phoneticPr fontId="1" type="noConversion"/>
  </si>
  <si>
    <t>海尔出品小超人 KFR-26GW/10FCCAL22AXU1 大1匹变频壁挂冷暖空调</t>
    <phoneticPr fontId="1" type="noConversion"/>
  </si>
  <si>
    <t>送电水壶</t>
    <phoneticPr fontId="1" type="noConversion"/>
  </si>
  <si>
    <t>送吸尘器</t>
    <phoneticPr fontId="1" type="noConversion"/>
  </si>
  <si>
    <t>返现200，送吸尘器</t>
    <phoneticPr fontId="1" type="noConversion"/>
  </si>
  <si>
    <t>海尔 LS50A51 50英寸智能网络液晶海尔电视</t>
    <phoneticPr fontId="1" type="noConversion"/>
  </si>
  <si>
    <t>返现200</t>
    <phoneticPr fontId="1" type="noConversion"/>
  </si>
  <si>
    <t>海尔微波炉</t>
    <phoneticPr fontId="1" type="noConversion"/>
  </si>
  <si>
    <t>工具</t>
    <phoneticPr fontId="1" type="noConversion"/>
  </si>
  <si>
    <t>油烟机安装</t>
    <phoneticPr fontId="1" type="noConversion"/>
  </si>
  <si>
    <t>燃气开通</t>
    <phoneticPr fontId="1" type="noConversion"/>
  </si>
  <si>
    <t>热水器安装</t>
    <phoneticPr fontId="1" type="noConversion"/>
  </si>
  <si>
    <t>转接头</t>
    <phoneticPr fontId="1" type="noConversion"/>
  </si>
  <si>
    <t>网线</t>
    <phoneticPr fontId="1" type="noConversion"/>
  </si>
  <si>
    <t>窗帘</t>
    <phoneticPr fontId="1" type="noConversion"/>
  </si>
  <si>
    <t>排气扇软管</t>
    <phoneticPr fontId="1" type="noConversion"/>
  </si>
  <si>
    <t>玻璃贴纸</t>
    <phoneticPr fontId="1" type="noConversion"/>
  </si>
  <si>
    <t>小茶几</t>
    <phoneticPr fontId="1" type="noConversion"/>
  </si>
  <si>
    <t>换鞋凳</t>
    <phoneticPr fontId="1" type="noConversion"/>
  </si>
  <si>
    <t>阳台柜</t>
    <phoneticPr fontId="1" type="noConversion"/>
  </si>
  <si>
    <t>收纳柜</t>
    <phoneticPr fontId="1" type="noConversion"/>
  </si>
  <si>
    <t>电视机安装</t>
    <phoneticPr fontId="1" type="noConversion"/>
  </si>
  <si>
    <t>空调安装</t>
    <phoneticPr fontId="1" type="noConversion"/>
  </si>
  <si>
    <t>洗衣机底座</t>
    <phoneticPr fontId="1" type="noConversion"/>
  </si>
  <si>
    <t>柜机底座</t>
    <phoneticPr fontId="1" type="noConversion"/>
  </si>
  <si>
    <t>冰箱防尘布</t>
    <phoneticPr fontId="1" type="noConversion"/>
  </si>
  <si>
    <t>松下马桶盖</t>
    <phoneticPr fontId="1" type="noConversion"/>
  </si>
  <si>
    <t>夹缝柜</t>
    <phoneticPr fontId="1" type="noConversion"/>
  </si>
  <si>
    <t>冰箱除味盒</t>
    <phoneticPr fontId="1" type="noConversion"/>
  </si>
  <si>
    <t>马桶凳</t>
    <phoneticPr fontId="1" type="noConversion"/>
  </si>
  <si>
    <t>杂七杂八</t>
    <phoneticPr fontId="1" type="noConversion"/>
  </si>
  <si>
    <t>扫把</t>
    <phoneticPr fontId="1" type="noConversion"/>
  </si>
  <si>
    <t>拖把</t>
    <phoneticPr fontId="1" type="noConversion"/>
  </si>
  <si>
    <t>活性炭</t>
    <phoneticPr fontId="1" type="noConversion"/>
  </si>
  <si>
    <t>不记得了</t>
    <phoneticPr fontId="1" type="noConversion"/>
  </si>
  <si>
    <t>绳子</t>
    <phoneticPr fontId="1" type="noConversion"/>
  </si>
  <si>
    <t>门铃</t>
    <phoneticPr fontId="1" type="noConversion"/>
  </si>
  <si>
    <t>床单枕套</t>
    <phoneticPr fontId="1" type="noConversion"/>
  </si>
  <si>
    <t>被套</t>
    <phoneticPr fontId="1" type="noConversion"/>
  </si>
  <si>
    <t>门碰</t>
    <phoneticPr fontId="1" type="noConversion"/>
  </si>
  <si>
    <t>防盗门通风窗</t>
    <phoneticPr fontId="1" type="noConversion"/>
  </si>
  <si>
    <t>美的电风扇</t>
    <phoneticPr fontId="1" type="noConversion"/>
  </si>
  <si>
    <t>壁画</t>
    <phoneticPr fontId="1" type="noConversion"/>
  </si>
  <si>
    <t>边桌</t>
    <phoneticPr fontId="1" type="noConversion"/>
  </si>
  <si>
    <t>假花</t>
    <phoneticPr fontId="1" type="noConversion"/>
  </si>
  <si>
    <t>壁画安装</t>
    <phoneticPr fontId="1" type="noConversion"/>
  </si>
  <si>
    <t>花</t>
    <phoneticPr fontId="1" type="noConversion"/>
  </si>
  <si>
    <t>镜子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</si>
</sst>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03"/>
  <sheetViews>
    <sheetView topLeftCell="A10" workbookViewId="0">
      <selection activeCell="C25" sqref="C25"/>
    </sheetView>
  </sheetViews>
  <sheetFormatPr defaultRowHeight="13.5" x14ac:dyDescent="0.15"/>
  <cols>
    <col min="1" max="2" width="15.125" bestFit="1" customWidth="1"/>
    <col min="3" max="3" width="25.5" bestFit="1" customWidth="1"/>
    <col min="5" max="5" width="14.125" bestFit="1" customWidth="1"/>
  </cols>
  <sheetData>
    <row r="1" spans="1:3" x14ac:dyDescent="0.15">
      <c r="A1" s="1" t="s">
        <v>139</v>
      </c>
      <c r="C1" s="1">
        <f>C3+C31</f>
        <v>210127.68</v>
      </c>
    </row>
    <row r="3" spans="1:3" x14ac:dyDescent="0.15">
      <c r="A3" s="1" t="s">
        <v>51</v>
      </c>
      <c r="B3" s="1"/>
      <c r="C3" s="1">
        <f>C28</f>
        <v>66339.680000000008</v>
      </c>
    </row>
    <row r="4" spans="1:3" x14ac:dyDescent="0.15">
      <c r="B4" t="s">
        <v>46</v>
      </c>
      <c r="C4">
        <v>1114.52</v>
      </c>
    </row>
    <row r="5" spans="1:3" x14ac:dyDescent="0.15">
      <c r="B5" t="s">
        <v>43</v>
      </c>
      <c r="C5">
        <v>414.71</v>
      </c>
    </row>
    <row r="6" spans="1:3" x14ac:dyDescent="0.15">
      <c r="B6" t="s">
        <v>45</v>
      </c>
      <c r="C6">
        <v>15</v>
      </c>
    </row>
    <row r="7" spans="1:3" x14ac:dyDescent="0.15">
      <c r="B7" t="s">
        <v>47</v>
      </c>
      <c r="C7">
        <f>灯具!G1</f>
        <v>3651.12</v>
      </c>
    </row>
    <row r="8" spans="1:3" x14ac:dyDescent="0.15">
      <c r="B8" t="s">
        <v>48</v>
      </c>
      <c r="C8">
        <f>开关插座!G1</f>
        <v>1943.28</v>
      </c>
    </row>
    <row r="9" spans="1:3" x14ac:dyDescent="0.15">
      <c r="B9" t="s">
        <v>49</v>
      </c>
      <c r="C9">
        <f>厨房卫浴!G1</f>
        <v>4948.3</v>
      </c>
    </row>
    <row r="10" spans="1:3" x14ac:dyDescent="0.15">
      <c r="B10" t="s">
        <v>50</v>
      </c>
      <c r="C10">
        <v>800</v>
      </c>
    </row>
    <row r="11" spans="1:3" x14ac:dyDescent="0.15">
      <c r="B11" t="s">
        <v>54</v>
      </c>
      <c r="C11">
        <f>190</f>
        <v>190</v>
      </c>
    </row>
    <row r="12" spans="1:3" x14ac:dyDescent="0.15">
      <c r="B12" t="s">
        <v>86</v>
      </c>
      <c r="C12">
        <v>350</v>
      </c>
    </row>
    <row r="13" spans="1:3" x14ac:dyDescent="0.15">
      <c r="B13" t="s">
        <v>89</v>
      </c>
      <c r="C13">
        <f>450+300</f>
        <v>750</v>
      </c>
    </row>
    <row r="14" spans="1:3" x14ac:dyDescent="0.15">
      <c r="B14" t="s">
        <v>97</v>
      </c>
      <c r="C14">
        <f>20+14.7</f>
        <v>34.700000000000003</v>
      </c>
    </row>
    <row r="15" spans="1:3" x14ac:dyDescent="0.15">
      <c r="B15" t="s">
        <v>98</v>
      </c>
      <c r="C15">
        <v>270</v>
      </c>
    </row>
    <row r="16" spans="1:3" x14ac:dyDescent="0.15">
      <c r="B16" t="s">
        <v>109</v>
      </c>
      <c r="C16">
        <f>476-310.44-129.8+34.89+26</f>
        <v>96.649999999999991</v>
      </c>
    </row>
    <row r="17" spans="1:5" x14ac:dyDescent="0.15">
      <c r="B17" t="s">
        <v>107</v>
      </c>
      <c r="C17">
        <v>300</v>
      </c>
    </row>
    <row r="18" spans="1:5" x14ac:dyDescent="0.15">
      <c r="B18" t="s">
        <v>108</v>
      </c>
      <c r="C18">
        <f>21.5+229.6+1+28.75+23.5</f>
        <v>304.35000000000002</v>
      </c>
    </row>
    <row r="19" spans="1:5" x14ac:dyDescent="0.15">
      <c r="B19" t="s">
        <v>136</v>
      </c>
      <c r="C19">
        <f>500+1580</f>
        <v>2080</v>
      </c>
    </row>
    <row r="20" spans="1:5" x14ac:dyDescent="0.15">
      <c r="B20" t="s">
        <v>135</v>
      </c>
      <c r="C20">
        <v>1700</v>
      </c>
    </row>
    <row r="21" spans="1:5" s="4" customFormat="1" x14ac:dyDescent="0.15">
      <c r="B21" s="4" t="s">
        <v>157</v>
      </c>
      <c r="C21" s="4">
        <f>206+80</f>
        <v>286</v>
      </c>
    </row>
    <row r="22" spans="1:5" s="9" customFormat="1" x14ac:dyDescent="0.15">
      <c r="B22" s="9" t="s">
        <v>222</v>
      </c>
      <c r="C22" s="9">
        <f>杂七杂八!F1</f>
        <v>1222.1500000000001</v>
      </c>
    </row>
    <row r="23" spans="1:5" s="11" customFormat="1" x14ac:dyDescent="0.15">
      <c r="B23" s="11" t="s">
        <v>176</v>
      </c>
      <c r="C23" s="11">
        <f>31+650</f>
        <v>681</v>
      </c>
    </row>
    <row r="24" spans="1:5" s="10" customFormat="1" x14ac:dyDescent="0.15">
      <c r="B24" s="10" t="s">
        <v>174</v>
      </c>
      <c r="C24" s="10">
        <f>1800+280</f>
        <v>2080</v>
      </c>
    </row>
    <row r="25" spans="1:5" x14ac:dyDescent="0.15">
      <c r="B25" t="s">
        <v>143</v>
      </c>
      <c r="C25">
        <f>200+15+20</f>
        <v>235</v>
      </c>
    </row>
    <row r="26" spans="1:5" x14ac:dyDescent="0.15">
      <c r="B26" t="s">
        <v>155</v>
      </c>
      <c r="C26">
        <f>家具_软装!G1</f>
        <v>22915.9</v>
      </c>
    </row>
    <row r="27" spans="1:5" x14ac:dyDescent="0.15">
      <c r="B27" t="s">
        <v>156</v>
      </c>
      <c r="C27">
        <f>电器!G1</f>
        <v>19957</v>
      </c>
    </row>
    <row r="28" spans="1:5" x14ac:dyDescent="0.15">
      <c r="A28" s="1" t="s">
        <v>140</v>
      </c>
      <c r="B28" s="1"/>
      <c r="C28" s="1">
        <f>SUM(C4:C27)</f>
        <v>66339.680000000008</v>
      </c>
    </row>
    <row r="31" spans="1:5" x14ac:dyDescent="0.15">
      <c r="A31" s="1" t="s">
        <v>137</v>
      </c>
      <c r="C31" s="1">
        <f>C32+C42+C51+C58+C67+C78+C84+C90+C92+C93+C94+C103+C95</f>
        <v>143787.99999999997</v>
      </c>
      <c r="D31" s="1" t="s">
        <v>141</v>
      </c>
      <c r="E31" s="1">
        <f>装修公司!G1</f>
        <v>143788</v>
      </c>
    </row>
    <row r="32" spans="1:5" x14ac:dyDescent="0.15">
      <c r="A32" s="1" t="s">
        <v>24</v>
      </c>
      <c r="B32" s="1" t="s">
        <v>24</v>
      </c>
      <c r="C32" s="1">
        <v>4800</v>
      </c>
    </row>
    <row r="34" spans="1:7" x14ac:dyDescent="0.15">
      <c r="A34" s="1" t="s">
        <v>114</v>
      </c>
      <c r="C34" s="1">
        <f>C42</f>
        <v>7732.0000000000009</v>
      </c>
    </row>
    <row r="35" spans="1:7" x14ac:dyDescent="0.15">
      <c r="B35" s="2" t="s">
        <v>58</v>
      </c>
      <c r="C35" s="2">
        <f>285.7+201.1+76.1+131.2+107.9+173.2+13.3+151.5+290.2+100+132.7+178.2</f>
        <v>1841.1</v>
      </c>
    </row>
    <row r="36" spans="1:7" x14ac:dyDescent="0.15">
      <c r="B36" s="2" t="s">
        <v>59</v>
      </c>
      <c r="C36" s="2">
        <v>297.39999999999998</v>
      </c>
    </row>
    <row r="37" spans="1:7" x14ac:dyDescent="0.15">
      <c r="B37" s="2" t="s">
        <v>60</v>
      </c>
      <c r="C37" s="2">
        <f>409.1+305.8+142.7+326.3+165.7+677+106.6</f>
        <v>2133.2000000000003</v>
      </c>
      <c r="G37" s="1"/>
    </row>
    <row r="38" spans="1:7" x14ac:dyDescent="0.15">
      <c r="B38" s="2" t="s">
        <v>61</v>
      </c>
      <c r="C38" s="2">
        <v>2094.4</v>
      </c>
    </row>
    <row r="39" spans="1:7" x14ac:dyDescent="0.15">
      <c r="B39" s="2" t="s">
        <v>62</v>
      </c>
      <c r="C39" s="2">
        <f>421.2+176.9+186</f>
        <v>784.1</v>
      </c>
    </row>
    <row r="40" spans="1:7" x14ac:dyDescent="0.15">
      <c r="B40" s="2" t="s">
        <v>63</v>
      </c>
      <c r="C40" s="2">
        <v>261.8</v>
      </c>
    </row>
    <row r="41" spans="1:7" x14ac:dyDescent="0.15">
      <c r="B41" s="2" t="s">
        <v>65</v>
      </c>
      <c r="C41" s="2">
        <v>320</v>
      </c>
    </row>
    <row r="42" spans="1:7" x14ac:dyDescent="0.15">
      <c r="A42" s="1" t="s">
        <v>140</v>
      </c>
      <c r="B42" s="2"/>
      <c r="C42" s="1">
        <f>SUM(C35:C41)</f>
        <v>7732.0000000000009</v>
      </c>
    </row>
    <row r="44" spans="1:7" x14ac:dyDescent="0.15">
      <c r="A44" s="1" t="s">
        <v>115</v>
      </c>
      <c r="C44" s="1">
        <f>C51</f>
        <v>20713.600000000002</v>
      </c>
    </row>
    <row r="45" spans="1:7" x14ac:dyDescent="0.15">
      <c r="B45" s="2" t="s">
        <v>116</v>
      </c>
      <c r="C45" s="2">
        <f>966.3+152+754.8+508+645.6+489.2+116.9+191+247+462.2+531.8-448.3-44.6-142.9-93.5</f>
        <v>4335.5</v>
      </c>
    </row>
    <row r="46" spans="1:7" x14ac:dyDescent="0.15">
      <c r="B46" s="2" t="s">
        <v>117</v>
      </c>
      <c r="C46" s="2">
        <f>5697+1061.2+305.7+56.9+150</f>
        <v>7270.7999999999993</v>
      </c>
    </row>
    <row r="47" spans="1:7" x14ac:dyDescent="0.15">
      <c r="B47" s="2" t="s">
        <v>52</v>
      </c>
      <c r="C47" s="2">
        <f>240.5+98.4+209.4+102.4+130.4+110.4+160.5+102.4+148.1+90+181.1</f>
        <v>1573.6</v>
      </c>
    </row>
    <row r="48" spans="1:7" x14ac:dyDescent="0.15">
      <c r="B48" s="2" t="s">
        <v>64</v>
      </c>
      <c r="C48" s="2">
        <f>1424.8+3126.7-436.2-957.1</f>
        <v>3158.2000000000003</v>
      </c>
    </row>
    <row r="49" spans="1:3" x14ac:dyDescent="0.15">
      <c r="B49" s="2" t="s">
        <v>53</v>
      </c>
      <c r="C49" s="2">
        <f>651.6+266.1+1045.1+250+426.8+287.9+125+213.7+131.2+202+43.6+407.8+175+166.5-131.2-202-43.6</f>
        <v>4015.5000000000005</v>
      </c>
    </row>
    <row r="50" spans="1:3" x14ac:dyDescent="0.15">
      <c r="B50" s="2" t="s">
        <v>66</v>
      </c>
      <c r="C50" s="2">
        <v>360</v>
      </c>
    </row>
    <row r="51" spans="1:3" x14ac:dyDescent="0.15">
      <c r="A51" s="1" t="s">
        <v>140</v>
      </c>
      <c r="B51" s="2"/>
      <c r="C51" s="1">
        <f>SUM(C45:C50)</f>
        <v>20713.600000000002</v>
      </c>
    </row>
    <row r="53" spans="1:3" x14ac:dyDescent="0.15">
      <c r="A53" s="1" t="s">
        <v>118</v>
      </c>
      <c r="C53" s="1">
        <f>C58</f>
        <v>12603.2</v>
      </c>
    </row>
    <row r="54" spans="1:3" x14ac:dyDescent="0.15">
      <c r="B54" s="2" t="s">
        <v>67</v>
      </c>
      <c r="C54" s="2">
        <f>461.2+391.2+238.3+1388.8+488+433.4+215.4+146.3+120+106+315.4+120+275.2+345.7+240.8+238.5+351.5</f>
        <v>5875.7</v>
      </c>
    </row>
    <row r="55" spans="1:3" x14ac:dyDescent="0.15">
      <c r="B55" s="2" t="s">
        <v>68</v>
      </c>
      <c r="C55" s="2">
        <f>858.3+604.1+228.7+394.2-377.1+324.2</f>
        <v>2032.4000000000003</v>
      </c>
    </row>
    <row r="56" spans="1:3" x14ac:dyDescent="0.15">
      <c r="B56" s="2" t="s">
        <v>119</v>
      </c>
      <c r="C56" s="2">
        <f>448+2785.7+159.7+990.3-108.9-5-30.9+96.4-0.2</f>
        <v>4335.1000000000004</v>
      </c>
    </row>
    <row r="57" spans="1:3" x14ac:dyDescent="0.15">
      <c r="B57" s="2" t="s">
        <v>69</v>
      </c>
      <c r="C57" s="2">
        <v>360</v>
      </c>
    </row>
    <row r="58" spans="1:3" x14ac:dyDescent="0.15">
      <c r="A58" s="1" t="s">
        <v>140</v>
      </c>
      <c r="C58" s="1">
        <f>SUM(C54:C57)</f>
        <v>12603.2</v>
      </c>
    </row>
    <row r="60" spans="1:3" x14ac:dyDescent="0.15">
      <c r="A60" s="1" t="s">
        <v>120</v>
      </c>
      <c r="C60" s="1">
        <f>C67</f>
        <v>10595.2</v>
      </c>
    </row>
    <row r="61" spans="1:3" x14ac:dyDescent="0.15">
      <c r="B61" s="2" t="s">
        <v>70</v>
      </c>
      <c r="C61" s="2">
        <v>5424</v>
      </c>
    </row>
    <row r="62" spans="1:3" x14ac:dyDescent="0.15">
      <c r="B62" s="2" t="s">
        <v>121</v>
      </c>
      <c r="C62" s="2">
        <v>1305.5999999999999</v>
      </c>
    </row>
    <row r="63" spans="1:3" x14ac:dyDescent="0.15">
      <c r="B63" s="2" t="s">
        <v>122</v>
      </c>
      <c r="C63" s="2">
        <f>761.9+71.4</f>
        <v>833.3</v>
      </c>
    </row>
    <row r="64" spans="1:3" x14ac:dyDescent="0.15">
      <c r="B64" s="2" t="s">
        <v>123</v>
      </c>
      <c r="C64" s="2">
        <v>133</v>
      </c>
    </row>
    <row r="65" spans="1:3" x14ac:dyDescent="0.15">
      <c r="B65" s="2" t="s">
        <v>124</v>
      </c>
      <c r="C65" s="2">
        <v>660</v>
      </c>
    </row>
    <row r="66" spans="1:3" x14ac:dyDescent="0.15">
      <c r="B66" s="2" t="s">
        <v>125</v>
      </c>
      <c r="C66" s="2">
        <f>579.8+527.9+933-527.9+578.8+147.8-0.1</f>
        <v>2239.2999999999997</v>
      </c>
    </row>
    <row r="67" spans="1:3" x14ac:dyDescent="0.15">
      <c r="A67" s="1" t="s">
        <v>140</v>
      </c>
      <c r="C67" s="1">
        <f>SUM(C61:C66)</f>
        <v>10595.2</v>
      </c>
    </row>
    <row r="69" spans="1:3" x14ac:dyDescent="0.15">
      <c r="A69" s="1" t="s">
        <v>126</v>
      </c>
      <c r="C69" s="1">
        <f>C78</f>
        <v>26823.399999999998</v>
      </c>
    </row>
    <row r="70" spans="1:3" x14ac:dyDescent="0.15">
      <c r="B70" s="2" t="s">
        <v>72</v>
      </c>
      <c r="C70" s="2">
        <f>1144.7+128+128.5+85.2+1446.9+160+667.6+80+984.4+349</f>
        <v>5174.3</v>
      </c>
    </row>
    <row r="71" spans="1:3" x14ac:dyDescent="0.15">
      <c r="B71" s="2" t="s">
        <v>71</v>
      </c>
      <c r="C71" s="2">
        <f>1740.3+210+2859.4+1047</f>
        <v>5856.7</v>
      </c>
    </row>
    <row r="72" spans="1:3" x14ac:dyDescent="0.15">
      <c r="B72" s="2" t="s">
        <v>73</v>
      </c>
      <c r="C72" s="2">
        <f>3413.5+451.6+97</f>
        <v>3962.1</v>
      </c>
    </row>
    <row r="73" spans="1:3" x14ac:dyDescent="0.15">
      <c r="B73" s="2" t="s">
        <v>127</v>
      </c>
      <c r="C73" s="2">
        <f>1016.8+116.4+1385+529.8+72.8</f>
        <v>3120.8</v>
      </c>
    </row>
    <row r="74" spans="1:3" x14ac:dyDescent="0.15">
      <c r="B74" s="2" t="s">
        <v>74</v>
      </c>
      <c r="C74" s="2">
        <f>1836.5+224.8+63.8</f>
        <v>2125.1000000000004</v>
      </c>
    </row>
    <row r="75" spans="1:3" x14ac:dyDescent="0.15">
      <c r="B75" s="2" t="s">
        <v>75</v>
      </c>
      <c r="C75" s="2">
        <f>3772.8+466.4+79.4</f>
        <v>4318.5999999999995</v>
      </c>
    </row>
    <row r="76" spans="1:3" x14ac:dyDescent="0.15">
      <c r="B76" s="2" t="s">
        <v>76</v>
      </c>
      <c r="C76" s="2">
        <f>1214.3+159.6+45.2</f>
        <v>1419.1</v>
      </c>
    </row>
    <row r="77" spans="1:3" x14ac:dyDescent="0.15">
      <c r="B77" s="2" t="s">
        <v>128</v>
      </c>
      <c r="C77" s="2">
        <f>590.4+46.4+210.1-0.2</f>
        <v>846.69999999999993</v>
      </c>
    </row>
    <row r="78" spans="1:3" x14ac:dyDescent="0.15">
      <c r="A78" s="1" t="s">
        <v>140</v>
      </c>
      <c r="B78" s="2"/>
      <c r="C78" s="1">
        <f>SUM(C70:C77)</f>
        <v>26823.399999999998</v>
      </c>
    </row>
    <row r="79" spans="1:3" x14ac:dyDescent="0.15">
      <c r="A79" s="2"/>
      <c r="B79" s="2"/>
    </row>
    <row r="80" spans="1:3" x14ac:dyDescent="0.15">
      <c r="A80" s="1" t="s">
        <v>133</v>
      </c>
      <c r="C80" s="1">
        <f>C84</f>
        <v>11193.7</v>
      </c>
    </row>
    <row r="81" spans="1:3" x14ac:dyDescent="0.15">
      <c r="B81" s="2" t="s">
        <v>129</v>
      </c>
      <c r="C81" s="2">
        <f>617.9+11.5</f>
        <v>629.4</v>
      </c>
    </row>
    <row r="82" spans="1:3" x14ac:dyDescent="0.15">
      <c r="B82" s="2" t="s">
        <v>130</v>
      </c>
      <c r="C82" s="2">
        <f>9506.8-616.4+435.7</f>
        <v>9326.1</v>
      </c>
    </row>
    <row r="83" spans="1:3" x14ac:dyDescent="0.15">
      <c r="B83" s="2" t="s">
        <v>77</v>
      </c>
      <c r="C83" s="2">
        <f>649.2+527.7-25.4+37.2+49.5</f>
        <v>1238.2</v>
      </c>
    </row>
    <row r="84" spans="1:3" x14ac:dyDescent="0.15">
      <c r="A84" s="1" t="s">
        <v>140</v>
      </c>
      <c r="C84" s="1">
        <f>SUM(C81:C83)</f>
        <v>11193.7</v>
      </c>
    </row>
    <row r="86" spans="1:3" x14ac:dyDescent="0.15">
      <c r="A86" s="1" t="s">
        <v>134</v>
      </c>
      <c r="C86" s="1">
        <f>C90</f>
        <v>14142.099999999999</v>
      </c>
    </row>
    <row r="87" spans="1:3" x14ac:dyDescent="0.15">
      <c r="B87" s="2" t="s">
        <v>57</v>
      </c>
      <c r="C87" s="2">
        <f>8500+737.4</f>
        <v>9237.4</v>
      </c>
    </row>
    <row r="88" spans="1:3" x14ac:dyDescent="0.15">
      <c r="B88" s="2" t="s">
        <v>113</v>
      </c>
      <c r="C88" s="2">
        <f>4000+176.7</f>
        <v>4176.7</v>
      </c>
    </row>
    <row r="89" spans="1:3" x14ac:dyDescent="0.15">
      <c r="B89" s="2" t="s">
        <v>131</v>
      </c>
      <c r="C89" s="2">
        <v>728</v>
      </c>
    </row>
    <row r="90" spans="1:3" ht="12.75" customHeight="1" x14ac:dyDescent="0.15">
      <c r="A90" s="1" t="s">
        <v>140</v>
      </c>
      <c r="C90" s="1">
        <f>SUM(C87:C89)</f>
        <v>14142.099999999999</v>
      </c>
    </row>
    <row r="91" spans="1:3" ht="12.75" customHeight="1" x14ac:dyDescent="0.15"/>
    <row r="92" spans="1:3" x14ac:dyDescent="0.15">
      <c r="A92" s="1" t="s">
        <v>78</v>
      </c>
      <c r="B92" s="1" t="s">
        <v>78</v>
      </c>
      <c r="C92" s="1">
        <f>347.6+397.8+482.7+94.6+772.4-0.1</f>
        <v>2095</v>
      </c>
    </row>
    <row r="93" spans="1:3" x14ac:dyDescent="0.15">
      <c r="A93" s="1" t="s">
        <v>80</v>
      </c>
      <c r="B93" s="1" t="s">
        <v>80</v>
      </c>
      <c r="C93" s="1">
        <f>9864-45+15</f>
        <v>9834</v>
      </c>
    </row>
    <row r="94" spans="1:3" x14ac:dyDescent="0.15">
      <c r="A94" s="1" t="s">
        <v>132</v>
      </c>
      <c r="B94" s="1" t="s">
        <v>132</v>
      </c>
      <c r="C94" s="1">
        <f>-4800*0.7</f>
        <v>-3360</v>
      </c>
    </row>
    <row r="95" spans="1:3" x14ac:dyDescent="0.15">
      <c r="A95" s="1" t="s">
        <v>142</v>
      </c>
      <c r="B95" s="1" t="s">
        <v>142</v>
      </c>
      <c r="C95" s="1">
        <v>-0.2</v>
      </c>
    </row>
    <row r="97" spans="1:3" x14ac:dyDescent="0.15">
      <c r="A97" s="1" t="s">
        <v>138</v>
      </c>
      <c r="C97" s="1">
        <f>C103</f>
        <v>26616</v>
      </c>
    </row>
    <row r="98" spans="1:3" x14ac:dyDescent="0.15">
      <c r="B98" t="s">
        <v>79</v>
      </c>
      <c r="C98">
        <v>8239</v>
      </c>
    </row>
    <row r="99" spans="1:3" x14ac:dyDescent="0.15">
      <c r="B99" t="s">
        <v>56</v>
      </c>
      <c r="C99">
        <v>6944</v>
      </c>
    </row>
    <row r="100" spans="1:3" x14ac:dyDescent="0.15">
      <c r="B100" t="s">
        <v>81</v>
      </c>
      <c r="C100">
        <v>505</v>
      </c>
    </row>
    <row r="101" spans="1:3" x14ac:dyDescent="0.15">
      <c r="B101" t="s">
        <v>110</v>
      </c>
      <c r="C101">
        <v>9328</v>
      </c>
    </row>
    <row r="102" spans="1:3" x14ac:dyDescent="0.15">
      <c r="B102" t="s">
        <v>111</v>
      </c>
      <c r="C102">
        <v>1600</v>
      </c>
    </row>
    <row r="103" spans="1:3" x14ac:dyDescent="0.15">
      <c r="A103" s="1" t="s">
        <v>140</v>
      </c>
      <c r="C103" s="1">
        <f>SUM(C98:C102)</f>
        <v>26616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B6" sqref="B6"/>
    </sheetView>
  </sheetViews>
  <sheetFormatPr defaultRowHeight="13.5" x14ac:dyDescent="0.15"/>
  <sheetData>
    <row r="1" spans="1:7" x14ac:dyDescent="0.15">
      <c r="F1" s="1" t="s">
        <v>26</v>
      </c>
      <c r="G1" s="1">
        <f>SUM(B2:B1000)</f>
        <v>143788</v>
      </c>
    </row>
    <row r="2" spans="1:7" x14ac:dyDescent="0.15">
      <c r="A2" t="s">
        <v>24</v>
      </c>
      <c r="B2">
        <v>4800</v>
      </c>
    </row>
    <row r="3" spans="1:7" x14ac:dyDescent="0.15">
      <c r="A3" t="s">
        <v>33</v>
      </c>
      <c r="B3">
        <v>63580</v>
      </c>
    </row>
    <row r="4" spans="1:7" x14ac:dyDescent="0.15">
      <c r="A4" t="s">
        <v>34</v>
      </c>
      <c r="B4">
        <f>26645-1407</f>
        <v>25238</v>
      </c>
    </row>
    <row r="5" spans="1:7" x14ac:dyDescent="0.15">
      <c r="A5" t="s">
        <v>35</v>
      </c>
      <c r="B5">
        <v>44225</v>
      </c>
    </row>
    <row r="6" spans="1:7" x14ac:dyDescent="0.15">
      <c r="A6" t="s">
        <v>36</v>
      </c>
      <c r="B6">
        <f>115600*0.05+165</f>
        <v>5945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"/>
  <sheetViews>
    <sheetView workbookViewId="0">
      <selection activeCell="B7" sqref="B7"/>
    </sheetView>
  </sheetViews>
  <sheetFormatPr defaultRowHeight="13.5" x14ac:dyDescent="0.15"/>
  <cols>
    <col min="1" max="1" width="11" bestFit="1" customWidth="1"/>
  </cols>
  <sheetData>
    <row r="1" spans="1:7" x14ac:dyDescent="0.15">
      <c r="B1" s="1" t="s">
        <v>144</v>
      </c>
      <c r="C1" s="1" t="s">
        <v>145</v>
      </c>
      <c r="D1" s="1" t="s">
        <v>146</v>
      </c>
      <c r="E1" s="1"/>
      <c r="F1" s="1" t="s">
        <v>44</v>
      </c>
      <c r="G1" s="1">
        <f>SUM(D2:D1000)</f>
        <v>1744.23</v>
      </c>
    </row>
    <row r="2" spans="1:7" x14ac:dyDescent="0.15">
      <c r="A2" t="s">
        <v>39</v>
      </c>
      <c r="B2">
        <v>200</v>
      </c>
      <c r="C2">
        <v>1</v>
      </c>
      <c r="D2">
        <f t="shared" ref="D2:D7" si="0">ROUND(B2*C2,2)</f>
        <v>200</v>
      </c>
    </row>
    <row r="3" spans="1:7" x14ac:dyDescent="0.15">
      <c r="A3" t="s">
        <v>40</v>
      </c>
      <c r="B3">
        <v>2</v>
      </c>
      <c r="C3">
        <v>107.16</v>
      </c>
      <c r="D3">
        <f t="shared" si="0"/>
        <v>214.32</v>
      </c>
    </row>
    <row r="4" spans="1:7" x14ac:dyDescent="0.15">
      <c r="A4" t="s">
        <v>41</v>
      </c>
      <c r="B4">
        <v>30</v>
      </c>
      <c r="C4">
        <v>18.34</v>
      </c>
      <c r="D4">
        <f t="shared" si="0"/>
        <v>550.20000000000005</v>
      </c>
    </row>
    <row r="5" spans="1:7" x14ac:dyDescent="0.15">
      <c r="A5" t="s">
        <v>42</v>
      </c>
      <c r="B5">
        <v>5</v>
      </c>
      <c r="C5">
        <v>70</v>
      </c>
      <c r="D5">
        <f t="shared" si="0"/>
        <v>350</v>
      </c>
    </row>
    <row r="6" spans="1:7" x14ac:dyDescent="0.15">
      <c r="A6" t="s">
        <v>43</v>
      </c>
      <c r="B6">
        <f>0.03*129</f>
        <v>3.8699999999999997</v>
      </c>
      <c r="C6">
        <v>107.16</v>
      </c>
      <c r="D6">
        <f t="shared" si="0"/>
        <v>414.71</v>
      </c>
    </row>
    <row r="7" spans="1:7" x14ac:dyDescent="0.15">
      <c r="A7" t="s">
        <v>45</v>
      </c>
      <c r="B7">
        <v>5</v>
      </c>
      <c r="C7">
        <v>3</v>
      </c>
      <c r="D7">
        <f t="shared" si="0"/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workbookViewId="0">
      <pane ySplit="1" topLeftCell="A8" activePane="bottomLeft" state="frozen"/>
      <selection pane="bottomLeft" activeCell="A25" sqref="A25"/>
    </sheetView>
  </sheetViews>
  <sheetFormatPr defaultRowHeight="13.5" x14ac:dyDescent="0.15"/>
  <cols>
    <col min="1" max="1" width="23.75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SUM(D2:D1000)</f>
        <v>3651.12</v>
      </c>
    </row>
    <row r="2" spans="1:7" x14ac:dyDescent="0.15">
      <c r="A2" t="s">
        <v>5</v>
      </c>
      <c r="B2">
        <v>1</v>
      </c>
      <c r="C2">
        <v>21.7</v>
      </c>
      <c r="D2">
        <f t="shared" ref="D2:D8" si="0">B2*C2</f>
        <v>21.7</v>
      </c>
    </row>
    <row r="3" spans="1:7" x14ac:dyDescent="0.15">
      <c r="A3" t="s">
        <v>5</v>
      </c>
      <c r="B3">
        <v>3</v>
      </c>
      <c r="C3">
        <v>23.7</v>
      </c>
      <c r="D3">
        <f t="shared" si="0"/>
        <v>71.099999999999994</v>
      </c>
    </row>
    <row r="4" spans="1:7" x14ac:dyDescent="0.15">
      <c r="A4" t="s">
        <v>5</v>
      </c>
      <c r="B4">
        <v>1</v>
      </c>
      <c r="C4">
        <v>23.4</v>
      </c>
      <c r="D4">
        <f t="shared" si="0"/>
        <v>23.4</v>
      </c>
    </row>
    <row r="5" spans="1:7" x14ac:dyDescent="0.15">
      <c r="A5" t="s">
        <v>5</v>
      </c>
      <c r="B5">
        <v>1</v>
      </c>
      <c r="C5">
        <v>24</v>
      </c>
      <c r="D5">
        <f t="shared" si="0"/>
        <v>24</v>
      </c>
    </row>
    <row r="6" spans="1:7" x14ac:dyDescent="0.15">
      <c r="A6" t="s">
        <v>10</v>
      </c>
      <c r="B6">
        <v>2</v>
      </c>
      <c r="C6">
        <v>7.9</v>
      </c>
      <c r="D6">
        <f t="shared" si="0"/>
        <v>15.8</v>
      </c>
    </row>
    <row r="7" spans="1:7" x14ac:dyDescent="0.15">
      <c r="A7" t="s">
        <v>9</v>
      </c>
      <c r="B7">
        <v>3</v>
      </c>
      <c r="C7">
        <v>70</v>
      </c>
      <c r="D7">
        <f>B7*C7</f>
        <v>210</v>
      </c>
    </row>
    <row r="8" spans="1:7" x14ac:dyDescent="0.15">
      <c r="A8" t="s">
        <v>28</v>
      </c>
      <c r="B8">
        <v>1</v>
      </c>
      <c r="C8">
        <f>119.5</f>
        <v>119.5</v>
      </c>
      <c r="D8">
        <f t="shared" si="0"/>
        <v>119.5</v>
      </c>
    </row>
    <row r="9" spans="1:7" x14ac:dyDescent="0.15">
      <c r="A9" t="s">
        <v>4</v>
      </c>
      <c r="B9">
        <v>1</v>
      </c>
      <c r="C9">
        <v>9.9</v>
      </c>
      <c r="D9">
        <f t="shared" ref="D9:D14" si="1">B9*C9</f>
        <v>9.9</v>
      </c>
    </row>
    <row r="10" spans="1:7" x14ac:dyDescent="0.15">
      <c r="A10" t="s">
        <v>4</v>
      </c>
      <c r="B10">
        <v>1</v>
      </c>
      <c r="C10">
        <v>7.9</v>
      </c>
      <c r="D10">
        <f t="shared" si="1"/>
        <v>7.9</v>
      </c>
    </row>
    <row r="11" spans="1:7" x14ac:dyDescent="0.15">
      <c r="A11" t="s">
        <v>92</v>
      </c>
      <c r="B11">
        <v>3</v>
      </c>
      <c r="C11">
        <f>96.9/3</f>
        <v>32.300000000000004</v>
      </c>
      <c r="D11">
        <f t="shared" si="1"/>
        <v>96.9</v>
      </c>
    </row>
    <row r="12" spans="1:7" x14ac:dyDescent="0.15">
      <c r="A12" t="s">
        <v>93</v>
      </c>
      <c r="B12">
        <v>1</v>
      </c>
      <c r="C12">
        <v>74</v>
      </c>
      <c r="D12">
        <f t="shared" si="1"/>
        <v>74</v>
      </c>
    </row>
    <row r="13" spans="1:7" x14ac:dyDescent="0.15">
      <c r="A13" t="s">
        <v>28</v>
      </c>
      <c r="B13">
        <v>2</v>
      </c>
      <c r="C13">
        <v>335</v>
      </c>
      <c r="D13">
        <f t="shared" si="1"/>
        <v>670</v>
      </c>
    </row>
    <row r="14" spans="1:7" x14ac:dyDescent="0.15">
      <c r="A14" t="s">
        <v>94</v>
      </c>
      <c r="B14">
        <v>1</v>
      </c>
      <c r="C14">
        <v>39.9</v>
      </c>
      <c r="D14">
        <f t="shared" si="1"/>
        <v>39.9</v>
      </c>
    </row>
    <row r="15" spans="1:7" x14ac:dyDescent="0.15">
      <c r="A15" t="s">
        <v>95</v>
      </c>
      <c r="B15">
        <v>8</v>
      </c>
      <c r="C15">
        <v>11.12</v>
      </c>
      <c r="D15">
        <v>90</v>
      </c>
    </row>
    <row r="16" spans="1:7" x14ac:dyDescent="0.15">
      <c r="A16" t="s">
        <v>96</v>
      </c>
      <c r="B16">
        <v>9</v>
      </c>
      <c r="C16">
        <v>9.07</v>
      </c>
      <c r="D16">
        <f t="shared" ref="D16:D24" si="2">B16*C16</f>
        <v>81.63</v>
      </c>
    </row>
    <row r="17" spans="1:4" x14ac:dyDescent="0.15">
      <c r="A17" t="s">
        <v>101</v>
      </c>
      <c r="B17">
        <v>8</v>
      </c>
      <c r="C17">
        <v>2.9</v>
      </c>
      <c r="D17">
        <f t="shared" si="2"/>
        <v>23.2</v>
      </c>
    </row>
    <row r="18" spans="1:4" x14ac:dyDescent="0.15">
      <c r="A18" t="s">
        <v>112</v>
      </c>
      <c r="B18">
        <v>1</v>
      </c>
      <c r="C18">
        <f>47.73</f>
        <v>47.73</v>
      </c>
      <c r="D18">
        <f t="shared" si="2"/>
        <v>47.73</v>
      </c>
    </row>
    <row r="19" spans="1:4" x14ac:dyDescent="0.15">
      <c r="A19" t="s">
        <v>106</v>
      </c>
      <c r="B19">
        <v>1</v>
      </c>
      <c r="C19">
        <v>86.48</v>
      </c>
      <c r="D19">
        <f t="shared" si="2"/>
        <v>86.48</v>
      </c>
    </row>
    <row r="20" spans="1:4" x14ac:dyDescent="0.15">
      <c r="A20" t="s">
        <v>153</v>
      </c>
      <c r="B20">
        <v>1</v>
      </c>
      <c r="C20">
        <f>94.38</f>
        <v>94.38</v>
      </c>
      <c r="D20">
        <f t="shared" si="2"/>
        <v>94.38</v>
      </c>
    </row>
    <row r="21" spans="1:4" x14ac:dyDescent="0.15">
      <c r="A21" t="s">
        <v>154</v>
      </c>
      <c r="B21">
        <v>1</v>
      </c>
      <c r="C21">
        <f>1835.23-11.73</f>
        <v>1823.5</v>
      </c>
      <c r="D21">
        <f t="shared" si="2"/>
        <v>1823.5</v>
      </c>
    </row>
    <row r="22" spans="1:4" x14ac:dyDescent="0.15">
      <c r="A22" t="s">
        <v>158</v>
      </c>
      <c r="B22">
        <v>1</v>
      </c>
      <c r="C22">
        <v>1.9</v>
      </c>
      <c r="D22">
        <f t="shared" si="2"/>
        <v>1.9</v>
      </c>
    </row>
    <row r="23" spans="1:4" x14ac:dyDescent="0.15">
      <c r="A23" t="s">
        <v>159</v>
      </c>
      <c r="B23">
        <v>2</v>
      </c>
      <c r="C23">
        <v>1.6</v>
      </c>
      <c r="D23">
        <f t="shared" si="2"/>
        <v>3.2</v>
      </c>
    </row>
    <row r="24" spans="1:4" x14ac:dyDescent="0.15">
      <c r="A24" t="s">
        <v>181</v>
      </c>
      <c r="B24">
        <v>1</v>
      </c>
      <c r="C24">
        <v>15</v>
      </c>
      <c r="D24">
        <f t="shared" si="2"/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7"/>
  <sheetViews>
    <sheetView workbookViewId="0">
      <pane ySplit="1" topLeftCell="A23" activePane="bottomLeft" state="frozen"/>
      <selection pane="bottomLeft" activeCell="C24" sqref="C24"/>
    </sheetView>
  </sheetViews>
  <sheetFormatPr defaultRowHeight="13.5" x14ac:dyDescent="0.15"/>
  <cols>
    <col min="1" max="1" width="25.25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SUM(D2:D1000)</f>
        <v>4948.3</v>
      </c>
    </row>
    <row r="2" spans="1:7" x14ac:dyDescent="0.15">
      <c r="A2" t="s">
        <v>3</v>
      </c>
      <c r="B2">
        <v>1</v>
      </c>
      <c r="C2">
        <v>15.85</v>
      </c>
      <c r="D2">
        <f t="shared" ref="D2:D37" si="0">B2*C2</f>
        <v>15.85</v>
      </c>
    </row>
    <row r="3" spans="1:7" x14ac:dyDescent="0.15">
      <c r="A3" t="s">
        <v>6</v>
      </c>
      <c r="B3">
        <v>5</v>
      </c>
      <c r="C3">
        <v>9</v>
      </c>
      <c r="D3">
        <f t="shared" si="0"/>
        <v>45</v>
      </c>
    </row>
    <row r="4" spans="1:7" x14ac:dyDescent="0.15">
      <c r="A4" t="s">
        <v>7</v>
      </c>
      <c r="B4">
        <v>1</v>
      </c>
      <c r="C4">
        <v>8.51</v>
      </c>
      <c r="D4">
        <f t="shared" si="0"/>
        <v>8.51</v>
      </c>
    </row>
    <row r="5" spans="1:7" x14ac:dyDescent="0.15">
      <c r="A5" t="s">
        <v>7</v>
      </c>
      <c r="B5">
        <v>6</v>
      </c>
      <c r="C5">
        <v>9</v>
      </c>
      <c r="D5">
        <f t="shared" si="0"/>
        <v>54</v>
      </c>
    </row>
    <row r="6" spans="1:7" x14ac:dyDescent="0.15">
      <c r="A6" t="s">
        <v>7</v>
      </c>
      <c r="B6">
        <v>1</v>
      </c>
      <c r="C6">
        <v>8.84</v>
      </c>
      <c r="D6">
        <f t="shared" si="0"/>
        <v>8.84</v>
      </c>
    </row>
    <row r="7" spans="1:7" x14ac:dyDescent="0.15">
      <c r="A7" t="s">
        <v>8</v>
      </c>
      <c r="B7">
        <v>1</v>
      </c>
      <c r="C7">
        <v>367.12</v>
      </c>
      <c r="D7">
        <f t="shared" si="0"/>
        <v>367.12</v>
      </c>
    </row>
    <row r="8" spans="1:7" x14ac:dyDescent="0.15">
      <c r="A8" t="s">
        <v>11</v>
      </c>
      <c r="B8">
        <v>1</v>
      </c>
      <c r="C8">
        <v>165</v>
      </c>
      <c r="D8">
        <f t="shared" si="0"/>
        <v>165</v>
      </c>
    </row>
    <row r="9" spans="1:7" x14ac:dyDescent="0.15">
      <c r="A9" t="s">
        <v>12</v>
      </c>
      <c r="B9">
        <v>1</v>
      </c>
      <c r="C9">
        <v>848</v>
      </c>
      <c r="D9">
        <f t="shared" si="0"/>
        <v>848</v>
      </c>
    </row>
    <row r="10" spans="1:7" x14ac:dyDescent="0.15">
      <c r="A10" t="s">
        <v>18</v>
      </c>
      <c r="B10">
        <v>1</v>
      </c>
      <c r="C10">
        <v>115.3</v>
      </c>
      <c r="D10">
        <f t="shared" si="0"/>
        <v>115.3</v>
      </c>
    </row>
    <row r="11" spans="1:7" x14ac:dyDescent="0.15">
      <c r="A11" t="s">
        <v>21</v>
      </c>
      <c r="B11">
        <v>1</v>
      </c>
      <c r="C11">
        <v>25</v>
      </c>
      <c r="D11">
        <f t="shared" si="0"/>
        <v>25</v>
      </c>
    </row>
    <row r="12" spans="1:7" x14ac:dyDescent="0.15">
      <c r="A12" t="s">
        <v>22</v>
      </c>
      <c r="B12">
        <v>2</v>
      </c>
      <c r="C12">
        <v>8.8800000000000008</v>
      </c>
      <c r="D12">
        <f t="shared" si="0"/>
        <v>17.760000000000002</v>
      </c>
    </row>
    <row r="13" spans="1:7" x14ac:dyDescent="0.15">
      <c r="A13" t="s">
        <v>23</v>
      </c>
      <c r="B13">
        <v>3</v>
      </c>
      <c r="C13">
        <v>10.36</v>
      </c>
      <c r="D13">
        <f t="shared" si="0"/>
        <v>31.08</v>
      </c>
    </row>
    <row r="14" spans="1:7" x14ac:dyDescent="0.15">
      <c r="A14" t="s">
        <v>25</v>
      </c>
      <c r="B14">
        <v>1</v>
      </c>
      <c r="C14">
        <v>149</v>
      </c>
      <c r="D14">
        <f t="shared" si="0"/>
        <v>149</v>
      </c>
    </row>
    <row r="15" spans="1:7" x14ac:dyDescent="0.15">
      <c r="A15" t="s">
        <v>29</v>
      </c>
      <c r="B15">
        <v>1</v>
      </c>
      <c r="C15">
        <v>499</v>
      </c>
      <c r="D15">
        <f t="shared" si="0"/>
        <v>499</v>
      </c>
    </row>
    <row r="16" spans="1:7" x14ac:dyDescent="0.15">
      <c r="A16" t="s">
        <v>31</v>
      </c>
      <c r="B16">
        <v>1</v>
      </c>
      <c r="C16">
        <v>180.32</v>
      </c>
      <c r="D16">
        <f t="shared" si="0"/>
        <v>180.32</v>
      </c>
    </row>
    <row r="17" spans="1:6" x14ac:dyDescent="0.15">
      <c r="A17" t="s">
        <v>32</v>
      </c>
      <c r="B17">
        <v>1</v>
      </c>
      <c r="C17">
        <f>152.1</f>
        <v>152.1</v>
      </c>
      <c r="D17">
        <f t="shared" si="0"/>
        <v>152.1</v>
      </c>
    </row>
    <row r="18" spans="1:6" x14ac:dyDescent="0.15">
      <c r="A18" t="s">
        <v>100</v>
      </c>
      <c r="B18">
        <v>1</v>
      </c>
      <c r="C18">
        <v>0.36</v>
      </c>
      <c r="D18">
        <f t="shared" si="0"/>
        <v>0.36</v>
      </c>
    </row>
    <row r="19" spans="1:6" x14ac:dyDescent="0.15">
      <c r="A19" t="s">
        <v>102</v>
      </c>
      <c r="B19">
        <v>1</v>
      </c>
      <c r="C19">
        <v>257.87</v>
      </c>
      <c r="D19">
        <f t="shared" si="0"/>
        <v>257.87</v>
      </c>
    </row>
    <row r="20" spans="1:6" x14ac:dyDescent="0.15">
      <c r="A20" t="s">
        <v>103</v>
      </c>
      <c r="B20">
        <v>1</v>
      </c>
      <c r="C20">
        <f>46.89-46.89</f>
        <v>0</v>
      </c>
      <c r="D20">
        <f t="shared" si="0"/>
        <v>0</v>
      </c>
    </row>
    <row r="21" spans="1:6" x14ac:dyDescent="0.15">
      <c r="A21" t="s">
        <v>104</v>
      </c>
      <c r="B21">
        <v>1</v>
      </c>
      <c r="C21">
        <v>179</v>
      </c>
      <c r="D21">
        <f t="shared" si="0"/>
        <v>179</v>
      </c>
    </row>
    <row r="22" spans="1:6" x14ac:dyDescent="0.15">
      <c r="A22" t="s">
        <v>105</v>
      </c>
      <c r="B22">
        <v>1</v>
      </c>
      <c r="C22">
        <f>173.85</f>
        <v>173.85</v>
      </c>
      <c r="D22">
        <f t="shared" si="0"/>
        <v>173.85</v>
      </c>
    </row>
    <row r="23" spans="1:6" x14ac:dyDescent="0.15">
      <c r="A23" t="s">
        <v>147</v>
      </c>
      <c r="B23">
        <v>1</v>
      </c>
      <c r="C23">
        <v>710.14</v>
      </c>
      <c r="D23" s="7">
        <f t="shared" si="0"/>
        <v>710.14</v>
      </c>
    </row>
    <row r="24" spans="1:6" x14ac:dyDescent="0.15">
      <c r="A24" t="s">
        <v>168</v>
      </c>
      <c r="B24">
        <v>2</v>
      </c>
      <c r="C24">
        <v>19</v>
      </c>
      <c r="D24">
        <f t="shared" si="0"/>
        <v>38</v>
      </c>
    </row>
    <row r="25" spans="1:6" x14ac:dyDescent="0.15">
      <c r="A25" t="s">
        <v>169</v>
      </c>
      <c r="B25">
        <v>1</v>
      </c>
      <c r="C25">
        <v>36.700000000000003</v>
      </c>
      <c r="D25">
        <f t="shared" si="0"/>
        <v>36.700000000000003</v>
      </c>
    </row>
    <row r="26" spans="1:6" x14ac:dyDescent="0.15">
      <c r="A26" s="8" t="s">
        <v>169</v>
      </c>
      <c r="B26">
        <v>1</v>
      </c>
      <c r="C26">
        <v>29.9</v>
      </c>
      <c r="D26">
        <f t="shared" si="0"/>
        <v>29.9</v>
      </c>
    </row>
    <row r="27" spans="1:6" x14ac:dyDescent="0.15">
      <c r="A27" t="s">
        <v>170</v>
      </c>
      <c r="B27">
        <v>1</v>
      </c>
      <c r="C27">
        <v>340</v>
      </c>
      <c r="D27">
        <f t="shared" si="0"/>
        <v>340</v>
      </c>
    </row>
    <row r="28" spans="1:6" x14ac:dyDescent="0.15">
      <c r="A28" t="s">
        <v>171</v>
      </c>
      <c r="B28">
        <v>1</v>
      </c>
      <c r="C28">
        <f>58.5+18</f>
        <v>76.5</v>
      </c>
      <c r="D28">
        <f t="shared" si="0"/>
        <v>76.5</v>
      </c>
      <c r="E28" t="s">
        <v>178</v>
      </c>
      <c r="F28" t="s">
        <v>179</v>
      </c>
    </row>
    <row r="29" spans="1:6" x14ac:dyDescent="0.15">
      <c r="A29" t="s">
        <v>177</v>
      </c>
      <c r="B29">
        <v>1</v>
      </c>
      <c r="C29">
        <v>11.8</v>
      </c>
      <c r="D29">
        <f t="shared" si="0"/>
        <v>11.8</v>
      </c>
    </row>
    <row r="30" spans="1:6" x14ac:dyDescent="0.15">
      <c r="A30" t="s">
        <v>180</v>
      </c>
      <c r="B30">
        <v>2</v>
      </c>
      <c r="C30">
        <v>7</v>
      </c>
      <c r="D30">
        <f t="shared" si="0"/>
        <v>14</v>
      </c>
    </row>
    <row r="31" spans="1:6" x14ac:dyDescent="0.15">
      <c r="A31" t="s">
        <v>169</v>
      </c>
      <c r="B31">
        <v>1</v>
      </c>
      <c r="C31">
        <v>23.8</v>
      </c>
      <c r="D31">
        <f t="shared" si="0"/>
        <v>23.8</v>
      </c>
    </row>
    <row r="32" spans="1:6" x14ac:dyDescent="0.15">
      <c r="A32" t="s">
        <v>184</v>
      </c>
      <c r="B32">
        <v>1</v>
      </c>
      <c r="C32">
        <v>17.899999999999999</v>
      </c>
      <c r="D32">
        <f t="shared" si="0"/>
        <v>17.899999999999999</v>
      </c>
    </row>
    <row r="33" spans="1:4" x14ac:dyDescent="0.15">
      <c r="A33" t="s">
        <v>202</v>
      </c>
      <c r="B33">
        <v>1</v>
      </c>
      <c r="C33">
        <v>171</v>
      </c>
      <c r="D33">
        <f t="shared" si="0"/>
        <v>171</v>
      </c>
    </row>
    <row r="34" spans="1:4" x14ac:dyDescent="0.15">
      <c r="A34" t="s">
        <v>203</v>
      </c>
      <c r="B34">
        <v>1</v>
      </c>
      <c r="C34">
        <v>129</v>
      </c>
      <c r="D34">
        <f t="shared" si="0"/>
        <v>129</v>
      </c>
    </row>
    <row r="35" spans="1:4" x14ac:dyDescent="0.15">
      <c r="A35" t="s">
        <v>204</v>
      </c>
      <c r="B35">
        <v>1</v>
      </c>
      <c r="C35">
        <v>11.8</v>
      </c>
      <c r="D35">
        <f t="shared" si="0"/>
        <v>11.8</v>
      </c>
    </row>
    <row r="36" spans="1:4" x14ac:dyDescent="0.15">
      <c r="A36" t="s">
        <v>207</v>
      </c>
      <c r="B36">
        <v>1</v>
      </c>
      <c r="C36">
        <v>19.8</v>
      </c>
      <c r="D36">
        <f t="shared" si="0"/>
        <v>19.8</v>
      </c>
    </row>
    <row r="37" spans="1:4" x14ac:dyDescent="0.15">
      <c r="A37" t="s">
        <v>208</v>
      </c>
      <c r="B37">
        <v>1</v>
      </c>
      <c r="C37">
        <v>25</v>
      </c>
      <c r="D37">
        <f t="shared" si="0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3"/>
  <sheetViews>
    <sheetView workbookViewId="0">
      <pane ySplit="1" topLeftCell="A20" activePane="bottomLeft" state="frozen"/>
      <selection pane="bottomLeft" activeCell="C34" sqref="C34"/>
    </sheetView>
  </sheetViews>
  <sheetFormatPr defaultRowHeight="13.5" x14ac:dyDescent="0.15"/>
  <cols>
    <col min="1" max="1" width="18.375" bestFit="1" customWidth="1"/>
  </cols>
  <sheetData>
    <row r="1" spans="1:7" x14ac:dyDescent="0.15">
      <c r="B1" s="1" t="s">
        <v>0</v>
      </c>
      <c r="C1" s="1" t="s">
        <v>14</v>
      </c>
      <c r="D1" s="1" t="s">
        <v>2</v>
      </c>
      <c r="E1" s="1"/>
      <c r="F1" s="1" t="s">
        <v>26</v>
      </c>
      <c r="G1" s="1">
        <f>SUM(D2:D1001)</f>
        <v>1943.28</v>
      </c>
    </row>
    <row r="2" spans="1:7" x14ac:dyDescent="0.15">
      <c r="A2" t="s">
        <v>15</v>
      </c>
      <c r="B2">
        <v>3</v>
      </c>
      <c r="C2">
        <v>15</v>
      </c>
      <c r="D2">
        <f t="shared" ref="D2:D13" si="0">B2*C2</f>
        <v>45</v>
      </c>
    </row>
    <row r="3" spans="1:7" x14ac:dyDescent="0.15">
      <c r="A3" t="s">
        <v>15</v>
      </c>
      <c r="B3">
        <v>1</v>
      </c>
      <c r="C3">
        <v>15.06</v>
      </c>
      <c r="D3">
        <f>B3*C3</f>
        <v>15.06</v>
      </c>
    </row>
    <row r="4" spans="1:7" x14ac:dyDescent="0.15">
      <c r="A4" t="s">
        <v>16</v>
      </c>
      <c r="B4">
        <v>1</v>
      </c>
      <c r="C4">
        <v>10.26</v>
      </c>
      <c r="D4">
        <f>B4*C4</f>
        <v>10.26</v>
      </c>
    </row>
    <row r="5" spans="1:7" x14ac:dyDescent="0.15">
      <c r="A5" t="s">
        <v>16</v>
      </c>
      <c r="B5">
        <v>8</v>
      </c>
      <c r="C5">
        <v>10.26</v>
      </c>
      <c r="D5">
        <f>B5*C5</f>
        <v>82.08</v>
      </c>
    </row>
    <row r="6" spans="1:7" x14ac:dyDescent="0.15">
      <c r="A6" t="s">
        <v>16</v>
      </c>
      <c r="B6">
        <v>1</v>
      </c>
      <c r="C6">
        <v>7.25</v>
      </c>
      <c r="D6">
        <f>B6*C6</f>
        <v>7.25</v>
      </c>
    </row>
    <row r="7" spans="1:7" x14ac:dyDescent="0.15">
      <c r="A7" t="s">
        <v>16</v>
      </c>
      <c r="B7">
        <v>2</v>
      </c>
      <c r="C7">
        <v>0</v>
      </c>
      <c r="D7">
        <f>B7*C7</f>
        <v>0</v>
      </c>
    </row>
    <row r="8" spans="1:7" x14ac:dyDescent="0.15">
      <c r="A8" t="s">
        <v>17</v>
      </c>
      <c r="B8">
        <v>6</v>
      </c>
      <c r="C8">
        <v>9.35</v>
      </c>
      <c r="D8">
        <f t="shared" si="0"/>
        <v>56.099999999999994</v>
      </c>
    </row>
    <row r="9" spans="1:7" x14ac:dyDescent="0.15">
      <c r="A9" t="s">
        <v>17</v>
      </c>
      <c r="B9">
        <v>20</v>
      </c>
      <c r="C9">
        <v>9</v>
      </c>
      <c r="D9">
        <f>B9*C9</f>
        <v>180</v>
      </c>
    </row>
    <row r="10" spans="1:7" x14ac:dyDescent="0.15">
      <c r="A10" t="s">
        <v>19</v>
      </c>
      <c r="B10">
        <v>7</v>
      </c>
      <c r="C10">
        <v>16.5</v>
      </c>
      <c r="D10">
        <f t="shared" si="0"/>
        <v>115.5</v>
      </c>
    </row>
    <row r="11" spans="1:7" x14ac:dyDescent="0.15">
      <c r="A11" t="s">
        <v>20</v>
      </c>
      <c r="B11">
        <v>5</v>
      </c>
      <c r="C11">
        <v>21</v>
      </c>
      <c r="D11">
        <f t="shared" si="0"/>
        <v>105</v>
      </c>
    </row>
    <row r="12" spans="1:7" x14ac:dyDescent="0.15">
      <c r="A12" t="s">
        <v>13</v>
      </c>
      <c r="B12">
        <v>3</v>
      </c>
      <c r="C12">
        <v>59.6</v>
      </c>
      <c r="D12">
        <f>B12*C12</f>
        <v>178.8</v>
      </c>
    </row>
    <row r="13" spans="1:7" x14ac:dyDescent="0.15">
      <c r="A13" t="s">
        <v>27</v>
      </c>
      <c r="B13">
        <v>1</v>
      </c>
      <c r="C13">
        <v>8.8000000000000007</v>
      </c>
      <c r="D13">
        <f t="shared" si="0"/>
        <v>8.8000000000000007</v>
      </c>
    </row>
    <row r="14" spans="1:7" x14ac:dyDescent="0.15">
      <c r="A14" t="s">
        <v>30</v>
      </c>
      <c r="B14">
        <v>1</v>
      </c>
      <c r="C14">
        <v>109.9</v>
      </c>
      <c r="D14">
        <f t="shared" ref="D14:D24" si="1">B14*C14</f>
        <v>109.9</v>
      </c>
    </row>
    <row r="15" spans="1:7" x14ac:dyDescent="0.15">
      <c r="A15" t="s">
        <v>37</v>
      </c>
      <c r="B15">
        <v>2</v>
      </c>
      <c r="C15">
        <v>5.5</v>
      </c>
      <c r="D15">
        <f t="shared" si="1"/>
        <v>11</v>
      </c>
    </row>
    <row r="16" spans="1:7" x14ac:dyDescent="0.15">
      <c r="A16" t="s">
        <v>82</v>
      </c>
      <c r="B16">
        <v>1</v>
      </c>
      <c r="C16">
        <v>4.5999999999999996</v>
      </c>
      <c r="D16">
        <f>B16*C16</f>
        <v>4.5999999999999996</v>
      </c>
    </row>
    <row r="17" spans="1:5" x14ac:dyDescent="0.15">
      <c r="A17" t="s">
        <v>82</v>
      </c>
      <c r="B17">
        <v>2</v>
      </c>
      <c r="C17">
        <f>9.57</f>
        <v>9.57</v>
      </c>
      <c r="D17">
        <f>B17*C17</f>
        <v>19.14</v>
      </c>
    </row>
    <row r="18" spans="1:5" x14ac:dyDescent="0.15">
      <c r="A18" t="s">
        <v>82</v>
      </c>
      <c r="B18">
        <v>1</v>
      </c>
      <c r="C18">
        <v>9.4499999999999993</v>
      </c>
      <c r="D18">
        <f>B18*C18</f>
        <v>9.4499999999999993</v>
      </c>
    </row>
    <row r="19" spans="1:5" x14ac:dyDescent="0.15">
      <c r="A19" t="s">
        <v>38</v>
      </c>
      <c r="B19">
        <v>1</v>
      </c>
      <c r="C19">
        <v>5</v>
      </c>
      <c r="D19">
        <f t="shared" si="1"/>
        <v>5</v>
      </c>
    </row>
    <row r="20" spans="1:5" x14ac:dyDescent="0.15">
      <c r="A20" t="s">
        <v>55</v>
      </c>
      <c r="B20">
        <v>1</v>
      </c>
      <c r="C20">
        <f>74.99</f>
        <v>74.989999999999995</v>
      </c>
      <c r="D20">
        <f t="shared" si="1"/>
        <v>74.989999999999995</v>
      </c>
    </row>
    <row r="21" spans="1:5" x14ac:dyDescent="0.15">
      <c r="A21" t="s">
        <v>83</v>
      </c>
      <c r="B21">
        <v>1</v>
      </c>
      <c r="C21">
        <v>77.11</v>
      </c>
      <c r="D21">
        <f t="shared" si="1"/>
        <v>77.11</v>
      </c>
      <c r="E21" t="s">
        <v>84</v>
      </c>
    </row>
    <row r="22" spans="1:5" x14ac:dyDescent="0.15">
      <c r="A22" t="s">
        <v>85</v>
      </c>
      <c r="B22">
        <v>1</v>
      </c>
      <c r="C22">
        <v>8.93</v>
      </c>
      <c r="D22">
        <f t="shared" si="1"/>
        <v>8.93</v>
      </c>
    </row>
    <row r="23" spans="1:5" x14ac:dyDescent="0.15">
      <c r="A23" t="s">
        <v>87</v>
      </c>
      <c r="B23">
        <v>1</v>
      </c>
      <c r="C23">
        <v>88.6</v>
      </c>
      <c r="D23">
        <f t="shared" si="1"/>
        <v>88.6</v>
      </c>
    </row>
    <row r="24" spans="1:5" x14ac:dyDescent="0.15">
      <c r="A24" t="s">
        <v>88</v>
      </c>
      <c r="B24">
        <v>1</v>
      </c>
      <c r="C24">
        <v>9.19</v>
      </c>
      <c r="D24">
        <f t="shared" si="1"/>
        <v>9.19</v>
      </c>
    </row>
    <row r="25" spans="1:5" x14ac:dyDescent="0.15">
      <c r="A25" t="s">
        <v>90</v>
      </c>
      <c r="B25">
        <v>1</v>
      </c>
      <c r="C25">
        <v>8.93</v>
      </c>
      <c r="D25">
        <f t="shared" ref="D25" si="2">B25*C25</f>
        <v>8.93</v>
      </c>
    </row>
    <row r="26" spans="1:5" x14ac:dyDescent="0.15">
      <c r="A26" t="s">
        <v>91</v>
      </c>
      <c r="B26">
        <v>1</v>
      </c>
      <c r="C26">
        <v>8.93</v>
      </c>
      <c r="D26">
        <f t="shared" ref="D26:D33" si="3">B26*C26</f>
        <v>8.93</v>
      </c>
    </row>
    <row r="27" spans="1:5" x14ac:dyDescent="0.15">
      <c r="A27" t="s">
        <v>99</v>
      </c>
      <c r="B27">
        <v>5</v>
      </c>
      <c r="C27">
        <v>8</v>
      </c>
      <c r="D27">
        <f t="shared" si="3"/>
        <v>40</v>
      </c>
    </row>
    <row r="28" spans="1:5" x14ac:dyDescent="0.15">
      <c r="A28" t="s">
        <v>19</v>
      </c>
      <c r="B28">
        <v>1</v>
      </c>
      <c r="C28">
        <v>13.2</v>
      </c>
      <c r="D28">
        <f t="shared" si="3"/>
        <v>13.2</v>
      </c>
    </row>
    <row r="29" spans="1:5" x14ac:dyDescent="0.15">
      <c r="A29" t="s">
        <v>172</v>
      </c>
      <c r="B29">
        <v>1</v>
      </c>
      <c r="C29">
        <v>12</v>
      </c>
      <c r="D29">
        <f t="shared" si="3"/>
        <v>12</v>
      </c>
    </row>
    <row r="30" spans="1:5" x14ac:dyDescent="0.15">
      <c r="A30" t="s">
        <v>173</v>
      </c>
      <c r="B30">
        <v>1</v>
      </c>
      <c r="C30">
        <v>3</v>
      </c>
      <c r="D30">
        <f t="shared" si="3"/>
        <v>3</v>
      </c>
    </row>
    <row r="31" spans="1:5" x14ac:dyDescent="0.15">
      <c r="A31" t="s">
        <v>175</v>
      </c>
      <c r="B31">
        <v>1</v>
      </c>
      <c r="C31">
        <f>67.8*5+75+64.99+104.4</f>
        <v>583.39</v>
      </c>
      <c r="D31">
        <f t="shared" si="3"/>
        <v>583.39</v>
      </c>
    </row>
    <row r="32" spans="1:5" x14ac:dyDescent="0.15">
      <c r="A32" t="s">
        <v>182</v>
      </c>
      <c r="B32">
        <v>1</v>
      </c>
      <c r="C32">
        <v>13.5</v>
      </c>
      <c r="D32" s="12">
        <f t="shared" si="3"/>
        <v>13.5</v>
      </c>
    </row>
    <row r="33" spans="1:4" x14ac:dyDescent="0.15">
      <c r="A33" t="s">
        <v>200</v>
      </c>
      <c r="B33">
        <v>1</v>
      </c>
      <c r="C33">
        <v>38.57</v>
      </c>
      <c r="D33">
        <f t="shared" si="3"/>
        <v>38.57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6"/>
  <sheetViews>
    <sheetView tabSelected="1" workbookViewId="0">
      <pane ySplit="1" topLeftCell="A14" activePane="bottomLeft" state="frozen"/>
      <selection pane="bottomLeft" activeCell="C30" sqref="C30"/>
    </sheetView>
  </sheetViews>
  <sheetFormatPr defaultRowHeight="13.5" x14ac:dyDescent="0.15"/>
  <cols>
    <col min="1" max="1" width="13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SUM(D5:D1004)</f>
        <v>22915.9</v>
      </c>
    </row>
    <row r="2" spans="1:7" x14ac:dyDescent="0.15">
      <c r="A2" t="s">
        <v>160</v>
      </c>
      <c r="B2">
        <v>2</v>
      </c>
      <c r="C2">
        <v>1</v>
      </c>
      <c r="D2" s="6">
        <f t="shared" ref="D2:D11" si="0">B2*C2</f>
        <v>2</v>
      </c>
    </row>
    <row r="3" spans="1:7" x14ac:dyDescent="0.15">
      <c r="A3" t="s">
        <v>161</v>
      </c>
      <c r="B3">
        <v>2</v>
      </c>
      <c r="C3">
        <v>1</v>
      </c>
      <c r="D3">
        <f>B3*C3</f>
        <v>2</v>
      </c>
    </row>
    <row r="4" spans="1:7" s="7" customFormat="1" x14ac:dyDescent="0.15">
      <c r="A4" s="7" t="s">
        <v>167</v>
      </c>
      <c r="B4" s="7">
        <v>2</v>
      </c>
      <c r="C4" s="7">
        <v>1</v>
      </c>
      <c r="D4" s="7">
        <f>B4*C4</f>
        <v>2</v>
      </c>
    </row>
    <row r="5" spans="1:7" x14ac:dyDescent="0.15">
      <c r="A5" t="s">
        <v>148</v>
      </c>
      <c r="B5">
        <v>1</v>
      </c>
      <c r="C5">
        <f>2571.02</f>
        <v>2571.02</v>
      </c>
      <c r="D5">
        <f t="shared" si="0"/>
        <v>2571.02</v>
      </c>
    </row>
    <row r="6" spans="1:7" x14ac:dyDescent="0.15">
      <c r="A6" t="s">
        <v>149</v>
      </c>
      <c r="B6">
        <v>1</v>
      </c>
      <c r="C6">
        <f>2571.02</f>
        <v>2571.02</v>
      </c>
      <c r="D6">
        <f t="shared" si="0"/>
        <v>2571.02</v>
      </c>
    </row>
    <row r="7" spans="1:7" s="5" customFormat="1" x14ac:dyDescent="0.15">
      <c r="A7" t="s">
        <v>150</v>
      </c>
      <c r="B7">
        <v>1</v>
      </c>
      <c r="C7">
        <f>2134.96</f>
        <v>2134.96</v>
      </c>
      <c r="D7">
        <f t="shared" si="0"/>
        <v>2134.96</v>
      </c>
    </row>
    <row r="8" spans="1:7" x14ac:dyDescent="0.15">
      <c r="A8" t="s">
        <v>152</v>
      </c>
      <c r="B8">
        <v>1</v>
      </c>
      <c r="C8">
        <v>1979</v>
      </c>
      <c r="D8">
        <f t="shared" si="0"/>
        <v>1979</v>
      </c>
    </row>
    <row r="9" spans="1:7" x14ac:dyDescent="0.15">
      <c r="A9" t="s">
        <v>151</v>
      </c>
      <c r="B9">
        <v>1</v>
      </c>
      <c r="C9">
        <f>2110.49</f>
        <v>2110.4899999999998</v>
      </c>
      <c r="D9">
        <f t="shared" si="0"/>
        <v>2110.4899999999998</v>
      </c>
    </row>
    <row r="10" spans="1:7" x14ac:dyDescent="0.15">
      <c r="A10" t="s">
        <v>163</v>
      </c>
      <c r="B10">
        <v>1</v>
      </c>
      <c r="C10">
        <f>614.94</f>
        <v>614.94000000000005</v>
      </c>
      <c r="D10" s="6">
        <f t="shared" si="0"/>
        <v>614.94000000000005</v>
      </c>
    </row>
    <row r="11" spans="1:7" x14ac:dyDescent="0.15">
      <c r="A11" t="s">
        <v>164</v>
      </c>
      <c r="B11">
        <v>1</v>
      </c>
      <c r="C11">
        <f>966.83</f>
        <v>966.83</v>
      </c>
      <c r="D11" s="6">
        <f t="shared" si="0"/>
        <v>966.83</v>
      </c>
    </row>
    <row r="12" spans="1:7" x14ac:dyDescent="0.15">
      <c r="A12" t="s">
        <v>162</v>
      </c>
      <c r="B12">
        <v>1</v>
      </c>
      <c r="C12">
        <f>192.66</f>
        <v>192.66</v>
      </c>
      <c r="D12" s="6">
        <f t="shared" ref="D12:D32" si="1">B12*C12</f>
        <v>192.66</v>
      </c>
    </row>
    <row r="13" spans="1:7" x14ac:dyDescent="0.15">
      <c r="A13" s="5" t="s">
        <v>165</v>
      </c>
      <c r="B13" s="5">
        <v>1</v>
      </c>
      <c r="C13" s="5">
        <f>992.28</f>
        <v>992.28</v>
      </c>
      <c r="D13" s="5">
        <f t="shared" si="1"/>
        <v>992.28</v>
      </c>
    </row>
    <row r="14" spans="1:7" x14ac:dyDescent="0.15">
      <c r="A14" t="s">
        <v>166</v>
      </c>
      <c r="B14">
        <v>2</v>
      </c>
      <c r="C14">
        <f>834.59</f>
        <v>834.59</v>
      </c>
      <c r="D14">
        <f t="shared" si="1"/>
        <v>1669.18</v>
      </c>
    </row>
    <row r="15" spans="1:7" x14ac:dyDescent="0.15">
      <c r="A15" t="s">
        <v>183</v>
      </c>
      <c r="B15">
        <v>1</v>
      </c>
      <c r="C15">
        <v>1899</v>
      </c>
      <c r="D15" s="13">
        <f t="shared" si="1"/>
        <v>1899</v>
      </c>
    </row>
    <row r="16" spans="1:7" x14ac:dyDescent="0.15">
      <c r="A16" t="s">
        <v>191</v>
      </c>
      <c r="B16">
        <v>1</v>
      </c>
      <c r="C16">
        <v>79</v>
      </c>
      <c r="D16" s="14">
        <f t="shared" si="1"/>
        <v>79</v>
      </c>
    </row>
    <row r="17" spans="1:4" x14ac:dyDescent="0.15">
      <c r="A17" t="s">
        <v>192</v>
      </c>
      <c r="B17">
        <v>1</v>
      </c>
      <c r="C17">
        <v>42</v>
      </c>
      <c r="D17" s="15">
        <f t="shared" si="1"/>
        <v>42</v>
      </c>
    </row>
    <row r="18" spans="1:4" s="25" customFormat="1" x14ac:dyDescent="0.15"/>
    <row r="19" spans="1:4" s="25" customFormat="1" x14ac:dyDescent="0.15"/>
    <row r="20" spans="1:4" x14ac:dyDescent="0.15">
      <c r="A20" t="s">
        <v>206</v>
      </c>
      <c r="B20">
        <v>1</v>
      </c>
      <c r="C20">
        <v>2800</v>
      </c>
      <c r="D20">
        <f t="shared" si="1"/>
        <v>2800</v>
      </c>
    </row>
    <row r="21" spans="1:4" x14ac:dyDescent="0.15">
      <c r="A21" t="s">
        <v>209</v>
      </c>
      <c r="B21">
        <v>1</v>
      </c>
      <c r="C21">
        <f>117.92</f>
        <v>117.92</v>
      </c>
      <c r="D21" s="19">
        <f t="shared" si="1"/>
        <v>117.92</v>
      </c>
    </row>
    <row r="22" spans="1:4" x14ac:dyDescent="0.15">
      <c r="A22" t="s">
        <v>210</v>
      </c>
      <c r="B22">
        <v>1</v>
      </c>
      <c r="C22">
        <f>112.7</f>
        <v>112.7</v>
      </c>
      <c r="D22" s="19">
        <f t="shared" si="1"/>
        <v>112.7</v>
      </c>
    </row>
    <row r="23" spans="1:4" x14ac:dyDescent="0.15">
      <c r="A23" t="s">
        <v>211</v>
      </c>
      <c r="B23">
        <v>1</v>
      </c>
      <c r="C23">
        <f>169.82</f>
        <v>169.82</v>
      </c>
      <c r="D23">
        <f t="shared" si="1"/>
        <v>169.82</v>
      </c>
    </row>
    <row r="24" spans="1:4" x14ac:dyDescent="0.15">
      <c r="A24" t="s">
        <v>212</v>
      </c>
      <c r="B24">
        <v>1</v>
      </c>
      <c r="C24">
        <v>64.87</v>
      </c>
      <c r="D24" s="20">
        <f t="shared" si="1"/>
        <v>64.87</v>
      </c>
    </row>
    <row r="25" spans="1:4" x14ac:dyDescent="0.15">
      <c r="A25" t="s">
        <v>219</v>
      </c>
      <c r="B25">
        <v>1</v>
      </c>
      <c r="C25">
        <v>146</v>
      </c>
      <c r="D25" s="23">
        <f t="shared" si="1"/>
        <v>146</v>
      </c>
    </row>
    <row r="26" spans="1:4" x14ac:dyDescent="0.15">
      <c r="A26" t="s">
        <v>220</v>
      </c>
      <c r="B26">
        <v>1</v>
      </c>
      <c r="C26">
        <v>3.1</v>
      </c>
      <c r="D26" s="23">
        <f t="shared" si="1"/>
        <v>3.1</v>
      </c>
    </row>
    <row r="27" spans="1:4" x14ac:dyDescent="0.15">
      <c r="A27" t="s">
        <v>221</v>
      </c>
      <c r="B27">
        <v>1</v>
      </c>
      <c r="C27">
        <v>14.9</v>
      </c>
      <c r="D27">
        <f t="shared" si="1"/>
        <v>14.9</v>
      </c>
    </row>
    <row r="28" spans="1:4" x14ac:dyDescent="0.15">
      <c r="A28" t="s">
        <v>235</v>
      </c>
      <c r="B28">
        <v>1</v>
      </c>
      <c r="C28">
        <v>88.11</v>
      </c>
      <c r="D28">
        <f>B28*C28</f>
        <v>88.11</v>
      </c>
    </row>
    <row r="29" spans="1:4" x14ac:dyDescent="0.15">
      <c r="A29" t="s">
        <v>239</v>
      </c>
      <c r="B29">
        <v>1</v>
      </c>
      <c r="C29">
        <v>270</v>
      </c>
      <c r="D29">
        <f>B29*C29</f>
        <v>270</v>
      </c>
    </row>
    <row r="33" spans="1:4" x14ac:dyDescent="0.15">
      <c r="A33" t="s">
        <v>234</v>
      </c>
      <c r="B33">
        <v>1</v>
      </c>
      <c r="C33">
        <v>1020.88</v>
      </c>
      <c r="D33">
        <f>B33*C33</f>
        <v>1020.88</v>
      </c>
    </row>
    <row r="34" spans="1:4" x14ac:dyDescent="0.15">
      <c r="A34" t="s">
        <v>236</v>
      </c>
      <c r="B34">
        <v>1</v>
      </c>
      <c r="C34">
        <v>145.04</v>
      </c>
      <c r="D34">
        <f>B34*C34</f>
        <v>145.04</v>
      </c>
    </row>
    <row r="35" spans="1:4" x14ac:dyDescent="0.15">
      <c r="A35" t="s">
        <v>237</v>
      </c>
      <c r="B35">
        <v>1</v>
      </c>
      <c r="C35">
        <v>100</v>
      </c>
      <c r="D35">
        <f>B35*C35</f>
        <v>100</v>
      </c>
    </row>
    <row r="36" spans="1:4" x14ac:dyDescent="0.15">
      <c r="A36" t="s">
        <v>238</v>
      </c>
      <c r="B36">
        <v>1</v>
      </c>
      <c r="C36">
        <v>40.18</v>
      </c>
      <c r="D36">
        <f>B36*C36</f>
        <v>40.18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4"/>
  <sheetViews>
    <sheetView workbookViewId="0">
      <pane ySplit="1" topLeftCell="A2" activePane="bottomLeft" state="frozen"/>
      <selection pane="bottomLeft" activeCell="D13" sqref="D13"/>
    </sheetView>
  </sheetViews>
  <sheetFormatPr defaultRowHeight="13.5" x14ac:dyDescent="0.15"/>
  <cols>
    <col min="1" max="1" width="63.625" bestFit="1" customWidth="1"/>
  </cols>
  <sheetData>
    <row r="1" spans="1:10" x14ac:dyDescent="0.15">
      <c r="B1" s="1" t="s">
        <v>0</v>
      </c>
      <c r="C1" s="1" t="s">
        <v>1</v>
      </c>
      <c r="D1" s="1" t="s">
        <v>2</v>
      </c>
      <c r="E1" s="1"/>
      <c r="F1" s="1" t="s">
        <v>26</v>
      </c>
      <c r="G1" s="1">
        <f>SUM(D2:D1004)</f>
        <v>19957</v>
      </c>
    </row>
    <row r="2" spans="1:10" x14ac:dyDescent="0.15">
      <c r="A2" t="s">
        <v>187</v>
      </c>
      <c r="B2">
        <v>1</v>
      </c>
      <c r="C2">
        <f>1085.84</f>
        <v>1085.8399999999999</v>
      </c>
      <c r="D2">
        <f t="shared" ref="D2:D13" si="0">B2*C2</f>
        <v>1085.8399999999999</v>
      </c>
      <c r="E2" s="28" t="s">
        <v>194</v>
      </c>
      <c r="F2" s="28"/>
      <c r="G2" s="28"/>
      <c r="H2" s="28"/>
      <c r="I2" s="28"/>
      <c r="J2" s="28"/>
    </row>
    <row r="3" spans="1:10" x14ac:dyDescent="0.15">
      <c r="A3" t="s">
        <v>188</v>
      </c>
      <c r="B3">
        <v>1</v>
      </c>
      <c r="C3">
        <f>3712.16</f>
        <v>3712.16</v>
      </c>
      <c r="D3">
        <f t="shared" si="0"/>
        <v>3712.16</v>
      </c>
      <c r="E3" s="28" t="s">
        <v>195</v>
      </c>
      <c r="F3" s="28"/>
      <c r="G3" s="28"/>
      <c r="H3" s="28"/>
      <c r="I3" s="28"/>
      <c r="J3" s="28"/>
    </row>
    <row r="4" spans="1:10" x14ac:dyDescent="0.15">
      <c r="A4" t="s">
        <v>193</v>
      </c>
      <c r="B4">
        <v>1</v>
      </c>
      <c r="C4">
        <f>2163.71-200</f>
        <v>1963.71</v>
      </c>
      <c r="D4">
        <f t="shared" si="0"/>
        <v>1963.71</v>
      </c>
      <c r="E4" s="26" t="s">
        <v>196</v>
      </c>
      <c r="F4" s="26"/>
      <c r="G4" s="26"/>
      <c r="H4" s="26"/>
      <c r="I4" s="26"/>
      <c r="J4" s="26"/>
    </row>
    <row r="5" spans="1:10" s="16" customFormat="1" x14ac:dyDescent="0.15">
      <c r="A5" s="16" t="s">
        <v>193</v>
      </c>
      <c r="B5" s="16">
        <v>1</v>
      </c>
      <c r="C5" s="16">
        <f>2173.1-200</f>
        <v>1973.1</v>
      </c>
      <c r="D5" s="16">
        <f t="shared" si="0"/>
        <v>1973.1</v>
      </c>
      <c r="E5" s="26" t="s">
        <v>196</v>
      </c>
      <c r="F5" s="26"/>
      <c r="G5" s="26"/>
      <c r="H5" s="26"/>
      <c r="I5" s="26"/>
      <c r="J5" s="26"/>
    </row>
    <row r="6" spans="1:10" s="16" customFormat="1" x14ac:dyDescent="0.15">
      <c r="A6" s="16" t="s">
        <v>193</v>
      </c>
      <c r="B6" s="16">
        <v>1</v>
      </c>
      <c r="C6" s="16">
        <f>2173.1-200</f>
        <v>1973.1</v>
      </c>
      <c r="D6" s="16">
        <f t="shared" si="0"/>
        <v>1973.1</v>
      </c>
      <c r="E6" s="26" t="s">
        <v>196</v>
      </c>
      <c r="F6" s="26"/>
      <c r="G6" s="26"/>
      <c r="H6" s="26"/>
      <c r="I6" s="26"/>
      <c r="J6" s="26"/>
    </row>
    <row r="7" spans="1:10" x14ac:dyDescent="0.15">
      <c r="A7" t="s">
        <v>197</v>
      </c>
      <c r="B7">
        <v>1</v>
      </c>
      <c r="C7">
        <f>1991.94-200</f>
        <v>1791.94</v>
      </c>
      <c r="D7">
        <f>B7*C7</f>
        <v>1791.94</v>
      </c>
      <c r="E7" s="27" t="s">
        <v>198</v>
      </c>
      <c r="F7" s="27"/>
      <c r="G7" s="27"/>
      <c r="H7" s="27"/>
      <c r="I7" s="27"/>
      <c r="J7" s="27"/>
    </row>
    <row r="8" spans="1:10" x14ac:dyDescent="0.15">
      <c r="A8" t="s">
        <v>189</v>
      </c>
      <c r="B8">
        <v>1</v>
      </c>
      <c r="C8">
        <f>2434.29</f>
        <v>2434.29</v>
      </c>
      <c r="D8">
        <f t="shared" si="0"/>
        <v>2434.29</v>
      </c>
      <c r="E8" s="26"/>
      <c r="F8" s="26"/>
      <c r="G8" s="26"/>
      <c r="H8" s="26"/>
      <c r="I8" s="26"/>
      <c r="J8" s="26"/>
    </row>
    <row r="9" spans="1:10" x14ac:dyDescent="0.15">
      <c r="A9" t="s">
        <v>190</v>
      </c>
      <c r="B9">
        <v>1</v>
      </c>
      <c r="C9">
        <f>1357.85</f>
        <v>1357.85</v>
      </c>
      <c r="D9">
        <f t="shared" si="0"/>
        <v>1357.85</v>
      </c>
      <c r="E9" s="26"/>
      <c r="F9" s="26"/>
      <c r="G9" s="26"/>
      <c r="H9" s="26"/>
      <c r="I9" s="26"/>
      <c r="J9" s="26"/>
    </row>
    <row r="10" spans="1:10" x14ac:dyDescent="0.15">
      <c r="A10" t="s">
        <v>199</v>
      </c>
      <c r="B10">
        <v>1</v>
      </c>
      <c r="C10">
        <v>489</v>
      </c>
      <c r="D10" s="16">
        <f t="shared" si="0"/>
        <v>489</v>
      </c>
      <c r="E10" s="3"/>
    </row>
    <row r="11" spans="1:10" x14ac:dyDescent="0.15">
      <c r="A11" t="s">
        <v>218</v>
      </c>
      <c r="B11">
        <v>1</v>
      </c>
      <c r="C11">
        <f>10+1939</f>
        <v>1949</v>
      </c>
      <c r="D11" s="22">
        <f t="shared" si="0"/>
        <v>1949</v>
      </c>
    </row>
    <row r="12" spans="1:10" s="24" customFormat="1" x14ac:dyDescent="0.15">
      <c r="A12" s="24" t="s">
        <v>233</v>
      </c>
      <c r="B12" s="24">
        <v>1</v>
      </c>
      <c r="C12" s="24">
        <v>217</v>
      </c>
      <c r="D12" s="24">
        <f t="shared" si="0"/>
        <v>217</v>
      </c>
    </row>
    <row r="13" spans="1:10" s="24" customFormat="1" x14ac:dyDescent="0.15">
      <c r="A13" s="24" t="s">
        <v>233</v>
      </c>
      <c r="B13" s="24">
        <v>1</v>
      </c>
      <c r="C13" s="24">
        <v>219</v>
      </c>
      <c r="D13" s="24">
        <f t="shared" si="0"/>
        <v>219</v>
      </c>
    </row>
    <row r="16" spans="1:10" x14ac:dyDescent="0.15">
      <c r="A16" t="s">
        <v>185</v>
      </c>
      <c r="B16">
        <v>1</v>
      </c>
      <c r="C16">
        <v>148</v>
      </c>
      <c r="D16">
        <f t="shared" ref="D16:D24" si="1">B16*C16</f>
        <v>148</v>
      </c>
    </row>
    <row r="17" spans="1:4" x14ac:dyDescent="0.15">
      <c r="A17" t="s">
        <v>186</v>
      </c>
      <c r="B17">
        <v>1</v>
      </c>
      <c r="C17">
        <v>52</v>
      </c>
      <c r="D17">
        <f t="shared" si="1"/>
        <v>52</v>
      </c>
    </row>
    <row r="18" spans="1:4" x14ac:dyDescent="0.15">
      <c r="A18" t="s">
        <v>201</v>
      </c>
      <c r="B18">
        <v>1</v>
      </c>
      <c r="C18">
        <v>70</v>
      </c>
      <c r="D18" s="17">
        <f t="shared" si="1"/>
        <v>70</v>
      </c>
    </row>
    <row r="19" spans="1:4" x14ac:dyDescent="0.15">
      <c r="A19" t="s">
        <v>205</v>
      </c>
      <c r="B19">
        <v>2</v>
      </c>
      <c r="C19">
        <v>5.62</v>
      </c>
      <c r="D19" s="18">
        <f t="shared" si="1"/>
        <v>11.24</v>
      </c>
    </row>
    <row r="20" spans="1:4" x14ac:dyDescent="0.15">
      <c r="A20" t="s">
        <v>213</v>
      </c>
      <c r="B20">
        <v>1</v>
      </c>
      <c r="C20">
        <v>150</v>
      </c>
      <c r="D20">
        <f t="shared" si="1"/>
        <v>150</v>
      </c>
    </row>
    <row r="21" spans="1:4" x14ac:dyDescent="0.15">
      <c r="A21" t="s">
        <v>214</v>
      </c>
      <c r="B21">
        <v>1</v>
      </c>
      <c r="C21">
        <v>250</v>
      </c>
      <c r="D21">
        <f t="shared" si="1"/>
        <v>250</v>
      </c>
    </row>
    <row r="22" spans="1:4" x14ac:dyDescent="0.15">
      <c r="A22" t="s">
        <v>215</v>
      </c>
      <c r="B22">
        <v>1</v>
      </c>
      <c r="C22">
        <v>55</v>
      </c>
      <c r="D22">
        <f t="shared" si="1"/>
        <v>55</v>
      </c>
    </row>
    <row r="23" spans="1:4" x14ac:dyDescent="0.15">
      <c r="A23" t="s">
        <v>216</v>
      </c>
      <c r="B23">
        <v>1</v>
      </c>
      <c r="C23">
        <v>45</v>
      </c>
      <c r="D23">
        <f t="shared" si="1"/>
        <v>45</v>
      </c>
    </row>
    <row r="24" spans="1:4" x14ac:dyDescent="0.15">
      <c r="A24" t="s">
        <v>217</v>
      </c>
      <c r="B24">
        <v>1</v>
      </c>
      <c r="C24" s="21">
        <f>9.77</f>
        <v>9.77</v>
      </c>
      <c r="D24" s="21">
        <f t="shared" si="1"/>
        <v>9.77</v>
      </c>
    </row>
  </sheetData>
  <mergeCells count="8">
    <mergeCell ref="E9:J9"/>
    <mergeCell ref="E5:J5"/>
    <mergeCell ref="E6:J6"/>
    <mergeCell ref="E7:J7"/>
    <mergeCell ref="E2:J2"/>
    <mergeCell ref="E3:J3"/>
    <mergeCell ref="E4:J4"/>
    <mergeCell ref="E8:J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1"/>
  <sheetViews>
    <sheetView workbookViewId="0">
      <pane ySplit="1" topLeftCell="A2" activePane="bottomLeft" state="frozen"/>
      <selection pane="bottomLeft" activeCell="B12" sqref="B12"/>
    </sheetView>
  </sheetViews>
  <sheetFormatPr defaultRowHeight="13.5" x14ac:dyDescent="0.15"/>
  <cols>
    <col min="1" max="1" width="13" bestFit="1" customWidth="1"/>
  </cols>
  <sheetData>
    <row r="1" spans="1:6" x14ac:dyDescent="0.15">
      <c r="B1" s="1" t="s">
        <v>14</v>
      </c>
      <c r="C1" s="1"/>
      <c r="D1" s="1"/>
      <c r="E1" s="1" t="s">
        <v>26</v>
      </c>
      <c r="F1" s="1">
        <f>SUM(B2:B1000)</f>
        <v>1222.1500000000001</v>
      </c>
    </row>
    <row r="2" spans="1:6" x14ac:dyDescent="0.15">
      <c r="A2" t="s">
        <v>223</v>
      </c>
      <c r="B2">
        <v>6.7</v>
      </c>
    </row>
    <row r="3" spans="1:6" x14ac:dyDescent="0.15">
      <c r="A3" t="s">
        <v>224</v>
      </c>
      <c r="B3">
        <v>30.9</v>
      </c>
    </row>
    <row r="4" spans="1:6" x14ac:dyDescent="0.15">
      <c r="A4" t="s">
        <v>225</v>
      </c>
      <c r="B4">
        <v>109.25</v>
      </c>
    </row>
    <row r="5" spans="1:6" x14ac:dyDescent="0.15">
      <c r="A5" t="s">
        <v>226</v>
      </c>
      <c r="B5">
        <f>15.9+20.2+10.6+13.9</f>
        <v>60.6</v>
      </c>
    </row>
    <row r="6" spans="1:6" x14ac:dyDescent="0.15">
      <c r="A6" t="s">
        <v>227</v>
      </c>
      <c r="B6">
        <v>22.7</v>
      </c>
    </row>
    <row r="7" spans="1:6" x14ac:dyDescent="0.15">
      <c r="A7" t="s">
        <v>228</v>
      </c>
      <c r="B7">
        <v>43</v>
      </c>
    </row>
    <row r="8" spans="1:6" x14ac:dyDescent="0.15">
      <c r="A8" t="s">
        <v>229</v>
      </c>
      <c r="B8">
        <v>203</v>
      </c>
    </row>
    <row r="9" spans="1:6" x14ac:dyDescent="0.15">
      <c r="A9" t="s">
        <v>230</v>
      </c>
      <c r="B9">
        <v>182</v>
      </c>
    </row>
    <row r="10" spans="1:6" x14ac:dyDescent="0.15">
      <c r="A10" t="s">
        <v>231</v>
      </c>
      <c r="B10">
        <v>14</v>
      </c>
    </row>
    <row r="11" spans="1:6" x14ac:dyDescent="0.15">
      <c r="A11" t="s">
        <v>232</v>
      </c>
      <c r="B11">
        <v>550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装修公司</vt:lpstr>
      <vt:lpstr>物业公司</vt:lpstr>
      <vt:lpstr>灯具</vt:lpstr>
      <vt:lpstr>厨房卫浴</vt:lpstr>
      <vt:lpstr>开关插座</vt:lpstr>
      <vt:lpstr>家具_软装</vt:lpstr>
      <vt:lpstr>电器</vt:lpstr>
      <vt:lpstr>杂七杂八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2017-09-03T07:40:28Z</dcterms:created>
  <dcterms:modified xsi:type="dcterms:W3CDTF">2018-05-14T13:37:11Z</dcterms:modified>
</cp:coreProperties>
</file>