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bookViews>
    <workbookView xWindow="0" yWindow="0" windowWidth="11100" windowHeight="4665" tabRatio="602" activeTab="2"/>
  </bookViews>
  <sheets>
    <sheet name="地面数据" sheetId="1" r:id="rId1"/>
    <sheet name="墙面" sheetId="2" r:id="rId2"/>
    <sheet name="敲墙" sheetId="3" r:id="rId3"/>
    <sheet name="砌墙" sheetId="4" r:id="rId4"/>
    <sheet name="顶面" sheetId="5" r:id="rId5"/>
    <sheet name="家具" sheetId="6" r:id="rId6"/>
    <sheet name="油漆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F12" i="3"/>
  <c r="F11" i="3"/>
  <c r="D11" i="3"/>
  <c r="F32" i="3"/>
  <c r="F31" i="3"/>
  <c r="F30" i="3"/>
  <c r="D30" i="3"/>
  <c r="F22" i="3"/>
  <c r="F23" i="3"/>
  <c r="F10" i="3"/>
  <c r="D40" i="2" l="1"/>
  <c r="D31" i="5" l="1"/>
  <c r="D30" i="5"/>
  <c r="D29" i="5"/>
  <c r="D20" i="5"/>
  <c r="F26" i="5"/>
  <c r="F23" i="5"/>
  <c r="F20" i="5"/>
  <c r="E16" i="5"/>
  <c r="F16" i="5" s="1"/>
  <c r="F17" i="5" s="1"/>
  <c r="F15" i="5"/>
  <c r="E15" i="5"/>
  <c r="F12" i="5"/>
  <c r="E12" i="5"/>
  <c r="D12" i="5"/>
  <c r="D12" i="1"/>
  <c r="F95" i="1"/>
  <c r="F80" i="1"/>
  <c r="F79" i="1"/>
  <c r="F76" i="1"/>
  <c r="F55" i="1"/>
  <c r="F11" i="1"/>
  <c r="F6" i="1"/>
  <c r="F5" i="1"/>
  <c r="F35" i="2"/>
  <c r="E34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1" i="2"/>
  <c r="F40" i="2"/>
  <c r="F39" i="2"/>
  <c r="F38" i="2"/>
  <c r="F37" i="2"/>
  <c r="F36" i="2"/>
  <c r="F34" i="2"/>
  <c r="F33" i="2"/>
  <c r="F32" i="2"/>
  <c r="F31" i="2"/>
  <c r="F30" i="2"/>
  <c r="F29" i="2"/>
  <c r="F24" i="2"/>
  <c r="F23" i="2"/>
  <c r="F22" i="2"/>
  <c r="F21" i="2"/>
  <c r="F17" i="2"/>
  <c r="F13" i="2"/>
  <c r="F9" i="2"/>
  <c r="F4" i="2"/>
  <c r="F3" i="2"/>
  <c r="F17" i="4"/>
  <c r="F13" i="4"/>
  <c r="F12" i="4"/>
  <c r="F8" i="4"/>
  <c r="F7" i="4"/>
  <c r="F6" i="4"/>
  <c r="F3" i="4"/>
  <c r="D8" i="4"/>
  <c r="D6" i="4"/>
  <c r="E8" i="4"/>
  <c r="E7" i="4"/>
  <c r="E3" i="4"/>
  <c r="E36" i="2"/>
  <c r="H13" i="8" l="1"/>
  <c r="H23" i="6"/>
  <c r="H22" i="6"/>
  <c r="G23" i="6"/>
  <c r="G22" i="6"/>
  <c r="H9" i="6"/>
  <c r="H7" i="6"/>
  <c r="H6" i="6"/>
  <c r="H3" i="6"/>
  <c r="H2" i="6"/>
  <c r="G2" i="8"/>
  <c r="J22" i="8"/>
  <c r="J21" i="8"/>
  <c r="J20" i="8"/>
  <c r="J19" i="8"/>
  <c r="J18" i="8"/>
  <c r="J17" i="8"/>
  <c r="G13" i="8"/>
  <c r="E13" i="8"/>
  <c r="D13" i="8"/>
  <c r="C13" i="8"/>
  <c r="B13" i="8"/>
  <c r="H13" i="6" s="1"/>
  <c r="H12" i="8"/>
  <c r="D12" i="8"/>
  <c r="B12" i="8"/>
  <c r="J12" i="8" s="1"/>
  <c r="I12" i="6" s="1"/>
  <c r="H15" i="8"/>
  <c r="F15" i="8"/>
  <c r="E15" i="8"/>
  <c r="J15" i="8" s="1"/>
  <c r="I23" i="6" s="1"/>
  <c r="I14" i="8"/>
  <c r="H14" i="8"/>
  <c r="D14" i="8"/>
  <c r="C14" i="8"/>
  <c r="H10" i="8"/>
  <c r="H11" i="8"/>
  <c r="D11" i="8"/>
  <c r="C11" i="8"/>
  <c r="B11" i="8"/>
  <c r="J11" i="8" s="1"/>
  <c r="I11" i="6" s="1"/>
  <c r="G9" i="8"/>
  <c r="E10" i="8"/>
  <c r="H9" i="8"/>
  <c r="F9" i="8"/>
  <c r="E9" i="8"/>
  <c r="D9" i="8"/>
  <c r="C10" i="8"/>
  <c r="B10" i="8"/>
  <c r="H10" i="6" s="1"/>
  <c r="D38" i="2"/>
  <c r="E31" i="2"/>
  <c r="H8" i="8"/>
  <c r="E8" i="8"/>
  <c r="D8" i="8"/>
  <c r="C8" i="8"/>
  <c r="B8" i="8"/>
  <c r="H8" i="6" s="1"/>
  <c r="D6" i="8"/>
  <c r="H7" i="8"/>
  <c r="H6" i="8"/>
  <c r="G6" i="8"/>
  <c r="E6" i="8"/>
  <c r="E7" i="8"/>
  <c r="D7" i="8"/>
  <c r="C7" i="8"/>
  <c r="B7" i="8"/>
  <c r="C6" i="8"/>
  <c r="H5" i="8"/>
  <c r="H2" i="8"/>
  <c r="E5" i="8"/>
  <c r="D5" i="8"/>
  <c r="C5" i="8"/>
  <c r="B5" i="8"/>
  <c r="H5" i="6" s="1"/>
  <c r="D2" i="8"/>
  <c r="C2" i="8"/>
  <c r="H4" i="8"/>
  <c r="G4" i="8"/>
  <c r="F4" i="8"/>
  <c r="E4" i="8"/>
  <c r="J4" i="8" s="1"/>
  <c r="I4" i="6" s="1"/>
  <c r="D4" i="8"/>
  <c r="C4" i="8"/>
  <c r="B4" i="8"/>
  <c r="H4" i="6" s="1"/>
  <c r="J3" i="8"/>
  <c r="I3" i="6" s="1"/>
  <c r="H3" i="8"/>
  <c r="C3" i="8"/>
  <c r="B3" i="8"/>
  <c r="I2" i="8"/>
  <c r="F2" i="8"/>
  <c r="E2" i="8"/>
  <c r="E68" i="2"/>
  <c r="D68" i="2"/>
  <c r="D65" i="2"/>
  <c r="D62" i="2"/>
  <c r="D61" i="2"/>
  <c r="E60" i="2"/>
  <c r="D60" i="2"/>
  <c r="D51" i="2"/>
  <c r="D49" i="2"/>
  <c r="E52" i="2"/>
  <c r="E50" i="2"/>
  <c r="D48" i="2"/>
  <c r="D57" i="2"/>
  <c r="E51" i="2"/>
  <c r="E54" i="2" s="1"/>
  <c r="B25" i="8" l="1"/>
  <c r="J14" i="8"/>
  <c r="I22" i="6" s="1"/>
  <c r="J22" i="6" s="1"/>
  <c r="L22" i="6" s="1"/>
  <c r="H12" i="6"/>
  <c r="J9" i="8"/>
  <c r="I9" i="6" s="1"/>
  <c r="J9" i="6" s="1"/>
  <c r="H11" i="6"/>
  <c r="J13" i="8"/>
  <c r="I13" i="6" s="1"/>
  <c r="J23" i="6"/>
  <c r="K22" i="6"/>
  <c r="J7" i="8"/>
  <c r="I7" i="6" s="1"/>
  <c r="J10" i="8"/>
  <c r="I10" i="6" s="1"/>
  <c r="J6" i="8"/>
  <c r="I6" i="6" s="1"/>
  <c r="J6" i="6" s="1"/>
  <c r="J5" i="8"/>
  <c r="I5" i="6" s="1"/>
  <c r="J8" i="8"/>
  <c r="I8" i="6" s="1"/>
  <c r="J2" i="8"/>
  <c r="I2" i="6" s="1"/>
  <c r="E55" i="2"/>
  <c r="E56" i="2" s="1"/>
  <c r="E32" i="2"/>
  <c r="E33" i="2" s="1"/>
  <c r="J4" i="6"/>
  <c r="J2" i="6"/>
  <c r="J10" i="6"/>
  <c r="B13" i="6"/>
  <c r="J7" i="6"/>
  <c r="J5" i="6"/>
  <c r="F13" i="6"/>
  <c r="F12" i="6"/>
  <c r="F11" i="6"/>
  <c r="F9" i="6"/>
  <c r="F10" i="6"/>
  <c r="F8" i="6"/>
  <c r="F6" i="6"/>
  <c r="F7" i="6"/>
  <c r="F4" i="6"/>
  <c r="F5" i="6"/>
  <c r="F3" i="6"/>
  <c r="F2" i="6"/>
  <c r="C13" i="6"/>
  <c r="C12" i="6"/>
  <c r="B12" i="6"/>
  <c r="C11" i="6"/>
  <c r="B11" i="6"/>
  <c r="C9" i="6"/>
  <c r="C10" i="6"/>
  <c r="B9" i="6"/>
  <c r="B10" i="6"/>
  <c r="C8" i="6"/>
  <c r="B8" i="6"/>
  <c r="C6" i="6"/>
  <c r="B6" i="6"/>
  <c r="C7" i="6"/>
  <c r="B7" i="6"/>
  <c r="C4" i="6"/>
  <c r="B4" i="6"/>
  <c r="C5" i="6"/>
  <c r="B5" i="6"/>
  <c r="D3" i="6"/>
  <c r="C2" i="6"/>
  <c r="B2" i="6"/>
  <c r="M7" i="6" l="1"/>
  <c r="D6" i="6"/>
  <c r="K7" i="6"/>
  <c r="G3" i="6"/>
  <c r="G6" i="6"/>
  <c r="K6" i="6"/>
  <c r="M6" i="6" s="1"/>
  <c r="G11" i="6"/>
  <c r="G5" i="6"/>
  <c r="K5" i="6"/>
  <c r="M5" i="6" s="1"/>
  <c r="G12" i="6"/>
  <c r="G4" i="6"/>
  <c r="K4" i="6"/>
  <c r="M4" i="6" s="1"/>
  <c r="G10" i="6"/>
  <c r="K10" i="6"/>
  <c r="M10" i="6" s="1"/>
  <c r="G13" i="6"/>
  <c r="G2" i="6"/>
  <c r="K2" i="6"/>
  <c r="M2" i="6" s="1"/>
  <c r="G9" i="6"/>
  <c r="K9" i="6"/>
  <c r="M9" i="6" s="1"/>
  <c r="L23" i="6"/>
  <c r="K23" i="6"/>
  <c r="D8" i="6"/>
  <c r="D12" i="6"/>
  <c r="J11" i="6"/>
  <c r="J8" i="6"/>
  <c r="J13" i="6"/>
  <c r="L7" i="6"/>
  <c r="G8" i="6"/>
  <c r="J12" i="6"/>
  <c r="L5" i="6"/>
  <c r="D5" i="6"/>
  <c r="D7" i="6"/>
  <c r="H18" i="6"/>
  <c r="L10" i="6"/>
  <c r="D13" i="6"/>
  <c r="I18" i="6"/>
  <c r="L2" i="6"/>
  <c r="L9" i="6"/>
  <c r="F18" i="6"/>
  <c r="J3" i="6"/>
  <c r="L6" i="6"/>
  <c r="D9" i="6"/>
  <c r="D11" i="6"/>
  <c r="G7" i="6"/>
  <c r="D10" i="6"/>
  <c r="J25" i="8"/>
  <c r="L4" i="6"/>
  <c r="E57" i="2"/>
  <c r="D4" i="6"/>
  <c r="D2" i="6"/>
  <c r="D7" i="5"/>
  <c r="F7" i="5" s="1"/>
  <c r="F3" i="5"/>
  <c r="D3" i="5"/>
  <c r="E3" i="5"/>
  <c r="F14" i="4"/>
  <c r="E3" i="3"/>
  <c r="F3" i="3" s="1"/>
  <c r="F5" i="3" s="1"/>
  <c r="E26" i="3"/>
  <c r="F26" i="3" s="1"/>
  <c r="D21" i="3"/>
  <c r="F21" i="3" s="1"/>
  <c r="F16" i="3"/>
  <c r="F17" i="3"/>
  <c r="F9" i="3"/>
  <c r="F4" i="3"/>
  <c r="D21" i="2"/>
  <c r="D17" i="2"/>
  <c r="D13" i="2"/>
  <c r="D9" i="2"/>
  <c r="D3" i="2"/>
  <c r="F5" i="2" s="1"/>
  <c r="F18" i="3" l="1"/>
  <c r="F9" i="4"/>
  <c r="L8" i="6"/>
  <c r="L12" i="6"/>
  <c r="L3" i="6"/>
  <c r="L11" i="6"/>
  <c r="M11" i="6"/>
  <c r="F25" i="2"/>
  <c r="L13" i="6"/>
  <c r="K12" i="6"/>
  <c r="M12" i="6" s="1"/>
  <c r="K11" i="6"/>
  <c r="K3" i="6"/>
  <c r="M3" i="6" s="1"/>
  <c r="K13" i="6"/>
  <c r="M13" i="6" s="1"/>
  <c r="K8" i="6"/>
  <c r="M8" i="6" s="1"/>
  <c r="J18" i="6"/>
  <c r="D18" i="6"/>
  <c r="G18" i="6" s="1"/>
  <c r="E62" i="2"/>
  <c r="E94" i="1"/>
  <c r="F94" i="1" s="1"/>
  <c r="D93" i="1"/>
  <c r="F93" i="1" s="1"/>
  <c r="E92" i="1"/>
  <c r="D92" i="1"/>
  <c r="D91" i="1"/>
  <c r="F91" i="1" s="1"/>
  <c r="E90" i="1"/>
  <c r="D90" i="1"/>
  <c r="F90" i="1" s="1"/>
  <c r="D86" i="1"/>
  <c r="E86" i="1"/>
  <c r="E78" i="1"/>
  <c r="F78" i="1" s="1"/>
  <c r="E77" i="1"/>
  <c r="F77" i="1" s="1"/>
  <c r="E75" i="1"/>
  <c r="D75" i="1"/>
  <c r="D74" i="1"/>
  <c r="F74" i="1" s="1"/>
  <c r="E73" i="1"/>
  <c r="D73" i="1"/>
  <c r="E72" i="1"/>
  <c r="F72" i="1" s="1"/>
  <c r="E71" i="1"/>
  <c r="D71" i="1"/>
  <c r="F71" i="1" s="1"/>
  <c r="D64" i="1"/>
  <c r="D54" i="1"/>
  <c r="F54" i="1" s="1"/>
  <c r="E53" i="1"/>
  <c r="F53" i="1" s="1"/>
  <c r="D50" i="1"/>
  <c r="F50" i="1" s="1"/>
  <c r="D49" i="1"/>
  <c r="F49" i="1" s="1"/>
  <c r="D46" i="1"/>
  <c r="F46" i="1" s="1"/>
  <c r="E45" i="1"/>
  <c r="F45" i="1" s="1"/>
  <c r="E44" i="1"/>
  <c r="D44" i="1"/>
  <c r="D41" i="1"/>
  <c r="F41" i="1" s="1"/>
  <c r="E40" i="1"/>
  <c r="D40" i="1"/>
  <c r="F40" i="1" s="1"/>
  <c r="D31" i="1"/>
  <c r="D28" i="1"/>
  <c r="D22" i="1"/>
  <c r="D23" i="1" s="1"/>
  <c r="D19" i="1"/>
  <c r="D18" i="1"/>
  <c r="E2" i="1"/>
  <c r="E12" i="1"/>
  <c r="D10" i="1"/>
  <c r="F10" i="1" s="1"/>
  <c r="E9" i="1"/>
  <c r="F9" i="1" s="1"/>
  <c r="D8" i="1"/>
  <c r="F8" i="1" s="1"/>
  <c r="D4" i="1"/>
  <c r="F4" i="1" s="1"/>
  <c r="D3" i="1"/>
  <c r="F3" i="1" s="1"/>
  <c r="D2" i="1"/>
  <c r="F75" i="1" l="1"/>
  <c r="F7" i="1"/>
  <c r="F2" i="1"/>
  <c r="F12" i="1"/>
  <c r="F44" i="1"/>
  <c r="F47" i="1" s="1"/>
  <c r="F51" i="1"/>
  <c r="F73" i="1"/>
  <c r="G86" i="1"/>
  <c r="F92" i="1"/>
  <c r="F96" i="1" s="1"/>
  <c r="D34" i="1"/>
  <c r="F56" i="1"/>
  <c r="F81" i="1"/>
  <c r="K18" i="6"/>
  <c r="L18" i="6"/>
  <c r="E65" i="2"/>
  <c r="E38" i="2"/>
  <c r="F42" i="1"/>
  <c r="F70" i="2" l="1"/>
  <c r="E40" i="2"/>
  <c r="F44" i="2" l="1"/>
</calcChain>
</file>

<file path=xl/sharedStrings.xml><?xml version="1.0" encoding="utf-8"?>
<sst xmlns="http://schemas.openxmlformats.org/spreadsheetml/2006/main" count="317" uniqueCount="210">
  <si>
    <t>厨房</t>
    <phoneticPr fontId="1" type="noConversion"/>
  </si>
  <si>
    <t>洗漱间</t>
    <phoneticPr fontId="1" type="noConversion"/>
  </si>
  <si>
    <t>宽度</t>
    <phoneticPr fontId="1" type="noConversion"/>
  </si>
  <si>
    <t>长度</t>
    <phoneticPr fontId="1" type="noConversion"/>
  </si>
  <si>
    <t>面积</t>
    <phoneticPr fontId="1" type="noConversion"/>
  </si>
  <si>
    <t>座便区</t>
    <phoneticPr fontId="1" type="noConversion"/>
  </si>
  <si>
    <t>卫生间</t>
    <phoneticPr fontId="1" type="noConversion"/>
  </si>
  <si>
    <t>生活阳台</t>
    <phoneticPr fontId="1" type="noConversion"/>
  </si>
  <si>
    <t>景观阳台</t>
    <phoneticPr fontId="1" type="noConversion"/>
  </si>
  <si>
    <t>门厅</t>
    <phoneticPr fontId="1" type="noConversion"/>
  </si>
  <si>
    <t>景观阳台栏杆墩</t>
    <phoneticPr fontId="1" type="noConversion"/>
  </si>
  <si>
    <t>点石数据</t>
    <phoneticPr fontId="1" type="noConversion"/>
  </si>
  <si>
    <t>景观阳台踢脚线</t>
    <phoneticPr fontId="1" type="noConversion"/>
  </si>
  <si>
    <t>1.02m</t>
    <phoneticPr fontId="1" type="noConversion"/>
  </si>
  <si>
    <t>5.05m</t>
    <phoneticPr fontId="1" type="noConversion"/>
  </si>
  <si>
    <t>门槛石</t>
    <phoneticPr fontId="1" type="noConversion"/>
  </si>
  <si>
    <t>9.75m</t>
    <phoneticPr fontId="1" type="noConversion"/>
  </si>
  <si>
    <t>阳台靠内上面</t>
    <phoneticPr fontId="1" type="noConversion"/>
  </si>
  <si>
    <t>阳台靠内下面</t>
    <phoneticPr fontId="1" type="noConversion"/>
  </si>
  <si>
    <t>合计</t>
    <phoneticPr fontId="1" type="noConversion"/>
  </si>
  <si>
    <t>左边</t>
    <phoneticPr fontId="1" type="noConversion"/>
  </si>
  <si>
    <t>右边</t>
    <phoneticPr fontId="1" type="noConversion"/>
  </si>
  <si>
    <t>前面</t>
    <phoneticPr fontId="1" type="noConversion"/>
  </si>
  <si>
    <t>入户门</t>
    <phoneticPr fontId="1" type="noConversion"/>
  </si>
  <si>
    <t>进厨卫</t>
    <phoneticPr fontId="1" type="noConversion"/>
  </si>
  <si>
    <t>进厨房</t>
    <phoneticPr fontId="1" type="noConversion"/>
  </si>
  <si>
    <t>进座便区</t>
    <phoneticPr fontId="1" type="noConversion"/>
  </si>
  <si>
    <t>进卫生间</t>
    <phoneticPr fontId="1" type="noConversion"/>
  </si>
  <si>
    <t>厨房进小阳台</t>
    <phoneticPr fontId="1" type="noConversion"/>
  </si>
  <si>
    <t>卫生间进小阳台</t>
    <phoneticPr fontId="1" type="noConversion"/>
  </si>
  <si>
    <t>父母房</t>
    <phoneticPr fontId="1" type="noConversion"/>
  </si>
  <si>
    <t>厨房</t>
    <phoneticPr fontId="1" type="noConversion"/>
  </si>
  <si>
    <t>7.31m2</t>
    <phoneticPr fontId="1" type="noConversion"/>
  </si>
  <si>
    <t>地面</t>
    <phoneticPr fontId="1" type="noConversion"/>
  </si>
  <si>
    <t>长</t>
    <phoneticPr fontId="1" type="noConversion"/>
  </si>
  <si>
    <t>宽</t>
    <phoneticPr fontId="1" type="noConversion"/>
  </si>
  <si>
    <t>反边</t>
    <phoneticPr fontId="1" type="noConversion"/>
  </si>
  <si>
    <t>5.46m2</t>
    <phoneticPr fontId="1" type="noConversion"/>
  </si>
  <si>
    <t>地面1</t>
    <phoneticPr fontId="1" type="noConversion"/>
  </si>
  <si>
    <t>地面2</t>
    <phoneticPr fontId="1" type="noConversion"/>
  </si>
  <si>
    <t>2.55m2</t>
    <phoneticPr fontId="1" type="noConversion"/>
  </si>
  <si>
    <t>5.83m2</t>
    <phoneticPr fontId="1" type="noConversion"/>
  </si>
  <si>
    <t>B面</t>
    <phoneticPr fontId="1" type="noConversion"/>
  </si>
  <si>
    <t>650以内</t>
    <phoneticPr fontId="1" type="noConversion"/>
  </si>
  <si>
    <t>350以内</t>
    <phoneticPr fontId="1" type="noConversion"/>
  </si>
  <si>
    <t>鞋柜</t>
    <phoneticPr fontId="1" type="noConversion"/>
  </si>
  <si>
    <t>父母房衣柜</t>
    <phoneticPr fontId="1" type="noConversion"/>
  </si>
  <si>
    <t>餐边柜</t>
    <phoneticPr fontId="1" type="noConversion"/>
  </si>
  <si>
    <t>女孩房书柜</t>
    <phoneticPr fontId="1" type="noConversion"/>
  </si>
  <si>
    <t>女孩房衣柜</t>
    <phoneticPr fontId="1" type="noConversion"/>
  </si>
  <si>
    <t>男孩房衣柜</t>
    <phoneticPr fontId="1" type="noConversion"/>
  </si>
  <si>
    <t>电视柜</t>
    <phoneticPr fontId="1" type="noConversion"/>
  </si>
  <si>
    <t>木地板处</t>
    <phoneticPr fontId="1" type="noConversion"/>
  </si>
  <si>
    <t>55.41m2</t>
    <phoneticPr fontId="1" type="noConversion"/>
  </si>
  <si>
    <t>客餐厅</t>
    <phoneticPr fontId="1" type="noConversion"/>
  </si>
  <si>
    <t>父母房1</t>
    <phoneticPr fontId="1" type="noConversion"/>
  </si>
  <si>
    <t>父母房2</t>
    <phoneticPr fontId="1" type="noConversion"/>
  </si>
  <si>
    <t>房门中间</t>
    <phoneticPr fontId="1" type="noConversion"/>
  </si>
  <si>
    <t>女孩房1</t>
    <phoneticPr fontId="1" type="noConversion"/>
  </si>
  <si>
    <t>女孩房2</t>
    <phoneticPr fontId="1" type="noConversion"/>
  </si>
  <si>
    <t>男孩房1</t>
    <phoneticPr fontId="1" type="noConversion"/>
  </si>
  <si>
    <t>男孩房2</t>
    <phoneticPr fontId="1" type="noConversion"/>
  </si>
  <si>
    <t>女孩房3</t>
    <phoneticPr fontId="1" type="noConversion"/>
  </si>
  <si>
    <t>男孩房3</t>
    <phoneticPr fontId="1" type="noConversion"/>
  </si>
  <si>
    <t>地砖面积</t>
    <phoneticPr fontId="1" type="noConversion"/>
  </si>
  <si>
    <t>防水面积</t>
    <phoneticPr fontId="1" type="noConversion"/>
  </si>
  <si>
    <t>地面找平</t>
    <phoneticPr fontId="1" type="noConversion"/>
  </si>
  <si>
    <t>卫生间回填</t>
    <phoneticPr fontId="1" type="noConversion"/>
  </si>
  <si>
    <t>高</t>
    <phoneticPr fontId="1" type="noConversion"/>
  </si>
  <si>
    <t>原卫生间</t>
    <phoneticPr fontId="1" type="noConversion"/>
  </si>
  <si>
    <t>0.94m3</t>
    <phoneticPr fontId="1" type="noConversion"/>
  </si>
  <si>
    <t>地固</t>
    <phoneticPr fontId="1" type="noConversion"/>
  </si>
  <si>
    <t>除厨卫以外</t>
    <phoneticPr fontId="1" type="noConversion"/>
  </si>
  <si>
    <t>65.44m2</t>
    <phoneticPr fontId="1" type="noConversion"/>
  </si>
  <si>
    <t>玄关</t>
    <phoneticPr fontId="1" type="noConversion"/>
  </si>
  <si>
    <t>2间卧室</t>
    <phoneticPr fontId="1" type="noConversion"/>
  </si>
  <si>
    <t>大阳台</t>
    <phoneticPr fontId="1" type="noConversion"/>
  </si>
  <si>
    <t>19.1m2</t>
    <phoneticPr fontId="1" type="noConversion"/>
  </si>
  <si>
    <t>除门上方</t>
    <phoneticPr fontId="1" type="noConversion"/>
  </si>
  <si>
    <t>门上方</t>
    <phoneticPr fontId="1" type="noConversion"/>
  </si>
  <si>
    <t>厨房墙砖</t>
    <phoneticPr fontId="1" type="noConversion"/>
  </si>
  <si>
    <t>洗漱间瓷砖</t>
    <phoneticPr fontId="1" type="noConversion"/>
  </si>
  <si>
    <t>14.92m2</t>
    <phoneticPr fontId="1" type="noConversion"/>
  </si>
  <si>
    <t>除门洞上方</t>
    <phoneticPr fontId="1" type="noConversion"/>
  </si>
  <si>
    <t>卫生间瓷砖</t>
    <phoneticPr fontId="1" type="noConversion"/>
  </si>
  <si>
    <t>12.76m2</t>
    <phoneticPr fontId="1" type="noConversion"/>
  </si>
  <si>
    <t>座便区瓷砖</t>
    <phoneticPr fontId="1" type="noConversion"/>
  </si>
  <si>
    <t>10.04m2</t>
    <phoneticPr fontId="1" type="noConversion"/>
  </si>
  <si>
    <t>小阳台瓷砖</t>
    <phoneticPr fontId="1" type="noConversion"/>
  </si>
  <si>
    <t>9.67m2</t>
    <phoneticPr fontId="1" type="noConversion"/>
  </si>
  <si>
    <t>推拉门上方</t>
    <phoneticPr fontId="1" type="noConversion"/>
  </si>
  <si>
    <t>平开门上方</t>
    <phoneticPr fontId="1" type="noConversion"/>
  </si>
  <si>
    <t>阳台</t>
    <phoneticPr fontId="1" type="noConversion"/>
  </si>
  <si>
    <t>门厅C面</t>
    <phoneticPr fontId="1" type="noConversion"/>
  </si>
  <si>
    <t>5.12m2</t>
    <phoneticPr fontId="1" type="noConversion"/>
  </si>
  <si>
    <t>A</t>
    <phoneticPr fontId="1" type="noConversion"/>
  </si>
  <si>
    <t>B</t>
    <phoneticPr fontId="1" type="noConversion"/>
  </si>
  <si>
    <t>厨房B面</t>
    <phoneticPr fontId="1" type="noConversion"/>
  </si>
  <si>
    <t>4.45m2</t>
    <phoneticPr fontId="1" type="noConversion"/>
  </si>
  <si>
    <t>卫生间C面</t>
    <phoneticPr fontId="1" type="noConversion"/>
  </si>
  <si>
    <t>卫生间A面</t>
    <phoneticPr fontId="1" type="noConversion"/>
  </si>
  <si>
    <t>2.77m2</t>
    <phoneticPr fontId="1" type="noConversion"/>
  </si>
  <si>
    <t>3.42m2</t>
    <phoneticPr fontId="1" type="noConversion"/>
  </si>
  <si>
    <t>女孩房A面</t>
    <phoneticPr fontId="1" type="noConversion"/>
  </si>
  <si>
    <t>3.15m2</t>
    <phoneticPr fontId="1" type="noConversion"/>
  </si>
  <si>
    <t>厨卫</t>
    <phoneticPr fontId="1" type="noConversion"/>
  </si>
  <si>
    <t>5.43m2</t>
    <phoneticPr fontId="1" type="noConversion"/>
  </si>
  <si>
    <t>8.71m2</t>
    <phoneticPr fontId="1" type="noConversion"/>
  </si>
  <si>
    <t>洗漱间BD面</t>
    <phoneticPr fontId="1" type="noConversion"/>
  </si>
  <si>
    <t>4.36m2</t>
    <phoneticPr fontId="1" type="noConversion"/>
  </si>
  <si>
    <t>D面</t>
    <phoneticPr fontId="1" type="noConversion"/>
  </si>
  <si>
    <t>门厅龙骨</t>
    <phoneticPr fontId="1" type="noConversion"/>
  </si>
  <si>
    <t>4.35m2</t>
    <phoneticPr fontId="1" type="noConversion"/>
  </si>
  <si>
    <t>客餐厅龙骨</t>
    <phoneticPr fontId="1" type="noConversion"/>
  </si>
  <si>
    <t>11.57m2</t>
    <phoneticPr fontId="1" type="noConversion"/>
  </si>
  <si>
    <t>电视柜地柜</t>
    <phoneticPr fontId="1" type="noConversion"/>
  </si>
  <si>
    <t>电视柜吊柜</t>
    <phoneticPr fontId="1" type="noConversion"/>
  </si>
  <si>
    <t>点石数据(m2/m)</t>
    <phoneticPr fontId="1" type="noConversion"/>
  </si>
  <si>
    <t>金额</t>
    <phoneticPr fontId="1" type="noConversion"/>
  </si>
  <si>
    <t>女孩房书桌</t>
    <phoneticPr fontId="1" type="noConversion"/>
  </si>
  <si>
    <t>不含油漆单价</t>
    <phoneticPr fontId="1" type="noConversion"/>
  </si>
  <si>
    <t>电视柜右边柜下</t>
    <phoneticPr fontId="1" type="noConversion"/>
  </si>
  <si>
    <t>电视柜右边柜上</t>
    <phoneticPr fontId="1" type="noConversion"/>
  </si>
  <si>
    <t>餐边柜下</t>
    <phoneticPr fontId="1" type="noConversion"/>
  </si>
  <si>
    <t>餐边柜上</t>
    <phoneticPr fontId="1" type="noConversion"/>
  </si>
  <si>
    <t>女孩房书柜下</t>
    <phoneticPr fontId="1" type="noConversion"/>
  </si>
  <si>
    <t>女孩房书柜上</t>
    <phoneticPr fontId="1" type="noConversion"/>
  </si>
  <si>
    <t>女孩房书架</t>
    <phoneticPr fontId="1" type="noConversion"/>
  </si>
  <si>
    <t>油漆价格</t>
    <phoneticPr fontId="1" type="noConversion"/>
  </si>
  <si>
    <t>含油漆单价</t>
    <phoneticPr fontId="1" type="noConversion"/>
  </si>
  <si>
    <t>保温层</t>
    <phoneticPr fontId="1" type="noConversion"/>
  </si>
  <si>
    <t>79.16m2</t>
    <phoneticPr fontId="1" type="noConversion"/>
  </si>
  <si>
    <t>客餐厅</t>
    <phoneticPr fontId="1" type="noConversion"/>
  </si>
  <si>
    <t>合计</t>
    <phoneticPr fontId="1" type="noConversion"/>
  </si>
  <si>
    <t>父母房</t>
    <phoneticPr fontId="1" type="noConversion"/>
  </si>
  <si>
    <t>女孩房</t>
    <phoneticPr fontId="1" type="noConversion"/>
  </si>
  <si>
    <t>男孩房</t>
    <phoneticPr fontId="1" type="noConversion"/>
  </si>
  <si>
    <t>玄关</t>
    <phoneticPr fontId="1" type="noConversion"/>
  </si>
  <si>
    <t>厨房</t>
    <phoneticPr fontId="1" type="noConversion"/>
  </si>
  <si>
    <t>卫生间</t>
    <phoneticPr fontId="1" type="noConversion"/>
  </si>
  <si>
    <t>生活阳台</t>
    <phoneticPr fontId="1" type="noConversion"/>
  </si>
  <si>
    <t>墙面</t>
    <phoneticPr fontId="1" type="noConversion"/>
  </si>
  <si>
    <t>139.63m2</t>
    <phoneticPr fontId="1" type="noConversion"/>
  </si>
  <si>
    <t>客餐厅扣除阳台门</t>
    <phoneticPr fontId="1" type="noConversion"/>
  </si>
  <si>
    <t>玄关扣除厨卫门洞</t>
    <phoneticPr fontId="1" type="noConversion"/>
  </si>
  <si>
    <t>玄关扣除父母房门洞</t>
    <phoneticPr fontId="1" type="noConversion"/>
  </si>
  <si>
    <t>客餐厅电视柜内部</t>
    <phoneticPr fontId="1" type="noConversion"/>
  </si>
  <si>
    <t>父母房扣除门洞</t>
    <phoneticPr fontId="1" type="noConversion"/>
  </si>
  <si>
    <t>父母房扣除窗户</t>
    <phoneticPr fontId="1" type="noConversion"/>
  </si>
  <si>
    <t>过道</t>
    <phoneticPr fontId="1" type="noConversion"/>
  </si>
  <si>
    <t>过道扣除门洞</t>
    <phoneticPr fontId="1" type="noConversion"/>
  </si>
  <si>
    <t>女孩房扣除门洞</t>
    <phoneticPr fontId="1" type="noConversion"/>
  </si>
  <si>
    <t>女孩房扣除窗户</t>
    <phoneticPr fontId="1" type="noConversion"/>
  </si>
  <si>
    <t>男孩房扣除门洞</t>
    <phoneticPr fontId="1" type="noConversion"/>
  </si>
  <si>
    <t>男孩房扣除窗户</t>
    <phoneticPr fontId="1" type="noConversion"/>
  </si>
  <si>
    <t>大阳台</t>
    <phoneticPr fontId="1" type="noConversion"/>
  </si>
  <si>
    <t>油漆面积</t>
    <phoneticPr fontId="1" type="noConversion"/>
  </si>
  <si>
    <t>柜门</t>
    <phoneticPr fontId="1" type="noConversion"/>
  </si>
  <si>
    <t>正面</t>
    <phoneticPr fontId="1" type="noConversion"/>
  </si>
  <si>
    <t xml:space="preserve">竖向隔板 </t>
    <phoneticPr fontId="1" type="noConversion"/>
  </si>
  <si>
    <t>横向隔板</t>
    <phoneticPr fontId="1" type="noConversion"/>
  </si>
  <si>
    <t>背板</t>
    <phoneticPr fontId="1" type="noConversion"/>
  </si>
  <si>
    <t>边框内侧</t>
    <phoneticPr fontId="1" type="noConversion"/>
  </si>
  <si>
    <t>边框外侧</t>
    <phoneticPr fontId="1" type="noConversion"/>
  </si>
  <si>
    <t>抽屉正面</t>
    <phoneticPr fontId="1" type="noConversion"/>
  </si>
  <si>
    <t>客餐厅扣除门洞</t>
    <phoneticPr fontId="1" type="noConversion"/>
  </si>
  <si>
    <t>女孩房隔板书架</t>
    <phoneticPr fontId="1" type="noConversion"/>
  </si>
  <si>
    <t>入户门套</t>
    <phoneticPr fontId="1" type="noConversion"/>
  </si>
  <si>
    <t>洗漱间门套</t>
    <phoneticPr fontId="1" type="noConversion"/>
  </si>
  <si>
    <t>阳台门套</t>
    <phoneticPr fontId="1" type="noConversion"/>
  </si>
  <si>
    <t>父母房门套</t>
    <phoneticPr fontId="1" type="noConversion"/>
  </si>
  <si>
    <t>女孩房门套</t>
    <phoneticPr fontId="1" type="noConversion"/>
  </si>
  <si>
    <t>男孩房门套</t>
    <phoneticPr fontId="1" type="noConversion"/>
  </si>
  <si>
    <t>反面油漆面积</t>
    <phoneticPr fontId="1" type="noConversion"/>
  </si>
  <si>
    <t>正面油漆面积</t>
    <phoneticPr fontId="1" type="noConversion"/>
  </si>
  <si>
    <t>总价</t>
    <phoneticPr fontId="1" type="noConversion"/>
  </si>
  <si>
    <t>油漆占比</t>
    <phoneticPr fontId="1" type="noConversion"/>
  </si>
  <si>
    <t>生活阳台扣除窗户</t>
  </si>
  <si>
    <t>5.03m2</t>
  </si>
  <si>
    <t>3.54m2</t>
  </si>
  <si>
    <t>1.34m2</t>
  </si>
  <si>
    <t>2.31m2</t>
  </si>
  <si>
    <t>1.9m2</t>
  </si>
  <si>
    <t>3.05m2</t>
  </si>
  <si>
    <t>5.11m2</t>
  </si>
  <si>
    <t>合计</t>
  </si>
  <si>
    <t>1处</t>
  </si>
  <si>
    <t>厨房天花</t>
  </si>
  <si>
    <t>5.43m2</t>
  </si>
  <si>
    <t>洗漱间天花</t>
  </si>
  <si>
    <t>座便区天花</t>
  </si>
  <si>
    <t>3.82m2</t>
  </si>
  <si>
    <t>1.45m2</t>
  </si>
  <si>
    <t>卫生间天花</t>
  </si>
  <si>
    <t>2.49m2</t>
  </si>
  <si>
    <t>生活阳台天花</t>
  </si>
  <si>
    <t>烟道下方</t>
  </si>
  <si>
    <t>烟道右边</t>
  </si>
  <si>
    <t>门洞</t>
  </si>
  <si>
    <t>15m</t>
  </si>
  <si>
    <t>入户门</t>
  </si>
  <si>
    <t>父母房</t>
  </si>
  <si>
    <t>女孩房</t>
  </si>
  <si>
    <t>男孩房</t>
  </si>
  <si>
    <t>B</t>
    <phoneticPr fontId="1" type="noConversion"/>
  </si>
  <si>
    <t>扣除窗户</t>
    <phoneticPr fontId="1" type="noConversion"/>
  </si>
  <si>
    <t>生活阳台C面</t>
    <phoneticPr fontId="1" type="noConversion"/>
  </si>
  <si>
    <t>扣除门洞</t>
    <phoneticPr fontId="1" type="noConversion"/>
  </si>
  <si>
    <t>全部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</si>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</sst>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"/>
  <sheetViews>
    <sheetView workbookViewId="0">
      <selection activeCell="D12" sqref="D12"/>
    </sheetView>
  </sheetViews>
  <sheetFormatPr defaultRowHeight="13.5" x14ac:dyDescent="0.15"/>
  <cols>
    <col min="2" max="3" width="15.125" bestFit="1" customWidth="1"/>
  </cols>
  <sheetData>
    <row r="1" spans="1:6" x14ac:dyDescent="0.15">
      <c r="A1" s="1">
        <v>1</v>
      </c>
      <c r="B1" s="1" t="s">
        <v>64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15">
      <c r="B2" t="s">
        <v>0</v>
      </c>
      <c r="C2" t="s">
        <v>178</v>
      </c>
      <c r="D2">
        <f>600+865+300</f>
        <v>1765</v>
      </c>
      <c r="E2">
        <f>2280+600</f>
        <v>2880</v>
      </c>
      <c r="F2">
        <f>ROUND(D2/1000*E2/1000,2)</f>
        <v>5.08</v>
      </c>
    </row>
    <row r="3" spans="1:6" x14ac:dyDescent="0.15">
      <c r="B3" t="s">
        <v>1</v>
      </c>
      <c r="C3" t="s">
        <v>179</v>
      </c>
      <c r="D3">
        <f>515+25+350+860+70+850</f>
        <v>2670</v>
      </c>
      <c r="E3">
        <v>970</v>
      </c>
      <c r="F3">
        <f>ROUND(D3/1000*E3/1000,2)</f>
        <v>2.59</v>
      </c>
    </row>
    <row r="4" spans="1:6" x14ac:dyDescent="0.15">
      <c r="D4">
        <f>860+70+850</f>
        <v>1780</v>
      </c>
      <c r="E4">
        <v>725</v>
      </c>
      <c r="F4">
        <f>ROUND(D4/1000*E4/1000,2)</f>
        <v>1.29</v>
      </c>
    </row>
    <row r="5" spans="1:6" x14ac:dyDescent="0.15">
      <c r="D5">
        <v>-725</v>
      </c>
      <c r="E5">
        <v>70</v>
      </c>
      <c r="F5">
        <f>ROUND(D5/1000*E5/1000,2)</f>
        <v>-0.05</v>
      </c>
    </row>
    <row r="6" spans="1:6" x14ac:dyDescent="0.15">
      <c r="D6">
        <v>-120</v>
      </c>
      <c r="E6">
        <v>850</v>
      </c>
      <c r="F6">
        <f>ROUND(D6/1000*E6/1000,2)</f>
        <v>-0.1</v>
      </c>
    </row>
    <row r="7" spans="1:6" x14ac:dyDescent="0.15">
      <c r="C7" t="s">
        <v>185</v>
      </c>
      <c r="F7">
        <f>SUM(F3:F6)</f>
        <v>3.73</v>
      </c>
    </row>
    <row r="8" spans="1:6" x14ac:dyDescent="0.15">
      <c r="B8" t="s">
        <v>5</v>
      </c>
      <c r="C8" t="s">
        <v>180</v>
      </c>
      <c r="D8">
        <f>970+725-120</f>
        <v>1575</v>
      </c>
      <c r="E8">
        <v>860</v>
      </c>
      <c r="F8">
        <f>ROUND(D8/1000*E8/1000,2)</f>
        <v>1.35</v>
      </c>
    </row>
    <row r="9" spans="1:6" x14ac:dyDescent="0.15">
      <c r="B9" t="s">
        <v>6</v>
      </c>
      <c r="C9" t="s">
        <v>181</v>
      </c>
      <c r="D9">
        <v>1480</v>
      </c>
      <c r="E9">
        <f>520+535+530</f>
        <v>1585</v>
      </c>
      <c r="F9">
        <f>ROUND(D9/1000*E9/1000,2)</f>
        <v>2.35</v>
      </c>
    </row>
    <row r="10" spans="1:6" x14ac:dyDescent="0.15">
      <c r="B10" t="s">
        <v>7</v>
      </c>
      <c r="C10" t="s">
        <v>182</v>
      </c>
      <c r="D10">
        <f>135+835+190</f>
        <v>1160</v>
      </c>
      <c r="E10">
        <v>1705</v>
      </c>
      <c r="F10">
        <f>ROUND(D10/1000*E10/1000,2)</f>
        <v>1.98</v>
      </c>
    </row>
    <row r="11" spans="1:6" x14ac:dyDescent="0.15">
      <c r="B11" t="s">
        <v>8</v>
      </c>
      <c r="C11" t="s">
        <v>183</v>
      </c>
      <c r="D11">
        <v>3090</v>
      </c>
      <c r="E11">
        <v>990</v>
      </c>
      <c r="F11">
        <f>ROUND(D11/1000*E11/1000,2)</f>
        <v>3.06</v>
      </c>
    </row>
    <row r="12" spans="1:6" x14ac:dyDescent="0.15">
      <c r="B12" t="s">
        <v>9</v>
      </c>
      <c r="C12" t="s">
        <v>184</v>
      </c>
      <c r="D12">
        <f>2075+880+330</f>
        <v>3285</v>
      </c>
      <c r="E12">
        <f>1150+220</f>
        <v>1370</v>
      </c>
      <c r="F12">
        <f>ROUND(D12/1000*E12/1000,2)</f>
        <v>4.5</v>
      </c>
    </row>
    <row r="14" spans="1:6" x14ac:dyDescent="0.15">
      <c r="A14" s="1">
        <v>2</v>
      </c>
      <c r="B14" s="1" t="s">
        <v>3</v>
      </c>
      <c r="C14" s="1" t="s">
        <v>11</v>
      </c>
      <c r="D14" s="1" t="s">
        <v>3</v>
      </c>
    </row>
    <row r="15" spans="1:6" x14ac:dyDescent="0.15">
      <c r="B15" t="s">
        <v>12</v>
      </c>
      <c r="C15" t="s">
        <v>13</v>
      </c>
    </row>
    <row r="16" spans="1:6" x14ac:dyDescent="0.15">
      <c r="C16" t="s">
        <v>17</v>
      </c>
      <c r="D16">
        <v>700</v>
      </c>
    </row>
    <row r="17" spans="2:4" x14ac:dyDescent="0.15">
      <c r="C17" t="s">
        <v>18</v>
      </c>
      <c r="D17">
        <v>300</v>
      </c>
    </row>
    <row r="18" spans="2:4" x14ac:dyDescent="0.15">
      <c r="C18" s="1" t="s">
        <v>19</v>
      </c>
      <c r="D18" s="1">
        <f>D16+D17</f>
        <v>1000</v>
      </c>
    </row>
    <row r="19" spans="2:4" x14ac:dyDescent="0.15">
      <c r="B19" t="s">
        <v>10</v>
      </c>
      <c r="C19" t="s">
        <v>14</v>
      </c>
      <c r="D19">
        <f>990+990+3090-40</f>
        <v>5030</v>
      </c>
    </row>
    <row r="20" spans="2:4" x14ac:dyDescent="0.15">
      <c r="C20" t="s">
        <v>20</v>
      </c>
      <c r="D20">
        <v>990</v>
      </c>
    </row>
    <row r="21" spans="2:4" x14ac:dyDescent="0.15">
      <c r="C21" t="s">
        <v>21</v>
      </c>
      <c r="D21">
        <v>990</v>
      </c>
    </row>
    <row r="22" spans="2:4" x14ac:dyDescent="0.15">
      <c r="C22" t="s">
        <v>22</v>
      </c>
      <c r="D22">
        <f>3090-40</f>
        <v>3050</v>
      </c>
    </row>
    <row r="23" spans="2:4" x14ac:dyDescent="0.15">
      <c r="C23" s="1" t="s">
        <v>19</v>
      </c>
      <c r="D23" s="1">
        <f>SUM(D20:D22)</f>
        <v>5030</v>
      </c>
    </row>
    <row r="24" spans="2:4" x14ac:dyDescent="0.15">
      <c r="B24" t="s">
        <v>15</v>
      </c>
      <c r="C24" t="s">
        <v>16</v>
      </c>
    </row>
    <row r="25" spans="2:4" x14ac:dyDescent="0.15">
      <c r="C25" t="s">
        <v>23</v>
      </c>
      <c r="D25">
        <v>1150</v>
      </c>
    </row>
    <row r="26" spans="2:4" x14ac:dyDescent="0.15">
      <c r="C26" t="s">
        <v>24</v>
      </c>
      <c r="D26">
        <v>860</v>
      </c>
    </row>
    <row r="27" spans="2:4" x14ac:dyDescent="0.15">
      <c r="C27" t="s">
        <v>25</v>
      </c>
      <c r="D27">
        <v>860</v>
      </c>
    </row>
    <row r="28" spans="2:4" x14ac:dyDescent="0.15">
      <c r="C28" t="s">
        <v>26</v>
      </c>
      <c r="D28">
        <f>970+725-740</f>
        <v>955</v>
      </c>
    </row>
    <row r="29" spans="2:4" x14ac:dyDescent="0.15">
      <c r="C29" t="s">
        <v>27</v>
      </c>
      <c r="D29">
        <v>655</v>
      </c>
    </row>
    <row r="30" spans="2:4" x14ac:dyDescent="0.15">
      <c r="C30" t="s">
        <v>28</v>
      </c>
      <c r="D30">
        <v>835</v>
      </c>
    </row>
    <row r="31" spans="2:4" x14ac:dyDescent="0.15">
      <c r="C31" t="s">
        <v>29</v>
      </c>
      <c r="D31">
        <f>520+535+530</f>
        <v>1585</v>
      </c>
    </row>
    <row r="32" spans="2:4" x14ac:dyDescent="0.15">
      <c r="C32" t="s">
        <v>30</v>
      </c>
      <c r="D32">
        <v>880</v>
      </c>
    </row>
    <row r="33" spans="1:6" x14ac:dyDescent="0.15">
      <c r="C33" t="s">
        <v>8</v>
      </c>
      <c r="D33">
        <v>2090</v>
      </c>
    </row>
    <row r="34" spans="1:6" x14ac:dyDescent="0.15">
      <c r="C34" s="1" t="s">
        <v>19</v>
      </c>
      <c r="D34" s="1">
        <f>SUM(D25:D33)</f>
        <v>9870</v>
      </c>
    </row>
    <row r="38" spans="1:6" x14ac:dyDescent="0.15">
      <c r="A38" s="1">
        <v>3</v>
      </c>
      <c r="B38" s="1" t="s">
        <v>65</v>
      </c>
      <c r="C38" s="1" t="s">
        <v>11</v>
      </c>
      <c r="D38" s="1" t="s">
        <v>34</v>
      </c>
      <c r="E38" s="1" t="s">
        <v>35</v>
      </c>
      <c r="F38" s="1"/>
    </row>
    <row r="39" spans="1:6" x14ac:dyDescent="0.15">
      <c r="B39" t="s">
        <v>31</v>
      </c>
      <c r="C39" t="s">
        <v>32</v>
      </c>
    </row>
    <row r="40" spans="1:6" x14ac:dyDescent="0.15">
      <c r="C40" t="s">
        <v>33</v>
      </c>
      <c r="D40">
        <f>2280+600</f>
        <v>2880</v>
      </c>
      <c r="E40">
        <f>600+865+300</f>
        <v>1765</v>
      </c>
      <c r="F40">
        <f>ROUND(D40/1000*E40/1000,2)</f>
        <v>5.08</v>
      </c>
    </row>
    <row r="41" spans="1:6" x14ac:dyDescent="0.15">
      <c r="C41" t="s">
        <v>36</v>
      </c>
      <c r="D41">
        <f>(2280+600+600+865+300)*2</f>
        <v>9290</v>
      </c>
      <c r="E41">
        <v>300</v>
      </c>
      <c r="F41">
        <f>ROUND(D41/1000*E41/1000,2)</f>
        <v>2.79</v>
      </c>
    </row>
    <row r="42" spans="1:6" x14ac:dyDescent="0.15">
      <c r="C42" t="s">
        <v>19</v>
      </c>
      <c r="F42">
        <f>F40+F41</f>
        <v>7.87</v>
      </c>
    </row>
    <row r="43" spans="1:6" x14ac:dyDescent="0.15">
      <c r="B43" t="s">
        <v>1</v>
      </c>
      <c r="C43" t="s">
        <v>37</v>
      </c>
    </row>
    <row r="44" spans="1:6" x14ac:dyDescent="0.15">
      <c r="C44" t="s">
        <v>38</v>
      </c>
      <c r="D44">
        <f>970</f>
        <v>970</v>
      </c>
      <c r="E44">
        <f>550+350+860+70+850+60</f>
        <v>2740</v>
      </c>
      <c r="F44">
        <f>ROUND(D44/1000*E44/1000,2)</f>
        <v>2.66</v>
      </c>
    </row>
    <row r="45" spans="1:6" x14ac:dyDescent="0.15">
      <c r="C45" t="s">
        <v>39</v>
      </c>
      <c r="D45">
        <v>725</v>
      </c>
      <c r="E45">
        <f>350+860+70+850+60</f>
        <v>2190</v>
      </c>
      <c r="F45">
        <f>ROUND(D45/1000*E45/1000,2)</f>
        <v>1.59</v>
      </c>
    </row>
    <row r="46" spans="1:6" x14ac:dyDescent="0.15">
      <c r="C46" t="s">
        <v>36</v>
      </c>
      <c r="D46">
        <f>970+725+70+850+60+970+725</f>
        <v>4370</v>
      </c>
      <c r="E46">
        <v>300</v>
      </c>
      <c r="F46">
        <f>ROUND(D46/1000*E46/1000,2)</f>
        <v>1.31</v>
      </c>
    </row>
    <row r="47" spans="1:6" x14ac:dyDescent="0.15">
      <c r="C47" t="s">
        <v>19</v>
      </c>
      <c r="F47">
        <f>SUM(F44:F46)</f>
        <v>5.5600000000000005</v>
      </c>
    </row>
    <row r="48" spans="1:6" x14ac:dyDescent="0.15">
      <c r="B48" t="s">
        <v>5</v>
      </c>
      <c r="C48" t="s">
        <v>40</v>
      </c>
    </row>
    <row r="49" spans="1:6" x14ac:dyDescent="0.15">
      <c r="C49" t="s">
        <v>33</v>
      </c>
      <c r="D49">
        <f>725+970</f>
        <v>1695</v>
      </c>
      <c r="E49">
        <v>860</v>
      </c>
      <c r="F49">
        <f>ROUND(D49/1000*E49/1000,2)</f>
        <v>1.46</v>
      </c>
    </row>
    <row r="50" spans="1:6" x14ac:dyDescent="0.15">
      <c r="C50" t="s">
        <v>36</v>
      </c>
      <c r="D50">
        <f>860+860+970+725</f>
        <v>3415</v>
      </c>
      <c r="E50">
        <v>300</v>
      </c>
      <c r="F50">
        <f>ROUND(D50/1000*E50/1000,2)</f>
        <v>1.02</v>
      </c>
    </row>
    <row r="51" spans="1:6" x14ac:dyDescent="0.15">
      <c r="F51">
        <f>SUM(F49:F50)</f>
        <v>2.48</v>
      </c>
    </row>
    <row r="52" spans="1:6" x14ac:dyDescent="0.15">
      <c r="B52" t="s">
        <v>6</v>
      </c>
      <c r="C52" t="s">
        <v>41</v>
      </c>
    </row>
    <row r="53" spans="1:6" x14ac:dyDescent="0.15">
      <c r="C53" t="s">
        <v>33</v>
      </c>
      <c r="D53">
        <v>1480</v>
      </c>
      <c r="E53">
        <f>520+535+530</f>
        <v>1585</v>
      </c>
      <c r="F53">
        <f>ROUND(D53/1000*E53/1000,2)</f>
        <v>2.35</v>
      </c>
    </row>
    <row r="54" spans="1:6" x14ac:dyDescent="0.15">
      <c r="C54" t="s">
        <v>36</v>
      </c>
      <c r="D54">
        <f>1480+720</f>
        <v>2200</v>
      </c>
      <c r="E54">
        <v>300</v>
      </c>
      <c r="F54">
        <f>ROUND(D54/1000*E54/1000,2)</f>
        <v>0.66</v>
      </c>
    </row>
    <row r="55" spans="1:6" x14ac:dyDescent="0.15">
      <c r="C55" t="s">
        <v>42</v>
      </c>
      <c r="D55">
        <v>1480</v>
      </c>
      <c r="E55">
        <v>1800</v>
      </c>
      <c r="F55">
        <f>ROUND(D55/1000*E55/1000,2)</f>
        <v>2.66</v>
      </c>
    </row>
    <row r="56" spans="1:6" x14ac:dyDescent="0.15">
      <c r="F56">
        <f>SUM(F53:F55)</f>
        <v>5.67</v>
      </c>
    </row>
    <row r="58" spans="1:6" x14ac:dyDescent="0.15">
      <c r="A58" s="1">
        <v>4</v>
      </c>
      <c r="B58" s="1" t="s">
        <v>66</v>
      </c>
      <c r="C58" s="1" t="s">
        <v>11</v>
      </c>
      <c r="D58" s="1" t="s">
        <v>34</v>
      </c>
      <c r="E58" s="1" t="s">
        <v>35</v>
      </c>
      <c r="F58" s="1"/>
    </row>
    <row r="59" spans="1:6" x14ac:dyDescent="0.15">
      <c r="B59" t="s">
        <v>43</v>
      </c>
      <c r="C59">
        <v>0</v>
      </c>
    </row>
    <row r="60" spans="1:6" x14ac:dyDescent="0.15">
      <c r="C60" t="s">
        <v>46</v>
      </c>
      <c r="D60">
        <v>1710</v>
      </c>
    </row>
    <row r="61" spans="1:6" x14ac:dyDescent="0.15">
      <c r="C61" t="s">
        <v>47</v>
      </c>
      <c r="D61">
        <v>2220</v>
      </c>
    </row>
    <row r="62" spans="1:6" x14ac:dyDescent="0.15">
      <c r="C62" t="s">
        <v>49</v>
      </c>
      <c r="D62">
        <v>920</v>
      </c>
    </row>
    <row r="63" spans="1:6" x14ac:dyDescent="0.15">
      <c r="C63" t="s">
        <v>50</v>
      </c>
      <c r="D63">
        <v>1890</v>
      </c>
    </row>
    <row r="64" spans="1:6" x14ac:dyDescent="0.15">
      <c r="C64" t="s">
        <v>51</v>
      </c>
      <c r="D64">
        <f>1950+880</f>
        <v>2830</v>
      </c>
    </row>
    <row r="66" spans="2:6" x14ac:dyDescent="0.15">
      <c r="B66" t="s">
        <v>44</v>
      </c>
      <c r="C66">
        <v>0</v>
      </c>
    </row>
    <row r="67" spans="2:6" x14ac:dyDescent="0.15">
      <c r="C67" t="s">
        <v>45</v>
      </c>
      <c r="D67">
        <v>725</v>
      </c>
    </row>
    <row r="68" spans="2:6" x14ac:dyDescent="0.15">
      <c r="C68" t="s">
        <v>48</v>
      </c>
      <c r="D68">
        <v>1400</v>
      </c>
    </row>
    <row r="70" spans="2:6" x14ac:dyDescent="0.15">
      <c r="B70" t="s">
        <v>52</v>
      </c>
      <c r="C70" t="s">
        <v>53</v>
      </c>
    </row>
    <row r="71" spans="2:6" x14ac:dyDescent="0.15">
      <c r="C71" t="s">
        <v>54</v>
      </c>
      <c r="D71">
        <f>900+410+937+1343</f>
        <v>3590</v>
      </c>
      <c r="E71">
        <f>450+3495+3100-150</f>
        <v>6895</v>
      </c>
      <c r="F71">
        <f t="shared" ref="F71:F80" si="0">ROUND(D71/1000*E71/1000,2)</f>
        <v>24.75</v>
      </c>
    </row>
    <row r="72" spans="2:6" x14ac:dyDescent="0.15">
      <c r="C72" t="s">
        <v>55</v>
      </c>
      <c r="D72">
        <v>2210</v>
      </c>
      <c r="E72">
        <f>2075+880+120</f>
        <v>3075</v>
      </c>
      <c r="F72">
        <f t="shared" si="0"/>
        <v>6.8</v>
      </c>
    </row>
    <row r="73" spans="2:6" x14ac:dyDescent="0.15">
      <c r="C73" t="s">
        <v>56</v>
      </c>
      <c r="D73">
        <f>30+930+240</f>
        <v>1200</v>
      </c>
      <c r="E73">
        <f>3840</f>
        <v>3840</v>
      </c>
      <c r="F73">
        <f t="shared" si="0"/>
        <v>4.6100000000000003</v>
      </c>
    </row>
    <row r="74" spans="2:6" x14ac:dyDescent="0.15">
      <c r="C74" t="s">
        <v>57</v>
      </c>
      <c r="D74">
        <f>315+850+110</f>
        <v>1275</v>
      </c>
      <c r="E74">
        <v>1090</v>
      </c>
      <c r="F74">
        <f t="shared" si="0"/>
        <v>1.39</v>
      </c>
    </row>
    <row r="75" spans="2:6" x14ac:dyDescent="0.15">
      <c r="C75" t="s">
        <v>58</v>
      </c>
      <c r="D75">
        <f>100+850-110</f>
        <v>840</v>
      </c>
      <c r="E75">
        <f>2075+210</f>
        <v>2285</v>
      </c>
      <c r="F75">
        <f t="shared" si="0"/>
        <v>1.92</v>
      </c>
    </row>
    <row r="76" spans="2:6" x14ac:dyDescent="0.15">
      <c r="C76" t="s">
        <v>59</v>
      </c>
      <c r="D76">
        <v>330</v>
      </c>
      <c r="E76">
        <v>2075</v>
      </c>
      <c r="F76">
        <f t="shared" si="0"/>
        <v>0.68</v>
      </c>
    </row>
    <row r="77" spans="2:6" x14ac:dyDescent="0.15">
      <c r="C77" t="s">
        <v>62</v>
      </c>
      <c r="D77">
        <v>1820</v>
      </c>
      <c r="E77">
        <f>1175+1460</f>
        <v>2635</v>
      </c>
      <c r="F77">
        <f t="shared" si="0"/>
        <v>4.8</v>
      </c>
    </row>
    <row r="78" spans="2:6" x14ac:dyDescent="0.15">
      <c r="C78" t="s">
        <v>60</v>
      </c>
      <c r="D78">
        <v>735</v>
      </c>
      <c r="E78">
        <f>3360+130</f>
        <v>3490</v>
      </c>
      <c r="F78">
        <f t="shared" si="0"/>
        <v>2.57</v>
      </c>
    </row>
    <row r="79" spans="2:6" x14ac:dyDescent="0.15">
      <c r="C79" t="s">
        <v>61</v>
      </c>
      <c r="D79">
        <v>260</v>
      </c>
      <c r="E79">
        <v>3360</v>
      </c>
      <c r="F79">
        <f t="shared" si="0"/>
        <v>0.87</v>
      </c>
    </row>
    <row r="80" spans="2:6" x14ac:dyDescent="0.15">
      <c r="C80" t="s">
        <v>63</v>
      </c>
      <c r="D80">
        <v>1890</v>
      </c>
      <c r="E80">
        <v>3970</v>
      </c>
      <c r="F80">
        <f t="shared" si="0"/>
        <v>7.5</v>
      </c>
    </row>
    <row r="81" spans="1:7" x14ac:dyDescent="0.15">
      <c r="C81" s="1" t="s">
        <v>19</v>
      </c>
      <c r="F81" s="1">
        <f>SUM(F71:F80)</f>
        <v>55.89</v>
      </c>
    </row>
    <row r="84" spans="1:7" x14ac:dyDescent="0.15">
      <c r="A84" s="1">
        <v>5</v>
      </c>
      <c r="B84" s="1" t="s">
        <v>67</v>
      </c>
      <c r="C84" s="1" t="s">
        <v>11</v>
      </c>
      <c r="D84" s="1" t="s">
        <v>34</v>
      </c>
      <c r="E84" s="1" t="s">
        <v>35</v>
      </c>
      <c r="F84" s="1" t="s">
        <v>68</v>
      </c>
    </row>
    <row r="85" spans="1:7" x14ac:dyDescent="0.15">
      <c r="B85" t="s">
        <v>69</v>
      </c>
      <c r="C85" t="s">
        <v>70</v>
      </c>
    </row>
    <row r="86" spans="1:7" x14ac:dyDescent="0.15">
      <c r="D86">
        <f>1175+140+1780</f>
        <v>3095</v>
      </c>
      <c r="E86">
        <f>90+775+720</f>
        <v>1585</v>
      </c>
      <c r="F86">
        <v>200</v>
      </c>
      <c r="G86">
        <f>ROUND((D86/1000)*(E86/1000)*(F86/1000),2)</f>
        <v>0.98</v>
      </c>
    </row>
    <row r="88" spans="1:7" x14ac:dyDescent="0.15">
      <c r="A88" s="1">
        <v>6</v>
      </c>
      <c r="B88" s="1" t="s">
        <v>71</v>
      </c>
      <c r="C88" s="1" t="s">
        <v>11</v>
      </c>
      <c r="D88" s="1" t="s">
        <v>34</v>
      </c>
      <c r="E88" s="1" t="s">
        <v>35</v>
      </c>
    </row>
    <row r="89" spans="1:7" x14ac:dyDescent="0.15">
      <c r="B89" t="s">
        <v>72</v>
      </c>
      <c r="C89" t="s">
        <v>73</v>
      </c>
    </row>
    <row r="90" spans="1:7" x14ac:dyDescent="0.15">
      <c r="C90" t="s">
        <v>74</v>
      </c>
      <c r="D90">
        <f>220+1150</f>
        <v>1370</v>
      </c>
      <c r="E90">
        <f>2075+880+330</f>
        <v>3285</v>
      </c>
      <c r="F90">
        <f t="shared" ref="F90:F95" si="1">ROUND((D90/1000)*(E90/1000),2)</f>
        <v>4.5</v>
      </c>
    </row>
    <row r="91" spans="1:7" x14ac:dyDescent="0.15">
      <c r="C91" t="s">
        <v>55</v>
      </c>
      <c r="D91">
        <f>30+930+240</f>
        <v>1200</v>
      </c>
      <c r="E91">
        <v>3840</v>
      </c>
      <c r="F91">
        <f t="shared" si="1"/>
        <v>4.6100000000000003</v>
      </c>
    </row>
    <row r="92" spans="1:7" x14ac:dyDescent="0.15">
      <c r="C92" t="s">
        <v>56</v>
      </c>
      <c r="D92">
        <f>2210</f>
        <v>2210</v>
      </c>
      <c r="E92">
        <f>2075+880+120</f>
        <v>3075</v>
      </c>
      <c r="F92">
        <f t="shared" si="1"/>
        <v>6.8</v>
      </c>
    </row>
    <row r="93" spans="1:7" x14ac:dyDescent="0.15">
      <c r="C93" t="s">
        <v>54</v>
      </c>
      <c r="D93">
        <f>700+2090+800</f>
        <v>3590</v>
      </c>
      <c r="E93">
        <v>6895</v>
      </c>
      <c r="F93">
        <f t="shared" si="1"/>
        <v>24.75</v>
      </c>
    </row>
    <row r="94" spans="1:7" x14ac:dyDescent="0.15">
      <c r="C94" t="s">
        <v>75</v>
      </c>
      <c r="D94">
        <v>3100</v>
      </c>
      <c r="E94">
        <f>2075+210+1090+130+3360</f>
        <v>6865</v>
      </c>
      <c r="F94">
        <f t="shared" si="1"/>
        <v>21.28</v>
      </c>
    </row>
    <row r="95" spans="1:7" x14ac:dyDescent="0.15">
      <c r="C95" t="s">
        <v>76</v>
      </c>
      <c r="D95">
        <v>3090</v>
      </c>
      <c r="E95">
        <v>990</v>
      </c>
      <c r="F95">
        <f t="shared" si="1"/>
        <v>3.06</v>
      </c>
    </row>
    <row r="96" spans="1:7" x14ac:dyDescent="0.15">
      <c r="C96" s="1" t="s">
        <v>19</v>
      </c>
      <c r="D96" s="1"/>
      <c r="E96" s="1"/>
      <c r="F96" s="1">
        <f>SUM(F90:F95)</f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0"/>
  <sheetViews>
    <sheetView topLeftCell="A16" workbookViewId="0">
      <selection activeCell="D41" sqref="D41"/>
    </sheetView>
  </sheetViews>
  <sheetFormatPr defaultRowHeight="13.5" x14ac:dyDescent="0.15"/>
  <cols>
    <col min="2" max="2" width="11" bestFit="1" customWidth="1"/>
    <col min="3" max="3" width="17.25" bestFit="1" customWidth="1"/>
  </cols>
  <sheetData>
    <row r="1" spans="1:6" x14ac:dyDescent="0.15">
      <c r="C1" t="s">
        <v>11</v>
      </c>
      <c r="D1" t="s">
        <v>34</v>
      </c>
      <c r="E1" t="s">
        <v>68</v>
      </c>
    </row>
    <row r="2" spans="1:6" x14ac:dyDescent="0.15">
      <c r="A2">
        <v>1</v>
      </c>
      <c r="B2" t="s">
        <v>80</v>
      </c>
      <c r="C2" t="s">
        <v>77</v>
      </c>
    </row>
    <row r="3" spans="1:6" x14ac:dyDescent="0.15">
      <c r="C3" t="s">
        <v>78</v>
      </c>
      <c r="D3">
        <f>2280+600+600+865+300+2280+600+835</f>
        <v>8360</v>
      </c>
      <c r="E3">
        <v>2400</v>
      </c>
      <c r="F3">
        <f>ROUND((D3/1000)*(E3/1000),2)</f>
        <v>20.059999999999999</v>
      </c>
    </row>
    <row r="4" spans="1:6" x14ac:dyDescent="0.15">
      <c r="C4" t="s">
        <v>79</v>
      </c>
      <c r="D4">
        <v>870</v>
      </c>
      <c r="E4">
        <v>400</v>
      </c>
      <c r="F4">
        <f>ROUND((D4/1000)*(E4/1000),2)</f>
        <v>0.35</v>
      </c>
    </row>
    <row r="5" spans="1:6" x14ac:dyDescent="0.15">
      <c r="C5" t="s">
        <v>19</v>
      </c>
      <c r="F5">
        <f>F3+F4</f>
        <v>20.41</v>
      </c>
    </row>
    <row r="8" spans="1:6" x14ac:dyDescent="0.15">
      <c r="A8">
        <v>2</v>
      </c>
      <c r="B8" t="s">
        <v>81</v>
      </c>
      <c r="C8" t="s">
        <v>82</v>
      </c>
    </row>
    <row r="9" spans="1:6" x14ac:dyDescent="0.15">
      <c r="C9" t="s">
        <v>83</v>
      </c>
      <c r="D9">
        <f>835+970+515+525+725+595+850+740</f>
        <v>5755</v>
      </c>
      <c r="E9">
        <v>2400</v>
      </c>
      <c r="F9">
        <f>ROUND((D9/1000)*(E9/1000),2)</f>
        <v>13.81</v>
      </c>
    </row>
    <row r="12" spans="1:6" x14ac:dyDescent="0.15">
      <c r="A12">
        <v>3</v>
      </c>
      <c r="B12" t="s">
        <v>84</v>
      </c>
      <c r="C12" t="s">
        <v>85</v>
      </c>
    </row>
    <row r="13" spans="1:6" x14ac:dyDescent="0.15">
      <c r="C13" t="s">
        <v>78</v>
      </c>
      <c r="D13">
        <f>1480+1480+720</f>
        <v>3680</v>
      </c>
      <c r="E13">
        <v>2400</v>
      </c>
      <c r="F13">
        <f>ROUND((D13/1000)*(E13/1000),2)</f>
        <v>8.83</v>
      </c>
    </row>
    <row r="16" spans="1:6" x14ac:dyDescent="0.15">
      <c r="A16">
        <v>4</v>
      </c>
      <c r="B16" t="s">
        <v>86</v>
      </c>
      <c r="C16" t="s">
        <v>87</v>
      </c>
    </row>
    <row r="17" spans="1:6" x14ac:dyDescent="0.15">
      <c r="C17" t="s">
        <v>78</v>
      </c>
      <c r="D17">
        <f>860*2+970+725+740</f>
        <v>4155</v>
      </c>
      <c r="E17">
        <v>2400</v>
      </c>
      <c r="F17">
        <f>ROUND((D17/1000)*(E17/1000),2)</f>
        <v>9.9700000000000006</v>
      </c>
    </row>
    <row r="20" spans="1:6" x14ac:dyDescent="0.15">
      <c r="A20">
        <v>5</v>
      </c>
      <c r="B20" t="s">
        <v>88</v>
      </c>
      <c r="C20" t="s">
        <v>89</v>
      </c>
    </row>
    <row r="21" spans="1:6" x14ac:dyDescent="0.15">
      <c r="C21" t="s">
        <v>78</v>
      </c>
      <c r="D21">
        <f>1705+135+190</f>
        <v>2030</v>
      </c>
      <c r="E21">
        <v>2700</v>
      </c>
      <c r="F21">
        <f>ROUND((D21/1000)*(E21/1000),2)</f>
        <v>5.48</v>
      </c>
    </row>
    <row r="22" spans="1:6" x14ac:dyDescent="0.15">
      <c r="C22" t="s">
        <v>90</v>
      </c>
      <c r="D22">
        <v>1705</v>
      </c>
      <c r="E22">
        <v>900</v>
      </c>
      <c r="F22">
        <f>ROUND((D22/1000)*(E22/1000),2)</f>
        <v>1.53</v>
      </c>
    </row>
    <row r="23" spans="1:6" x14ac:dyDescent="0.15">
      <c r="C23" t="s">
        <v>91</v>
      </c>
      <c r="D23">
        <v>835</v>
      </c>
      <c r="E23">
        <v>900</v>
      </c>
      <c r="F23">
        <f>ROUND((D23/1000)*(E23/1000),2)</f>
        <v>0.75</v>
      </c>
    </row>
    <row r="24" spans="1:6" x14ac:dyDescent="0.15">
      <c r="C24" t="s">
        <v>92</v>
      </c>
      <c r="D24">
        <v>1160</v>
      </c>
      <c r="E24">
        <v>1600</v>
      </c>
      <c r="F24">
        <f>ROUND((D24/1000)*(E24/1000),2)</f>
        <v>1.86</v>
      </c>
    </row>
    <row r="25" spans="1:6" x14ac:dyDescent="0.15">
      <c r="C25" t="s">
        <v>19</v>
      </c>
      <c r="F25">
        <f>SUM(F21:F24)</f>
        <v>9.620000000000001</v>
      </c>
    </row>
    <row r="28" spans="1:6" x14ac:dyDescent="0.15">
      <c r="A28">
        <v>6</v>
      </c>
      <c r="B28" t="s">
        <v>130</v>
      </c>
      <c r="C28" t="s">
        <v>131</v>
      </c>
    </row>
    <row r="29" spans="1:6" x14ac:dyDescent="0.15">
      <c r="C29" t="s">
        <v>132</v>
      </c>
      <c r="D29">
        <v>6895</v>
      </c>
      <c r="E29">
        <v>2760</v>
      </c>
      <c r="F29">
        <f t="shared" ref="F29:F41" si="0">ROUND((D29/1000)*(E29/1000),2)</f>
        <v>19.03</v>
      </c>
    </row>
    <row r="30" spans="1:6" x14ac:dyDescent="0.15">
      <c r="C30" t="s">
        <v>165</v>
      </c>
      <c r="D30">
        <v>0</v>
      </c>
      <c r="E30">
        <v>2355</v>
      </c>
      <c r="F30">
        <f t="shared" si="0"/>
        <v>0</v>
      </c>
    </row>
    <row r="31" spans="1:6" x14ac:dyDescent="0.15">
      <c r="C31" t="s">
        <v>137</v>
      </c>
      <c r="D31">
        <v>0</v>
      </c>
      <c r="E31">
        <f>E29</f>
        <v>2760</v>
      </c>
      <c r="F31">
        <f t="shared" si="0"/>
        <v>0</v>
      </c>
    </row>
    <row r="32" spans="1:6" x14ac:dyDescent="0.15">
      <c r="C32" t="s">
        <v>138</v>
      </c>
      <c r="D32">
        <v>0</v>
      </c>
      <c r="E32">
        <f>E31</f>
        <v>2760</v>
      </c>
      <c r="F32">
        <f t="shared" si="0"/>
        <v>0</v>
      </c>
    </row>
    <row r="33" spans="1:6" x14ac:dyDescent="0.15">
      <c r="C33" t="s">
        <v>139</v>
      </c>
      <c r="D33">
        <v>0</v>
      </c>
      <c r="E33">
        <f>E32</f>
        <v>2760</v>
      </c>
      <c r="F33">
        <f t="shared" si="0"/>
        <v>0</v>
      </c>
    </row>
    <row r="34" spans="1:6" x14ac:dyDescent="0.15">
      <c r="C34" t="s">
        <v>140</v>
      </c>
      <c r="D34">
        <v>0</v>
      </c>
      <c r="E34">
        <f>E33</f>
        <v>2760</v>
      </c>
      <c r="F34">
        <f t="shared" si="0"/>
        <v>0</v>
      </c>
    </row>
    <row r="35" spans="1:6" x14ac:dyDescent="0.15">
      <c r="C35" t="s">
        <v>177</v>
      </c>
      <c r="D35">
        <v>0</v>
      </c>
      <c r="E35">
        <v>1270</v>
      </c>
      <c r="F35">
        <f t="shared" si="0"/>
        <v>0</v>
      </c>
    </row>
    <row r="36" spans="1:6" x14ac:dyDescent="0.15">
      <c r="C36" t="s">
        <v>134</v>
      </c>
      <c r="D36">
        <v>1200</v>
      </c>
      <c r="E36">
        <f>E29</f>
        <v>2760</v>
      </c>
      <c r="F36">
        <f t="shared" si="0"/>
        <v>3.31</v>
      </c>
    </row>
    <row r="37" spans="1:6" x14ac:dyDescent="0.15">
      <c r="C37" t="s">
        <v>148</v>
      </c>
      <c r="D37">
        <v>-930</v>
      </c>
      <c r="E37">
        <v>1320</v>
      </c>
      <c r="F37">
        <f t="shared" si="0"/>
        <v>-1.23</v>
      </c>
    </row>
    <row r="38" spans="1:6" x14ac:dyDescent="0.15">
      <c r="C38" t="s">
        <v>135</v>
      </c>
      <c r="D38">
        <f>1175+1460+590</f>
        <v>3225</v>
      </c>
      <c r="E38">
        <f>E36</f>
        <v>2760</v>
      </c>
      <c r="F38">
        <f t="shared" si="0"/>
        <v>8.9</v>
      </c>
    </row>
    <row r="39" spans="1:6" x14ac:dyDescent="0.15">
      <c r="C39" t="s">
        <v>152</v>
      </c>
      <c r="D39">
        <v>-1460</v>
      </c>
      <c r="E39">
        <v>1180</v>
      </c>
      <c r="F39">
        <f t="shared" si="0"/>
        <v>-1.72</v>
      </c>
    </row>
    <row r="40" spans="1:6" x14ac:dyDescent="0.15">
      <c r="C40" t="s">
        <v>136</v>
      </c>
      <c r="D40">
        <f>590+735+1720+635+3970+590</f>
        <v>8240</v>
      </c>
      <c r="E40">
        <f>E38</f>
        <v>2760</v>
      </c>
      <c r="F40">
        <f t="shared" si="0"/>
        <v>22.74</v>
      </c>
    </row>
    <row r="41" spans="1:6" x14ac:dyDescent="0.15">
      <c r="C41" t="s">
        <v>154</v>
      </c>
      <c r="D41">
        <v>-1720</v>
      </c>
      <c r="E41">
        <v>1320</v>
      </c>
      <c r="F41">
        <f t="shared" si="0"/>
        <v>-2.27</v>
      </c>
    </row>
    <row r="44" spans="1:6" x14ac:dyDescent="0.15">
      <c r="C44" t="s">
        <v>133</v>
      </c>
      <c r="F44">
        <f>SUM(F29:F42)</f>
        <v>48.76</v>
      </c>
    </row>
    <row r="47" spans="1:6" x14ac:dyDescent="0.15">
      <c r="A47">
        <v>7</v>
      </c>
      <c r="B47" t="s">
        <v>141</v>
      </c>
      <c r="C47" t="s">
        <v>142</v>
      </c>
    </row>
    <row r="48" spans="1:6" x14ac:dyDescent="0.15">
      <c r="C48" t="s">
        <v>132</v>
      </c>
      <c r="D48">
        <f>(6895-350)+700+2090+800+600+60+210+2075</f>
        <v>13080</v>
      </c>
      <c r="E48">
        <v>2760</v>
      </c>
      <c r="F48">
        <f t="shared" ref="F48:F68" si="1">ROUND((D48/1000)*(E48/1000),2)</f>
        <v>36.1</v>
      </c>
    </row>
    <row r="49" spans="3:6" x14ac:dyDescent="0.15">
      <c r="C49" t="s">
        <v>146</v>
      </c>
      <c r="D49">
        <f>1560+390</f>
        <v>1950</v>
      </c>
      <c r="E49">
        <v>1190</v>
      </c>
      <c r="F49">
        <f t="shared" si="1"/>
        <v>2.3199999999999998</v>
      </c>
    </row>
    <row r="50" spans="3:6" x14ac:dyDescent="0.15">
      <c r="C50" t="s">
        <v>143</v>
      </c>
      <c r="D50">
        <v>-2090</v>
      </c>
      <c r="E50">
        <f>2350+60</f>
        <v>2410</v>
      </c>
      <c r="F50">
        <f t="shared" si="1"/>
        <v>-5.04</v>
      </c>
    </row>
    <row r="51" spans="3:6" x14ac:dyDescent="0.15">
      <c r="C51" t="s">
        <v>137</v>
      </c>
      <c r="D51">
        <f>(1490-350)+970+615+2075+880+330</f>
        <v>6010</v>
      </c>
      <c r="E51">
        <f>E48</f>
        <v>2760</v>
      </c>
      <c r="F51">
        <f t="shared" si="1"/>
        <v>16.59</v>
      </c>
    </row>
    <row r="52" spans="3:6" x14ac:dyDescent="0.15">
      <c r="C52" t="s">
        <v>144</v>
      </c>
      <c r="D52">
        <v>-860</v>
      </c>
      <c r="E52">
        <f>E51-300-60</f>
        <v>2400</v>
      </c>
      <c r="F52">
        <f t="shared" si="1"/>
        <v>-2.06</v>
      </c>
    </row>
    <row r="53" spans="3:6" x14ac:dyDescent="0.15">
      <c r="C53" t="s">
        <v>145</v>
      </c>
      <c r="D53">
        <v>-880</v>
      </c>
      <c r="E53">
        <v>2100</v>
      </c>
      <c r="F53">
        <f t="shared" si="1"/>
        <v>-1.85</v>
      </c>
    </row>
    <row r="54" spans="3:6" x14ac:dyDescent="0.15">
      <c r="C54" t="s">
        <v>138</v>
      </c>
      <c r="D54">
        <v>0</v>
      </c>
      <c r="E54">
        <f>E51</f>
        <v>2760</v>
      </c>
      <c r="F54">
        <f t="shared" si="1"/>
        <v>0</v>
      </c>
    </row>
    <row r="55" spans="3:6" x14ac:dyDescent="0.15">
      <c r="C55" t="s">
        <v>139</v>
      </c>
      <c r="D55">
        <v>0</v>
      </c>
      <c r="E55">
        <f>E54</f>
        <v>2760</v>
      </c>
      <c r="F55">
        <f t="shared" si="1"/>
        <v>0</v>
      </c>
    </row>
    <row r="56" spans="3:6" x14ac:dyDescent="0.15">
      <c r="C56" t="s">
        <v>140</v>
      </c>
      <c r="D56">
        <v>0</v>
      </c>
      <c r="E56">
        <f>E55</f>
        <v>2760</v>
      </c>
      <c r="F56">
        <f t="shared" si="1"/>
        <v>0</v>
      </c>
    </row>
    <row r="57" spans="3:6" x14ac:dyDescent="0.15">
      <c r="C57" t="s">
        <v>134</v>
      </c>
      <c r="D57">
        <f>(2075-1710)+(3410-600)+3840+30+930+240+765+2210+120</f>
        <v>11310</v>
      </c>
      <c r="E57">
        <f>E56</f>
        <v>2760</v>
      </c>
      <c r="F57">
        <f t="shared" si="1"/>
        <v>31.22</v>
      </c>
    </row>
    <row r="58" spans="3:6" x14ac:dyDescent="0.15">
      <c r="C58" t="s">
        <v>147</v>
      </c>
      <c r="D58">
        <v>-880</v>
      </c>
      <c r="E58">
        <v>2100</v>
      </c>
      <c r="F58">
        <f t="shared" si="1"/>
        <v>-1.85</v>
      </c>
    </row>
    <row r="59" spans="3:6" x14ac:dyDescent="0.15">
      <c r="C59" t="s">
        <v>148</v>
      </c>
      <c r="D59">
        <v>-930</v>
      </c>
      <c r="E59">
        <v>1320</v>
      </c>
      <c r="F59">
        <f t="shared" si="1"/>
        <v>-1.23</v>
      </c>
    </row>
    <row r="60" spans="3:6" x14ac:dyDescent="0.15">
      <c r="C60" t="s">
        <v>149</v>
      </c>
      <c r="D60">
        <f>315+850+110+1090+110+850+315</f>
        <v>3640</v>
      </c>
      <c r="E60">
        <f>E48-500</f>
        <v>2260</v>
      </c>
      <c r="F60">
        <f t="shared" si="1"/>
        <v>8.23</v>
      </c>
    </row>
    <row r="61" spans="3:6" x14ac:dyDescent="0.15">
      <c r="C61" t="s">
        <v>150</v>
      </c>
      <c r="D61">
        <f>-850*2</f>
        <v>-1700</v>
      </c>
      <c r="E61">
        <v>2100</v>
      </c>
      <c r="F61">
        <f t="shared" si="1"/>
        <v>-3.57</v>
      </c>
    </row>
    <row r="62" spans="3:6" x14ac:dyDescent="0.15">
      <c r="C62" t="s">
        <v>135</v>
      </c>
      <c r="D62">
        <f>100+(2075-1400)+3100+1175+1460+900+330</f>
        <v>7740</v>
      </c>
      <c r="E62">
        <f>E57</f>
        <v>2760</v>
      </c>
      <c r="F62">
        <f t="shared" si="1"/>
        <v>21.36</v>
      </c>
    </row>
    <row r="63" spans="3:6" x14ac:dyDescent="0.15">
      <c r="C63" t="s">
        <v>151</v>
      </c>
      <c r="D63">
        <v>-850</v>
      </c>
      <c r="E63">
        <v>2100</v>
      </c>
      <c r="F63">
        <f t="shared" si="1"/>
        <v>-1.79</v>
      </c>
    </row>
    <row r="64" spans="3:6" x14ac:dyDescent="0.15">
      <c r="C64" t="s">
        <v>152</v>
      </c>
      <c r="D64">
        <v>-1460</v>
      </c>
      <c r="E64">
        <v>1180</v>
      </c>
      <c r="F64">
        <f t="shared" si="1"/>
        <v>-1.72</v>
      </c>
    </row>
    <row r="65" spans="3:6" x14ac:dyDescent="0.15">
      <c r="C65" t="s">
        <v>136</v>
      </c>
      <c r="D65">
        <f>260+850+90+3360+735+1720+635+(3970-600)</f>
        <v>11020</v>
      </c>
      <c r="E65">
        <f>E62</f>
        <v>2760</v>
      </c>
      <c r="F65">
        <f t="shared" si="1"/>
        <v>30.42</v>
      </c>
    </row>
    <row r="66" spans="3:6" x14ac:dyDescent="0.15">
      <c r="C66" t="s">
        <v>153</v>
      </c>
      <c r="D66">
        <v>-850</v>
      </c>
      <c r="E66">
        <v>2100</v>
      </c>
      <c r="F66">
        <f t="shared" si="1"/>
        <v>-1.79</v>
      </c>
    </row>
    <row r="67" spans="3:6" x14ac:dyDescent="0.15">
      <c r="C67" t="s">
        <v>154</v>
      </c>
      <c r="D67">
        <v>-1720</v>
      </c>
      <c r="E67">
        <v>1320</v>
      </c>
      <c r="F67">
        <f t="shared" si="1"/>
        <v>-2.27</v>
      </c>
    </row>
    <row r="68" spans="3:6" x14ac:dyDescent="0.15">
      <c r="C68" t="s">
        <v>155</v>
      </c>
      <c r="D68">
        <f>700+800</f>
        <v>1500</v>
      </c>
      <c r="E68">
        <f>E48</f>
        <v>2760</v>
      </c>
      <c r="F68">
        <f t="shared" si="1"/>
        <v>4.1399999999999997</v>
      </c>
    </row>
    <row r="70" spans="3:6" x14ac:dyDescent="0.15">
      <c r="C70" t="s">
        <v>133</v>
      </c>
      <c r="F70">
        <f>SUM(F48:F68)</f>
        <v>127.21000000000001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"/>
  <sheetViews>
    <sheetView tabSelected="1" topLeftCell="A6" workbookViewId="0">
      <selection activeCell="G12" sqref="G12"/>
    </sheetView>
  </sheetViews>
  <sheetFormatPr defaultRowHeight="13.5" x14ac:dyDescent="0.15"/>
  <cols>
    <col min="2" max="2" width="10.875" bestFit="1" customWidth="1"/>
  </cols>
  <sheetData>
    <row r="1" spans="1:7" x14ac:dyDescent="0.15">
      <c r="C1" t="s">
        <v>11</v>
      </c>
      <c r="D1" t="s">
        <v>34</v>
      </c>
      <c r="E1" t="s">
        <v>68</v>
      </c>
    </row>
    <row r="2" spans="1:7" x14ac:dyDescent="0.15">
      <c r="A2">
        <v>1</v>
      </c>
      <c r="B2" t="s">
        <v>93</v>
      </c>
      <c r="C2" t="s">
        <v>94</v>
      </c>
    </row>
    <row r="3" spans="1:7" x14ac:dyDescent="0.15">
      <c r="C3" t="s">
        <v>31</v>
      </c>
      <c r="D3">
        <v>1465</v>
      </c>
      <c r="E3">
        <f>2760-300</f>
        <v>2460</v>
      </c>
      <c r="F3">
        <f>(D3/1000)*(E3/1000)</f>
        <v>3.6039000000000003</v>
      </c>
    </row>
    <row r="4" spans="1:7" x14ac:dyDescent="0.15">
      <c r="C4" t="s">
        <v>6</v>
      </c>
      <c r="D4">
        <v>615</v>
      </c>
      <c r="E4">
        <v>2760</v>
      </c>
      <c r="F4">
        <f>(D4/1000)*(E4/1000)</f>
        <v>1.6973999999999998</v>
      </c>
    </row>
    <row r="5" spans="1:7" x14ac:dyDescent="0.15">
      <c r="C5" t="s">
        <v>19</v>
      </c>
      <c r="F5">
        <f>SUM(F3:F4)</f>
        <v>5.3013000000000003</v>
      </c>
    </row>
    <row r="8" spans="1:7" x14ac:dyDescent="0.15">
      <c r="A8">
        <v>2</v>
      </c>
      <c r="B8" t="s">
        <v>97</v>
      </c>
      <c r="C8" t="s">
        <v>98</v>
      </c>
    </row>
    <row r="9" spans="1:7" x14ac:dyDescent="0.15">
      <c r="C9" t="s">
        <v>95</v>
      </c>
      <c r="D9">
        <v>1490</v>
      </c>
      <c r="E9">
        <v>2760</v>
      </c>
      <c r="F9">
        <f>(D9/1000)*(E9/1000)</f>
        <v>4.1124000000000001</v>
      </c>
    </row>
    <row r="10" spans="1:7" x14ac:dyDescent="0.15">
      <c r="C10" t="s">
        <v>204</v>
      </c>
      <c r="D10">
        <v>115</v>
      </c>
      <c r="E10">
        <v>2760</v>
      </c>
      <c r="F10">
        <f>(D10/1000)*(E10/1000)</f>
        <v>0.31740000000000002</v>
      </c>
    </row>
    <row r="11" spans="1:7" x14ac:dyDescent="0.15">
      <c r="C11" t="s">
        <v>209</v>
      </c>
      <c r="D11">
        <f>2650-1490-190</f>
        <v>970</v>
      </c>
      <c r="E11">
        <v>2760</v>
      </c>
      <c r="F11">
        <f>(D11/1000)*(E11/1000)</f>
        <v>2.6771999999999996</v>
      </c>
    </row>
    <row r="12" spans="1:7" x14ac:dyDescent="0.15">
      <c r="C12" t="s">
        <v>19</v>
      </c>
      <c r="F12">
        <f>SUM(F9:F11)</f>
        <v>7.1069999999999993</v>
      </c>
      <c r="G12">
        <f>(115+2650-190)*2760/1000/1000</f>
        <v>7.1070000000000002</v>
      </c>
    </row>
    <row r="15" spans="1:7" x14ac:dyDescent="0.15">
      <c r="A15">
        <v>3</v>
      </c>
      <c r="B15" t="s">
        <v>100</v>
      </c>
      <c r="C15" t="s">
        <v>101</v>
      </c>
    </row>
    <row r="16" spans="1:7" x14ac:dyDescent="0.15">
      <c r="C16" t="s">
        <v>95</v>
      </c>
      <c r="D16">
        <v>720</v>
      </c>
      <c r="E16">
        <v>2760</v>
      </c>
      <c r="F16">
        <f>(D16/1000)*(E16/1000)</f>
        <v>1.9871999999999999</v>
      </c>
    </row>
    <row r="17" spans="1:6" x14ac:dyDescent="0.15">
      <c r="C17" t="s">
        <v>96</v>
      </c>
      <c r="D17">
        <v>90</v>
      </c>
      <c r="E17">
        <v>2760</v>
      </c>
      <c r="F17">
        <f>(D17/1000)*(E17/1000)</f>
        <v>0.24839999999999998</v>
      </c>
    </row>
    <row r="18" spans="1:6" x14ac:dyDescent="0.15">
      <c r="C18" t="s">
        <v>19</v>
      </c>
      <c r="F18">
        <f>F16+F17</f>
        <v>2.2355999999999998</v>
      </c>
    </row>
    <row r="20" spans="1:6" x14ac:dyDescent="0.15">
      <c r="A20">
        <v>4</v>
      </c>
      <c r="B20" t="s">
        <v>99</v>
      </c>
      <c r="C20" t="s">
        <v>102</v>
      </c>
    </row>
    <row r="21" spans="1:6" x14ac:dyDescent="0.15">
      <c r="D21">
        <f>520+535+530</f>
        <v>1585</v>
      </c>
      <c r="E21">
        <v>2760</v>
      </c>
      <c r="F21">
        <f>(D21/1000)*(E21/1000)</f>
        <v>4.3745999999999992</v>
      </c>
    </row>
    <row r="22" spans="1:6" x14ac:dyDescent="0.15">
      <c r="C22" t="s">
        <v>205</v>
      </c>
      <c r="D22">
        <v>-535</v>
      </c>
      <c r="E22">
        <v>1400</v>
      </c>
      <c r="F22">
        <f>(D22/1000)*(E22/1000)</f>
        <v>-0.749</v>
      </c>
    </row>
    <row r="23" spans="1:6" x14ac:dyDescent="0.15">
      <c r="C23" t="s">
        <v>19</v>
      </c>
      <c r="F23">
        <f>SUM(F21:F22)</f>
        <v>3.625599999999999</v>
      </c>
    </row>
    <row r="25" spans="1:6" x14ac:dyDescent="0.15">
      <c r="A25">
        <v>5</v>
      </c>
      <c r="B25" t="s">
        <v>103</v>
      </c>
      <c r="C25" t="s">
        <v>104</v>
      </c>
    </row>
    <row r="26" spans="1:6" x14ac:dyDescent="0.15">
      <c r="D26">
        <v>1400</v>
      </c>
      <c r="E26">
        <f>2760-510</f>
        <v>2250</v>
      </c>
      <c r="F26">
        <f>(D26/1000)*(E26/1000)</f>
        <v>3.15</v>
      </c>
    </row>
    <row r="29" spans="1:6" x14ac:dyDescent="0.15">
      <c r="A29">
        <v>6</v>
      </c>
      <c r="B29" s="1" t="s">
        <v>206</v>
      </c>
    </row>
    <row r="30" spans="1:6" x14ac:dyDescent="0.15">
      <c r="C30" t="s">
        <v>208</v>
      </c>
      <c r="D30">
        <f>135+835+190</f>
        <v>1160</v>
      </c>
      <c r="E30">
        <v>2760</v>
      </c>
      <c r="F30">
        <f>(D30/1000)*(E30/1000)</f>
        <v>3.2015999999999996</v>
      </c>
    </row>
    <row r="31" spans="1:6" x14ac:dyDescent="0.15">
      <c r="C31" t="s">
        <v>207</v>
      </c>
      <c r="D31">
        <v>-835</v>
      </c>
      <c r="E31">
        <v>2390</v>
      </c>
      <c r="F31">
        <f>(D31/1000)*(E31/1000)</f>
        <v>-1.9956499999999999</v>
      </c>
    </row>
    <row r="32" spans="1:6" x14ac:dyDescent="0.15">
      <c r="C32" t="s">
        <v>19</v>
      </c>
      <c r="F32">
        <f>SUM(F30:F31)</f>
        <v>1.2059499999999996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C17" sqref="C17"/>
    </sheetView>
  </sheetViews>
  <sheetFormatPr defaultRowHeight="13.5" x14ac:dyDescent="0.15"/>
  <cols>
    <col min="2" max="2" width="11.125" bestFit="1" customWidth="1"/>
    <col min="3" max="3" width="10.875" bestFit="1" customWidth="1"/>
  </cols>
  <sheetData>
    <row r="1" spans="1:6" x14ac:dyDescent="0.15">
      <c r="C1" t="s">
        <v>11</v>
      </c>
      <c r="D1" t="s">
        <v>34</v>
      </c>
      <c r="E1" t="s">
        <v>68</v>
      </c>
    </row>
    <row r="2" spans="1:6" x14ac:dyDescent="0.15">
      <c r="A2">
        <v>1</v>
      </c>
      <c r="B2" t="s">
        <v>93</v>
      </c>
      <c r="C2" t="s">
        <v>106</v>
      </c>
    </row>
    <row r="3" spans="1:6" x14ac:dyDescent="0.15">
      <c r="D3">
        <v>1840</v>
      </c>
      <c r="E3">
        <f>2760+200</f>
        <v>2960</v>
      </c>
      <c r="F3">
        <f>ROUND((D3/1000)*(E3/1000),2)</f>
        <v>5.45</v>
      </c>
    </row>
    <row r="5" spans="1:6" x14ac:dyDescent="0.15">
      <c r="A5">
        <v>2</v>
      </c>
      <c r="B5" t="s">
        <v>105</v>
      </c>
      <c r="C5" t="s">
        <v>107</v>
      </c>
    </row>
    <row r="6" spans="1:6" x14ac:dyDescent="0.15">
      <c r="C6" t="s">
        <v>0</v>
      </c>
      <c r="D6">
        <f>835+60</f>
        <v>895</v>
      </c>
      <c r="E6">
        <v>2760</v>
      </c>
      <c r="F6">
        <f>ROUND((D6/1000)*(E6/1000),2)</f>
        <v>2.4700000000000002</v>
      </c>
    </row>
    <row r="7" spans="1:6" x14ac:dyDescent="0.15">
      <c r="C7" t="s">
        <v>100</v>
      </c>
      <c r="D7">
        <v>750</v>
      </c>
      <c r="E7">
        <f>2760+200</f>
        <v>2960</v>
      </c>
      <c r="F7">
        <f>ROUND((D7/1000)*(E7/1000),2)</f>
        <v>2.2200000000000002</v>
      </c>
    </row>
    <row r="8" spans="1:6" x14ac:dyDescent="0.15">
      <c r="C8" t="s">
        <v>97</v>
      </c>
      <c r="D8">
        <f>220-60+985</f>
        <v>1145</v>
      </c>
      <c r="E8">
        <f>2760+200</f>
        <v>2960</v>
      </c>
      <c r="F8">
        <f>ROUND((D8/1000)*(E8/1000),2)</f>
        <v>3.39</v>
      </c>
    </row>
    <row r="9" spans="1:6" x14ac:dyDescent="0.15">
      <c r="C9" t="s">
        <v>19</v>
      </c>
      <c r="F9">
        <f>SUM(F6:F8)</f>
        <v>8.08</v>
      </c>
    </row>
    <row r="11" spans="1:6" x14ac:dyDescent="0.15">
      <c r="A11">
        <v>3</v>
      </c>
      <c r="B11" t="s">
        <v>108</v>
      </c>
      <c r="C11" t="s">
        <v>109</v>
      </c>
    </row>
    <row r="12" spans="1:6" x14ac:dyDescent="0.15">
      <c r="C12" t="s">
        <v>42</v>
      </c>
      <c r="D12">
        <v>595</v>
      </c>
      <c r="E12">
        <v>2760</v>
      </c>
      <c r="F12">
        <f>ROUND((D12/1000)*(E12/1000),2)</f>
        <v>1.64</v>
      </c>
    </row>
    <row r="13" spans="1:6" x14ac:dyDescent="0.15">
      <c r="C13" t="s">
        <v>110</v>
      </c>
      <c r="D13">
        <v>740</v>
      </c>
      <c r="E13">
        <v>2760</v>
      </c>
      <c r="F13">
        <f>ROUND((D13/1000)*(E13/1000),2)</f>
        <v>2.04</v>
      </c>
    </row>
    <row r="14" spans="1:6" x14ac:dyDescent="0.15">
      <c r="C14" t="s">
        <v>19</v>
      </c>
      <c r="F14">
        <f>F12+F13</f>
        <v>3.6799999999999997</v>
      </c>
    </row>
    <row r="16" spans="1:6" x14ac:dyDescent="0.15">
      <c r="A16">
        <v>4</v>
      </c>
      <c r="B16" t="s">
        <v>99</v>
      </c>
      <c r="C16" t="s">
        <v>186</v>
      </c>
    </row>
    <row r="17" spans="4:6" x14ac:dyDescent="0.15">
      <c r="D17">
        <v>750</v>
      </c>
      <c r="E17">
        <v>2760</v>
      </c>
      <c r="F17">
        <f>ROUND((D17/1000)*(E17/1000),2)</f>
        <v>2.0699999999999998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topLeftCell="A16" workbookViewId="0">
      <selection activeCell="D32" sqref="D32"/>
    </sheetView>
  </sheetViews>
  <sheetFormatPr defaultRowHeight="13.5" x14ac:dyDescent="0.15"/>
  <cols>
    <col min="2" max="2" width="14" bestFit="1" customWidth="1"/>
  </cols>
  <sheetData>
    <row r="1" spans="1:6" x14ac:dyDescent="0.15">
      <c r="C1" t="s">
        <v>11</v>
      </c>
      <c r="D1" t="s">
        <v>34</v>
      </c>
      <c r="E1" t="s">
        <v>35</v>
      </c>
    </row>
    <row r="2" spans="1:6" x14ac:dyDescent="0.15">
      <c r="A2">
        <v>1</v>
      </c>
      <c r="B2" t="s">
        <v>111</v>
      </c>
      <c r="C2" t="s">
        <v>112</v>
      </c>
    </row>
    <row r="3" spans="1:6" x14ac:dyDescent="0.15">
      <c r="D3">
        <f>1150+220</f>
        <v>1370</v>
      </c>
      <c r="E3">
        <f>2075+880+330</f>
        <v>3285</v>
      </c>
      <c r="F3">
        <f>(D3/1000)*(E3/1000)</f>
        <v>4.5004500000000007</v>
      </c>
    </row>
    <row r="6" spans="1:6" x14ac:dyDescent="0.15">
      <c r="A6">
        <v>2</v>
      </c>
      <c r="B6" t="s">
        <v>113</v>
      </c>
      <c r="C6" t="s">
        <v>114</v>
      </c>
    </row>
    <row r="7" spans="1:6" x14ac:dyDescent="0.15">
      <c r="D7">
        <f>700+2090+800</f>
        <v>3590</v>
      </c>
      <c r="E7">
        <v>6895</v>
      </c>
      <c r="F7">
        <f>(D7/1000)*(E7/1000)</f>
        <v>24.753049999999998</v>
      </c>
    </row>
    <row r="11" spans="1:6" x14ac:dyDescent="0.15">
      <c r="A11">
        <v>3</v>
      </c>
      <c r="B11" t="s">
        <v>187</v>
      </c>
      <c r="C11" t="s">
        <v>188</v>
      </c>
    </row>
    <row r="12" spans="1:6" x14ac:dyDescent="0.15">
      <c r="D12">
        <f>2280+600</f>
        <v>2880</v>
      </c>
      <c r="E12">
        <f>600+865+300</f>
        <v>1765</v>
      </c>
      <c r="F12">
        <f>(D12/1000)*(E12/1000)</f>
        <v>5.0831999999999997</v>
      </c>
    </row>
    <row r="14" spans="1:6" x14ac:dyDescent="0.15">
      <c r="A14">
        <v>4</v>
      </c>
      <c r="B14" t="s">
        <v>189</v>
      </c>
      <c r="C14" t="s">
        <v>191</v>
      </c>
    </row>
    <row r="15" spans="1:6" x14ac:dyDescent="0.15">
      <c r="C15" t="s">
        <v>196</v>
      </c>
      <c r="D15">
        <v>970</v>
      </c>
      <c r="E15">
        <f>600+865+300+850+60</f>
        <v>2675</v>
      </c>
      <c r="F15">
        <f>(D15/1000)*(E15/1000)</f>
        <v>2.5947499999999999</v>
      </c>
    </row>
    <row r="16" spans="1:6" x14ac:dyDescent="0.15">
      <c r="C16" t="s">
        <v>197</v>
      </c>
      <c r="D16">
        <v>725</v>
      </c>
      <c r="E16">
        <f>E15-515</f>
        <v>2160</v>
      </c>
      <c r="F16">
        <f>(D16/1000)*(E16/1000)</f>
        <v>1.5660000000000001</v>
      </c>
    </row>
    <row r="17" spans="1:6" x14ac:dyDescent="0.15">
      <c r="C17" t="s">
        <v>185</v>
      </c>
      <c r="F17">
        <f>F15+F16</f>
        <v>4.1607500000000002</v>
      </c>
    </row>
    <row r="19" spans="1:6" x14ac:dyDescent="0.15">
      <c r="A19">
        <v>5</v>
      </c>
      <c r="B19" t="s">
        <v>190</v>
      </c>
      <c r="C19" t="s">
        <v>192</v>
      </c>
    </row>
    <row r="20" spans="1:6" x14ac:dyDescent="0.15">
      <c r="D20">
        <f>725+970</f>
        <v>1695</v>
      </c>
      <c r="E20">
        <v>860</v>
      </c>
      <c r="F20">
        <f>(D20/1000)*(E20/1000)</f>
        <v>1.4577</v>
      </c>
    </row>
    <row r="22" spans="1:6" x14ac:dyDescent="0.15">
      <c r="A22">
        <v>6</v>
      </c>
      <c r="B22" t="s">
        <v>193</v>
      </c>
      <c r="C22" t="s">
        <v>194</v>
      </c>
    </row>
    <row r="23" spans="1:6" x14ac:dyDescent="0.15">
      <c r="D23">
        <v>1705</v>
      </c>
      <c r="E23">
        <v>1480</v>
      </c>
      <c r="F23">
        <f>(D23/1000)*(E23/1000)</f>
        <v>2.5234000000000001</v>
      </c>
    </row>
    <row r="25" spans="1:6" x14ac:dyDescent="0.15">
      <c r="A25">
        <v>7</v>
      </c>
      <c r="B25" t="s">
        <v>195</v>
      </c>
    </row>
    <row r="26" spans="1:6" x14ac:dyDescent="0.15">
      <c r="D26">
        <v>1705</v>
      </c>
      <c r="E26">
        <v>1160</v>
      </c>
      <c r="F26">
        <f>(D26/1000)*(E26/1000)</f>
        <v>1.9778</v>
      </c>
    </row>
    <row r="28" spans="1:6" x14ac:dyDescent="0.15">
      <c r="A28">
        <v>8</v>
      </c>
      <c r="B28" t="s">
        <v>198</v>
      </c>
      <c r="C28" t="s">
        <v>199</v>
      </c>
    </row>
    <row r="29" spans="1:6" x14ac:dyDescent="0.15">
      <c r="C29" t="s">
        <v>200</v>
      </c>
      <c r="D29">
        <f>1150+220+2110*2</f>
        <v>5590</v>
      </c>
    </row>
    <row r="30" spans="1:6" x14ac:dyDescent="0.15">
      <c r="C30" t="s">
        <v>201</v>
      </c>
      <c r="D30">
        <f>2100*2+880</f>
        <v>5080</v>
      </c>
    </row>
    <row r="31" spans="1:6" x14ac:dyDescent="0.15">
      <c r="C31" t="s">
        <v>202</v>
      </c>
      <c r="D31">
        <f>2100*2+850</f>
        <v>5050</v>
      </c>
    </row>
    <row r="32" spans="1:6" x14ac:dyDescent="0.15">
      <c r="C32" t="s">
        <v>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3"/>
  <sheetViews>
    <sheetView workbookViewId="0">
      <selection activeCell="H23" sqref="H23"/>
    </sheetView>
  </sheetViews>
  <sheetFormatPr defaultRowHeight="13.5" x14ac:dyDescent="0.15"/>
  <cols>
    <col min="1" max="1" width="14.125" bestFit="1" customWidth="1"/>
    <col min="2" max="2" width="7.375" customWidth="1"/>
    <col min="5" max="5" width="15.375" bestFit="1" customWidth="1"/>
    <col min="6" max="6" width="9.375" bestFit="1" customWidth="1"/>
    <col min="7" max="7" width="13" style="2" bestFit="1" customWidth="1"/>
    <col min="8" max="9" width="13" bestFit="1" customWidth="1"/>
    <col min="10" max="10" width="11" style="2" customWidth="1"/>
    <col min="11" max="11" width="9.25" style="2" customWidth="1"/>
    <col min="12" max="12" width="11" style="2" bestFit="1" customWidth="1"/>
  </cols>
  <sheetData>
    <row r="1" spans="1:13" x14ac:dyDescent="0.15">
      <c r="B1" t="s">
        <v>35</v>
      </c>
      <c r="C1" t="s">
        <v>68</v>
      </c>
      <c r="D1" t="s">
        <v>4</v>
      </c>
      <c r="E1" t="s">
        <v>117</v>
      </c>
      <c r="F1" t="s">
        <v>118</v>
      </c>
      <c r="G1" s="2" t="s">
        <v>120</v>
      </c>
      <c r="H1" t="s">
        <v>173</v>
      </c>
      <c r="I1" t="s">
        <v>174</v>
      </c>
      <c r="J1" s="2" t="s">
        <v>128</v>
      </c>
      <c r="K1" s="2" t="s">
        <v>175</v>
      </c>
      <c r="L1" s="2" t="s">
        <v>129</v>
      </c>
      <c r="M1" s="2" t="s">
        <v>176</v>
      </c>
    </row>
    <row r="2" spans="1:13" x14ac:dyDescent="0.15">
      <c r="A2" t="s">
        <v>115</v>
      </c>
      <c r="B2">
        <f>40+310+40+1560</f>
        <v>1950</v>
      </c>
      <c r="C2">
        <f>100+200+180+40</f>
        <v>520</v>
      </c>
      <c r="D2">
        <f t="shared" ref="D2:D13" si="0">(B2/1000)*(C2/1000)</f>
        <v>1.014</v>
      </c>
      <c r="E2">
        <v>1.95</v>
      </c>
      <c r="F2">
        <f>1144.7+128+128.5+85.2</f>
        <v>1486.4</v>
      </c>
      <c r="G2" s="2">
        <f t="shared" ref="G2:G13" si="1">F2/E2</f>
        <v>762.25641025641028</v>
      </c>
      <c r="H2">
        <f>油漆!B2</f>
        <v>0.5</v>
      </c>
      <c r="I2">
        <f>油漆!J2</f>
        <v>5.3020000000000005</v>
      </c>
      <c r="J2" s="2">
        <f t="shared" ref="J2:J13" si="2">30.5*H2+142*(H2+I2)</f>
        <v>839.13400000000001</v>
      </c>
      <c r="K2" s="2">
        <f t="shared" ref="K2:K13" si="3">F2+J2</f>
        <v>2325.5340000000001</v>
      </c>
      <c r="L2" s="2">
        <f t="shared" ref="L2:L13" si="4">(F2+J2)/E2</f>
        <v>1192.5815384615385</v>
      </c>
      <c r="M2">
        <f t="shared" ref="M2:M13" si="5">J2/K2</f>
        <v>0.36083497381676638</v>
      </c>
    </row>
    <row r="3" spans="1:13" x14ac:dyDescent="0.15">
      <c r="A3" t="s">
        <v>116</v>
      </c>
      <c r="B3">
        <v>1950</v>
      </c>
      <c r="C3">
        <v>700</v>
      </c>
      <c r="D3">
        <f t="shared" si="0"/>
        <v>1.365</v>
      </c>
      <c r="E3">
        <v>1.95</v>
      </c>
      <c r="F3">
        <f>1446.9+160</f>
        <v>1606.9</v>
      </c>
      <c r="G3" s="2">
        <f t="shared" si="1"/>
        <v>824.0512820512821</v>
      </c>
      <c r="H3">
        <f>油漆!B3</f>
        <v>1.337</v>
      </c>
      <c r="I3">
        <f>油漆!J3</f>
        <v>2.3861000000000003</v>
      </c>
      <c r="J3" s="2">
        <f t="shared" si="2"/>
        <v>569.45870000000014</v>
      </c>
      <c r="K3" s="2">
        <f t="shared" si="3"/>
        <v>2176.3587000000002</v>
      </c>
      <c r="L3" s="2">
        <f t="shared" si="4"/>
        <v>1116.0813846153846</v>
      </c>
      <c r="M3">
        <f t="shared" si="5"/>
        <v>0.26165663775920767</v>
      </c>
    </row>
    <row r="4" spans="1:13" x14ac:dyDescent="0.15">
      <c r="A4" t="s">
        <v>122</v>
      </c>
      <c r="B4">
        <f>40+400+400+40</f>
        <v>880</v>
      </c>
      <c r="C4">
        <f>365+20+385+700</f>
        <v>1470</v>
      </c>
      <c r="D4">
        <f>(B4/1000)*(C4/1000)</f>
        <v>1.2936000000000001</v>
      </c>
      <c r="E4">
        <v>1.29</v>
      </c>
      <c r="F4">
        <f>984.4+349</f>
        <v>1333.4</v>
      </c>
      <c r="G4" s="2">
        <f>F4/E4</f>
        <v>1033.6434108527133</v>
      </c>
      <c r="H4">
        <f>油漆!B4</f>
        <v>1</v>
      </c>
      <c r="I4">
        <f>油漆!J4</f>
        <v>4.7687999999999997</v>
      </c>
      <c r="J4" s="2">
        <f t="shared" si="2"/>
        <v>849.66959999999995</v>
      </c>
      <c r="K4" s="2">
        <f t="shared" si="3"/>
        <v>2183.0695999999998</v>
      </c>
      <c r="L4" s="2">
        <f t="shared" si="4"/>
        <v>1692.3020155038757</v>
      </c>
      <c r="M4">
        <f t="shared" si="5"/>
        <v>0.38920866288459149</v>
      </c>
    </row>
    <row r="5" spans="1:13" x14ac:dyDescent="0.15">
      <c r="A5" t="s">
        <v>121</v>
      </c>
      <c r="B5">
        <f>40+400+400+40</f>
        <v>880</v>
      </c>
      <c r="C5">
        <f>100+840</f>
        <v>940</v>
      </c>
      <c r="D5">
        <f t="shared" si="0"/>
        <v>0.82719999999999994</v>
      </c>
      <c r="E5">
        <v>0.83</v>
      </c>
      <c r="F5">
        <f>667.6+80</f>
        <v>747.6</v>
      </c>
      <c r="G5" s="2">
        <f t="shared" si="1"/>
        <v>900.72289156626516</v>
      </c>
      <c r="H5">
        <f>油漆!B5</f>
        <v>0.67200000000000004</v>
      </c>
      <c r="I5">
        <f>油漆!J5</f>
        <v>1.5524000000000002</v>
      </c>
      <c r="J5" s="2">
        <f t="shared" si="2"/>
        <v>336.36079999999998</v>
      </c>
      <c r="K5" s="2">
        <f t="shared" si="3"/>
        <v>1083.9608000000001</v>
      </c>
      <c r="L5" s="2">
        <f t="shared" si="4"/>
        <v>1305.9768674698796</v>
      </c>
      <c r="M5">
        <f t="shared" si="5"/>
        <v>0.31030716239923062</v>
      </c>
    </row>
    <row r="6" spans="1:13" x14ac:dyDescent="0.15">
      <c r="A6" t="s">
        <v>124</v>
      </c>
      <c r="B6">
        <f>40*2+355*6</f>
        <v>2210</v>
      </c>
      <c r="C6">
        <f>400+1070+40</f>
        <v>1510</v>
      </c>
      <c r="D6">
        <f>(B6/1000)*(C6/1000)</f>
        <v>3.3371</v>
      </c>
      <c r="E6">
        <v>3.35</v>
      </c>
      <c r="F6">
        <f>2859.4+1047</f>
        <v>3906.4</v>
      </c>
      <c r="G6" s="2">
        <f>F6/E6</f>
        <v>1166.0895522388059</v>
      </c>
      <c r="H6">
        <f>油漆!B6</f>
        <v>3</v>
      </c>
      <c r="I6">
        <f>油漆!J6</f>
        <v>5.378000000000001</v>
      </c>
      <c r="J6" s="2">
        <f t="shared" si="2"/>
        <v>1281.1759999999999</v>
      </c>
      <c r="K6" s="2">
        <f t="shared" si="3"/>
        <v>5187.576</v>
      </c>
      <c r="L6" s="2">
        <f t="shared" si="4"/>
        <v>1548.5301492537312</v>
      </c>
      <c r="M6">
        <f t="shared" si="5"/>
        <v>0.24697006848670747</v>
      </c>
    </row>
    <row r="7" spans="1:13" x14ac:dyDescent="0.15">
      <c r="A7" t="s">
        <v>123</v>
      </c>
      <c r="B7">
        <f>40*2+355*6</f>
        <v>2210</v>
      </c>
      <c r="C7">
        <f>100+760+40</f>
        <v>900</v>
      </c>
      <c r="D7">
        <f t="shared" si="0"/>
        <v>1.9890000000000001</v>
      </c>
      <c r="E7">
        <v>2</v>
      </c>
      <c r="F7">
        <f>1740.3+210</f>
        <v>1950.3</v>
      </c>
      <c r="G7" s="2">
        <f t="shared" si="1"/>
        <v>975.15</v>
      </c>
      <c r="H7">
        <f>油漆!B7</f>
        <v>1.6188</v>
      </c>
      <c r="I7">
        <f>油漆!J7</f>
        <v>4.1879999999999997</v>
      </c>
      <c r="J7" s="2">
        <f t="shared" si="2"/>
        <v>873.93900000000008</v>
      </c>
      <c r="K7" s="2">
        <f t="shared" si="3"/>
        <v>2824.239</v>
      </c>
      <c r="L7" s="2">
        <f t="shared" si="4"/>
        <v>1412.1195</v>
      </c>
      <c r="M7">
        <f t="shared" si="5"/>
        <v>0.30944229578304105</v>
      </c>
    </row>
    <row r="8" spans="1:13" x14ac:dyDescent="0.15">
      <c r="A8" t="s">
        <v>46</v>
      </c>
      <c r="B8">
        <f>40*2+410*4</f>
        <v>1720</v>
      </c>
      <c r="C8">
        <f>100+1600+890+40</f>
        <v>2630</v>
      </c>
      <c r="D8">
        <f t="shared" si="0"/>
        <v>4.5236000000000001</v>
      </c>
      <c r="E8">
        <v>4.5</v>
      </c>
      <c r="F8">
        <f>3413.5+451.6+256+97</f>
        <v>4218.1000000000004</v>
      </c>
      <c r="G8" s="2">
        <f t="shared" si="1"/>
        <v>937.35555555555561</v>
      </c>
      <c r="H8">
        <f>油漆!B8</f>
        <v>4.0835999999999997</v>
      </c>
      <c r="I8">
        <f>油漆!J8</f>
        <v>9.6019999999999985</v>
      </c>
      <c r="J8" s="2">
        <f t="shared" si="2"/>
        <v>2067.9049999999993</v>
      </c>
      <c r="K8" s="2">
        <f t="shared" si="3"/>
        <v>6286.0049999999992</v>
      </c>
      <c r="L8" s="2">
        <f t="shared" si="4"/>
        <v>1396.8899999999999</v>
      </c>
      <c r="M8">
        <f t="shared" si="5"/>
        <v>0.32896967151632867</v>
      </c>
    </row>
    <row r="9" spans="1:13" x14ac:dyDescent="0.15">
      <c r="A9" t="s">
        <v>126</v>
      </c>
      <c r="B9">
        <f>40+870+20+430+40</f>
        <v>1400</v>
      </c>
      <c r="C9">
        <f>350+20+435+20+435+40</f>
        <v>1300</v>
      </c>
      <c r="D9">
        <f>(B9/1000)*(C9/1000)</f>
        <v>1.8199999999999998</v>
      </c>
      <c r="E9">
        <v>1.82</v>
      </c>
      <c r="F9">
        <f>1385+(127+45)*E9+36.4</f>
        <v>1734.44</v>
      </c>
      <c r="G9" s="2">
        <f>F9/E9</f>
        <v>952.98901098901104</v>
      </c>
      <c r="H9">
        <f>油漆!B9</f>
        <v>0</v>
      </c>
      <c r="I9">
        <f>油漆!J9</f>
        <v>5.1064999999999996</v>
      </c>
      <c r="J9" s="2">
        <f t="shared" si="2"/>
        <v>725.12299999999993</v>
      </c>
      <c r="K9" s="2">
        <f t="shared" si="3"/>
        <v>2459.5630000000001</v>
      </c>
      <c r="L9" s="2">
        <f t="shared" si="4"/>
        <v>1351.4082417582417</v>
      </c>
      <c r="M9">
        <f t="shared" si="5"/>
        <v>0.29481781926301537</v>
      </c>
    </row>
    <row r="10" spans="1:13" x14ac:dyDescent="0.15">
      <c r="A10" t="s">
        <v>125</v>
      </c>
      <c r="B10">
        <f>40+870+20+430+40</f>
        <v>1400</v>
      </c>
      <c r="C10">
        <f>100+770+30</f>
        <v>900</v>
      </c>
      <c r="D10">
        <f t="shared" si="0"/>
        <v>1.26</v>
      </c>
      <c r="E10">
        <v>1.26</v>
      </c>
      <c r="F10">
        <f>1016.8+116.4+(127+45)*E10+36.4</f>
        <v>1386.3200000000002</v>
      </c>
      <c r="G10" s="2">
        <f t="shared" si="1"/>
        <v>1100.2539682539684</v>
      </c>
      <c r="H10">
        <f>油漆!B10</f>
        <v>1.0164</v>
      </c>
      <c r="I10">
        <f>油漆!J10</f>
        <v>1.8144</v>
      </c>
      <c r="J10" s="2">
        <f t="shared" si="2"/>
        <v>432.97379999999998</v>
      </c>
      <c r="K10" s="2">
        <f t="shared" si="3"/>
        <v>1819.2938000000001</v>
      </c>
      <c r="L10" s="2">
        <f t="shared" si="4"/>
        <v>1443.8839682539683</v>
      </c>
      <c r="M10">
        <f t="shared" si="5"/>
        <v>0.23799003767285962</v>
      </c>
    </row>
    <row r="11" spans="1:13" x14ac:dyDescent="0.15">
      <c r="A11" t="s">
        <v>49</v>
      </c>
      <c r="B11">
        <f>40+420+420+40</f>
        <v>920</v>
      </c>
      <c r="C11">
        <f>100+1580+40+870+40</f>
        <v>2630</v>
      </c>
      <c r="D11">
        <f t="shared" si="0"/>
        <v>2.4196</v>
      </c>
      <c r="E11">
        <v>2.42</v>
      </c>
      <c r="F11">
        <f>1836.5+224.8+256+63.8</f>
        <v>2381.1000000000004</v>
      </c>
      <c r="G11" s="2">
        <f t="shared" si="1"/>
        <v>983.92561983471091</v>
      </c>
      <c r="H11">
        <f>油漆!B11</f>
        <v>2.0579999999999998</v>
      </c>
      <c r="I11">
        <f>油漆!J11</f>
        <v>4</v>
      </c>
      <c r="J11" s="2">
        <f t="shared" si="2"/>
        <v>923.005</v>
      </c>
      <c r="K11" s="2">
        <f t="shared" si="3"/>
        <v>3304.1050000000005</v>
      </c>
      <c r="L11" s="2">
        <f t="shared" si="4"/>
        <v>1365.3326446280994</v>
      </c>
      <c r="M11">
        <f t="shared" si="5"/>
        <v>0.27935098914834722</v>
      </c>
    </row>
    <row r="12" spans="1:13" x14ac:dyDescent="0.15">
      <c r="A12" t="s">
        <v>50</v>
      </c>
      <c r="B12">
        <f>40+450*3+455+40</f>
        <v>1885</v>
      </c>
      <c r="C12">
        <f>100+2490+40</f>
        <v>2630</v>
      </c>
      <c r="D12">
        <f t="shared" si="0"/>
        <v>4.9575499999999995</v>
      </c>
      <c r="E12">
        <v>4.97</v>
      </c>
      <c r="F12">
        <f>3772.8+466.4+256+79.4</f>
        <v>4574.5999999999995</v>
      </c>
      <c r="G12" s="2">
        <f t="shared" si="1"/>
        <v>920.44265593561363</v>
      </c>
      <c r="H12">
        <f>油漆!B12</f>
        <v>4.4944499999999996</v>
      </c>
      <c r="I12">
        <f>油漆!J12</f>
        <v>4.8232499999999998</v>
      </c>
      <c r="J12" s="2">
        <f t="shared" si="2"/>
        <v>1460.1941249999998</v>
      </c>
      <c r="K12" s="2">
        <f t="shared" si="3"/>
        <v>6034.7941249999994</v>
      </c>
      <c r="L12" s="2">
        <f t="shared" si="4"/>
        <v>1214.2442907444668</v>
      </c>
      <c r="M12">
        <f t="shared" si="5"/>
        <v>0.24196254167991188</v>
      </c>
    </row>
    <row r="13" spans="1:13" x14ac:dyDescent="0.15">
      <c r="A13" t="s">
        <v>45</v>
      </c>
      <c r="B13">
        <f>40+295+290+40+60</f>
        <v>725</v>
      </c>
      <c r="C13">
        <f>100+870+30+350+1020+40</f>
        <v>2410</v>
      </c>
      <c r="D13">
        <f t="shared" si="0"/>
        <v>1.74725</v>
      </c>
      <c r="E13">
        <v>1.75</v>
      </c>
      <c r="F13">
        <f>1214.3+159.6+45.2</f>
        <v>1419.1</v>
      </c>
      <c r="G13" s="2">
        <f t="shared" si="1"/>
        <v>810.91428571428571</v>
      </c>
      <c r="H13">
        <f>油漆!B13</f>
        <v>1.10565</v>
      </c>
      <c r="I13">
        <f>油漆!J13</f>
        <v>4.2082500000000005</v>
      </c>
      <c r="J13" s="2">
        <f t="shared" si="2"/>
        <v>788.29612499999996</v>
      </c>
      <c r="K13" s="2">
        <f t="shared" si="3"/>
        <v>2207.3961249999998</v>
      </c>
      <c r="L13" s="2">
        <f t="shared" si="4"/>
        <v>1261.3692142857142</v>
      </c>
      <c r="M13">
        <f t="shared" si="5"/>
        <v>0.35711584163445065</v>
      </c>
    </row>
    <row r="18" spans="1:13" x14ac:dyDescent="0.15">
      <c r="A18" t="s">
        <v>19</v>
      </c>
      <c r="D18">
        <f>SUM(D2:D16)</f>
        <v>26.553899999999999</v>
      </c>
      <c r="F18">
        <f>SUM(F2:F16)</f>
        <v>26744.659999999996</v>
      </c>
      <c r="G18" s="2">
        <f>F18/D18</f>
        <v>1007.1838788275921</v>
      </c>
      <c r="H18">
        <f>SUM(H2:H16)</f>
        <v>20.885900000000003</v>
      </c>
      <c r="I18">
        <f>SUM(I2:I16)</f>
        <v>53.1297</v>
      </c>
      <c r="J18" s="2">
        <f>SUM(J2:J16)</f>
        <v>11147.235149999999</v>
      </c>
      <c r="K18" s="2">
        <f>SUM(K2:K16)</f>
        <v>37891.895149999997</v>
      </c>
      <c r="L18" s="2">
        <f>(F18+J18)/D18</f>
        <v>1426.980411540301</v>
      </c>
    </row>
    <row r="19" spans="1:13" x14ac:dyDescent="0.15">
      <c r="H19">
        <v>20.260000000000002</v>
      </c>
      <c r="I19" t="s">
        <v>156</v>
      </c>
    </row>
    <row r="22" spans="1:13" x14ac:dyDescent="0.15">
      <c r="A22" t="s">
        <v>119</v>
      </c>
      <c r="B22">
        <v>900</v>
      </c>
      <c r="E22">
        <v>0.9</v>
      </c>
      <c r="F22">
        <v>738</v>
      </c>
      <c r="G22" s="2">
        <f>F22/E22</f>
        <v>820</v>
      </c>
      <c r="H22">
        <f>油漆!B14</f>
        <v>0</v>
      </c>
      <c r="I22">
        <f>油漆!J14</f>
        <v>1.998</v>
      </c>
      <c r="J22" s="2">
        <f>30.5*H22+142*(H22+I22)</f>
        <v>283.71600000000001</v>
      </c>
      <c r="K22" s="2">
        <f>F22+J22</f>
        <v>1021.716</v>
      </c>
      <c r="L22" s="2">
        <f>(F22+J22)/E22</f>
        <v>1135.24</v>
      </c>
      <c r="M22" t="s">
        <v>119</v>
      </c>
    </row>
    <row r="23" spans="1:13" x14ac:dyDescent="0.15">
      <c r="A23" t="s">
        <v>127</v>
      </c>
      <c r="B23">
        <v>3040</v>
      </c>
      <c r="E23">
        <v>3.04</v>
      </c>
      <c r="F23">
        <v>331.4</v>
      </c>
      <c r="G23" s="2">
        <f>F23/E23</f>
        <v>109.01315789473684</v>
      </c>
      <c r="H23">
        <f>油漆!B15</f>
        <v>0</v>
      </c>
      <c r="I23">
        <f>油漆!J15</f>
        <v>3.2747999999999999</v>
      </c>
      <c r="J23" s="2">
        <f>30.5*H23+142*(H23+I23)</f>
        <v>465.02159999999998</v>
      </c>
      <c r="K23" s="2">
        <f>F23+J23</f>
        <v>796.4215999999999</v>
      </c>
      <c r="L23" s="2">
        <f>(F23+J23)/E23</f>
        <v>261.98078947368418</v>
      </c>
      <c r="M23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6"/>
  <sheetViews>
    <sheetView topLeftCell="B5" workbookViewId="0">
      <selection activeCell="H13" sqref="H12:H13"/>
    </sheetView>
  </sheetViews>
  <sheetFormatPr defaultRowHeight="13.5" x14ac:dyDescent="0.15"/>
  <cols>
    <col min="1" max="1" width="14.375" customWidth="1"/>
    <col min="3" max="3" width="10" customWidth="1"/>
    <col min="4" max="4" width="10.625" customWidth="1"/>
    <col min="5" max="5" width="10.125" customWidth="1"/>
  </cols>
  <sheetData>
    <row r="1" spans="1:10" x14ac:dyDescent="0.15">
      <c r="B1" t="s">
        <v>157</v>
      </c>
      <c r="C1" t="s">
        <v>163</v>
      </c>
      <c r="D1" t="s">
        <v>162</v>
      </c>
      <c r="E1" t="s">
        <v>160</v>
      </c>
      <c r="F1" t="s">
        <v>159</v>
      </c>
      <c r="G1" t="s">
        <v>161</v>
      </c>
      <c r="H1" t="s">
        <v>158</v>
      </c>
      <c r="I1" t="s">
        <v>164</v>
      </c>
      <c r="J1" t="s">
        <v>19</v>
      </c>
    </row>
    <row r="2" spans="1:10" x14ac:dyDescent="0.15">
      <c r="A2" t="s">
        <v>115</v>
      </c>
      <c r="B2">
        <v>0.5</v>
      </c>
      <c r="C2">
        <f>450*(520+40+310+40+1560+100)/1000/1000</f>
        <v>1.1565000000000001</v>
      </c>
      <c r="D2">
        <f>450*(100+1560+180+100)/1000/1000</f>
        <v>0.873</v>
      </c>
      <c r="E2">
        <f>450*(310+1560+1560)/1000/1000</f>
        <v>1.5435000000000001</v>
      </c>
      <c r="F2">
        <f>450*(100*2+180+180*2+180*2)/1000/1000</f>
        <v>0.495</v>
      </c>
      <c r="G2">
        <f>1560*180/1000/1000</f>
        <v>0.28079999999999999</v>
      </c>
      <c r="H2">
        <f>40*(480+480+40+310+40+1560+520+100)/1000/1000</f>
        <v>0.14119999999999999</v>
      </c>
      <c r="I2">
        <f>1560*200/1000/1000</f>
        <v>0.312</v>
      </c>
      <c r="J2">
        <f t="shared" ref="J2:J15" si="0">SUM(B2:I2)</f>
        <v>5.3020000000000005</v>
      </c>
    </row>
    <row r="3" spans="1:10" x14ac:dyDescent="0.15">
      <c r="A3" t="s">
        <v>116</v>
      </c>
      <c r="B3">
        <f>5*(382*700)/1000/1000</f>
        <v>1.337</v>
      </c>
      <c r="C3">
        <f>350*(700+40*2+382*5)/1000/1000</f>
        <v>0.9415</v>
      </c>
      <c r="D3">
        <v>0</v>
      </c>
      <c r="E3">
        <v>0</v>
      </c>
      <c r="F3">
        <v>0</v>
      </c>
      <c r="G3">
        <v>0</v>
      </c>
      <c r="H3">
        <f>40*(700+40*2+382*5)/1000/1000</f>
        <v>0.1076</v>
      </c>
      <c r="I3">
        <v>0</v>
      </c>
      <c r="J3">
        <f t="shared" si="0"/>
        <v>2.3861000000000003</v>
      </c>
    </row>
    <row r="4" spans="1:10" x14ac:dyDescent="0.15">
      <c r="A4" t="s">
        <v>122</v>
      </c>
      <c r="B4">
        <f>0.5*2</f>
        <v>1</v>
      </c>
      <c r="C4">
        <f>350*(385+20+365+365+20+385+700)/1000/1000</f>
        <v>0.78400000000000003</v>
      </c>
      <c r="D4">
        <f>350*(385+365+400+400+365+385)/1000/1000</f>
        <v>0.80500000000000005</v>
      </c>
      <c r="E4">
        <f>350*(400+400+400*2+400*2)/1000/1000</f>
        <v>0.84</v>
      </c>
      <c r="F4">
        <f>350*(385*2+365*2)/1000/1000</f>
        <v>0.52500000000000002</v>
      </c>
      <c r="G4">
        <f>(2*385*400+2*365*400)/1000/1000</f>
        <v>0.6</v>
      </c>
      <c r="H4">
        <f>40*(365+20+385+700+40+400+400+40+700+385+20+365+400+400+385+365)/1000/1000</f>
        <v>0.21480000000000002</v>
      </c>
      <c r="I4">
        <v>0</v>
      </c>
      <c r="J4">
        <f t="shared" si="0"/>
        <v>4.7687999999999997</v>
      </c>
    </row>
    <row r="5" spans="1:10" x14ac:dyDescent="0.15">
      <c r="A5" t="s">
        <v>121</v>
      </c>
      <c r="B5">
        <f>2*400*840/1000/1000</f>
        <v>0.67200000000000004</v>
      </c>
      <c r="C5">
        <f>350*((100+840-520)+840+100)/1000/1000</f>
        <v>0.47599999999999998</v>
      </c>
      <c r="D5">
        <f>350*(100+100)/1000/1000</f>
        <v>7.0000000000000007E-2</v>
      </c>
      <c r="E5">
        <f>350*(400+400)/1000/1000</f>
        <v>0.28000000000000003</v>
      </c>
      <c r="F5">
        <v>0</v>
      </c>
      <c r="G5">
        <v>0</v>
      </c>
      <c r="H5">
        <f>40*(100+840-520+840+100)/1000/1000</f>
        <v>5.4399999999999997E-2</v>
      </c>
      <c r="I5">
        <v>0</v>
      </c>
      <c r="J5">
        <f t="shared" si="0"/>
        <v>1.5524000000000002</v>
      </c>
    </row>
    <row r="6" spans="1:10" x14ac:dyDescent="0.15">
      <c r="A6" t="s">
        <v>124</v>
      </c>
      <c r="B6">
        <v>3</v>
      </c>
      <c r="C6">
        <f>300*(1070+400)/1000/1000</f>
        <v>0.441</v>
      </c>
      <c r="D6">
        <f>300*(400+400)/1000/1000</f>
        <v>0.24</v>
      </c>
      <c r="E6">
        <f>300*355*6/1000/1000</f>
        <v>0.63900000000000001</v>
      </c>
      <c r="F6">
        <v>0</v>
      </c>
      <c r="G6">
        <f>355*6*400/1000/1000</f>
        <v>0.85199999999999998</v>
      </c>
      <c r="H6">
        <f>40*(400+1070+40+355*6+40+1070+400)/1000/1000</f>
        <v>0.20599999999999999</v>
      </c>
      <c r="I6">
        <v>0</v>
      </c>
      <c r="J6">
        <f t="shared" si="0"/>
        <v>5.378000000000001</v>
      </c>
    </row>
    <row r="7" spans="1:10" x14ac:dyDescent="0.15">
      <c r="A7" t="s">
        <v>123</v>
      </c>
      <c r="B7">
        <f>6*355*760/1000/1000</f>
        <v>1.6188</v>
      </c>
      <c r="C7">
        <f>450*(100+760+40+355*6)/1000/1000</f>
        <v>1.3634999999999999</v>
      </c>
      <c r="D7">
        <f>450*(100+100)/1000/1000</f>
        <v>0.09</v>
      </c>
      <c r="E7">
        <f>450*355*6/1000/1000</f>
        <v>0.95850000000000002</v>
      </c>
      <c r="F7">
        <v>0</v>
      </c>
      <c r="G7">
        <v>0</v>
      </c>
      <c r="H7">
        <f>40*(100+760+40+355*6+40+760+100)/1000/1000</f>
        <v>0.15719999999999998</v>
      </c>
      <c r="I7">
        <v>0</v>
      </c>
      <c r="J7">
        <f t="shared" si="0"/>
        <v>4.1879999999999997</v>
      </c>
    </row>
    <row r="8" spans="1:10" x14ac:dyDescent="0.15">
      <c r="A8" t="s">
        <v>46</v>
      </c>
      <c r="B8">
        <f>4*410*(1600+890)/1000/1000</f>
        <v>4.0835999999999997</v>
      </c>
      <c r="C8">
        <f>600*(100+1600+890+40+410*4+40+890+1600+100)/1000/1000</f>
        <v>4.1399999999999997</v>
      </c>
      <c r="D8">
        <f>600*(100+100)/1000/1000</f>
        <v>0.12</v>
      </c>
      <c r="E8">
        <f>600*(410*4)/1000/1000</f>
        <v>0.98399999999999999</v>
      </c>
      <c r="F8">
        <v>0</v>
      </c>
      <c r="G8">
        <v>0</v>
      </c>
      <c r="H8">
        <f>40*(100+1600+890+40+410*4+890+1600+100)/1000/1000</f>
        <v>0.27439999999999998</v>
      </c>
      <c r="I8">
        <v>0</v>
      </c>
      <c r="J8">
        <f t="shared" si="0"/>
        <v>9.6019999999999985</v>
      </c>
    </row>
    <row r="9" spans="1:10" x14ac:dyDescent="0.15">
      <c r="A9" t="s">
        <v>126</v>
      </c>
      <c r="B9">
        <v>0</v>
      </c>
      <c r="C9">
        <v>0</v>
      </c>
      <c r="D9">
        <f>255*(350+435+435+430+420+430+435+435+350)/1000/1000</f>
        <v>0.9486</v>
      </c>
      <c r="E9">
        <f>255*(430*2*2+420*2*3+430*2*2)/1000/1000</f>
        <v>1.5198</v>
      </c>
      <c r="F9">
        <f>255*(435+435-20-20)*2*2/1000/1000</f>
        <v>0.84660000000000002</v>
      </c>
      <c r="G9">
        <f>350*(430+20+420+20+430)/1000/1000+(430*435*4+420*(285+275+285))/1000/1000</f>
        <v>1.5650999999999999</v>
      </c>
      <c r="H9">
        <f>40*(350+20+435+20+435+40+430+20+420+20+430+40+435+20+435+20+350)/1000/1000+20*(430*2+420*2+435*2+20*2+435*2)/1000/1000</f>
        <v>0.22640000000000002</v>
      </c>
      <c r="I9">
        <v>0</v>
      </c>
      <c r="J9">
        <f t="shared" si="0"/>
        <v>5.1064999999999996</v>
      </c>
    </row>
    <row r="10" spans="1:10" x14ac:dyDescent="0.15">
      <c r="A10" t="s">
        <v>125</v>
      </c>
      <c r="B10">
        <f>440*770*3/1000/1000</f>
        <v>1.0164</v>
      </c>
      <c r="C10">
        <f>255*440*3/1000/1000</f>
        <v>0.33660000000000001</v>
      </c>
      <c r="D10">
        <v>0</v>
      </c>
      <c r="E10">
        <f>255*440*3/1000/1000</f>
        <v>0.33660000000000001</v>
      </c>
      <c r="F10">
        <v>0</v>
      </c>
      <c r="G10">
        <v>0</v>
      </c>
      <c r="H10">
        <f>40*(100+770+30+440*3+30+770+100)/1000/1000</f>
        <v>0.12479999999999999</v>
      </c>
      <c r="I10">
        <v>0</v>
      </c>
      <c r="J10">
        <f t="shared" si="0"/>
        <v>1.8144</v>
      </c>
    </row>
    <row r="11" spans="1:10" x14ac:dyDescent="0.15">
      <c r="A11" t="s">
        <v>49</v>
      </c>
      <c r="B11">
        <f>420*(1580+870)*2/1000/1000</f>
        <v>2.0579999999999998</v>
      </c>
      <c r="C11">
        <f>600*(100+1580+40+870+40)/1000/1000</f>
        <v>1.5780000000000001</v>
      </c>
      <c r="D11">
        <f>600*(100+100)/1000/1000</f>
        <v>0.12</v>
      </c>
      <c r="E11">
        <v>0</v>
      </c>
      <c r="F11">
        <v>0</v>
      </c>
      <c r="G11">
        <v>0</v>
      </c>
      <c r="H11">
        <f>40*(100+1580+40+870+40+420+420+40+870+40+1580+100)/1000/1000</f>
        <v>0.24399999999999999</v>
      </c>
      <c r="I11">
        <v>0</v>
      </c>
      <c r="J11">
        <f t="shared" si="0"/>
        <v>4</v>
      </c>
    </row>
    <row r="12" spans="1:10" x14ac:dyDescent="0.15">
      <c r="A12" t="s">
        <v>50</v>
      </c>
      <c r="B12">
        <f>(450*3+455)*2490/1000/1000</f>
        <v>4.4944499999999996</v>
      </c>
      <c r="C12">
        <v>0</v>
      </c>
      <c r="D12">
        <f>600*(100+100)/1000/1000</f>
        <v>0.12</v>
      </c>
      <c r="E12">
        <v>0</v>
      </c>
      <c r="F12">
        <v>0</v>
      </c>
      <c r="G12">
        <v>0</v>
      </c>
      <c r="H12">
        <f>40*(100+2490+40+2490+100)/1000/1000</f>
        <v>0.20880000000000001</v>
      </c>
      <c r="I12">
        <v>0</v>
      </c>
      <c r="J12">
        <f t="shared" si="0"/>
        <v>4.8232499999999998</v>
      </c>
    </row>
    <row r="13" spans="1:10" x14ac:dyDescent="0.15">
      <c r="A13" t="s">
        <v>45</v>
      </c>
      <c r="B13">
        <f>(295+290)*(870+1020)/1000/1000</f>
        <v>1.10565</v>
      </c>
      <c r="C13">
        <f>350*(100+870+30+350+1020+40+295+290+40+1020+350+30+870+100)/1000/1000</f>
        <v>1.89175</v>
      </c>
      <c r="D13">
        <f>600*(100+350+350+100)/1000/1000</f>
        <v>0.54</v>
      </c>
      <c r="E13">
        <f>600*(295+290)*3/1000/10000</f>
        <v>0.1053</v>
      </c>
      <c r="F13">
        <v>0</v>
      </c>
      <c r="G13">
        <f>350*(295+290)/1000/1000</f>
        <v>0.20474999999999999</v>
      </c>
      <c r="H13">
        <f>40*(100+870+30+350+1020+40+295+290+40+1020+350+30+870+100)/1000/1000+60*(100+870+30+350+1020+40)/1000/1000</f>
        <v>0.36080000000000001</v>
      </c>
      <c r="I13">
        <v>0</v>
      </c>
      <c r="J13">
        <f t="shared" si="0"/>
        <v>4.2082500000000005</v>
      </c>
    </row>
    <row r="14" spans="1:10" x14ac:dyDescent="0.15">
      <c r="A14" t="s">
        <v>119</v>
      </c>
      <c r="B14">
        <v>0</v>
      </c>
      <c r="C14">
        <f>600*(40+820+40)/1000/1000</f>
        <v>0.54</v>
      </c>
      <c r="D14">
        <f>600*(100+500+820+500+100)/1000/1000</f>
        <v>1.212</v>
      </c>
      <c r="E14">
        <v>0</v>
      </c>
      <c r="F14">
        <v>0</v>
      </c>
      <c r="G14">
        <v>0</v>
      </c>
      <c r="H14">
        <f>40*(100+500+180+40+820+40+180+500+100)/1000/1000</f>
        <v>9.8400000000000001E-2</v>
      </c>
      <c r="I14">
        <f>820*180/1000/1000</f>
        <v>0.14759999999999998</v>
      </c>
      <c r="J14">
        <f t="shared" si="0"/>
        <v>1.998</v>
      </c>
    </row>
    <row r="15" spans="1:10" x14ac:dyDescent="0.15">
      <c r="A15" t="s">
        <v>166</v>
      </c>
      <c r="B15">
        <v>0</v>
      </c>
      <c r="C15">
        <v>0</v>
      </c>
      <c r="D15">
        <v>0</v>
      </c>
      <c r="E15">
        <f>600*(720*2+900*2+720*2)/1000/1000</f>
        <v>2.8079999999999998</v>
      </c>
      <c r="F15">
        <f>600*350*2/1000/1000</f>
        <v>0.42</v>
      </c>
      <c r="G15">
        <v>0</v>
      </c>
      <c r="H15">
        <f>20*(720+900+720)/1000/1000</f>
        <v>4.6799999999999994E-2</v>
      </c>
      <c r="I15">
        <v>0</v>
      </c>
      <c r="J15">
        <f t="shared" si="0"/>
        <v>3.2747999999999999</v>
      </c>
    </row>
    <row r="17" spans="1:11" x14ac:dyDescent="0.15">
      <c r="A17" t="s">
        <v>167</v>
      </c>
      <c r="J17">
        <f>5.47*(50+60)/1000</f>
        <v>0.6016999999999999</v>
      </c>
      <c r="K17" t="s">
        <v>167</v>
      </c>
    </row>
    <row r="18" spans="1:11" x14ac:dyDescent="0.15">
      <c r="A18" t="s">
        <v>168</v>
      </c>
      <c r="J18">
        <f>4.98*(120+60)/1000</f>
        <v>0.89640000000000009</v>
      </c>
      <c r="K18" t="s">
        <v>168</v>
      </c>
    </row>
    <row r="19" spans="1:11" x14ac:dyDescent="0.15">
      <c r="A19" t="s">
        <v>169</v>
      </c>
      <c r="J19">
        <f>6.81*(220+60+60)/1000</f>
        <v>2.3153999999999999</v>
      </c>
      <c r="K19" t="s">
        <v>169</v>
      </c>
    </row>
    <row r="20" spans="1:11" x14ac:dyDescent="0.15">
      <c r="A20" t="s">
        <v>170</v>
      </c>
      <c r="J20">
        <f>(2100*2+880)*(210+60+60)/1000/1000</f>
        <v>1.6764000000000001</v>
      </c>
      <c r="K20" t="s">
        <v>170</v>
      </c>
    </row>
    <row r="21" spans="1:11" x14ac:dyDescent="0.15">
      <c r="A21" t="s">
        <v>171</v>
      </c>
      <c r="J21">
        <f>(2100*2+850)*(210+60+60)/1000/1000</f>
        <v>1.6665000000000001</v>
      </c>
      <c r="K21" t="s">
        <v>171</v>
      </c>
    </row>
    <row r="22" spans="1:11" x14ac:dyDescent="0.15">
      <c r="A22" t="s">
        <v>172</v>
      </c>
      <c r="J22">
        <f>(2100*2+850)*(130+60+60)/1000/1000</f>
        <v>1.2625</v>
      </c>
      <c r="K22" t="s">
        <v>172</v>
      </c>
    </row>
    <row r="25" spans="1:11" x14ac:dyDescent="0.15">
      <c r="B25">
        <f>SUM(B2:B23)</f>
        <v>20.885900000000003</v>
      </c>
      <c r="J25">
        <f>SUM(J2:J23)</f>
        <v>66.821399999999997</v>
      </c>
    </row>
    <row r="26" spans="1:11" x14ac:dyDescent="0.15">
      <c r="B26">
        <v>20.260000000000002</v>
      </c>
      <c r="J26">
        <v>66.95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地面数据</vt:lpstr>
      <vt:lpstr>墙面</vt:lpstr>
      <vt:lpstr>敲墙</vt:lpstr>
      <vt:lpstr>砌墙</vt:lpstr>
      <vt:lpstr>顶面</vt:lpstr>
      <vt:lpstr>家具</vt:lpstr>
      <vt:lpstr>油漆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2017-11-18T12:19:29Z</dcterms:created>
  <dcterms:modified xsi:type="dcterms:W3CDTF">2017-12-01T09:53:52Z</dcterms:modified>
</cp:coreProperties>
</file>