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7540" yWindow="0" windowWidth="18840" windowHeight="20880" tabRatio="500"/>
  </bookViews>
  <sheets>
    <sheet name="CTD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E34" i="1"/>
  <c r="E33" i="1"/>
  <c r="E32" i="1"/>
  <c r="E31" i="1"/>
  <c r="E30" i="1"/>
  <c r="E29" i="1"/>
  <c r="E27" i="1"/>
  <c r="E26" i="1"/>
  <c r="E25" i="1"/>
  <c r="E24" i="1"/>
  <c r="E23" i="1"/>
  <c r="E22" i="1"/>
  <c r="E20" i="1"/>
  <c r="E19" i="1"/>
  <c r="E18" i="1"/>
  <c r="E17" i="1"/>
  <c r="E16" i="1"/>
  <c r="E15" i="1"/>
  <c r="E13" i="1"/>
  <c r="E12" i="1"/>
  <c r="E11" i="1"/>
  <c r="E10" i="1"/>
  <c r="E9" i="1"/>
  <c r="E8" i="1"/>
  <c r="E6" i="1"/>
  <c r="E5" i="1"/>
  <c r="E4" i="1"/>
  <c r="E3" i="1"/>
  <c r="F29" i="1"/>
  <c r="F30" i="1"/>
  <c r="F31" i="1"/>
  <c r="F32" i="1"/>
  <c r="F33" i="1"/>
  <c r="F34" i="1"/>
  <c r="F22" i="1"/>
  <c r="F23" i="1"/>
  <c r="F24" i="1"/>
  <c r="F25" i="1"/>
  <c r="F26" i="1"/>
  <c r="F27" i="1"/>
  <c r="F15" i="1"/>
  <c r="F16" i="1"/>
  <c r="F17" i="1"/>
  <c r="F18" i="1"/>
  <c r="F19" i="1"/>
  <c r="F20" i="1"/>
  <c r="F9" i="1"/>
  <c r="F10" i="1"/>
  <c r="F11" i="1"/>
  <c r="F12" i="1"/>
  <c r="F13" i="1"/>
  <c r="F3" i="1"/>
  <c r="F4" i="1"/>
  <c r="F5" i="1"/>
  <c r="F6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<sst xmlns="http://schemas.openxmlformats.org/spreadsheetml/2006/main" count="53" uniqueCount="46">
  <si>
    <t>F#</t>
  </si>
  <si>
    <t>Date</t>
  </si>
  <si>
    <t>time</t>
  </si>
  <si>
    <t>depth</t>
  </si>
  <si>
    <t>Temperature</t>
  </si>
  <si>
    <t>Salinity</t>
  </si>
  <si>
    <t>Latitude</t>
  </si>
  <si>
    <t>Longitude</t>
  </si>
  <si>
    <t>Cs137 (Bq/m^3)</t>
  </si>
  <si>
    <t>Error (±Bq/m^3)</t>
  </si>
  <si>
    <t>Cs134 (Bq/m^3)</t>
  </si>
  <si>
    <t>F1002</t>
  </si>
  <si>
    <t>F1006</t>
  </si>
  <si>
    <t>F1007</t>
  </si>
  <si>
    <t>F1008</t>
  </si>
  <si>
    <t>F1009</t>
  </si>
  <si>
    <t>F1013</t>
  </si>
  <si>
    <t>F1017</t>
  </si>
  <si>
    <t>F1018</t>
  </si>
  <si>
    <t>F1019</t>
  </si>
  <si>
    <t>F1020</t>
  </si>
  <si>
    <t>F1021</t>
  </si>
  <si>
    <t>bd</t>
  </si>
  <si>
    <t>-</t>
  </si>
  <si>
    <t>F1022</t>
  </si>
  <si>
    <t>F1023</t>
  </si>
  <si>
    <t>F1027</t>
  </si>
  <si>
    <t>F1028</t>
  </si>
  <si>
    <t>F1029</t>
  </si>
  <si>
    <t>F1030</t>
  </si>
  <si>
    <t>F1031</t>
  </si>
  <si>
    <t>F1032</t>
  </si>
  <si>
    <t>F1048</t>
  </si>
  <si>
    <t>F1052</t>
  </si>
  <si>
    <t>F1053</t>
  </si>
  <si>
    <t>F1054</t>
  </si>
  <si>
    <t>F1055</t>
  </si>
  <si>
    <t>F1056</t>
  </si>
  <si>
    <t>F1057</t>
  </si>
  <si>
    <t>F1068</t>
  </si>
  <si>
    <t>F1072</t>
  </si>
  <si>
    <t>F1073</t>
  </si>
  <si>
    <t>F1074</t>
  </si>
  <si>
    <t>F1075</t>
  </si>
  <si>
    <t>F1076</t>
  </si>
  <si>
    <t>F1077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</si>
</sst>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Fill="1" applyAlignment="1">
      <alignment horizontal="center"/>
    </xf>
    <xf numFmtId="14" fontId="1" fillId="0" borderId="0" xfId="0" applyNumberFormat="1" applyFont="1" applyFill="1" applyBorder="1" applyAlignment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/>
    <xf numFmtId="2" fontId="0" fillId="0" borderId="0" xfId="0" applyNumberFormat="1" applyFont="1" applyFill="1" applyAlignment="1">
      <alignment horizontal="center"/>
    </xf>
    <xf numFmtId="0" fontId="0" fillId="0" borderId="0" xfId="0" applyFont="1"/>
    <xf numFmtId="20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F28" sqref="F28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9</v>
      </c>
    </row>
    <row r="2" spans="1:12" s="4" customFormat="1">
      <c r="A2" s="2" t="s">
        <v>11</v>
      </c>
      <c r="B2" s="3">
        <v>41040</v>
      </c>
      <c r="D2" s="5">
        <v>3</v>
      </c>
      <c r="E2" s="4">
        <v>14.6</v>
      </c>
      <c r="F2" s="4">
        <v>34.24</v>
      </c>
      <c r="G2" s="6">
        <f>37+(29.997/60)</f>
        <v>37.499949999999998</v>
      </c>
      <c r="H2" s="6">
        <f>141+(29.899/60)</f>
        <v>141.49831666666665</v>
      </c>
      <c r="I2" s="7">
        <v>4.3362733755614782</v>
      </c>
      <c r="J2" s="7">
        <v>0.30444499493909449</v>
      </c>
      <c r="K2" s="7">
        <v>2.4525081012288537</v>
      </c>
      <c r="L2" s="7">
        <v>0.40326187066628655</v>
      </c>
    </row>
    <row r="3" spans="1:12" s="4" customFormat="1">
      <c r="A3" s="2" t="s">
        <v>12</v>
      </c>
      <c r="B3" s="3">
        <v>41040</v>
      </c>
      <c r="C3" s="10">
        <v>0.82638888888888884</v>
      </c>
      <c r="D3" s="5">
        <v>20</v>
      </c>
      <c r="E3">
        <f>(14.4468+14.4498)/2</f>
        <v>14.4483</v>
      </c>
      <c r="F3">
        <f>(34.3573+34.362)/2</f>
        <v>34.359650000000002</v>
      </c>
      <c r="G3" s="6">
        <f>37+(29.997/60)</f>
        <v>37.499949999999998</v>
      </c>
      <c r="H3" s="6">
        <f>141+(29.899/60)</f>
        <v>141.49831666666665</v>
      </c>
      <c r="I3" s="7">
        <v>4.3650235624830911</v>
      </c>
      <c r="J3" s="7">
        <v>0.49919459864409271</v>
      </c>
      <c r="K3" s="7">
        <v>2.9611292965455727</v>
      </c>
      <c r="L3" s="7">
        <v>0.71954416032079938</v>
      </c>
    </row>
    <row r="4" spans="1:12" s="4" customFormat="1">
      <c r="A4" s="2" t="s">
        <v>13</v>
      </c>
      <c r="B4" s="3">
        <v>41040</v>
      </c>
      <c r="C4" s="10">
        <v>0.82500000000000007</v>
      </c>
      <c r="D4" s="5">
        <v>50</v>
      </c>
      <c r="E4">
        <f>(6.9787+7.1702+6.6671)/3</f>
        <v>6.9386666666666672</v>
      </c>
      <c r="F4">
        <f>(33.573+33.6118+33.5365)/3</f>
        <v>33.573766666666664</v>
      </c>
      <c r="G4" s="6">
        <f>37+(29.997/60)</f>
        <v>37.499949999999998</v>
      </c>
      <c r="H4" s="6">
        <f>141+(29.899/60)</f>
        <v>141.49831666666665</v>
      </c>
      <c r="I4" s="7">
        <v>9.7970947730555231</v>
      </c>
      <c r="J4" s="7">
        <v>0.56416296123570608</v>
      </c>
      <c r="K4" s="7">
        <v>7.9366975364036882</v>
      </c>
      <c r="L4" s="7">
        <v>0.69206895665782076</v>
      </c>
    </row>
    <row r="5" spans="1:12" s="4" customFormat="1">
      <c r="A5" s="2" t="s">
        <v>14</v>
      </c>
      <c r="B5" s="3">
        <v>41040</v>
      </c>
      <c r="C5" s="10">
        <v>0.82361111111111107</v>
      </c>
      <c r="D5" s="5">
        <v>100</v>
      </c>
      <c r="E5">
        <f>(5.7758+5.7995+5.7995)/3</f>
        <v>5.7915999999999999</v>
      </c>
      <c r="F5">
        <f>(33.5226+33.525+33.5256)/3</f>
        <v>33.524399999999993</v>
      </c>
      <c r="G5" s="6">
        <f>37+(29.997/60)</f>
        <v>37.499949999999998</v>
      </c>
      <c r="H5" s="6">
        <f>141+(29.899/60)</f>
        <v>141.49831666666665</v>
      </c>
      <c r="I5" s="7">
        <v>6.767264986236599</v>
      </c>
      <c r="J5" s="7">
        <v>0.47577097543058455</v>
      </c>
      <c r="K5" s="7">
        <v>5.8171998478765126</v>
      </c>
      <c r="L5" s="7">
        <v>0.63661071678115766</v>
      </c>
    </row>
    <row r="6" spans="1:12" s="4" customFormat="1">
      <c r="A6" s="2" t="s">
        <v>15</v>
      </c>
      <c r="B6" s="3">
        <v>41040</v>
      </c>
      <c r="C6" s="10">
        <v>0.82291666666666663</v>
      </c>
      <c r="D6" s="5">
        <v>130</v>
      </c>
      <c r="E6">
        <f>(6.0091+5.91+5.9526)/3</f>
        <v>5.9572333333333338</v>
      </c>
      <c r="F6">
        <f>(33.6225+33.6025+33.6112)/3</f>
        <v>33.612066666666664</v>
      </c>
      <c r="G6" s="6">
        <f>37+(29.997/60)</f>
        <v>37.499949999999998</v>
      </c>
      <c r="H6" s="6">
        <f>141+(29.899/60)</f>
        <v>141.49831666666665</v>
      </c>
      <c r="I6" s="7">
        <v>3.2668089746596634</v>
      </c>
      <c r="J6" s="7">
        <v>0.41483534886364937</v>
      </c>
      <c r="K6" s="7">
        <v>1.2152540302497008</v>
      </c>
      <c r="L6" s="7">
        <v>0.59168150432162514</v>
      </c>
    </row>
    <row r="7" spans="1:12" s="4" customFormat="1">
      <c r="A7" s="2" t="s">
        <v>16</v>
      </c>
      <c r="B7" s="3">
        <v>41041</v>
      </c>
      <c r="D7" s="5">
        <v>3</v>
      </c>
      <c r="E7" s="4">
        <v>15.2</v>
      </c>
      <c r="F7" s="4">
        <v>34.32</v>
      </c>
      <c r="G7" s="8">
        <f t="shared" ref="G7:G13" si="0">36+(40.537/60)</f>
        <v>36.67561666666667</v>
      </c>
      <c r="H7" s="6">
        <f t="shared" ref="H7:H13" si="1">141+(27.808/60)</f>
        <v>141.46346666666668</v>
      </c>
      <c r="I7" s="7">
        <v>3.110106711115626</v>
      </c>
      <c r="J7" s="7">
        <v>0.34404922043247277</v>
      </c>
      <c r="K7" s="7">
        <v>1.7664248857678859</v>
      </c>
      <c r="L7" s="7">
        <v>0.45910099101293522</v>
      </c>
    </row>
    <row r="8" spans="1:12" s="4" customFormat="1">
      <c r="A8" s="2" t="s">
        <v>17</v>
      </c>
      <c r="B8" s="3">
        <v>41041</v>
      </c>
      <c r="C8" s="10">
        <v>0.29791666666666666</v>
      </c>
      <c r="D8" s="5">
        <v>20</v>
      </c>
      <c r="E8">
        <f>(14.9595+14.9589)/2</f>
        <v>14.959199999999999</v>
      </c>
      <c r="F8">
        <f>(34.443+34.4433)/2</f>
        <v>34.443150000000003</v>
      </c>
      <c r="G8" s="8">
        <f t="shared" si="0"/>
        <v>36.67561666666667</v>
      </c>
      <c r="H8" s="6">
        <f t="shared" si="1"/>
        <v>141.46346666666668</v>
      </c>
      <c r="I8" s="7">
        <v>3.010507592482107</v>
      </c>
      <c r="J8" s="7">
        <v>0.40222015098494246</v>
      </c>
      <c r="K8" s="7">
        <v>1.7922060554287285</v>
      </c>
      <c r="L8" s="7">
        <v>0.61914139661051293</v>
      </c>
    </row>
    <row r="9" spans="1:12" s="4" customFormat="1">
      <c r="A9" s="2" t="s">
        <v>18</v>
      </c>
      <c r="B9" s="3">
        <v>41041</v>
      </c>
      <c r="C9" s="10">
        <v>0.29652777777777778</v>
      </c>
      <c r="D9" s="5">
        <v>50</v>
      </c>
      <c r="E9">
        <f>(13.1291+13.5126)/2</f>
        <v>13.32085</v>
      </c>
      <c r="F9">
        <f>(34.4199+34.4251)/2</f>
        <v>34.422499999999999</v>
      </c>
      <c r="G9" s="8">
        <f t="shared" si="0"/>
        <v>36.67561666666667</v>
      </c>
      <c r="H9" s="6">
        <f t="shared" si="1"/>
        <v>141.46346666666668</v>
      </c>
      <c r="I9" s="7">
        <v>3.9006629871790248</v>
      </c>
      <c r="J9" s="7">
        <v>0.37143672868638933</v>
      </c>
      <c r="K9" s="7">
        <v>2.4525101100318683</v>
      </c>
      <c r="L9" s="7">
        <v>0.477146711906271</v>
      </c>
    </row>
    <row r="10" spans="1:12" s="4" customFormat="1">
      <c r="A10" s="2" t="s">
        <v>19</v>
      </c>
      <c r="B10" s="3">
        <v>41041</v>
      </c>
      <c r="C10" s="10">
        <v>0.29583333333333334</v>
      </c>
      <c r="D10" s="5">
        <v>100</v>
      </c>
      <c r="E10">
        <f>(10.9811+10.9782)/2</f>
        <v>10.979649999999999</v>
      </c>
      <c r="F10">
        <f>(34.2578+34.2606)/2</f>
        <v>34.2592</v>
      </c>
      <c r="G10" s="8">
        <f t="shared" si="0"/>
        <v>36.67561666666667</v>
      </c>
      <c r="H10" s="6">
        <f t="shared" si="1"/>
        <v>141.46346666666668</v>
      </c>
      <c r="I10" s="7">
        <v>8.4908804201424868</v>
      </c>
      <c r="J10" s="7">
        <v>0.59776340896275137</v>
      </c>
      <c r="K10" s="7">
        <v>6.8600441604626088</v>
      </c>
      <c r="L10" s="7">
        <v>0.82560961847899217</v>
      </c>
    </row>
    <row r="11" spans="1:12" s="4" customFormat="1">
      <c r="A11" s="2" t="s">
        <v>20</v>
      </c>
      <c r="B11" s="3">
        <v>41041</v>
      </c>
      <c r="C11" s="10">
        <v>0.29444444444444445</v>
      </c>
      <c r="D11" s="5">
        <v>200</v>
      </c>
      <c r="E11">
        <f>(6.8427+6.8574)/2</f>
        <v>6.8500499999999995</v>
      </c>
      <c r="F11">
        <f>(33.862+33.8646)/2</f>
        <v>33.863300000000002</v>
      </c>
      <c r="G11" s="8">
        <f t="shared" si="0"/>
        <v>36.67561666666667</v>
      </c>
      <c r="H11" s="6">
        <f t="shared" si="1"/>
        <v>141.46346666666668</v>
      </c>
      <c r="I11" s="7">
        <v>4.5059892925437088</v>
      </c>
      <c r="J11" s="7">
        <v>0.39478458302122166</v>
      </c>
      <c r="K11" s="7">
        <v>3.7456367485413429</v>
      </c>
      <c r="L11" s="7">
        <v>0.54248439567128126</v>
      </c>
    </row>
    <row r="12" spans="1:12" s="4" customFormat="1">
      <c r="A12" s="2" t="s">
        <v>21</v>
      </c>
      <c r="B12" s="3">
        <v>41041</v>
      </c>
      <c r="C12" s="10">
        <v>0.29166666666666669</v>
      </c>
      <c r="D12" s="5">
        <v>400</v>
      </c>
      <c r="E12">
        <f>(4.3948+4.3904)/2</f>
        <v>4.3925999999999998</v>
      </c>
      <c r="F12">
        <f>(33.834+33.8321)/2</f>
        <v>33.83305</v>
      </c>
      <c r="G12" s="8">
        <f t="shared" si="0"/>
        <v>36.67561666666667</v>
      </c>
      <c r="H12" s="6">
        <f t="shared" si="1"/>
        <v>141.46346666666668</v>
      </c>
      <c r="I12" s="7">
        <v>0.99760616091278487</v>
      </c>
      <c r="J12" s="7">
        <v>0.31159328948708359</v>
      </c>
      <c r="K12" s="7" t="s">
        <v>22</v>
      </c>
      <c r="L12" s="7" t="s">
        <v>23</v>
      </c>
    </row>
    <row r="13" spans="1:12" s="4" customFormat="1">
      <c r="A13" s="2" t="s">
        <v>24</v>
      </c>
      <c r="B13" s="3">
        <v>41041</v>
      </c>
      <c r="C13" s="10">
        <v>0.28888888888888892</v>
      </c>
      <c r="D13" s="5">
        <v>600</v>
      </c>
      <c r="E13">
        <f>(3.8024+3.8105)/2</f>
        <v>3.8064499999999999</v>
      </c>
      <c r="F13">
        <f>(34.1435+34.1473)/2</f>
        <v>34.145400000000002</v>
      </c>
      <c r="G13" s="8">
        <f t="shared" si="0"/>
        <v>36.67561666666667</v>
      </c>
      <c r="H13" s="6">
        <f t="shared" si="1"/>
        <v>141.46346666666668</v>
      </c>
      <c r="I13" s="7">
        <v>0.80426779697123707</v>
      </c>
      <c r="J13" s="7">
        <v>0.22600939708892323</v>
      </c>
      <c r="K13" s="7" t="s">
        <v>22</v>
      </c>
      <c r="L13" s="7" t="s">
        <v>23</v>
      </c>
    </row>
    <row r="14" spans="1:12" s="4" customFormat="1">
      <c r="A14" s="2" t="s">
        <v>25</v>
      </c>
      <c r="B14" s="3">
        <v>41044</v>
      </c>
      <c r="D14" s="5">
        <v>3</v>
      </c>
      <c r="E14" s="4">
        <v>13.9</v>
      </c>
      <c r="F14" s="4">
        <v>34.133299999999998</v>
      </c>
      <c r="G14" s="8">
        <f t="shared" ref="G14:G20" si="2">37+(30.033/60)</f>
        <v>37.500549999999997</v>
      </c>
      <c r="H14" s="6">
        <f t="shared" ref="H14:H20" si="3">142+(0.165/60)</f>
        <v>142.00274999999999</v>
      </c>
      <c r="I14" s="7">
        <v>6.1660064964987633</v>
      </c>
      <c r="J14" s="7">
        <v>0.47146529179504937</v>
      </c>
      <c r="K14" s="7">
        <v>5.0586294558548417</v>
      </c>
      <c r="L14" s="7">
        <v>0.61151477288475498</v>
      </c>
    </row>
    <row r="15" spans="1:12" s="4" customFormat="1">
      <c r="A15" s="2" t="s">
        <v>26</v>
      </c>
      <c r="B15" s="3">
        <v>41044</v>
      </c>
      <c r="C15" s="10">
        <v>0.22916666666666666</v>
      </c>
      <c r="D15" s="5">
        <v>20</v>
      </c>
      <c r="E15" s="9">
        <f>(13.0578+13.0462)/2</f>
        <v>13.052</v>
      </c>
      <c r="F15" s="9">
        <f>(34.313+34.3149)/2</f>
        <v>34.313950000000006</v>
      </c>
      <c r="G15" s="8">
        <f t="shared" si="2"/>
        <v>37.500549999999997</v>
      </c>
      <c r="H15" s="6">
        <f t="shared" si="3"/>
        <v>142.00274999999999</v>
      </c>
      <c r="I15" s="7">
        <v>5.4198633685511624</v>
      </c>
      <c r="J15" s="7">
        <v>0.41493682483452776</v>
      </c>
      <c r="K15" s="7">
        <v>3.9817178326997169</v>
      </c>
      <c r="L15" s="7">
        <v>0.53514822043642307</v>
      </c>
    </row>
    <row r="16" spans="1:12" s="4" customFormat="1">
      <c r="A16" s="2" t="s">
        <v>27</v>
      </c>
      <c r="B16" s="3">
        <v>41044</v>
      </c>
      <c r="C16" s="10">
        <v>0.22847222222222222</v>
      </c>
      <c r="D16" s="5">
        <v>50</v>
      </c>
      <c r="E16" s="9">
        <f>(12.3567+12.3517)/2</f>
        <v>12.354199999999999</v>
      </c>
      <c r="F16" s="9">
        <f>(34.2873+34.2911)/2</f>
        <v>34.289200000000001</v>
      </c>
      <c r="G16" s="8">
        <f t="shared" si="2"/>
        <v>37.500549999999997</v>
      </c>
      <c r="H16" s="6">
        <f t="shared" si="3"/>
        <v>142.00274999999999</v>
      </c>
      <c r="I16" s="7">
        <v>5.6953796896008368</v>
      </c>
      <c r="J16" s="7">
        <v>0.49289357129238826</v>
      </c>
      <c r="K16" s="7">
        <v>4.6461498898604265</v>
      </c>
      <c r="L16" s="7">
        <v>0.69356423572166603</v>
      </c>
    </row>
    <row r="17" spans="1:12" s="4" customFormat="1">
      <c r="A17" s="2" t="s">
        <v>28</v>
      </c>
      <c r="B17" s="3">
        <v>41044</v>
      </c>
      <c r="C17" s="10">
        <v>0.22708333333333333</v>
      </c>
      <c r="D17" s="5">
        <v>100</v>
      </c>
      <c r="E17" s="9">
        <f>(8.7108+8.7363)/2</f>
        <v>8.7235499999999995</v>
      </c>
      <c r="F17" s="9">
        <f>(34.048+34.0532)/2</f>
        <v>34.050600000000003</v>
      </c>
      <c r="G17" s="8">
        <f t="shared" si="2"/>
        <v>37.500549999999997</v>
      </c>
      <c r="H17" s="6">
        <f t="shared" si="3"/>
        <v>142.00274999999999</v>
      </c>
      <c r="I17" s="7">
        <v>5.4275507563425496</v>
      </c>
      <c r="J17" s="7">
        <v>0.4197181535023749</v>
      </c>
      <c r="K17" s="7">
        <v>3.7488056188505876</v>
      </c>
      <c r="L17" s="7">
        <v>0.52240756458441484</v>
      </c>
    </row>
    <row r="18" spans="1:12" s="4" customFormat="1">
      <c r="A18" s="2" t="s">
        <v>29</v>
      </c>
      <c r="B18" s="3">
        <v>41044</v>
      </c>
      <c r="C18" s="10">
        <v>0.22569444444444445</v>
      </c>
      <c r="D18" s="5">
        <v>200</v>
      </c>
      <c r="E18" s="9">
        <f>(5.5861+5.591)/2</f>
        <v>5.5885499999999997</v>
      </c>
      <c r="F18" s="9">
        <f>(33.721+33.7218)/2</f>
        <v>33.721400000000003</v>
      </c>
      <c r="G18" s="8">
        <f t="shared" si="2"/>
        <v>37.500549999999997</v>
      </c>
      <c r="H18" s="6">
        <f t="shared" si="3"/>
        <v>142.00274999999999</v>
      </c>
      <c r="I18" s="7">
        <v>4.606704304928777</v>
      </c>
      <c r="J18" s="7">
        <v>0.45038610316380367</v>
      </c>
      <c r="K18" s="7">
        <v>3.4223477647281437</v>
      </c>
      <c r="L18" s="7">
        <v>0.6125178993979723</v>
      </c>
    </row>
    <row r="19" spans="1:12" s="4" customFormat="1">
      <c r="A19" s="2" t="s">
        <v>30</v>
      </c>
      <c r="B19" s="3">
        <v>41044</v>
      </c>
      <c r="C19" s="10">
        <v>0.22361111111111109</v>
      </c>
      <c r="D19" s="5">
        <v>400</v>
      </c>
      <c r="E19" s="9">
        <f>(4.0052+3.9956)/2</f>
        <v>4.0004</v>
      </c>
      <c r="F19" s="9">
        <f>(33.8839+33.8847)/2</f>
        <v>33.884299999999996</v>
      </c>
      <c r="G19" s="8">
        <f t="shared" si="2"/>
        <v>37.500549999999997</v>
      </c>
      <c r="H19" s="6">
        <f t="shared" si="3"/>
        <v>142.00274999999999</v>
      </c>
      <c r="I19" s="7">
        <v>0.99851660475074699</v>
      </c>
      <c r="J19" s="7">
        <v>0.17131518862417094</v>
      </c>
      <c r="K19" s="7" t="s">
        <v>22</v>
      </c>
      <c r="L19" s="7" t="s">
        <v>23</v>
      </c>
    </row>
    <row r="20" spans="1:12" s="4" customFormat="1">
      <c r="A20" s="2" t="s">
        <v>31</v>
      </c>
      <c r="B20" s="3">
        <v>41044</v>
      </c>
      <c r="C20" s="10">
        <v>0.22152777777777777</v>
      </c>
      <c r="D20" s="5">
        <v>520</v>
      </c>
      <c r="E20" s="9">
        <f>(3.8568+3.8558)/2</f>
        <v>3.8563000000000001</v>
      </c>
      <c r="F20" s="9">
        <f>(34.0651+34.066)/2</f>
        <v>34.065550000000002</v>
      </c>
      <c r="G20" s="8">
        <f t="shared" si="2"/>
        <v>37.500549999999997</v>
      </c>
      <c r="H20" s="6">
        <f t="shared" si="3"/>
        <v>142.00274999999999</v>
      </c>
      <c r="I20" s="7">
        <v>1.0630308244016722</v>
      </c>
      <c r="J20" s="7">
        <v>0.23229050297516177</v>
      </c>
      <c r="K20" s="7" t="s">
        <v>22</v>
      </c>
      <c r="L20" s="7" t="s">
        <v>23</v>
      </c>
    </row>
    <row r="21" spans="1:12" s="4" customFormat="1">
      <c r="A21" s="2" t="s">
        <v>32</v>
      </c>
      <c r="B21" s="3">
        <v>41045</v>
      </c>
      <c r="D21" s="5">
        <v>3</v>
      </c>
      <c r="E21" s="4">
        <v>16.0444</v>
      </c>
      <c r="F21" s="4">
        <v>34.141109999999998</v>
      </c>
      <c r="G21" s="8">
        <f t="shared" ref="G21:G27" si="4">36+(59.982/60)</f>
        <v>36.999699999999997</v>
      </c>
      <c r="H21" s="6">
        <f t="shared" ref="H21:H27" si="5">141+(29.759/60)</f>
        <v>141.49598333333333</v>
      </c>
      <c r="I21" s="7">
        <v>4.2652533045642045</v>
      </c>
      <c r="J21" s="7">
        <v>0.27745825176488514</v>
      </c>
      <c r="K21" s="7">
        <v>2.6244033867492993</v>
      </c>
      <c r="L21" s="7">
        <v>0.35610117174035011</v>
      </c>
    </row>
    <row r="22" spans="1:12" s="4" customFormat="1">
      <c r="A22" s="2" t="s">
        <v>33</v>
      </c>
      <c r="B22" s="3">
        <v>41045</v>
      </c>
      <c r="C22" s="10">
        <v>0.48958333333333331</v>
      </c>
      <c r="D22" s="5">
        <v>20</v>
      </c>
      <c r="E22" s="9">
        <f>(13.6557+13.6656)/2</f>
        <v>13.66065</v>
      </c>
      <c r="F22" s="9">
        <f>(34.3086+34.3102)/2</f>
        <v>34.309399999999997</v>
      </c>
      <c r="G22" s="8">
        <f t="shared" si="4"/>
        <v>36.999699999999997</v>
      </c>
      <c r="H22" s="6">
        <f t="shared" si="5"/>
        <v>141.49598333333333</v>
      </c>
      <c r="I22" s="7">
        <v>4.8479931452615901</v>
      </c>
      <c r="J22" s="7">
        <v>0.49154825497479671</v>
      </c>
      <c r="K22" s="7">
        <v>3.1392419632175139</v>
      </c>
      <c r="L22" s="7">
        <v>0.67481424541626922</v>
      </c>
    </row>
    <row r="23" spans="1:12" s="4" customFormat="1">
      <c r="A23" s="2" t="s">
        <v>34</v>
      </c>
      <c r="B23" s="3">
        <v>41045</v>
      </c>
      <c r="C23" s="10">
        <v>0.48888888888888887</v>
      </c>
      <c r="D23" s="5">
        <v>50</v>
      </c>
      <c r="E23" s="9">
        <f>(13.1551+13.1536)/2</f>
        <v>13.154350000000001</v>
      </c>
      <c r="F23" s="9">
        <f>(34.3665+34.367)/2</f>
        <v>34.366749999999996</v>
      </c>
      <c r="G23" s="8">
        <f t="shared" si="4"/>
        <v>36.999699999999997</v>
      </c>
      <c r="H23" s="6">
        <f t="shared" si="5"/>
        <v>141.49598333333333</v>
      </c>
      <c r="I23" s="7">
        <v>4.3649515722510657</v>
      </c>
      <c r="J23" s="7">
        <v>0.37648080543804868</v>
      </c>
      <c r="K23" s="7">
        <v>3.3274445680349851</v>
      </c>
      <c r="L23" s="7">
        <v>0.49563136875579633</v>
      </c>
    </row>
    <row r="24" spans="1:12" s="4" customFormat="1">
      <c r="A24" s="2" t="s">
        <v>35</v>
      </c>
      <c r="B24" s="3">
        <v>41045</v>
      </c>
      <c r="C24" s="10">
        <v>0.48749999999999999</v>
      </c>
      <c r="D24" s="5">
        <v>100</v>
      </c>
      <c r="E24" s="9">
        <f>(9.9766+9.9165)/2</f>
        <v>9.9465499999999984</v>
      </c>
      <c r="F24" s="9">
        <f>(34.1712+34.1646)/2</f>
        <v>34.167900000000003</v>
      </c>
      <c r="G24" s="8">
        <f t="shared" si="4"/>
        <v>36.999699999999997</v>
      </c>
      <c r="H24" s="6">
        <f t="shared" si="5"/>
        <v>141.49598333333333</v>
      </c>
      <c r="I24" s="7">
        <v>8.8683550782826188</v>
      </c>
      <c r="J24" s="7">
        <v>0.52568030323194626</v>
      </c>
      <c r="K24" s="7">
        <v>7.7810169669635574</v>
      </c>
      <c r="L24" s="7">
        <v>0.68384774354550903</v>
      </c>
    </row>
    <row r="25" spans="1:12" s="4" customFormat="1">
      <c r="A25" s="2" t="s">
        <v>36</v>
      </c>
      <c r="B25" s="3">
        <v>41045</v>
      </c>
      <c r="C25" s="10">
        <v>0.4861111111111111</v>
      </c>
      <c r="D25" s="5">
        <v>150</v>
      </c>
      <c r="E25" s="9">
        <f>(8.1852+8.0185)/2</f>
        <v>8.1018499999999989</v>
      </c>
      <c r="F25" s="9">
        <f>(33.9473+33.9296)/2</f>
        <v>33.938450000000003</v>
      </c>
      <c r="G25" s="8">
        <f t="shared" si="4"/>
        <v>36.999699999999997</v>
      </c>
      <c r="H25" s="6">
        <f t="shared" si="5"/>
        <v>141.49598333333333</v>
      </c>
      <c r="I25" s="7">
        <v>8.9382891999988274</v>
      </c>
      <c r="J25" s="7">
        <v>0.59762607432580128</v>
      </c>
      <c r="K25" s="7">
        <v>7.8665776625183881</v>
      </c>
      <c r="L25" s="7">
        <v>0.80555307901074613</v>
      </c>
    </row>
    <row r="26" spans="1:12" s="4" customFormat="1">
      <c r="A26" s="2" t="s">
        <v>37</v>
      </c>
      <c r="B26" s="3">
        <v>41045</v>
      </c>
      <c r="C26" s="10">
        <v>0.48541666666666666</v>
      </c>
      <c r="D26" s="5">
        <v>200</v>
      </c>
      <c r="E26" s="9">
        <f>(6.0678+6.0607)/2</f>
        <v>6.0642499999999995</v>
      </c>
      <c r="F26" s="9">
        <f>(33.6761+33.6754)/2</f>
        <v>33.675750000000001</v>
      </c>
      <c r="G26" s="8">
        <f t="shared" si="4"/>
        <v>36.999699999999997</v>
      </c>
      <c r="H26" s="6">
        <f t="shared" si="5"/>
        <v>141.49598333333333</v>
      </c>
      <c r="I26" s="7">
        <v>5.2338296751621503</v>
      </c>
      <c r="J26" s="7">
        <v>0.47334311132800994</v>
      </c>
      <c r="K26" s="7">
        <v>3.2045142347757816</v>
      </c>
      <c r="L26" s="7">
        <v>0.66281176156307309</v>
      </c>
    </row>
    <row r="27" spans="1:12" s="4" customFormat="1">
      <c r="A27" s="2" t="s">
        <v>38</v>
      </c>
      <c r="B27" s="3">
        <v>41045</v>
      </c>
      <c r="C27" s="10">
        <v>0.48402777777777778</v>
      </c>
      <c r="D27" s="5">
        <v>290</v>
      </c>
      <c r="E27" s="9">
        <f>(5.7169+5.7131)/2</f>
        <v>5.7149999999999999</v>
      </c>
      <c r="F27" s="9">
        <f>(33.6522+33.6524)/2</f>
        <v>33.652299999999997</v>
      </c>
      <c r="G27" s="8">
        <f t="shared" si="4"/>
        <v>36.999699999999997</v>
      </c>
      <c r="H27" s="6">
        <f t="shared" si="5"/>
        <v>141.49598333333333</v>
      </c>
      <c r="I27" s="7">
        <v>4.9336050008212728</v>
      </c>
      <c r="J27" s="7">
        <v>0.39010592206731298</v>
      </c>
      <c r="K27" s="7">
        <v>3.5964803037967417</v>
      </c>
      <c r="L27" s="7">
        <v>0.49310627927158279</v>
      </c>
    </row>
    <row r="28" spans="1:12" s="4" customFormat="1">
      <c r="A28" s="2" t="s">
        <v>39</v>
      </c>
      <c r="B28" s="3">
        <v>41046</v>
      </c>
      <c r="D28" s="5">
        <v>3</v>
      </c>
      <c r="E28" s="4">
        <v>15</v>
      </c>
      <c r="F28" s="4">
        <v>32.873330000000003</v>
      </c>
      <c r="G28" s="6">
        <f>36+(30.003/60)</f>
        <v>36.500050000000002</v>
      </c>
      <c r="H28" s="6">
        <f>140+(59.987/60)</f>
        <v>140.99978333333334</v>
      </c>
      <c r="I28" s="7">
        <v>76.668879845002394</v>
      </c>
      <c r="J28" s="7">
        <v>3.9161215008752555</v>
      </c>
      <c r="K28" s="7">
        <v>77.491599214266046</v>
      </c>
      <c r="L28" s="7">
        <v>4.8629613953668001</v>
      </c>
    </row>
    <row r="29" spans="1:12" s="4" customFormat="1">
      <c r="A29" s="2" t="s">
        <v>40</v>
      </c>
      <c r="B29" s="3">
        <v>41046</v>
      </c>
      <c r="C29" s="10">
        <v>0.13680555555555554</v>
      </c>
      <c r="D29" s="5">
        <v>20</v>
      </c>
      <c r="E29" s="9">
        <f>(14.3263+14.3248)/2</f>
        <v>14.32555</v>
      </c>
      <c r="F29" s="9">
        <f>(34.4347+34.4363)/2</f>
        <v>34.435500000000005</v>
      </c>
      <c r="G29" s="6">
        <f t="shared" ref="G29:G34" si="6">36+(30.003/60)</f>
        <v>36.500050000000002</v>
      </c>
      <c r="H29" s="6">
        <f t="shared" ref="H29:H34" si="7">140+(59.987/60)</f>
        <v>140.99978333333334</v>
      </c>
      <c r="I29" s="7">
        <v>3.8856721166610981</v>
      </c>
      <c r="J29" s="7">
        <v>0.23765705851375271</v>
      </c>
      <c r="K29" s="7">
        <v>2.1821176919164946</v>
      </c>
      <c r="L29" s="7">
        <v>0.31479148780594557</v>
      </c>
    </row>
    <row r="30" spans="1:12" s="4" customFormat="1">
      <c r="A30" s="2" t="s">
        <v>41</v>
      </c>
      <c r="B30" s="3">
        <v>41046</v>
      </c>
      <c r="C30" s="10">
        <v>0.1361111111111111</v>
      </c>
      <c r="D30" s="5">
        <v>50</v>
      </c>
      <c r="E30" s="9">
        <f>(11.8551+11.8889)/2</f>
        <v>11.872</v>
      </c>
      <c r="F30" s="9">
        <f>(34.338+34.3411)/2</f>
        <v>34.339550000000003</v>
      </c>
      <c r="G30" s="6">
        <f t="shared" si="6"/>
        <v>36.500050000000002</v>
      </c>
      <c r="H30" s="6">
        <f t="shared" si="7"/>
        <v>140.99978333333334</v>
      </c>
      <c r="I30" s="7">
        <v>5.1133782783579624</v>
      </c>
      <c r="J30" s="7">
        <v>0.30791879200389238</v>
      </c>
      <c r="K30" s="7">
        <v>3.7941705310397964</v>
      </c>
      <c r="L30" s="7">
        <v>0.42820897346060549</v>
      </c>
    </row>
    <row r="31" spans="1:12" s="4" customFormat="1">
      <c r="A31" s="2" t="s">
        <v>42</v>
      </c>
      <c r="B31" s="3">
        <v>41046</v>
      </c>
      <c r="C31" s="10">
        <v>0.13541666666666666</v>
      </c>
      <c r="D31" s="5">
        <v>100</v>
      </c>
      <c r="E31" s="9">
        <f>(8.3274+8.3249)/2</f>
        <v>8.3261500000000002</v>
      </c>
      <c r="F31" s="9">
        <f>(33.9513+33.9515)/2</f>
        <v>33.951400000000007</v>
      </c>
      <c r="G31" s="6">
        <f t="shared" si="6"/>
        <v>36.500050000000002</v>
      </c>
      <c r="H31" s="6">
        <f t="shared" si="7"/>
        <v>140.99978333333334</v>
      </c>
      <c r="I31" s="7">
        <v>9.1382125220349426</v>
      </c>
      <c r="J31" s="7">
        <v>0.56582879217138948</v>
      </c>
      <c r="K31" s="7">
        <v>8.0779228394279183</v>
      </c>
      <c r="L31" s="7">
        <v>0.78478908362641708</v>
      </c>
    </row>
    <row r="32" spans="1:12" s="4" customFormat="1">
      <c r="A32" s="2" t="s">
        <v>43</v>
      </c>
      <c r="B32" s="3">
        <v>41046</v>
      </c>
      <c r="C32" s="10">
        <v>0.13472222222222222</v>
      </c>
      <c r="D32" s="5">
        <v>150</v>
      </c>
      <c r="E32" s="9">
        <f>(7.4173+7.4999)/2</f>
        <v>7.4586000000000006</v>
      </c>
      <c r="F32" s="9">
        <f>(33.8366+33.8486)/2</f>
        <v>33.842599999999997</v>
      </c>
      <c r="G32" s="6">
        <f t="shared" si="6"/>
        <v>36.500050000000002</v>
      </c>
      <c r="H32" s="6">
        <f t="shared" si="7"/>
        <v>140.99978333333334</v>
      </c>
      <c r="I32" s="7">
        <v>8.4674605232413729</v>
      </c>
      <c r="J32" s="7">
        <v>0.48442163305120728</v>
      </c>
      <c r="K32" s="7">
        <v>7.2559319077646336</v>
      </c>
      <c r="L32" s="7">
        <v>0.61091662487151976</v>
      </c>
    </row>
    <row r="33" spans="1:12" s="4" customFormat="1">
      <c r="A33" s="2" t="s">
        <v>44</v>
      </c>
      <c r="B33" s="3">
        <v>41046</v>
      </c>
      <c r="C33" s="10">
        <v>0.13333333333333333</v>
      </c>
      <c r="D33" s="5">
        <v>200</v>
      </c>
      <c r="E33" s="9">
        <f>(6.8128+6.8125)/2</f>
        <v>6.8126499999999997</v>
      </c>
      <c r="F33" s="9">
        <f>(33.7651+33.7653)/2</f>
        <v>33.7652</v>
      </c>
      <c r="G33" s="6">
        <f t="shared" si="6"/>
        <v>36.500050000000002</v>
      </c>
      <c r="H33" s="6">
        <f t="shared" si="7"/>
        <v>140.99978333333334</v>
      </c>
      <c r="I33" s="7">
        <v>6.2284702654496265</v>
      </c>
      <c r="J33" s="7">
        <v>0.52631163417404248</v>
      </c>
      <c r="K33" s="7">
        <v>4.9164227587735709</v>
      </c>
      <c r="L33" s="7">
        <v>0.76404103547770275</v>
      </c>
    </row>
    <row r="34" spans="1:12" s="4" customFormat="1">
      <c r="A34" s="2" t="s">
        <v>45</v>
      </c>
      <c r="B34" s="3">
        <v>41046</v>
      </c>
      <c r="C34" s="10">
        <v>0.13194444444444445</v>
      </c>
      <c r="D34" s="5">
        <v>290</v>
      </c>
      <c r="E34" s="9">
        <f>(6.6901+6.6935)/2</f>
        <v>6.6918000000000006</v>
      </c>
      <c r="F34" s="9">
        <f>(33.7675+33.7671)/2</f>
        <v>33.767299999999999</v>
      </c>
      <c r="G34" s="6">
        <f t="shared" si="6"/>
        <v>36.500050000000002</v>
      </c>
      <c r="H34" s="6">
        <f t="shared" si="7"/>
        <v>140.99978333333334</v>
      </c>
      <c r="I34" s="7">
        <v>5.9215864357630679</v>
      </c>
      <c r="J34" s="7">
        <v>0.41461297385333057</v>
      </c>
      <c r="K34" s="7">
        <v>5.2586657222889901</v>
      </c>
      <c r="L34" s="7">
        <v>0.55706518726331689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CTD</vt:lpstr>
    </vt:vector>
  </TitlesOfParts>
  <Company>WHOI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Sachiko Yoshida</dc:creator>
  <cp:lastModifiedBy>Sachiko Yoshida</cp:lastModifiedBy>
  <dcterms:created xsi:type="dcterms:W3CDTF">2013-12-11T20:52:08Z</dcterms:created>
  <dcterms:modified xsi:type="dcterms:W3CDTF">2013-12-27T19:59:06Z</dcterms:modified>
</cp:coreProperties>
</file>