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BTemp3_Eurocard" sheetId="1" state="visible" r:id="rId2"/>
    <sheet name="MBTemp_Stack" sheetId="2" state="visible" r:id="rId3"/>
    <sheet name="Montagem Mecanic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<sst xmlns="http://schemas.openxmlformats.org/spreadsheetml/2006/main" count="587" uniqueCount="396">
  <si>
    <t>Designator</t>
  </si>
  <si>
    <t>Description</t>
  </si>
  <si>
    <t>Value</t>
  </si>
  <si>
    <t>Part Number</t>
  </si>
  <si>
    <t>Package</t>
  </si>
  <si>
    <t>Manufacturer</t>
  </si>
  <si>
    <t>Quantity</t>
  </si>
  <si>
    <t>Qtty 300 placas</t>
  </si>
  <si>
    <t>COMPRAR</t>
  </si>
  <si>
    <t>PN CNPEM</t>
  </si>
  <si>
    <t>Item na SC?</t>
  </si>
  <si>
    <t>Obs</t>
  </si>
  <si>
    <t>Preco unitário</t>
  </si>
  <si>
    <t>Total</t>
  </si>
  <si>
    <t>Total efetivo</t>
  </si>
  <si>
    <t>C13,C12</t>
  </si>
  <si>
    <t>Ceramic Capacito 20pF 50V 5% SMD 0805 NP0</t>
  </si>
  <si>
    <t>20pF</t>
  </si>
  <si>
    <t>CL21C200JBANNNC</t>
  </si>
  <si>
    <t>0805</t>
  </si>
  <si>
    <t>Samsung ElectroMechanics</t>
  </si>
  <si>
    <t>MT104425</t>
  </si>
  <si>
    <t>ROLO</t>
  </si>
  <si>
    <t>C25</t>
  </si>
  <si>
    <t>Ceramic Capacitor 56pF 50V 5% SMD 0805 NP0</t>
  </si>
  <si>
    <t>56pF</t>
  </si>
  <si>
    <t>CL21C560JBANNNC</t>
  </si>
  <si>
    <t>0 (Temos rolo)</t>
  </si>
  <si>
    <t>MT104427</t>
  </si>
  <si>
    <t>C26,C23,C21,C17,C29,C34</t>
  </si>
  <si>
    <t>Multilayer Ceramic Capacitor 100nF 50V ±5% SMD 0805 X7R</t>
  </si>
  <si>
    <t>100nF</t>
  </si>
  <si>
    <t>08055C104JAT2A</t>
  </si>
  <si>
    <t>AVX</t>
  </si>
  <si>
    <t>MT104382</t>
  </si>
  <si>
    <t>C27,C24,C22,C18,C2,C15,C14,C1,C8,C11,C201,C37,C39,C47,C48,C41,C42,C45,C46,C61,C60,C59,C58,C57,C56,C55,C54</t>
  </si>
  <si>
    <t>Ceramic Capacitor 10uF 16V ±10% SMD 0805 X5R</t>
  </si>
  <si>
    <t>10uF</t>
  </si>
  <si>
    <t>CL21A106KOQNNNE</t>
  </si>
  <si>
    <t>MT104058</t>
  </si>
  <si>
    <t>C28</t>
  </si>
  <si>
    <t>Aluminium Radial Capacitor 470uF 16V 20% PTH</t>
  </si>
  <si>
    <t>470uF</t>
  </si>
  <si>
    <t>ECA-1CM471</t>
  </si>
  <si>
    <t>Radial Can</t>
  </si>
  <si>
    <t>Panasonic Electronic Components</t>
  </si>
  <si>
    <t>MT104059</t>
  </si>
  <si>
    <t>C30,C31,C32,C3,C16,C10,C9,C38,C43,C44,C53,C20,C19</t>
  </si>
  <si>
    <t>Ceramic Capacitor 1uF 16V ±5% SMD 0805 X7R</t>
  </si>
  <si>
    <t>1u</t>
  </si>
  <si>
    <t>C0805C105J4RACTU</t>
  </si>
  <si>
    <t>Kemet</t>
  </si>
  <si>
    <t>MT104060</t>
  </si>
  <si>
    <t>C33,C35</t>
  </si>
  <si>
    <t>Multilayer Ceramic Capacitor 47nF 100V 5% SMD 0805 X7R</t>
  </si>
  <si>
    <t>47nF</t>
  </si>
  <si>
    <t>08051C473JAT2A</t>
  </si>
  <si>
    <t>MT104243</t>
  </si>
  <si>
    <t>C36</t>
  </si>
  <si>
    <t>Tantalum Capacitor 10uF, 10V, 10%, ESR 3.8ohm</t>
  </si>
  <si>
    <t>T491A106K010AT7280</t>
  </si>
  <si>
    <t>AP111595</t>
  </si>
  <si>
    <t>C4,C7</t>
  </si>
  <si>
    <t>Ceramic Capacitor 4.7uF 50V 10% SMD 1210 X7R</t>
  </si>
  <si>
    <t>4.7uF</t>
  </si>
  <si>
    <t>GRM32ER71H475KA88L</t>
  </si>
  <si>
    <t>1210</t>
  </si>
  <si>
    <t>Murata</t>
  </si>
  <si>
    <t>MT104428</t>
  </si>
  <si>
    <t>C40,C49</t>
  </si>
  <si>
    <t>Ceramic Capacitor 22nF 100V 5% SMD 0805 X7R</t>
  </si>
  <si>
    <t>22n</t>
  </si>
  <si>
    <t>08051C223JAT2A</t>
  </si>
  <si>
    <t>MT104429</t>
  </si>
  <si>
    <t>C50,C51,C52</t>
  </si>
  <si>
    <t>Ceramic Capacitor 100pF 50V 5% SMD 0805 NP0</t>
  </si>
  <si>
    <t>100pF</t>
  </si>
  <si>
    <t>C0805C101J5GACTU</t>
  </si>
  <si>
    <t>MT104242</t>
  </si>
  <si>
    <t>C6,C5</t>
  </si>
  <si>
    <t>Ceramic Capacitor 10nF 50V 5% SMD 0805 C0G</t>
  </si>
  <si>
    <t>10nF</t>
  </si>
  <si>
    <t>GRM2195C1H103JA01D</t>
  </si>
  <si>
    <t>AP111901</t>
  </si>
  <si>
    <t>D1</t>
  </si>
  <si>
    <t>Green LED, 2.1V, 20mA, SMD 0805</t>
  </si>
  <si>
    <t>LED Green</t>
  </si>
  <si>
    <t>LTST-C171GKT</t>
  </si>
  <si>
    <t>Lite-On Inc</t>
  </si>
  <si>
    <t>AP111654</t>
  </si>
  <si>
    <t>D2</t>
  </si>
  <si>
    <t>LED Circuit Board Indicator Single Red Diffused, Through Hole, Right Angle </t>
  </si>
  <si>
    <t>LED Red</t>
  </si>
  <si>
    <t>WP934CB/ID</t>
  </si>
  <si>
    <t>2x1 PTH pitch 2,54mm</t>
  </si>
  <si>
    <t>Kingbright</t>
  </si>
  <si>
    <t>AP110389</t>
  </si>
  <si>
    <t>D4,D5</t>
  </si>
  <si>
    <t>Diodo Schottky 20V 500mA DC SMD 0805</t>
  </si>
  <si>
    <t>Diode Sch</t>
  </si>
  <si>
    <t>SD0805S020S0R5</t>
  </si>
  <si>
    <t>AVX Corporation</t>
  </si>
  <si>
    <t>AP103285</t>
  </si>
  <si>
    <t>J4,J3,J6,J5</t>
  </si>
  <si>
    <t>RJ11 Jack connector Right Angle</t>
  </si>
  <si>
    <t>RJ11</t>
  </si>
  <si>
    <t>TM5RJ3-44(50) </t>
  </si>
  <si>
    <t>4P4C</t>
  </si>
  <si>
    <t>Hirose Electric Co</t>
  </si>
  <si>
    <t>AP110402</t>
  </si>
  <si>
    <t>J9,J10</t>
  </si>
  <si>
    <t>RJ25</t>
  </si>
  <si>
    <t>6P6C</t>
  </si>
  <si>
    <t>ERNI</t>
  </si>
  <si>
    <t>AP109847</t>
  </si>
  <si>
    <t>JP1</t>
  </si>
  <si>
    <t>Dip Switch SPST 2 Position Through Hole, Right Angle Slide (Standard) Actuator 25mA 24VDC</t>
  </si>
  <si>
    <t>DIP switch 2pos Right Angle</t>
  </si>
  <si>
    <t>KAS2102E</t>
  </si>
  <si>
    <t>DIP Switch Right Angle PTH</t>
  </si>
  <si>
    <t>E-Switch</t>
  </si>
  <si>
    <t>AP110400</t>
  </si>
  <si>
    <t>K1</t>
  </si>
  <si>
    <t>Power Barrel Jack Connector 2mm ID, 5.5mm OD, PTH, right angle</t>
  </si>
  <si>
    <t>Jack</t>
  </si>
  <si>
    <t> PJ-002AH </t>
  </si>
  <si>
    <t>Jack J4-5.5mm 2.0mm</t>
  </si>
  <si>
    <t>CUI Inc</t>
  </si>
  <si>
    <t>MT104062</t>
  </si>
  <si>
    <t>L2,L1</t>
  </si>
  <si>
    <t>6.8uH shielded wirewound Inductor 850mA 288mOhm</t>
  </si>
  <si>
    <t>6.8uH</t>
  </si>
  <si>
    <t>LQH32PN6R8NN0L</t>
  </si>
  <si>
    <t>MT107547</t>
  </si>
  <si>
    <t>P1</t>
  </si>
  <si>
    <t>DIP Switch slide 5 positions SPST right angle PTH</t>
  </si>
  <si>
    <t>DIP Switch slide SPST right angle PTH</t>
  </si>
  <si>
    <t>KAS2105E</t>
  </si>
  <si>
    <t>PIN_ARRAY_5x2</t>
  </si>
  <si>
    <t>MT103732</t>
  </si>
  <si>
    <t>P2</t>
  </si>
  <si>
    <t>10 positions Male Header, PTH, Shrouded Connector, Pitch 2.54mm</t>
  </si>
  <si>
    <t>Header 2x05</t>
  </si>
  <si>
    <t>302-S101</t>
  </si>
  <si>
    <t>Straight_2x05 Shrouded pitch 2.54mm</t>
  </si>
  <si>
    <t>On Shore Technology Inc</t>
  </si>
  <si>
    <t>AP103279</t>
  </si>
  <si>
    <t>P3</t>
  </si>
  <si>
    <t>Conector 2x10 pitch 2.54mm</t>
  </si>
  <si>
    <t>CONN_02X10</t>
  </si>
  <si>
    <t>DW-10-09-F-D-425</t>
  </si>
  <si>
    <t>Pin_Header_Straight_2x10</t>
  </si>
  <si>
    <t>Samtec</t>
  </si>
  <si>
    <t>MT104063</t>
  </si>
  <si>
    <t>P4</t>
  </si>
  <si>
    <t>Pino de testes</t>
  </si>
  <si>
    <t>1 pin</t>
  </si>
  <si>
    <t>Pin Header Straight 1x1</t>
  </si>
  <si>
    <t>----</t>
  </si>
  <si>
    <t>NAO MONTAR!</t>
  </si>
  <si>
    <t>R1</t>
  </si>
  <si>
    <t>Resistor 22K ohm 0,1% 1/8W SMD 0805 Thin Film</t>
  </si>
  <si>
    <t>22kΩ</t>
  </si>
  <si>
    <t>ERA-6AEB223V</t>
  </si>
  <si>
    <t>MT104109</t>
  </si>
  <si>
    <t>R17,R16,R24,R36,R45,R27</t>
  </si>
  <si>
    <t>Resistor Jumper 0 ohm 1% 1/8W SMD 0805 Thick Film</t>
  </si>
  <si>
    <t>0Ω</t>
  </si>
  <si>
    <t>RC0805JR-070RL</t>
  </si>
  <si>
    <t>Yageo</t>
  </si>
  <si>
    <t>MT100803</t>
  </si>
  <si>
    <t>R19,R18,R25,R35,R44,R32</t>
  </si>
  <si>
    <t>---</t>
  </si>
  <si>
    <t>R2</t>
  </si>
  <si>
    <t>Resistor 100 ohm 0,1% 1/8W SMD 0805 Thin Film</t>
  </si>
  <si>
    <t>100Ω</t>
  </si>
  <si>
    <t>ERA-6AEB101V</t>
  </si>
  <si>
    <t>MT104084</t>
  </si>
  <si>
    <t>R20,R14</t>
  </si>
  <si>
    <t>Resistor 1 Mohm 1% 1/8W SMD 0805 Thick Film</t>
  </si>
  <si>
    <t>1MΩ</t>
  </si>
  <si>
    <t>RC0805FR-071ML</t>
  </si>
  <si>
    <t>MT104430</t>
  </si>
  <si>
    <t>R15,R5</t>
  </si>
  <si>
    <t>Resistor 1K ohm 0,1% 1/8W SMD 0805 Thin Film</t>
  </si>
  <si>
    <t>1kΩ</t>
  </si>
  <si>
    <t> ERA-6AEB102V </t>
  </si>
  <si>
    <t>MT104085</t>
  </si>
  <si>
    <t>R21,R22</t>
  </si>
  <si>
    <t>Resistor 1K ohm 1% 1/8W SMD 0805 Thick Film</t>
  </si>
  <si>
    <t>RC0805FR-071KL</t>
  </si>
  <si>
    <t>MT104228</t>
  </si>
  <si>
    <t>R23</t>
  </si>
  <si>
    <t>Resistor 470 ohm 1% 1/8W SMD 0805 Thick Film</t>
  </si>
  <si>
    <t>470Ω</t>
  </si>
  <si>
    <t>RC0805FR-07470RL</t>
  </si>
  <si>
    <t>MT104431</t>
  </si>
  <si>
    <t>R40</t>
  </si>
  <si>
    <t>Resistor 620 ohm 1% 1/8W SMD 0805 Thick Film</t>
  </si>
  <si>
    <t>620Ω</t>
  </si>
  <si>
    <t>RC0805FR-07620RL </t>
  </si>
  <si>
    <t>MT104227</t>
  </si>
  <si>
    <t>R29</t>
  </si>
  <si>
    <t>Resistor 2.2 k ohm 1% 1/8W SMD 0805 Thick Film</t>
  </si>
  <si>
    <t>2.2kΩ</t>
  </si>
  <si>
    <t> RC0805FR-072K2L </t>
  </si>
  <si>
    <t>MT104237</t>
  </si>
  <si>
    <t>R3</t>
  </si>
  <si>
    <t>Resistor 120 ohm 0,1% 1/8W SMD 0805 Thin Film</t>
  </si>
  <si>
    <t>120Ω</t>
  </si>
  <si>
    <t> ERA-6AEB121V </t>
  </si>
  <si>
    <t>MT104086</t>
  </si>
  <si>
    <t>R26</t>
  </si>
  <si>
    <t>Resistor 120 ohm 1% 1/8W SMD 0805 Thick Film</t>
  </si>
  <si>
    <t>RC0805FR-07120RL</t>
  </si>
  <si>
    <t>MT104234</t>
  </si>
  <si>
    <t>ROLO/SC SERIAL</t>
  </si>
  <si>
    <t>R30</t>
  </si>
  <si>
    <t>Resistor 33 k ohm 1% 1/8W SMD 0805 Thick Film</t>
  </si>
  <si>
    <t>33kΩ</t>
  </si>
  <si>
    <t> RC0805FR-0733KL </t>
  </si>
  <si>
    <t>MT104432</t>
  </si>
  <si>
    <t>R31</t>
  </si>
  <si>
    <t>Resistor 4.7 k ohm 1% 1/8W SMD 0805 Thick Film</t>
  </si>
  <si>
    <t>4.7kΩ</t>
  </si>
  <si>
    <t> RC0805FR-074K7L </t>
  </si>
  <si>
    <t>MT104433</t>
  </si>
  <si>
    <t>R34</t>
  </si>
  <si>
    <t>Resistor 910 k ohm 1% 1/8W SMD 0805 Thick Film</t>
  </si>
  <si>
    <t>910kΩ</t>
  </si>
  <si>
    <t> RC0805FR-07910KL </t>
  </si>
  <si>
    <t>MT104231</t>
  </si>
  <si>
    <t>R38, R39</t>
  </si>
  <si>
    <t>Resistor 300k ohm ±1% 1/8W SMD 0805 Thin Film</t>
  </si>
  <si>
    <t>300kΩ</t>
  </si>
  <si>
    <t> RC0805FR-07300KL </t>
  </si>
  <si>
    <t>MT107548</t>
  </si>
  <si>
    <t>R43</t>
  </si>
  <si>
    <t>Resistor 62 k ohm 1% 1/8W SMD 0805 Thick Film</t>
  </si>
  <si>
    <t>62kΩ</t>
  </si>
  <si>
    <t>RC0805FR-0762KL </t>
  </si>
  <si>
    <t>MT104434</t>
  </si>
  <si>
    <t>R6,R7</t>
  </si>
  <si>
    <t>Resistor 6.2 k ohm 0,1% 1/8W SMD 0805 Thin Film</t>
  </si>
  <si>
    <t>6.2kΩ</t>
  </si>
  <si>
    <t> ERA-6AEB622V </t>
  </si>
  <si>
    <t>MT104088</t>
  </si>
  <si>
    <t>R8,R4</t>
  </si>
  <si>
    <t>Resistor 330 ohm, 0,1%, 1/8W, SMD 0805, Thin Film</t>
  </si>
  <si>
    <t>330Ω</t>
  </si>
  <si>
    <t> ERA-6AEB331V </t>
  </si>
  <si>
    <t>MT104089</t>
  </si>
  <si>
    <t>R9,R10,R11,R12,R13,R28,R42</t>
  </si>
  <si>
    <t>Resistor 10K ohm 1% 1/8W SMD 0805 Thick Film</t>
  </si>
  <si>
    <t>10kΩ</t>
  </si>
  <si>
    <t>RC0805FR-0710KL</t>
  </si>
  <si>
    <t>MT104235</t>
  </si>
  <si>
    <t>SW1,SW2</t>
  </si>
  <si>
    <t>3 positions header connector 0.1” PTH Gold</t>
  </si>
  <si>
    <t>-5V / +6V</t>
  </si>
  <si>
    <t> 961103-6404-AR</t>
  </si>
  <si>
    <t>Pin_Header_Straight_1x03_Pitch2.54mm</t>
  </si>
  <si>
    <t>3M</t>
  </si>
  <si>
    <t>MT104065</t>
  </si>
  <si>
    <t>U10</t>
  </si>
  <si>
    <t>5V Voltage Reference IC +/-0.05% 10mA</t>
  </si>
  <si>
    <t>REF5050</t>
  </si>
  <si>
    <t>REF5050IDR</t>
  </si>
  <si>
    <t>SOIC-8</t>
  </si>
  <si>
    <t>Texas Instruments</t>
  </si>
  <si>
    <t>AP100206</t>
  </si>
  <si>
    <t>U11</t>
  </si>
  <si>
    <t>General Purpose Amplifier 2 Circuit</t>
  </si>
  <si>
    <t>OPA2277</t>
  </si>
  <si>
    <t>OPA2277UA/2K5</t>
  </si>
  <si>
    <t>AP102160</t>
  </si>
  <si>
    <t>U12</t>
  </si>
  <si>
    <t>Differential Amplifier 1 Circuit Differential Rail-to-rail</t>
  </si>
  <si>
    <t>AD8139</t>
  </si>
  <si>
    <t>AD8139ARDZ-REEL7</t>
  </si>
  <si>
    <t>SO-8 Expoded Pad</t>
  </si>
  <si>
    <t>Analog Devices</t>
  </si>
  <si>
    <t>AP103263</t>
  </si>
  <si>
    <t>U13</t>
  </si>
  <si>
    <t>Analog to Digital Converter 16 bits SAR</t>
  </si>
  <si>
    <t>ADS8318</t>
  </si>
  <si>
    <t>ADS8318IBDGST</t>
  </si>
  <si>
    <t>MSOP-10</t>
  </si>
  <si>
    <t>AP103262</t>
  </si>
  <si>
    <t>U14</t>
  </si>
  <si>
    <t>DCDC Converter IC, 1W, 5V output, 5V input</t>
  </si>
  <si>
    <t>DCR010505U</t>
  </si>
  <si>
    <t>DCR010505U/1K</t>
  </si>
  <si>
    <t>SOIC-28</t>
  </si>
  <si>
    <t>AP109804</t>
  </si>
  <si>
    <t>U15</t>
  </si>
  <si>
    <t>Linear Regulator LDO Adjustable Negative 1,5A</t>
  </si>
  <si>
    <t>LT3015</t>
  </si>
  <si>
    <t>LT3015EMSE#PBF </t>
  </si>
  <si>
    <t>MSOP-12</t>
  </si>
  <si>
    <t>Linear Technology</t>
  </si>
  <si>
    <t>AP107414</t>
  </si>
  <si>
    <t>U19</t>
  </si>
  <si>
    <t>U16</t>
  </si>
  <si>
    <t>DCDC Converter IC, 1W, +/-12V output, 5V input</t>
  </si>
  <si>
    <t>DCP010512D</t>
  </si>
  <si>
    <t>DCP010512DBP-U</t>
  </si>
  <si>
    <t>AP106621</t>
  </si>
  <si>
    <t>U9,U18</t>
  </si>
  <si>
    <t>Linear Voltage Regulator Adjustable IC, 0-36V, 1.1A, SMD SOT-223</t>
  </si>
  <si>
    <t>LT3080</t>
  </si>
  <si>
    <t>LT3080EST#TRPBF</t>
  </si>
  <si>
    <t>SOT-223</t>
  </si>
  <si>
    <t>MT104255</t>
  </si>
  <si>
    <t>U17</t>
  </si>
  <si>
    <t>U2,U1,U3</t>
  </si>
  <si>
    <t>Circuit IC Switch 8:1 120ohms</t>
  </si>
  <si>
    <t>74HC4051</t>
  </si>
  <si>
    <t>74HC4051PW,118</t>
  </si>
  <si>
    <t>TSSOP-16</t>
  </si>
  <si>
    <t>NXP</t>
  </si>
  <si>
    <t>AP103267</t>
  </si>
  <si>
    <t>U4</t>
  </si>
  <si>
    <t>Current Source Regulator IC 200mA 1%</t>
  </si>
  <si>
    <t>LT3092</t>
  </si>
  <si>
    <t>LT3092EST#PBF</t>
  </si>
  <si>
    <t>AP103266</t>
  </si>
  <si>
    <t>U5</t>
  </si>
  <si>
    <t>2.5V Voltage Reference IC +/-1% 10mA</t>
  </si>
  <si>
    <t>REF5025</t>
  </si>
  <si>
    <t>REF5025AQDRQ1</t>
  </si>
  <si>
    <t>AP103265</t>
  </si>
  <si>
    <t>U6</t>
  </si>
  <si>
    <t>RS422/485 Digital Isolator IC, 2500Vrms, 40Mbps, SMD SOIC-16</t>
  </si>
  <si>
    <t>IL3685</t>
  </si>
  <si>
    <t>IL3685E</t>
  </si>
  <si>
    <t>SOIC-16</t>
  </si>
  <si>
    <t>NVE</t>
  </si>
  <si>
    <t>AP102999</t>
  </si>
  <si>
    <t>U7</t>
  </si>
  <si>
    <t>PIC 16F Microcontroller 8-bit 20MHz 14kB Flash</t>
  </si>
  <si>
    <t>PIC16F887A_TQFP</t>
  </si>
  <si>
    <t>PIC16F887-I/PT</t>
  </si>
  <si>
    <t>TQFP-44</t>
  </si>
  <si>
    <t>Microchip Technology</t>
  </si>
  <si>
    <t>AP103857</t>
  </si>
  <si>
    <t>U8</t>
  </si>
  <si>
    <t>Switching regulator Buck-Boost Adjustable</t>
  </si>
  <si>
    <t>LT3582</t>
  </si>
  <si>
    <t>LT3582EUD#PBF</t>
  </si>
  <si>
    <t>WFQFN-16</t>
  </si>
  <si>
    <t>AP100196</t>
  </si>
  <si>
    <t>X1</t>
  </si>
  <si>
    <t>16MHz +/- 30ppm Crystal 20pF 40ohm SMD</t>
  </si>
  <si>
    <t>CRYSTAL 16MHz</t>
  </si>
  <si>
    <t> ECS-160-20-5PX-TR </t>
  </si>
  <si>
    <t>CrystalSMD HC49/US</t>
  </si>
  <si>
    <t>ECS Inc</t>
  </si>
  <si>
    <t>MT104066</t>
  </si>
  <si>
    <t>F1,F2,F3,F4</t>
  </si>
  <si>
    <t>Fiducial 1mm</t>
  </si>
  <si>
    <t>NA</t>
  </si>
  <si>
    <t>Total aprox 300 placas:</t>
  </si>
  <si>
    <t>Total placa:</t>
  </si>
  <si>
    <t>SOMA</t>
  </si>
  <si>
    <t>PNCNPEM</t>
  </si>
  <si>
    <t>Total Efetivo</t>
  </si>
  <si>
    <t>J2,J1,J8,J7</t>
  </si>
  <si>
    <t>SSQ-110-03-F-D</t>
  </si>
  <si>
    <t>MT104067</t>
  </si>
  <si>
    <t>C1,C2,C3,C4,C5,C6,C7,C8</t>
  </si>
  <si>
    <t>Total Placa</t>
  </si>
  <si>
    <t>"</t>
  </si>
  <si>
    <t>TOTAL EFETIVO</t>
  </si>
  <si>
    <t>REF1,REF2,REF3</t>
  </si>
  <si>
    <t>Montagem Mecânica M3</t>
  </si>
  <si>
    <t>Espaçador 19mm M3x0.5 steel</t>
  </si>
  <si>
    <t>M3</t>
  </si>
  <si>
    <t>Wurth Electronics Inc</t>
  </si>
  <si>
    <t>MT103722</t>
  </si>
  <si>
    <t>MACHINE SCREW PAN PHILLIPS M3 </t>
  </si>
  <si>
    <t>MPMS 003 0005 PH </t>
  </si>
  <si>
    <t>B&amp;F Fastener Supply</t>
  </si>
  <si>
    <t>AO104596</t>
  </si>
  <si>
    <t>HEX NUT 0.217" M3 </t>
  </si>
  <si>
    <t>MHNZ 003 </t>
  </si>
  <si>
    <t>MT103727</t>
  </si>
  <si>
    <t>Arruela para parafusos M3</t>
  </si>
  <si>
    <t>MFWZ 003 </t>
  </si>
  <si>
    <t>MT103728</t>
  </si>
  <si>
    <t>Jumper </t>
  </si>
  <si>
    <t>Jumper for SW1 and SW2</t>
  </si>
  <si>
    <t>Connector jumper 2.54mm – Flash Gold</t>
  </si>
  <si>
    <t>QPC02SXGN-RC </t>
  </si>
  <si>
    <t>Jumper</t>
  </si>
  <si>
    <t>Sullins Connector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</si>
</sst>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$-409]#,##0.00;[RED]\-[$$-409]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19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6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85" zoomScaleNormal="85" zoomScalePageLayoutView="100" workbookViewId="0">
      <selection pane="topLeft" activeCell="J41" activeCellId="0" sqref="J41"/>
    </sheetView>
  </sheetViews>
  <sheetFormatPr defaultRowHeight="12.8"/>
  <cols>
    <col collapsed="false" hidden="false" max="1" min="1" style="1" width="18.4948979591837"/>
    <col collapsed="false" hidden="false" max="2" min="2" style="1" width="22.1377551020408"/>
    <col collapsed="false" hidden="false" max="3" min="3" style="1" width="8.77551020408163"/>
    <col collapsed="false" hidden="false" max="4" min="4" style="1" width="17.280612244898"/>
    <col collapsed="false" hidden="false" max="5" min="5" style="1" width="13.0918367346939"/>
    <col collapsed="false" hidden="false" max="6" min="6" style="1" width="11.8775510204082"/>
    <col collapsed="false" hidden="false" max="7" min="7" style="1" width="6.0765306122449"/>
    <col collapsed="false" hidden="false" max="8" min="8" style="1" width="7.83163265306122"/>
    <col collapsed="false" hidden="false" max="9" min="9" style="1" width="9.58673469387755"/>
    <col collapsed="false" hidden="false" max="10" min="10" style="2" width="9.71938775510204"/>
    <col collapsed="false" hidden="false" max="11" min="11" style="2" width="9.98979591836735"/>
    <col collapsed="false" hidden="false" max="12" min="12" style="1" width="9.98979591836735"/>
    <col collapsed="false" hidden="false" max="13" min="13" style="1" width="6.3469387755102"/>
    <col collapsed="false" hidden="false" max="14" min="14" style="1" width="10.1224489795918"/>
    <col collapsed="false" hidden="false" max="15" min="15" style="1" width="11.6071428571429"/>
    <col collapsed="false" hidden="false" max="1023" min="16" style="1" width="6.0765306122449"/>
    <col collapsed="false" hidden="false" max="1025" min="1024" style="0" width="7.83163265306122"/>
  </cols>
  <sheetData>
    <row r="1" s="6" customFormat="tru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3" t="s">
        <v>11</v>
      </c>
      <c r="M1" s="2" t="s">
        <v>12</v>
      </c>
      <c r="N1" s="2" t="s">
        <v>13</v>
      </c>
      <c r="O1" s="6" t="s">
        <v>14</v>
      </c>
      <c r="AMJ1" s="0"/>
    </row>
    <row r="2" s="12" customFormat="true" ht="35.05" hidden="false" customHeight="false" outlineLevel="0" collapsed="false">
      <c r="A2" s="7" t="s">
        <v>15</v>
      </c>
      <c r="B2" s="7" t="s">
        <v>16</v>
      </c>
      <c r="C2" s="7" t="s">
        <v>17</v>
      </c>
      <c r="D2" s="8" t="s">
        <v>18</v>
      </c>
      <c r="E2" s="8" t="s">
        <v>19</v>
      </c>
      <c r="F2" s="7" t="s">
        <v>20</v>
      </c>
      <c r="G2" s="7" t="n">
        <v>2</v>
      </c>
      <c r="H2" s="7" t="n">
        <f aca="false">G2*300</f>
        <v>600</v>
      </c>
      <c r="I2" s="7" t="n">
        <v>4000</v>
      </c>
      <c r="J2" s="9" t="s">
        <v>21</v>
      </c>
      <c r="K2" s="9" t="n">
        <v>1</v>
      </c>
      <c r="L2" s="7" t="s">
        <v>22</v>
      </c>
      <c r="M2" s="10" t="n">
        <v>0.02</v>
      </c>
      <c r="N2" s="10" t="n">
        <f aca="false">G2*M2</f>
        <v>0.04</v>
      </c>
      <c r="O2" s="1" t="n">
        <f aca="false">4000*0.01196</f>
        <v>47.84</v>
      </c>
      <c r="P2" s="11"/>
      <c r="AMJ2" s="0"/>
    </row>
    <row r="3" s="12" customFormat="true" ht="35.05" hidden="false" customHeight="false" outlineLevel="0" collapsed="false">
      <c r="A3" s="7" t="s">
        <v>23</v>
      </c>
      <c r="B3" s="7" t="s">
        <v>24</v>
      </c>
      <c r="C3" s="7" t="s">
        <v>25</v>
      </c>
      <c r="D3" s="8" t="s">
        <v>26</v>
      </c>
      <c r="E3" s="8" t="s">
        <v>19</v>
      </c>
      <c r="F3" s="7" t="s">
        <v>20</v>
      </c>
      <c r="G3" s="7" t="n">
        <v>1</v>
      </c>
      <c r="H3" s="7" t="n">
        <f aca="false">G3*300</f>
        <v>300</v>
      </c>
      <c r="I3" s="7" t="s">
        <v>27</v>
      </c>
      <c r="J3" s="9" t="s">
        <v>28</v>
      </c>
      <c r="K3" s="9" t="n">
        <v>0</v>
      </c>
      <c r="L3" s="7" t="s">
        <v>22</v>
      </c>
      <c r="M3" s="10" t="n">
        <v>0.02</v>
      </c>
      <c r="N3" s="10" t="n">
        <f aca="false">G3*M3</f>
        <v>0.02</v>
      </c>
      <c r="O3" s="1" t="n">
        <v>0</v>
      </c>
      <c r="P3" s="11"/>
      <c r="AMJ3" s="0"/>
    </row>
    <row r="4" s="12" customFormat="true" ht="41.75" hidden="false" customHeight="true" outlineLevel="0" collapsed="false">
      <c r="A4" s="7" t="s">
        <v>29</v>
      </c>
      <c r="B4" s="7" t="s">
        <v>30</v>
      </c>
      <c r="C4" s="7" t="s">
        <v>31</v>
      </c>
      <c r="D4" s="8" t="s">
        <v>32</v>
      </c>
      <c r="E4" s="8" t="s">
        <v>19</v>
      </c>
      <c r="F4" s="7" t="s">
        <v>33</v>
      </c>
      <c r="G4" s="7" t="n">
        <v>6</v>
      </c>
      <c r="H4" s="7" t="n">
        <f aca="false">G4*300</f>
        <v>1800</v>
      </c>
      <c r="I4" s="7" t="n">
        <v>4000</v>
      </c>
      <c r="J4" s="9" t="s">
        <v>34</v>
      </c>
      <c r="K4" s="9" t="n">
        <v>1</v>
      </c>
      <c r="L4" s="7" t="s">
        <v>22</v>
      </c>
      <c r="M4" s="10" t="n">
        <v>0.1</v>
      </c>
      <c r="N4" s="10" t="n">
        <f aca="false">G4*M4</f>
        <v>0.6</v>
      </c>
      <c r="O4" s="1" t="n">
        <f aca="false">4000*0.01208</f>
        <v>48.32</v>
      </c>
      <c r="P4" s="11"/>
      <c r="AMJ4" s="0"/>
    </row>
    <row r="5" customFormat="false" ht="68.65" hidden="false" customHeight="false" outlineLevel="0" collapsed="false">
      <c r="A5" s="7" t="s">
        <v>35</v>
      </c>
      <c r="B5" s="7" t="s">
        <v>36</v>
      </c>
      <c r="C5" s="7" t="s">
        <v>37</v>
      </c>
      <c r="D5" s="7" t="s">
        <v>38</v>
      </c>
      <c r="E5" s="8" t="s">
        <v>19</v>
      </c>
      <c r="F5" s="7" t="s">
        <v>20</v>
      </c>
      <c r="G5" s="7" t="n">
        <v>27</v>
      </c>
      <c r="H5" s="7" t="n">
        <f aca="false">G5*300</f>
        <v>8100</v>
      </c>
      <c r="I5" s="7" t="n">
        <v>8000</v>
      </c>
      <c r="J5" s="9" t="s">
        <v>39</v>
      </c>
      <c r="K5" s="9" t="n">
        <v>1</v>
      </c>
      <c r="L5" s="7" t="s">
        <v>22</v>
      </c>
      <c r="M5" s="10" t="n">
        <v>0.06</v>
      </c>
      <c r="N5" s="10" t="n">
        <f aca="false">G5*M5</f>
        <v>1.62</v>
      </c>
      <c r="O5" s="1" t="n">
        <f aca="false">4*76.23</f>
        <v>304.92</v>
      </c>
      <c r="P5" s="11"/>
    </row>
    <row r="6" customFormat="false" ht="35.05" hidden="false" customHeight="false" outlineLevel="0" collapsed="false">
      <c r="A6" s="7" t="s">
        <v>40</v>
      </c>
      <c r="B6" s="7" t="s">
        <v>41</v>
      </c>
      <c r="C6" s="7" t="s">
        <v>42</v>
      </c>
      <c r="D6" s="7" t="s">
        <v>43</v>
      </c>
      <c r="E6" s="8" t="s">
        <v>44</v>
      </c>
      <c r="F6" s="7" t="s">
        <v>45</v>
      </c>
      <c r="G6" s="7" t="n">
        <v>1</v>
      </c>
      <c r="H6" s="7" t="n">
        <f aca="false">G6*300</f>
        <v>300</v>
      </c>
      <c r="I6" s="7" t="n">
        <v>500</v>
      </c>
      <c r="J6" s="9" t="s">
        <v>46</v>
      </c>
      <c r="K6" s="9" t="n">
        <v>1</v>
      </c>
      <c r="L6" s="7"/>
      <c r="M6" s="10" t="n">
        <v>0.11</v>
      </c>
      <c r="N6" s="10" t="n">
        <f aca="false">G6*M6</f>
        <v>0.11</v>
      </c>
      <c r="O6" s="1" t="n">
        <f aca="false">I6*0.09854</f>
        <v>49.27</v>
      </c>
      <c r="P6" s="11"/>
    </row>
    <row r="7" customFormat="false" ht="35.05" hidden="false" customHeight="false" outlineLevel="0" collapsed="false">
      <c r="A7" s="7" t="s">
        <v>47</v>
      </c>
      <c r="B7" s="7" t="s">
        <v>48</v>
      </c>
      <c r="C7" s="7" t="s">
        <v>49</v>
      </c>
      <c r="D7" s="8" t="s">
        <v>50</v>
      </c>
      <c r="E7" s="8" t="s">
        <v>19</v>
      </c>
      <c r="F7" s="7" t="s">
        <v>51</v>
      </c>
      <c r="G7" s="7" t="n">
        <v>13</v>
      </c>
      <c r="H7" s="7" t="n">
        <f aca="false">G7*300</f>
        <v>3900</v>
      </c>
      <c r="I7" s="7" t="n">
        <v>4000</v>
      </c>
      <c r="J7" s="9" t="s">
        <v>52</v>
      </c>
      <c r="K7" s="9" t="n">
        <v>1</v>
      </c>
      <c r="L7" s="7" t="s">
        <v>22</v>
      </c>
      <c r="M7" s="10" t="n">
        <v>0.1</v>
      </c>
      <c r="N7" s="10" t="n">
        <f aca="false">G7*M7</f>
        <v>1.3</v>
      </c>
      <c r="O7" s="1" t="n">
        <v>246.31</v>
      </c>
      <c r="P7" s="11"/>
    </row>
    <row r="8" customFormat="false" ht="35.05" hidden="false" customHeight="false" outlineLevel="0" collapsed="false">
      <c r="A8" s="7" t="s">
        <v>53</v>
      </c>
      <c r="B8" s="7" t="s">
        <v>54</v>
      </c>
      <c r="C8" s="7" t="s">
        <v>55</v>
      </c>
      <c r="D8" s="8" t="s">
        <v>56</v>
      </c>
      <c r="E8" s="8" t="s">
        <v>19</v>
      </c>
      <c r="F8" s="7" t="s">
        <v>33</v>
      </c>
      <c r="G8" s="7" t="n">
        <v>2</v>
      </c>
      <c r="H8" s="7" t="n">
        <f aca="false">G8*300</f>
        <v>600</v>
      </c>
      <c r="I8" s="7" t="n">
        <v>2000</v>
      </c>
      <c r="J8" s="9" t="s">
        <v>57</v>
      </c>
      <c r="K8" s="9" t="n">
        <v>1</v>
      </c>
      <c r="L8" s="7" t="s">
        <v>22</v>
      </c>
      <c r="M8" s="10" t="n">
        <v>0.11</v>
      </c>
      <c r="N8" s="10" t="n">
        <f aca="false">G8*M8</f>
        <v>0.22</v>
      </c>
      <c r="O8" s="1" t="n">
        <f aca="false">I8*0.0693</f>
        <v>138.6</v>
      </c>
      <c r="P8" s="11"/>
    </row>
    <row r="9" customFormat="false" ht="23.85" hidden="false" customHeight="false" outlineLevel="0" collapsed="false">
      <c r="A9" s="7" t="s">
        <v>58</v>
      </c>
      <c r="B9" s="7" t="s">
        <v>59</v>
      </c>
      <c r="C9" s="7" t="s">
        <v>37</v>
      </c>
      <c r="D9" s="7" t="s">
        <v>60</v>
      </c>
      <c r="E9" s="8" t="n">
        <v>1206</v>
      </c>
      <c r="F9" s="7" t="s">
        <v>51</v>
      </c>
      <c r="G9" s="7" t="n">
        <v>1</v>
      </c>
      <c r="H9" s="7" t="n">
        <f aca="false">G9*300</f>
        <v>300</v>
      </c>
      <c r="I9" s="7" t="n">
        <v>500</v>
      </c>
      <c r="J9" s="9" t="s">
        <v>61</v>
      </c>
      <c r="K9" s="9" t="n">
        <v>1</v>
      </c>
      <c r="L9" s="7"/>
      <c r="M9" s="10" t="n">
        <v>0.13</v>
      </c>
      <c r="N9" s="10" t="n">
        <f aca="false">G9*M9</f>
        <v>0.13</v>
      </c>
      <c r="O9" s="1" t="n">
        <f aca="false">I9*0.12368</f>
        <v>61.84</v>
      </c>
      <c r="P9" s="11"/>
    </row>
    <row r="10" customFormat="false" ht="23.85" hidden="false" customHeight="false" outlineLevel="0" collapsed="false">
      <c r="A10" s="7" t="s">
        <v>62</v>
      </c>
      <c r="B10" s="7" t="s">
        <v>63</v>
      </c>
      <c r="C10" s="7" t="s">
        <v>64</v>
      </c>
      <c r="D10" s="8" t="s">
        <v>65</v>
      </c>
      <c r="E10" s="8" t="s">
        <v>66</v>
      </c>
      <c r="F10" s="7" t="s">
        <v>67</v>
      </c>
      <c r="G10" s="7" t="n">
        <v>2</v>
      </c>
      <c r="H10" s="7" t="n">
        <f aca="false">G10*300</f>
        <v>600</v>
      </c>
      <c r="I10" s="7" t="n">
        <v>1000</v>
      </c>
      <c r="J10" s="9" t="s">
        <v>68</v>
      </c>
      <c r="K10" s="9" t="n">
        <v>1</v>
      </c>
      <c r="L10" s="7" t="s">
        <v>22</v>
      </c>
      <c r="M10" s="10" t="n">
        <v>0.31</v>
      </c>
      <c r="N10" s="10" t="n">
        <f aca="false">G10*M10</f>
        <v>0.62</v>
      </c>
      <c r="O10" s="1" t="n">
        <v>196.35</v>
      </c>
      <c r="P10" s="11"/>
    </row>
    <row r="11" customFormat="false" ht="23.85" hidden="false" customHeight="false" outlineLevel="0" collapsed="false">
      <c r="A11" s="7" t="s">
        <v>69</v>
      </c>
      <c r="B11" s="7" t="s">
        <v>70</v>
      </c>
      <c r="C11" s="7" t="s">
        <v>71</v>
      </c>
      <c r="D11" s="8" t="s">
        <v>72</v>
      </c>
      <c r="E11" s="8" t="s">
        <v>19</v>
      </c>
      <c r="F11" s="7" t="s">
        <v>33</v>
      </c>
      <c r="G11" s="7" t="n">
        <v>2</v>
      </c>
      <c r="H11" s="7" t="n">
        <f aca="false">G11*300</f>
        <v>600</v>
      </c>
      <c r="I11" s="7" t="s">
        <v>27</v>
      </c>
      <c r="J11" s="9" t="s">
        <v>73</v>
      </c>
      <c r="K11" s="9" t="n">
        <v>0</v>
      </c>
      <c r="L11" s="7" t="s">
        <v>22</v>
      </c>
      <c r="M11" s="10" t="n">
        <v>0.1</v>
      </c>
      <c r="N11" s="10" t="n">
        <f aca="false">G11*M11</f>
        <v>0.2</v>
      </c>
      <c r="O11" s="1" t="n">
        <v>0</v>
      </c>
      <c r="P11" s="11"/>
    </row>
    <row r="12" customFormat="false" ht="23.85" hidden="false" customHeight="false" outlineLevel="0" collapsed="false">
      <c r="A12" s="7" t="s">
        <v>74</v>
      </c>
      <c r="B12" s="7" t="s">
        <v>75</v>
      </c>
      <c r="C12" s="7" t="s">
        <v>76</v>
      </c>
      <c r="D12" s="13" t="s">
        <v>77</v>
      </c>
      <c r="E12" s="8" t="s">
        <v>19</v>
      </c>
      <c r="F12" s="13" t="s">
        <v>51</v>
      </c>
      <c r="G12" s="7" t="n">
        <v>3</v>
      </c>
      <c r="H12" s="7" t="n">
        <f aca="false">G12*300</f>
        <v>900</v>
      </c>
      <c r="I12" s="7" t="n">
        <v>4000</v>
      </c>
      <c r="J12" s="9" t="s">
        <v>78</v>
      </c>
      <c r="K12" s="9" t="n">
        <v>1</v>
      </c>
      <c r="L12" s="7" t="s">
        <v>22</v>
      </c>
      <c r="M12" s="10" t="n">
        <v>0.1</v>
      </c>
      <c r="N12" s="10" t="n">
        <f aca="false">G12*M12</f>
        <v>0.3</v>
      </c>
      <c r="O12" s="1" t="n">
        <f aca="false">I12*0.00918</f>
        <v>36.72</v>
      </c>
      <c r="P12" s="11"/>
    </row>
    <row r="13" customFormat="false" ht="28.85" hidden="false" customHeight="true" outlineLevel="0" collapsed="false">
      <c r="A13" s="7" t="s">
        <v>79</v>
      </c>
      <c r="B13" s="7" t="s">
        <v>80</v>
      </c>
      <c r="C13" s="7" t="s">
        <v>81</v>
      </c>
      <c r="D13" s="8" t="s">
        <v>82</v>
      </c>
      <c r="E13" s="8" t="s">
        <v>19</v>
      </c>
      <c r="F13" s="7" t="s">
        <v>67</v>
      </c>
      <c r="G13" s="7" t="n">
        <v>2</v>
      </c>
      <c r="H13" s="7" t="n">
        <f aca="false">G13*300</f>
        <v>600</v>
      </c>
      <c r="I13" s="7" t="n">
        <v>4000</v>
      </c>
      <c r="J13" s="9" t="s">
        <v>83</v>
      </c>
      <c r="K13" s="9" t="n">
        <v>1</v>
      </c>
      <c r="L13" s="7" t="s">
        <v>22</v>
      </c>
      <c r="M13" s="10" t="n">
        <v>0.11</v>
      </c>
      <c r="N13" s="10" t="n">
        <f aca="false">G13*M13</f>
        <v>0.22</v>
      </c>
      <c r="O13" s="1" t="n">
        <f aca="false">I13*0.07304</f>
        <v>292.16</v>
      </c>
      <c r="P13" s="11"/>
    </row>
    <row r="14" customFormat="false" ht="23.85" hidden="false" customHeight="false" outlineLevel="0" collapsed="false">
      <c r="A14" s="7" t="s">
        <v>84</v>
      </c>
      <c r="B14" s="7" t="s">
        <v>85</v>
      </c>
      <c r="C14" s="7" t="s">
        <v>86</v>
      </c>
      <c r="D14" s="8" t="s">
        <v>87</v>
      </c>
      <c r="E14" s="8" t="s">
        <v>19</v>
      </c>
      <c r="F14" s="7" t="s">
        <v>88</v>
      </c>
      <c r="G14" s="7" t="n">
        <v>1</v>
      </c>
      <c r="H14" s="7" t="n">
        <f aca="false">G14*300</f>
        <v>300</v>
      </c>
      <c r="I14" s="7" t="s">
        <v>27</v>
      </c>
      <c r="J14" s="9" t="s">
        <v>89</v>
      </c>
      <c r="K14" s="9"/>
      <c r="L14" s="7" t="s">
        <v>22</v>
      </c>
      <c r="M14" s="10" t="n">
        <v>0.08</v>
      </c>
      <c r="N14" s="10" t="n">
        <f aca="false">G14*M14</f>
        <v>0.08</v>
      </c>
      <c r="O14" s="1" t="n">
        <v>0</v>
      </c>
      <c r="P14" s="11"/>
    </row>
    <row r="15" customFormat="false" ht="35.05" hidden="false" customHeight="false" outlineLevel="0" collapsed="false">
      <c r="A15" s="7" t="s">
        <v>90</v>
      </c>
      <c r="B15" s="7" t="s">
        <v>91</v>
      </c>
      <c r="C15" s="7" t="s">
        <v>92</v>
      </c>
      <c r="D15" s="11" t="s">
        <v>93</v>
      </c>
      <c r="E15" s="7" t="s">
        <v>94</v>
      </c>
      <c r="F15" s="7" t="s">
        <v>95</v>
      </c>
      <c r="G15" s="7" t="n">
        <v>1</v>
      </c>
      <c r="H15" s="7" t="n">
        <f aca="false">G15*300</f>
        <v>300</v>
      </c>
      <c r="I15" s="7" t="n">
        <f aca="false">H15*1.3</f>
        <v>390</v>
      </c>
      <c r="J15" s="14" t="s">
        <v>96</v>
      </c>
      <c r="K15" s="14" t="n">
        <v>1</v>
      </c>
      <c r="L15" s="7"/>
      <c r="M15" s="10" t="n">
        <v>0.21</v>
      </c>
      <c r="N15" s="10" t="n">
        <f aca="false">G15*M15</f>
        <v>0.21</v>
      </c>
      <c r="O15" s="1" t="n">
        <f aca="false">I15*0.2106</f>
        <v>82.134</v>
      </c>
      <c r="P15" s="11"/>
    </row>
    <row r="16" customFormat="false" ht="23.85" hidden="false" customHeight="false" outlineLevel="0" collapsed="false">
      <c r="A16" s="7" t="s">
        <v>97</v>
      </c>
      <c r="B16" s="13" t="s">
        <v>98</v>
      </c>
      <c r="C16" s="7" t="s">
        <v>99</v>
      </c>
      <c r="D16" s="13" t="s">
        <v>100</v>
      </c>
      <c r="E16" s="8" t="s">
        <v>19</v>
      </c>
      <c r="F16" s="13" t="s">
        <v>101</v>
      </c>
      <c r="G16" s="7" t="n">
        <v>2</v>
      </c>
      <c r="H16" s="7" t="n">
        <f aca="false">G16*300</f>
        <v>600</v>
      </c>
      <c r="I16" s="7" t="n">
        <v>1000</v>
      </c>
      <c r="J16" s="9" t="s">
        <v>102</v>
      </c>
      <c r="K16" s="9" t="n">
        <v>1</v>
      </c>
      <c r="L16" s="7"/>
      <c r="M16" s="10" t="n">
        <v>0.18</v>
      </c>
      <c r="N16" s="10" t="n">
        <f aca="false">G16*M16</f>
        <v>0.36</v>
      </c>
      <c r="O16" s="1" t="n">
        <v>114.64</v>
      </c>
      <c r="P16" s="11"/>
    </row>
    <row r="17" customFormat="false" ht="23.85" hidden="false" customHeight="false" outlineLevel="0" collapsed="false">
      <c r="A17" s="7" t="s">
        <v>103</v>
      </c>
      <c r="B17" s="7" t="s">
        <v>104</v>
      </c>
      <c r="C17" s="7" t="s">
        <v>105</v>
      </c>
      <c r="D17" s="7" t="s">
        <v>106</v>
      </c>
      <c r="E17" s="8" t="s">
        <v>107</v>
      </c>
      <c r="F17" s="7" t="s">
        <v>108</v>
      </c>
      <c r="G17" s="7" t="n">
        <v>4</v>
      </c>
      <c r="H17" s="7" t="n">
        <f aca="false">G17*300</f>
        <v>1200</v>
      </c>
      <c r="I17" s="7" t="n">
        <f aca="false">H17*1.3</f>
        <v>1560</v>
      </c>
      <c r="J17" s="9" t="s">
        <v>109</v>
      </c>
      <c r="K17" s="9" t="n">
        <v>1</v>
      </c>
      <c r="L17" s="7"/>
      <c r="M17" s="10" t="n">
        <v>1.73</v>
      </c>
      <c r="N17" s="10" t="n">
        <f aca="false">G17*M17</f>
        <v>6.92</v>
      </c>
      <c r="O17" s="1" t="n">
        <f aca="false">I17*1.274</f>
        <v>1987.44</v>
      </c>
      <c r="P17" s="11"/>
    </row>
    <row r="18" customFormat="false" ht="12.8" hidden="false" customHeight="false" outlineLevel="0" collapsed="false">
      <c r="A18" s="7" t="s">
        <v>110</v>
      </c>
      <c r="B18" s="7" t="s">
        <v>111</v>
      </c>
      <c r="C18" s="7" t="s">
        <v>111</v>
      </c>
      <c r="D18" s="15" t="n">
        <v>133623</v>
      </c>
      <c r="E18" s="8" t="s">
        <v>112</v>
      </c>
      <c r="F18" s="7" t="s">
        <v>113</v>
      </c>
      <c r="G18" s="7" t="n">
        <v>2</v>
      </c>
      <c r="H18" s="7" t="n">
        <f aca="false">G18*300</f>
        <v>600</v>
      </c>
      <c r="I18" s="7" t="n">
        <f aca="false">H18*1.3</f>
        <v>780</v>
      </c>
      <c r="J18" s="9" t="s">
        <v>114</v>
      </c>
      <c r="K18" s="9"/>
      <c r="L18" s="7"/>
      <c r="M18" s="10" t="n">
        <v>1</v>
      </c>
      <c r="N18" s="10" t="n">
        <f aca="false">G18*M18</f>
        <v>2</v>
      </c>
      <c r="O18" s="1" t="n">
        <f aca="false">I18*0.5</f>
        <v>390</v>
      </c>
      <c r="P18" s="11"/>
    </row>
    <row r="19" customFormat="false" ht="46.25" hidden="false" customHeight="false" outlineLevel="0" collapsed="false">
      <c r="A19" s="7" t="s">
        <v>115</v>
      </c>
      <c r="B19" s="7" t="s">
        <v>116</v>
      </c>
      <c r="C19" s="7" t="s">
        <v>117</v>
      </c>
      <c r="D19" s="7" t="s">
        <v>118</v>
      </c>
      <c r="E19" s="8" t="s">
        <v>119</v>
      </c>
      <c r="F19" s="7" t="s">
        <v>120</v>
      </c>
      <c r="G19" s="7" t="n">
        <v>1</v>
      </c>
      <c r="H19" s="7" t="n">
        <f aca="false">G19*300</f>
        <v>300</v>
      </c>
      <c r="I19" s="7" t="n">
        <f aca="false">H19*1.3</f>
        <v>390</v>
      </c>
      <c r="J19" s="14" t="s">
        <v>121</v>
      </c>
      <c r="K19" s="14" t="n">
        <v>1</v>
      </c>
      <c r="L19" s="7"/>
      <c r="M19" s="10" t="n">
        <v>0.999</v>
      </c>
      <c r="N19" s="10" t="n">
        <f aca="false">G19*M19</f>
        <v>0.999</v>
      </c>
      <c r="O19" s="1" t="n">
        <f aca="false">I19*0.9994</f>
        <v>389.766</v>
      </c>
      <c r="P19" s="11"/>
    </row>
    <row r="20" customFormat="false" ht="35.05" hidden="false" customHeight="false" outlineLevel="0" collapsed="false">
      <c r="A20" s="7" t="s">
        <v>122</v>
      </c>
      <c r="B20" s="13" t="s">
        <v>123</v>
      </c>
      <c r="C20" s="7" t="s">
        <v>124</v>
      </c>
      <c r="D20" s="13" t="s">
        <v>125</v>
      </c>
      <c r="E20" s="8" t="s">
        <v>126</v>
      </c>
      <c r="F20" s="13" t="s">
        <v>127</v>
      </c>
      <c r="G20" s="7" t="n">
        <v>1</v>
      </c>
      <c r="H20" s="7" t="n">
        <f aca="false">G20*300</f>
        <v>300</v>
      </c>
      <c r="I20" s="7" t="n">
        <f aca="false">H20*1.3</f>
        <v>390</v>
      </c>
      <c r="J20" s="9" t="s">
        <v>128</v>
      </c>
      <c r="K20" s="9" t="n">
        <v>1</v>
      </c>
      <c r="L20" s="7"/>
      <c r="M20" s="10" t="n">
        <v>0.49</v>
      </c>
      <c r="N20" s="10" t="n">
        <f aca="false">G20*M20</f>
        <v>0.49</v>
      </c>
      <c r="O20" s="1" t="n">
        <f aca="false">I20*0.4872</f>
        <v>190.008</v>
      </c>
      <c r="P20" s="11"/>
    </row>
    <row r="21" customFormat="false" ht="23.85" hidden="false" customHeight="false" outlineLevel="0" collapsed="false">
      <c r="A21" s="7" t="s">
        <v>129</v>
      </c>
      <c r="B21" s="13" t="s">
        <v>130</v>
      </c>
      <c r="C21" s="7" t="s">
        <v>131</v>
      </c>
      <c r="D21" s="13" t="s">
        <v>132</v>
      </c>
      <c r="E21" s="8" t="s">
        <v>66</v>
      </c>
      <c r="F21" s="13" t="s">
        <v>67</v>
      </c>
      <c r="G21" s="7" t="n">
        <v>2</v>
      </c>
      <c r="H21" s="7" t="n">
        <f aca="false">G21*300</f>
        <v>600</v>
      </c>
      <c r="I21" s="7" t="s">
        <v>27</v>
      </c>
      <c r="J21" s="9" t="s">
        <v>133</v>
      </c>
      <c r="K21" s="9" t="n">
        <v>0</v>
      </c>
      <c r="L21" s="7" t="s">
        <v>22</v>
      </c>
      <c r="M21" s="10" t="n">
        <v>0.22</v>
      </c>
      <c r="N21" s="10" t="n">
        <f aca="false">G21*M21</f>
        <v>0.44</v>
      </c>
      <c r="O21" s="1" t="n">
        <v>0</v>
      </c>
      <c r="P21" s="11"/>
    </row>
    <row r="22" customFormat="false" ht="46.25" hidden="false" customHeight="false" outlineLevel="0" collapsed="false">
      <c r="A22" s="7" t="s">
        <v>134</v>
      </c>
      <c r="B22" s="7" t="s">
        <v>135</v>
      </c>
      <c r="C22" s="7" t="s">
        <v>136</v>
      </c>
      <c r="D22" s="7" t="s">
        <v>137</v>
      </c>
      <c r="E22" s="8" t="s">
        <v>138</v>
      </c>
      <c r="F22" s="7" t="s">
        <v>120</v>
      </c>
      <c r="G22" s="7" t="n">
        <v>1</v>
      </c>
      <c r="H22" s="7" t="n">
        <f aca="false">G22*300</f>
        <v>300</v>
      </c>
      <c r="I22" s="7" t="n">
        <f aca="false">H22*1.3</f>
        <v>390</v>
      </c>
      <c r="J22" s="9" t="s">
        <v>139</v>
      </c>
      <c r="K22" s="9" t="n">
        <v>1</v>
      </c>
      <c r="L22" s="7"/>
      <c r="M22" s="10" t="n">
        <v>1.2</v>
      </c>
      <c r="N22" s="10" t="n">
        <f aca="false">G22*M22</f>
        <v>1.2</v>
      </c>
      <c r="O22" s="1" t="n">
        <f aca="false">I22*1.19892</f>
        <v>467.5788</v>
      </c>
      <c r="P22" s="11"/>
    </row>
    <row r="23" customFormat="false" ht="35.05" hidden="false" customHeight="false" outlineLevel="0" collapsed="false">
      <c r="A23" s="7" t="s">
        <v>140</v>
      </c>
      <c r="B23" s="7" t="s">
        <v>141</v>
      </c>
      <c r="C23" s="7" t="s">
        <v>142</v>
      </c>
      <c r="D23" s="7" t="s">
        <v>143</v>
      </c>
      <c r="E23" s="8" t="s">
        <v>144</v>
      </c>
      <c r="F23" s="7" t="s">
        <v>145</v>
      </c>
      <c r="G23" s="7" t="n">
        <v>1</v>
      </c>
      <c r="H23" s="7" t="n">
        <f aca="false">G23*300</f>
        <v>300</v>
      </c>
      <c r="I23" s="7" t="n">
        <f aca="false">H23*1.3</f>
        <v>390</v>
      </c>
      <c r="J23" s="9" t="s">
        <v>146</v>
      </c>
      <c r="K23" s="9" t="n">
        <v>1</v>
      </c>
      <c r="L23" s="7"/>
      <c r="M23" s="10" t="n">
        <v>0.17</v>
      </c>
      <c r="N23" s="10" t="n">
        <f aca="false">G23*M23</f>
        <v>0.17</v>
      </c>
      <c r="O23" s="1" t="n">
        <f aca="false">I23*0.165</f>
        <v>64.35</v>
      </c>
      <c r="P23" s="11"/>
    </row>
    <row r="24" customFormat="false" ht="23.85" hidden="false" customHeight="false" outlineLevel="0" collapsed="false">
      <c r="A24" s="7" t="s">
        <v>147</v>
      </c>
      <c r="B24" s="13" t="s">
        <v>148</v>
      </c>
      <c r="C24" s="7" t="s">
        <v>149</v>
      </c>
      <c r="D24" s="13" t="s">
        <v>150</v>
      </c>
      <c r="E24" s="8" t="s">
        <v>151</v>
      </c>
      <c r="F24" s="13" t="s">
        <v>152</v>
      </c>
      <c r="G24" s="7" t="n">
        <v>1</v>
      </c>
      <c r="H24" s="7" t="n">
        <f aca="false">G24*300</f>
        <v>300</v>
      </c>
      <c r="I24" s="7" t="n">
        <f aca="false">H24*1.3</f>
        <v>390</v>
      </c>
      <c r="J24" s="9" t="s">
        <v>153</v>
      </c>
      <c r="K24" s="9"/>
      <c r="L24" s="7"/>
      <c r="M24" s="10" t="n">
        <v>1</v>
      </c>
      <c r="N24" s="10" t="n">
        <f aca="false">G24*M24</f>
        <v>1</v>
      </c>
      <c r="O24" s="1" t="n">
        <f aca="false">390</f>
        <v>390</v>
      </c>
      <c r="P24" s="11"/>
    </row>
    <row r="25" customFormat="false" ht="23.85" hidden="false" customHeight="false" outlineLevel="0" collapsed="false">
      <c r="A25" s="7" t="s">
        <v>154</v>
      </c>
      <c r="B25" s="13" t="s">
        <v>155</v>
      </c>
      <c r="C25" s="7" t="s">
        <v>156</v>
      </c>
      <c r="D25" s="13"/>
      <c r="E25" s="8" t="s">
        <v>157</v>
      </c>
      <c r="F25" s="13"/>
      <c r="G25" s="7" t="n">
        <v>1</v>
      </c>
      <c r="H25" s="7" t="n">
        <f aca="false">G25*300</f>
        <v>300</v>
      </c>
      <c r="I25" s="7" t="n">
        <f aca="false">H25*1.3</f>
        <v>390</v>
      </c>
      <c r="J25" s="9" t="s">
        <v>158</v>
      </c>
      <c r="K25" s="9" t="n">
        <v>0</v>
      </c>
      <c r="L25" s="16" t="s">
        <v>159</v>
      </c>
      <c r="M25" s="10"/>
      <c r="N25" s="10"/>
      <c r="O25" s="0"/>
      <c r="P25" s="11"/>
    </row>
    <row r="26" customFormat="false" ht="32.8" hidden="false" customHeight="true" outlineLevel="0" collapsed="false">
      <c r="A26" s="7" t="s">
        <v>160</v>
      </c>
      <c r="B26" s="13" t="s">
        <v>161</v>
      </c>
      <c r="C26" s="7" t="s">
        <v>162</v>
      </c>
      <c r="D26" s="8" t="s">
        <v>163</v>
      </c>
      <c r="E26" s="8" t="s">
        <v>19</v>
      </c>
      <c r="F26" s="7" t="s">
        <v>45</v>
      </c>
      <c r="G26" s="7" t="n">
        <v>1</v>
      </c>
      <c r="H26" s="7" t="n">
        <f aca="false">G26*300</f>
        <v>300</v>
      </c>
      <c r="I26" s="7" t="n">
        <v>5000</v>
      </c>
      <c r="J26" s="9" t="s">
        <v>164</v>
      </c>
      <c r="K26" s="9" t="n">
        <v>1</v>
      </c>
      <c r="L26" s="7" t="s">
        <v>22</v>
      </c>
      <c r="M26" s="10" t="n">
        <v>0.09</v>
      </c>
      <c r="N26" s="10" t="n">
        <f aca="false">G26*M26</f>
        <v>0.09</v>
      </c>
      <c r="O26" s="1" t="n">
        <v>187.43</v>
      </c>
      <c r="P26" s="11"/>
    </row>
    <row r="27" customFormat="false" ht="23.85" hidden="false" customHeight="true" outlineLevel="0" collapsed="false">
      <c r="A27" s="7" t="s">
        <v>165</v>
      </c>
      <c r="B27" s="7" t="s">
        <v>166</v>
      </c>
      <c r="C27" s="7" t="s">
        <v>167</v>
      </c>
      <c r="D27" s="8" t="s">
        <v>168</v>
      </c>
      <c r="E27" s="8" t="s">
        <v>19</v>
      </c>
      <c r="F27" s="7" t="s">
        <v>169</v>
      </c>
      <c r="G27" s="7" t="n">
        <v>6</v>
      </c>
      <c r="H27" s="7" t="n">
        <f aca="false">G27*300</f>
        <v>1800</v>
      </c>
      <c r="I27" s="7" t="n">
        <v>5000</v>
      </c>
      <c r="J27" s="9" t="s">
        <v>170</v>
      </c>
      <c r="K27" s="9" t="n">
        <v>1</v>
      </c>
      <c r="L27" s="7" t="s">
        <v>22</v>
      </c>
      <c r="M27" s="10" t="n">
        <v>0.01</v>
      </c>
      <c r="N27" s="10" t="n">
        <f aca="false">G27*M27</f>
        <v>0.06</v>
      </c>
      <c r="O27" s="1" t="n">
        <v>10.55</v>
      </c>
      <c r="P27" s="11"/>
    </row>
    <row r="28" customFormat="false" ht="23.85" hidden="false" customHeight="false" outlineLevel="0" collapsed="false">
      <c r="A28" s="16" t="s">
        <v>171</v>
      </c>
      <c r="B28" s="7" t="s">
        <v>166</v>
      </c>
      <c r="C28" s="7" t="n">
        <v>0</v>
      </c>
      <c r="D28" s="8" t="s">
        <v>168</v>
      </c>
      <c r="E28" s="8" t="s">
        <v>19</v>
      </c>
      <c r="F28" s="7" t="s">
        <v>169</v>
      </c>
      <c r="G28" s="7" t="n">
        <v>6</v>
      </c>
      <c r="H28" s="7" t="s">
        <v>158</v>
      </c>
      <c r="I28" s="7" t="s">
        <v>172</v>
      </c>
      <c r="J28" s="9" t="s">
        <v>158</v>
      </c>
      <c r="K28" s="9" t="n">
        <v>0</v>
      </c>
      <c r="L28" s="16" t="s">
        <v>159</v>
      </c>
      <c r="M28" s="10"/>
      <c r="N28" s="10"/>
      <c r="O28" s="0"/>
      <c r="P28" s="11"/>
    </row>
    <row r="29" customFormat="false" ht="35.05" hidden="false" customHeight="false" outlineLevel="0" collapsed="false">
      <c r="A29" s="7" t="s">
        <v>173</v>
      </c>
      <c r="B29" s="13" t="s">
        <v>174</v>
      </c>
      <c r="C29" s="7" t="s">
        <v>175</v>
      </c>
      <c r="D29" s="8" t="s">
        <v>176</v>
      </c>
      <c r="E29" s="8" t="s">
        <v>19</v>
      </c>
      <c r="F29" s="7" t="s">
        <v>45</v>
      </c>
      <c r="G29" s="7" t="n">
        <v>1</v>
      </c>
      <c r="H29" s="7" t="n">
        <f aca="false">G29*300</f>
        <v>300</v>
      </c>
      <c r="I29" s="7" t="n">
        <v>5000</v>
      </c>
      <c r="J29" s="9" t="s">
        <v>177</v>
      </c>
      <c r="K29" s="9" t="n">
        <v>1</v>
      </c>
      <c r="L29" s="7" t="s">
        <v>22</v>
      </c>
      <c r="M29" s="10" t="n">
        <v>0.09</v>
      </c>
      <c r="N29" s="10" t="n">
        <f aca="false">G29*M29</f>
        <v>0.09</v>
      </c>
      <c r="O29" s="1" t="n">
        <v>187.43</v>
      </c>
      <c r="P29" s="11"/>
    </row>
    <row r="30" customFormat="false" ht="23.85" hidden="false" customHeight="false" outlineLevel="0" collapsed="false">
      <c r="A30" s="7" t="s">
        <v>178</v>
      </c>
      <c r="B30" s="7" t="s">
        <v>179</v>
      </c>
      <c r="C30" s="7" t="s">
        <v>180</v>
      </c>
      <c r="D30" s="8" t="s">
        <v>181</v>
      </c>
      <c r="E30" s="8" t="s">
        <v>19</v>
      </c>
      <c r="F30" s="7" t="s">
        <v>169</v>
      </c>
      <c r="G30" s="7" t="n">
        <v>2</v>
      </c>
      <c r="H30" s="7" t="n">
        <f aca="false">G30*300</f>
        <v>600</v>
      </c>
      <c r="I30" s="7" t="n">
        <v>5000</v>
      </c>
      <c r="J30" s="9" t="s">
        <v>182</v>
      </c>
      <c r="K30" s="9" t="n">
        <v>1</v>
      </c>
      <c r="L30" s="7" t="s">
        <v>22</v>
      </c>
      <c r="M30" s="10" t="n">
        <v>0.09</v>
      </c>
      <c r="N30" s="10" t="n">
        <f aca="false">G30*M30</f>
        <v>0.18</v>
      </c>
      <c r="O30" s="1" t="n">
        <v>13.59</v>
      </c>
      <c r="P30" s="11"/>
    </row>
    <row r="31" customFormat="false" ht="35.05" hidden="false" customHeight="false" outlineLevel="0" collapsed="false">
      <c r="A31" s="7" t="s">
        <v>183</v>
      </c>
      <c r="B31" s="7" t="s">
        <v>184</v>
      </c>
      <c r="C31" s="7" t="s">
        <v>185</v>
      </c>
      <c r="D31" s="8" t="s">
        <v>186</v>
      </c>
      <c r="E31" s="8" t="s">
        <v>19</v>
      </c>
      <c r="F31" s="7" t="s">
        <v>45</v>
      </c>
      <c r="G31" s="7" t="n">
        <v>2</v>
      </c>
      <c r="H31" s="7" t="n">
        <f aca="false">G31*300</f>
        <v>600</v>
      </c>
      <c r="I31" s="7" t="n">
        <v>5000</v>
      </c>
      <c r="J31" s="9" t="s">
        <v>187</v>
      </c>
      <c r="K31" s="9" t="n">
        <v>1</v>
      </c>
      <c r="L31" s="7" t="s">
        <v>22</v>
      </c>
      <c r="M31" s="10" t="n">
        <v>0.09</v>
      </c>
      <c r="N31" s="10" t="n">
        <f aca="false">G31*M31</f>
        <v>0.18</v>
      </c>
      <c r="O31" s="1" t="n">
        <f aca="false">I31*0.03749</f>
        <v>187.45</v>
      </c>
      <c r="P31" s="11"/>
    </row>
    <row r="32" customFormat="false" ht="23.85" hidden="false" customHeight="false" outlineLevel="0" collapsed="false">
      <c r="A32" s="7" t="s">
        <v>188</v>
      </c>
      <c r="B32" s="13" t="s">
        <v>189</v>
      </c>
      <c r="C32" s="13" t="s">
        <v>185</v>
      </c>
      <c r="D32" s="13" t="s">
        <v>190</v>
      </c>
      <c r="E32" s="13" t="s">
        <v>19</v>
      </c>
      <c r="F32" s="13" t="s">
        <v>169</v>
      </c>
      <c r="G32" s="7" t="n">
        <v>2</v>
      </c>
      <c r="H32" s="7" t="n">
        <f aca="false">G32*300</f>
        <v>600</v>
      </c>
      <c r="I32" s="7" t="n">
        <v>5000</v>
      </c>
      <c r="J32" s="9" t="s">
        <v>191</v>
      </c>
      <c r="K32" s="9" t="n">
        <v>1</v>
      </c>
      <c r="L32" s="7" t="s">
        <v>22</v>
      </c>
      <c r="M32" s="10" t="n">
        <v>0.01</v>
      </c>
      <c r="N32" s="10" t="n">
        <f aca="false">G32*M32</f>
        <v>0.02</v>
      </c>
      <c r="O32" s="1" t="n">
        <v>15</v>
      </c>
      <c r="P32" s="11"/>
    </row>
    <row r="33" customFormat="false" ht="23.85" hidden="false" customHeight="false" outlineLevel="0" collapsed="false">
      <c r="A33" s="7" t="s">
        <v>192</v>
      </c>
      <c r="B33" s="7" t="s">
        <v>193</v>
      </c>
      <c r="C33" s="7" t="s">
        <v>194</v>
      </c>
      <c r="D33" s="8" t="s">
        <v>195</v>
      </c>
      <c r="E33" s="8" t="s">
        <v>19</v>
      </c>
      <c r="F33" s="7" t="s">
        <v>169</v>
      </c>
      <c r="G33" s="7" t="n">
        <v>1</v>
      </c>
      <c r="H33" s="7" t="n">
        <f aca="false">G33*300</f>
        <v>300</v>
      </c>
      <c r="I33" s="7" t="n">
        <v>5000</v>
      </c>
      <c r="J33" s="9" t="s">
        <v>196</v>
      </c>
      <c r="K33" s="9" t="n">
        <v>1</v>
      </c>
      <c r="L33" s="7" t="s">
        <v>22</v>
      </c>
      <c r="M33" s="10" t="n">
        <v>0.01</v>
      </c>
      <c r="N33" s="10" t="n">
        <f aca="false">G33*M33</f>
        <v>0.01</v>
      </c>
      <c r="O33" s="1" t="n">
        <v>15</v>
      </c>
      <c r="P33" s="11"/>
    </row>
    <row r="34" customFormat="false" ht="23.85" hidden="false" customHeight="false" outlineLevel="0" collapsed="false">
      <c r="A34" s="7" t="s">
        <v>197</v>
      </c>
      <c r="B34" s="7" t="s">
        <v>198</v>
      </c>
      <c r="C34" s="7" t="s">
        <v>199</v>
      </c>
      <c r="D34" s="8" t="s">
        <v>200</v>
      </c>
      <c r="E34" s="8" t="s">
        <v>19</v>
      </c>
      <c r="F34" s="7" t="s">
        <v>169</v>
      </c>
      <c r="G34" s="7" t="n">
        <v>1</v>
      </c>
      <c r="H34" s="7" t="n">
        <f aca="false">G34*300</f>
        <v>300</v>
      </c>
      <c r="I34" s="7" t="n">
        <v>5000</v>
      </c>
      <c r="J34" s="9" t="s">
        <v>201</v>
      </c>
      <c r="K34" s="9" t="n">
        <v>1</v>
      </c>
      <c r="L34" s="7" t="s">
        <v>22</v>
      </c>
      <c r="M34" s="10" t="n">
        <v>0.01</v>
      </c>
      <c r="N34" s="10" t="n">
        <f aca="false">G34*M34</f>
        <v>0.01</v>
      </c>
      <c r="O34" s="1" t="n">
        <v>15</v>
      </c>
      <c r="P34" s="11"/>
    </row>
    <row r="35" customFormat="false" ht="23.85" hidden="false" customHeight="false" outlineLevel="0" collapsed="false">
      <c r="A35" s="7" t="s">
        <v>202</v>
      </c>
      <c r="B35" s="13" t="s">
        <v>203</v>
      </c>
      <c r="C35" s="13" t="s">
        <v>204</v>
      </c>
      <c r="D35" s="13" t="s">
        <v>205</v>
      </c>
      <c r="E35" s="13" t="s">
        <v>19</v>
      </c>
      <c r="F35" s="13" t="s">
        <v>169</v>
      </c>
      <c r="G35" s="7" t="n">
        <v>1</v>
      </c>
      <c r="H35" s="7" t="n">
        <f aca="false">G35*300</f>
        <v>300</v>
      </c>
      <c r="I35" s="7" t="n">
        <v>5000</v>
      </c>
      <c r="J35" s="9" t="s">
        <v>206</v>
      </c>
      <c r="K35" s="9" t="n">
        <v>1</v>
      </c>
      <c r="L35" s="7" t="s">
        <v>22</v>
      </c>
      <c r="M35" s="10" t="n">
        <v>0.01</v>
      </c>
      <c r="N35" s="10" t="n">
        <f aca="false">G35*M35</f>
        <v>0.01</v>
      </c>
      <c r="O35" s="1" t="n">
        <v>15</v>
      </c>
      <c r="P35" s="11"/>
    </row>
    <row r="36" customFormat="false" ht="35.05" hidden="false" customHeight="false" outlineLevel="0" collapsed="false">
      <c r="A36" s="7" t="s">
        <v>207</v>
      </c>
      <c r="B36" s="13" t="s">
        <v>208</v>
      </c>
      <c r="C36" s="13" t="s">
        <v>209</v>
      </c>
      <c r="D36" s="13" t="s">
        <v>210</v>
      </c>
      <c r="E36" s="13" t="s">
        <v>19</v>
      </c>
      <c r="F36" s="13" t="s">
        <v>45</v>
      </c>
      <c r="G36" s="7" t="n">
        <v>1</v>
      </c>
      <c r="H36" s="7" t="n">
        <f aca="false">G36*300</f>
        <v>300</v>
      </c>
      <c r="I36" s="7" t="n">
        <v>5000</v>
      </c>
      <c r="J36" s="9" t="s">
        <v>211</v>
      </c>
      <c r="K36" s="9" t="n">
        <v>1</v>
      </c>
      <c r="L36" s="7" t="s">
        <v>22</v>
      </c>
      <c r="M36" s="10" t="n">
        <v>0.09</v>
      </c>
      <c r="N36" s="10" t="n">
        <f aca="false">G36*M36</f>
        <v>0.09</v>
      </c>
      <c r="O36" s="1" t="n">
        <f aca="false">I36*0.03749</f>
        <v>187.45</v>
      </c>
      <c r="P36" s="11"/>
    </row>
    <row r="37" customFormat="false" ht="26.3" hidden="false" customHeight="false" outlineLevel="0" collapsed="false">
      <c r="A37" s="7" t="s">
        <v>212</v>
      </c>
      <c r="B37" s="13" t="s">
        <v>213</v>
      </c>
      <c r="C37" s="7" t="s">
        <v>209</v>
      </c>
      <c r="D37" s="8" t="s">
        <v>214</v>
      </c>
      <c r="E37" s="8" t="s">
        <v>19</v>
      </c>
      <c r="F37" s="7" t="s">
        <v>169</v>
      </c>
      <c r="G37" s="7" t="n">
        <v>1</v>
      </c>
      <c r="H37" s="7" t="n">
        <f aca="false">G37*300</f>
        <v>300</v>
      </c>
      <c r="I37" s="7" t="n">
        <v>5000</v>
      </c>
      <c r="J37" s="9" t="s">
        <v>215</v>
      </c>
      <c r="K37" s="9" t="n">
        <v>0</v>
      </c>
      <c r="L37" s="7" t="s">
        <v>216</v>
      </c>
      <c r="M37" s="10" t="n">
        <v>0.01</v>
      </c>
      <c r="N37" s="10" t="n">
        <f aca="false">G37*M37</f>
        <v>0.01</v>
      </c>
      <c r="O37" s="1" t="n">
        <v>125</v>
      </c>
      <c r="P37" s="11"/>
    </row>
    <row r="38" customFormat="false" ht="23.85" hidden="false" customHeight="false" outlineLevel="0" collapsed="false">
      <c r="A38" s="7" t="s">
        <v>217</v>
      </c>
      <c r="B38" s="7" t="s">
        <v>218</v>
      </c>
      <c r="C38" s="7" t="s">
        <v>219</v>
      </c>
      <c r="D38" s="8" t="s">
        <v>220</v>
      </c>
      <c r="E38" s="8" t="s">
        <v>19</v>
      </c>
      <c r="F38" s="7" t="s">
        <v>169</v>
      </c>
      <c r="G38" s="7" t="n">
        <v>1</v>
      </c>
      <c r="H38" s="7" t="n">
        <f aca="false">G38*300</f>
        <v>300</v>
      </c>
      <c r="I38" s="7" t="n">
        <v>5000</v>
      </c>
      <c r="J38" s="9" t="s">
        <v>221</v>
      </c>
      <c r="K38" s="9" t="n">
        <v>1</v>
      </c>
      <c r="L38" s="7" t="s">
        <v>22</v>
      </c>
      <c r="M38" s="10" t="n">
        <v>0.01</v>
      </c>
      <c r="N38" s="10" t="n">
        <f aca="false">G38*M38</f>
        <v>0.01</v>
      </c>
      <c r="O38" s="1" t="n">
        <v>15</v>
      </c>
      <c r="P38" s="11"/>
    </row>
    <row r="39" customFormat="false" ht="23.85" hidden="false" customHeight="false" outlineLevel="0" collapsed="false">
      <c r="A39" s="7" t="s">
        <v>222</v>
      </c>
      <c r="B39" s="7" t="s">
        <v>223</v>
      </c>
      <c r="C39" s="7" t="s">
        <v>224</v>
      </c>
      <c r="D39" s="8" t="s">
        <v>225</v>
      </c>
      <c r="E39" s="8" t="s">
        <v>19</v>
      </c>
      <c r="F39" s="7" t="s">
        <v>169</v>
      </c>
      <c r="G39" s="7" t="n">
        <v>1</v>
      </c>
      <c r="H39" s="7" t="n">
        <f aca="false">G39*300</f>
        <v>300</v>
      </c>
      <c r="I39" s="7" t="n">
        <v>5000</v>
      </c>
      <c r="J39" s="9" t="s">
        <v>226</v>
      </c>
      <c r="K39" s="9" t="n">
        <v>1</v>
      </c>
      <c r="L39" s="7" t="s">
        <v>22</v>
      </c>
      <c r="M39" s="10" t="n">
        <v>0.01</v>
      </c>
      <c r="N39" s="10" t="n">
        <f aca="false">G39*M39</f>
        <v>0.01</v>
      </c>
      <c r="O39" s="1" t="n">
        <v>15</v>
      </c>
      <c r="P39" s="11"/>
    </row>
    <row r="40" customFormat="false" ht="23.85" hidden="false" customHeight="false" outlineLevel="0" collapsed="false">
      <c r="A40" s="7" t="s">
        <v>227</v>
      </c>
      <c r="B40" s="13" t="s">
        <v>228</v>
      </c>
      <c r="C40" s="13" t="s">
        <v>229</v>
      </c>
      <c r="D40" s="13" t="s">
        <v>230</v>
      </c>
      <c r="E40" s="13" t="s">
        <v>19</v>
      </c>
      <c r="F40" s="13" t="s">
        <v>169</v>
      </c>
      <c r="G40" s="7" t="n">
        <v>1</v>
      </c>
      <c r="H40" s="7" t="n">
        <f aca="false">G40*300</f>
        <v>300</v>
      </c>
      <c r="I40" s="7" t="n">
        <v>5000</v>
      </c>
      <c r="J40" s="9" t="s">
        <v>231</v>
      </c>
      <c r="K40" s="9" t="n">
        <v>1</v>
      </c>
      <c r="L40" s="7" t="s">
        <v>22</v>
      </c>
      <c r="M40" s="10" t="n">
        <v>0.01</v>
      </c>
      <c r="N40" s="10" t="n">
        <f aca="false">G40*M40</f>
        <v>0.01</v>
      </c>
      <c r="O40" s="1" t="n">
        <v>15</v>
      </c>
      <c r="P40" s="11"/>
    </row>
    <row r="41" customFormat="false" ht="23.85" hidden="false" customHeight="false" outlineLevel="0" collapsed="false">
      <c r="A41" s="7" t="s">
        <v>232</v>
      </c>
      <c r="B41" s="13" t="s">
        <v>233</v>
      </c>
      <c r="C41" s="13" t="s">
        <v>234</v>
      </c>
      <c r="D41" s="13" t="s">
        <v>235</v>
      </c>
      <c r="E41" s="13" t="s">
        <v>19</v>
      </c>
      <c r="F41" s="13" t="s">
        <v>169</v>
      </c>
      <c r="G41" s="7" t="n">
        <v>1</v>
      </c>
      <c r="H41" s="7" t="n">
        <f aca="false">G41*300</f>
        <v>300</v>
      </c>
      <c r="I41" s="7" t="n">
        <v>5000</v>
      </c>
      <c r="J41" s="9" t="s">
        <v>236</v>
      </c>
      <c r="K41" s="9" t="n">
        <v>1</v>
      </c>
      <c r="L41" s="7" t="s">
        <v>22</v>
      </c>
      <c r="M41" s="10" t="n">
        <v>0.01</v>
      </c>
      <c r="N41" s="10" t="n">
        <f aca="false">G41*M41</f>
        <v>0.01</v>
      </c>
      <c r="O41" s="0"/>
      <c r="P41" s="11"/>
    </row>
    <row r="42" customFormat="false" ht="23.85" hidden="false" customHeight="false" outlineLevel="0" collapsed="false">
      <c r="A42" s="7" t="s">
        <v>237</v>
      </c>
      <c r="B42" s="7" t="s">
        <v>238</v>
      </c>
      <c r="C42" s="7" t="s">
        <v>239</v>
      </c>
      <c r="D42" s="8" t="s">
        <v>240</v>
      </c>
      <c r="E42" s="8" t="s">
        <v>19</v>
      </c>
      <c r="F42" s="7" t="s">
        <v>169</v>
      </c>
      <c r="G42" s="7" t="n">
        <v>1</v>
      </c>
      <c r="H42" s="7" t="n">
        <f aca="false">G42*300</f>
        <v>300</v>
      </c>
      <c r="I42" s="7" t="n">
        <v>5000</v>
      </c>
      <c r="J42" s="9" t="s">
        <v>241</v>
      </c>
      <c r="K42" s="9" t="n">
        <v>1</v>
      </c>
      <c r="L42" s="7" t="s">
        <v>22</v>
      </c>
      <c r="M42" s="10" t="n">
        <v>0.01</v>
      </c>
      <c r="N42" s="10" t="n">
        <f aca="false">G42*M42</f>
        <v>0.01</v>
      </c>
      <c r="O42" s="1" t="n">
        <v>15</v>
      </c>
      <c r="P42" s="11"/>
    </row>
    <row r="43" customFormat="false" ht="35.05" hidden="false" customHeight="false" outlineLevel="0" collapsed="false">
      <c r="A43" s="7" t="s">
        <v>242</v>
      </c>
      <c r="B43" s="7" t="s">
        <v>243</v>
      </c>
      <c r="C43" s="7" t="s">
        <v>244</v>
      </c>
      <c r="D43" s="8" t="s">
        <v>245</v>
      </c>
      <c r="E43" s="8" t="s">
        <v>19</v>
      </c>
      <c r="F43" s="7" t="s">
        <v>45</v>
      </c>
      <c r="G43" s="7" t="n">
        <v>2</v>
      </c>
      <c r="H43" s="7" t="n">
        <f aca="false">G43*300</f>
        <v>600</v>
      </c>
      <c r="I43" s="7" t="n">
        <v>5000</v>
      </c>
      <c r="J43" s="9" t="s">
        <v>246</v>
      </c>
      <c r="K43" s="9" t="n">
        <v>1</v>
      </c>
      <c r="L43" s="7" t="s">
        <v>22</v>
      </c>
      <c r="M43" s="10" t="n">
        <v>0.09</v>
      </c>
      <c r="N43" s="10" t="n">
        <f aca="false">G43*M43</f>
        <v>0.18</v>
      </c>
      <c r="O43" s="1" t="n">
        <f aca="false">I43*0.03749</f>
        <v>187.45</v>
      </c>
      <c r="P43" s="11"/>
    </row>
    <row r="44" customFormat="false" ht="35.05" hidden="false" customHeight="false" outlineLevel="0" collapsed="false">
      <c r="A44" s="7" t="s">
        <v>247</v>
      </c>
      <c r="B44" s="13" t="s">
        <v>248</v>
      </c>
      <c r="C44" s="13" t="s">
        <v>249</v>
      </c>
      <c r="D44" s="13" t="s">
        <v>250</v>
      </c>
      <c r="E44" s="13" t="s">
        <v>19</v>
      </c>
      <c r="F44" s="13" t="s">
        <v>45</v>
      </c>
      <c r="G44" s="7" t="n">
        <v>2</v>
      </c>
      <c r="H44" s="7" t="n">
        <f aca="false">G44*300</f>
        <v>600</v>
      </c>
      <c r="I44" s="7" t="n">
        <v>5000</v>
      </c>
      <c r="J44" s="9" t="s">
        <v>251</v>
      </c>
      <c r="K44" s="9" t="n">
        <v>1</v>
      </c>
      <c r="L44" s="7" t="s">
        <v>22</v>
      </c>
      <c r="M44" s="10" t="n">
        <v>0.09</v>
      </c>
      <c r="N44" s="10" t="n">
        <f aca="false">G44*M44</f>
        <v>0.18</v>
      </c>
      <c r="O44" s="1" t="n">
        <f aca="false">I44*0.03749</f>
        <v>187.45</v>
      </c>
      <c r="P44" s="11"/>
    </row>
    <row r="45" customFormat="false" ht="23.85" hidden="false" customHeight="false" outlineLevel="0" collapsed="false">
      <c r="A45" s="7" t="s">
        <v>252</v>
      </c>
      <c r="B45" s="13" t="s">
        <v>253</v>
      </c>
      <c r="C45" s="13" t="s">
        <v>254</v>
      </c>
      <c r="D45" s="8" t="s">
        <v>255</v>
      </c>
      <c r="E45" s="8" t="s">
        <v>19</v>
      </c>
      <c r="F45" s="13" t="s">
        <v>169</v>
      </c>
      <c r="G45" s="7" t="n">
        <v>7</v>
      </c>
      <c r="H45" s="7" t="n">
        <f aca="false">G45*300</f>
        <v>2100</v>
      </c>
      <c r="I45" s="7" t="n">
        <v>5000</v>
      </c>
      <c r="J45" s="9" t="s">
        <v>256</v>
      </c>
      <c r="K45" s="9" t="n">
        <v>1</v>
      </c>
      <c r="L45" s="7" t="s">
        <v>22</v>
      </c>
      <c r="M45" s="10" t="n">
        <v>0.01</v>
      </c>
      <c r="N45" s="10" t="n">
        <f aca="false">G45*M45</f>
        <v>0.07</v>
      </c>
      <c r="O45" s="1" t="n">
        <v>15</v>
      </c>
      <c r="P45" s="11"/>
    </row>
    <row r="46" customFormat="false" ht="35.05" hidden="false" customHeight="false" outlineLevel="0" collapsed="false">
      <c r="A46" s="7" t="s">
        <v>257</v>
      </c>
      <c r="B46" s="7" t="s">
        <v>258</v>
      </c>
      <c r="C46" s="7" t="s">
        <v>259</v>
      </c>
      <c r="D46" s="7" t="s">
        <v>260</v>
      </c>
      <c r="E46" s="8" t="s">
        <v>261</v>
      </c>
      <c r="F46" s="7" t="s">
        <v>262</v>
      </c>
      <c r="G46" s="7" t="n">
        <v>2</v>
      </c>
      <c r="H46" s="7" t="n">
        <f aca="false">G46*300</f>
        <v>600</v>
      </c>
      <c r="I46" s="7" t="n">
        <f aca="false">H46*1.3</f>
        <v>780</v>
      </c>
      <c r="J46" s="9" t="s">
        <v>263</v>
      </c>
      <c r="K46" s="9" t="n">
        <v>1</v>
      </c>
      <c r="L46" s="7"/>
      <c r="M46" s="10" t="n">
        <v>0.15</v>
      </c>
      <c r="N46" s="10" t="n">
        <f aca="false">G46*M46</f>
        <v>0.3</v>
      </c>
      <c r="O46" s="1" t="n">
        <f aca="false">I46*0.35</f>
        <v>273</v>
      </c>
      <c r="P46" s="11"/>
    </row>
    <row r="47" customFormat="false" ht="23.85" hidden="false" customHeight="false" outlineLevel="0" collapsed="false">
      <c r="A47" s="7" t="s">
        <v>264</v>
      </c>
      <c r="B47" s="7" t="s">
        <v>265</v>
      </c>
      <c r="C47" s="7" t="s">
        <v>266</v>
      </c>
      <c r="D47" s="7" t="s">
        <v>267</v>
      </c>
      <c r="E47" s="8" t="s">
        <v>268</v>
      </c>
      <c r="F47" s="7" t="s">
        <v>269</v>
      </c>
      <c r="G47" s="7" t="n">
        <v>1</v>
      </c>
      <c r="H47" s="7" t="n">
        <f aca="false">G47*300</f>
        <v>300</v>
      </c>
      <c r="I47" s="7" t="n">
        <f aca="false">H47*1.3</f>
        <v>390</v>
      </c>
      <c r="J47" s="9" t="s">
        <v>270</v>
      </c>
      <c r="K47" s="9" t="n">
        <v>1</v>
      </c>
      <c r="L47" s="7"/>
      <c r="M47" s="10" t="n">
        <v>4.87</v>
      </c>
      <c r="N47" s="10" t="n">
        <f aca="false">G47*M47</f>
        <v>4.87</v>
      </c>
      <c r="O47" s="1" t="n">
        <f aca="false">I47*4.51</f>
        <v>1758.9</v>
      </c>
      <c r="P47" s="11"/>
    </row>
    <row r="48" customFormat="false" ht="23.85" hidden="false" customHeight="false" outlineLevel="0" collapsed="false">
      <c r="A48" s="7" t="s">
        <v>271</v>
      </c>
      <c r="B48" s="7" t="s">
        <v>272</v>
      </c>
      <c r="C48" s="7" t="s">
        <v>273</v>
      </c>
      <c r="D48" s="7" t="s">
        <v>274</v>
      </c>
      <c r="E48" s="8" t="s">
        <v>268</v>
      </c>
      <c r="F48" s="7" t="s">
        <v>269</v>
      </c>
      <c r="G48" s="7" t="n">
        <v>1</v>
      </c>
      <c r="H48" s="7" t="n">
        <f aca="false">G48*300</f>
        <v>300</v>
      </c>
      <c r="I48" s="7" t="n">
        <f aca="false">H48*1.3</f>
        <v>390</v>
      </c>
      <c r="J48" s="9" t="s">
        <v>275</v>
      </c>
      <c r="K48" s="9" t="n">
        <v>1</v>
      </c>
      <c r="L48" s="7"/>
      <c r="M48" s="10" t="n">
        <v>2.98</v>
      </c>
      <c r="N48" s="10" t="n">
        <f aca="false">G48*M48</f>
        <v>2.98</v>
      </c>
      <c r="O48" s="1" t="n">
        <f aca="false">I48*2.74</f>
        <v>1068.6</v>
      </c>
      <c r="P48" s="11"/>
    </row>
    <row r="49" customFormat="false" ht="23.85" hidden="false" customHeight="false" outlineLevel="0" collapsed="false">
      <c r="A49" s="7" t="s">
        <v>276</v>
      </c>
      <c r="B49" s="7" t="s">
        <v>277</v>
      </c>
      <c r="C49" s="7" t="s">
        <v>278</v>
      </c>
      <c r="D49" s="7" t="s">
        <v>279</v>
      </c>
      <c r="E49" s="8" t="s">
        <v>280</v>
      </c>
      <c r="F49" s="7" t="s">
        <v>281</v>
      </c>
      <c r="G49" s="7" t="n">
        <v>1</v>
      </c>
      <c r="H49" s="7" t="n">
        <f aca="false">G49*300</f>
        <v>300</v>
      </c>
      <c r="I49" s="7" t="n">
        <f aca="false">H49*1.3</f>
        <v>390</v>
      </c>
      <c r="J49" s="9" t="s">
        <v>282</v>
      </c>
      <c r="K49" s="9" t="n">
        <v>1</v>
      </c>
      <c r="L49" s="7"/>
      <c r="M49" s="10" t="n">
        <v>6.88</v>
      </c>
      <c r="N49" s="10" t="n">
        <f aca="false">G49*M49</f>
        <v>6.88</v>
      </c>
      <c r="O49" s="1" t="n">
        <f aca="false">I49*6.72</f>
        <v>2620.8</v>
      </c>
      <c r="P49" s="11"/>
    </row>
    <row r="50" customFormat="false" ht="23.85" hidden="false" customHeight="false" outlineLevel="0" collapsed="false">
      <c r="A50" s="7" t="s">
        <v>283</v>
      </c>
      <c r="B50" s="7" t="s">
        <v>284</v>
      </c>
      <c r="C50" s="7" t="s">
        <v>285</v>
      </c>
      <c r="D50" s="7" t="s">
        <v>286</v>
      </c>
      <c r="E50" s="8" t="s">
        <v>287</v>
      </c>
      <c r="F50" s="7" t="s">
        <v>269</v>
      </c>
      <c r="G50" s="7" t="n">
        <v>1</v>
      </c>
      <c r="H50" s="7" t="n">
        <f aca="false">G50*300</f>
        <v>300</v>
      </c>
      <c r="I50" s="7" t="n">
        <f aca="false">H50*1.3</f>
        <v>390</v>
      </c>
      <c r="J50" s="9" t="s">
        <v>288</v>
      </c>
      <c r="K50" s="9" t="n">
        <v>1</v>
      </c>
      <c r="L50" s="7"/>
      <c r="M50" s="10" t="n">
        <v>12.68</v>
      </c>
      <c r="N50" s="10" t="n">
        <f aca="false">G50*M50</f>
        <v>12.68</v>
      </c>
      <c r="O50" s="1" t="n">
        <f aca="false">I50*12.31</f>
        <v>4800.9</v>
      </c>
      <c r="P50" s="11"/>
    </row>
    <row r="51" customFormat="false" ht="23.85" hidden="false" customHeight="false" outlineLevel="0" collapsed="false">
      <c r="A51" s="7" t="s">
        <v>289</v>
      </c>
      <c r="B51" s="7" t="s">
        <v>290</v>
      </c>
      <c r="C51" s="7" t="s">
        <v>291</v>
      </c>
      <c r="D51" s="7" t="s">
        <v>292</v>
      </c>
      <c r="E51" s="8" t="s">
        <v>293</v>
      </c>
      <c r="F51" s="7" t="s">
        <v>269</v>
      </c>
      <c r="G51" s="7" t="n">
        <v>1</v>
      </c>
      <c r="H51" s="7" t="n">
        <f aca="false">G51*300</f>
        <v>300</v>
      </c>
      <c r="I51" s="7" t="n">
        <f aca="false">H51*1.3</f>
        <v>390</v>
      </c>
      <c r="J51" s="9" t="s">
        <v>294</v>
      </c>
      <c r="K51" s="9" t="n">
        <v>1</v>
      </c>
      <c r="L51" s="7"/>
      <c r="M51" s="10" t="n">
        <v>8.76</v>
      </c>
      <c r="N51" s="10" t="n">
        <f aca="false">G51*M51</f>
        <v>8.76</v>
      </c>
      <c r="O51" s="1" t="n">
        <f aca="false">I51*9.28</f>
        <v>3619.2</v>
      </c>
      <c r="P51" s="11"/>
    </row>
    <row r="52" customFormat="false" ht="14.9" hidden="false" customHeight="true" outlineLevel="0" collapsed="false">
      <c r="A52" s="7" t="s">
        <v>295</v>
      </c>
      <c r="B52" s="7" t="s">
        <v>296</v>
      </c>
      <c r="C52" s="7" t="s">
        <v>297</v>
      </c>
      <c r="D52" s="7" t="s">
        <v>298</v>
      </c>
      <c r="E52" s="8" t="s">
        <v>299</v>
      </c>
      <c r="F52" s="7" t="s">
        <v>300</v>
      </c>
      <c r="G52" s="7" t="n">
        <v>1</v>
      </c>
      <c r="H52" s="7" t="n">
        <f aca="false">G52*300</f>
        <v>300</v>
      </c>
      <c r="I52" s="7" t="n">
        <f aca="false">H52*1.3</f>
        <v>390</v>
      </c>
      <c r="J52" s="9" t="s">
        <v>301</v>
      </c>
      <c r="K52" s="9" t="n">
        <v>1</v>
      </c>
      <c r="L52" s="7"/>
      <c r="M52" s="10" t="n">
        <v>3.24</v>
      </c>
      <c r="N52" s="10" t="n">
        <f aca="false">G52*M52</f>
        <v>3.24</v>
      </c>
      <c r="O52" s="1" t="n">
        <f aca="false">I52*3.24</f>
        <v>1263.6</v>
      </c>
      <c r="P52" s="11"/>
    </row>
    <row r="53" customFormat="false" ht="23.85" hidden="false" customHeight="false" outlineLevel="0" collapsed="false">
      <c r="A53" s="16" t="s">
        <v>302</v>
      </c>
      <c r="B53" s="7" t="s">
        <v>296</v>
      </c>
      <c r="C53" s="7" t="s">
        <v>297</v>
      </c>
      <c r="D53" s="7" t="s">
        <v>298</v>
      </c>
      <c r="E53" s="8" t="s">
        <v>299</v>
      </c>
      <c r="F53" s="7" t="s">
        <v>300</v>
      </c>
      <c r="G53" s="7" t="n">
        <v>1</v>
      </c>
      <c r="H53" s="7" t="s">
        <v>158</v>
      </c>
      <c r="I53" s="7" t="s">
        <v>172</v>
      </c>
      <c r="J53" s="9" t="s">
        <v>158</v>
      </c>
      <c r="K53" s="9"/>
      <c r="L53" s="16" t="s">
        <v>159</v>
      </c>
      <c r="M53" s="10"/>
      <c r="N53" s="10"/>
      <c r="O53" s="1" t="n">
        <v>0</v>
      </c>
      <c r="P53" s="11"/>
    </row>
    <row r="54" customFormat="false" ht="23.85" hidden="false" customHeight="false" outlineLevel="0" collapsed="false">
      <c r="A54" s="7" t="s">
        <v>303</v>
      </c>
      <c r="B54" s="7" t="s">
        <v>304</v>
      </c>
      <c r="C54" s="7" t="s">
        <v>305</v>
      </c>
      <c r="D54" s="7" t="s">
        <v>306</v>
      </c>
      <c r="E54" s="8" t="s">
        <v>305</v>
      </c>
      <c r="F54" s="7" t="s">
        <v>269</v>
      </c>
      <c r="G54" s="7" t="n">
        <v>1</v>
      </c>
      <c r="H54" s="7" t="n">
        <f aca="false">G54*300</f>
        <v>300</v>
      </c>
      <c r="I54" s="7" t="n">
        <f aca="false">H54*1.3</f>
        <v>390</v>
      </c>
      <c r="J54" s="9" t="s">
        <v>307</v>
      </c>
      <c r="K54" s="9" t="n">
        <v>1</v>
      </c>
      <c r="L54" s="7"/>
      <c r="M54" s="10" t="n">
        <v>7.6</v>
      </c>
      <c r="N54" s="10" t="n">
        <f aca="false">G54*M54</f>
        <v>7.6</v>
      </c>
      <c r="O54" s="1" t="n">
        <f aca="false">I54*7.6</f>
        <v>2964</v>
      </c>
      <c r="P54" s="11"/>
    </row>
    <row r="55" customFormat="false" ht="14.9" hidden="false" customHeight="true" outlineLevel="0" collapsed="false">
      <c r="A55" s="7" t="s">
        <v>308</v>
      </c>
      <c r="B55" s="7" t="s">
        <v>309</v>
      </c>
      <c r="C55" s="7" t="s">
        <v>310</v>
      </c>
      <c r="D55" s="7" t="s">
        <v>311</v>
      </c>
      <c r="E55" s="8" t="s">
        <v>312</v>
      </c>
      <c r="F55" s="7" t="s">
        <v>300</v>
      </c>
      <c r="G55" s="7" t="n">
        <v>2</v>
      </c>
      <c r="H55" s="7" t="n">
        <f aca="false">G55*300</f>
        <v>600</v>
      </c>
      <c r="I55" s="7" t="n">
        <f aca="false">H55*1.3</f>
        <v>780</v>
      </c>
      <c r="J55" s="9" t="s">
        <v>313</v>
      </c>
      <c r="K55" s="9" t="n">
        <v>1</v>
      </c>
      <c r="L55" s="7"/>
      <c r="M55" s="10" t="n">
        <v>2.53</v>
      </c>
      <c r="N55" s="10" t="n">
        <f aca="false">G55*M55</f>
        <v>5.06</v>
      </c>
      <c r="O55" s="1" t="n">
        <f aca="false">I55*2.53</f>
        <v>1973.4</v>
      </c>
      <c r="P55" s="11"/>
    </row>
    <row r="56" customFormat="false" ht="23.85" hidden="false" customHeight="false" outlineLevel="0" collapsed="false">
      <c r="A56" s="16" t="s">
        <v>314</v>
      </c>
      <c r="B56" s="7" t="s">
        <v>309</v>
      </c>
      <c r="C56" s="7" t="s">
        <v>310</v>
      </c>
      <c r="D56" s="7" t="s">
        <v>311</v>
      </c>
      <c r="E56" s="8" t="s">
        <v>312</v>
      </c>
      <c r="F56" s="7" t="s">
        <v>300</v>
      </c>
      <c r="G56" s="7" t="n">
        <v>1</v>
      </c>
      <c r="H56" s="7" t="s">
        <v>158</v>
      </c>
      <c r="I56" s="7" t="s">
        <v>172</v>
      </c>
      <c r="J56" s="9" t="s">
        <v>158</v>
      </c>
      <c r="K56" s="9"/>
      <c r="L56" s="16" t="s">
        <v>159</v>
      </c>
      <c r="M56" s="10"/>
      <c r="N56" s="10"/>
      <c r="O56" s="1" t="n">
        <v>0</v>
      </c>
      <c r="P56" s="11"/>
    </row>
    <row r="57" customFormat="false" ht="23.85" hidden="false" customHeight="false" outlineLevel="0" collapsed="false">
      <c r="A57" s="7" t="s">
        <v>315</v>
      </c>
      <c r="B57" s="7" t="s">
        <v>316</v>
      </c>
      <c r="C57" s="7" t="s">
        <v>317</v>
      </c>
      <c r="D57" s="7" t="s">
        <v>318</v>
      </c>
      <c r="E57" s="8" t="s">
        <v>319</v>
      </c>
      <c r="F57" s="7" t="s">
        <v>320</v>
      </c>
      <c r="G57" s="7" t="n">
        <v>3</v>
      </c>
      <c r="H57" s="7" t="n">
        <f aca="false">G57*300</f>
        <v>900</v>
      </c>
      <c r="I57" s="7" t="n">
        <f aca="false">H57*1.3</f>
        <v>1170</v>
      </c>
      <c r="J57" s="9" t="s">
        <v>321</v>
      </c>
      <c r="K57" s="9" t="n">
        <v>1</v>
      </c>
      <c r="L57" s="7"/>
      <c r="M57" s="10" t="n">
        <v>0.27</v>
      </c>
      <c r="N57" s="10" t="n">
        <f aca="false">G57*M57</f>
        <v>0.81</v>
      </c>
      <c r="O57" s="1" t="n">
        <f aca="false">I57*0.16565</f>
        <v>193.8105</v>
      </c>
      <c r="P57" s="11"/>
    </row>
    <row r="58" customFormat="false" ht="23.85" hidden="false" customHeight="false" outlineLevel="0" collapsed="false">
      <c r="A58" s="7" t="s">
        <v>322</v>
      </c>
      <c r="B58" s="7" t="s">
        <v>323</v>
      </c>
      <c r="C58" s="7" t="s">
        <v>324</v>
      </c>
      <c r="D58" s="7" t="s">
        <v>325</v>
      </c>
      <c r="E58" s="8" t="s">
        <v>312</v>
      </c>
      <c r="F58" s="7" t="s">
        <v>300</v>
      </c>
      <c r="G58" s="7" t="n">
        <v>1</v>
      </c>
      <c r="H58" s="7" t="n">
        <f aca="false">G58*300</f>
        <v>300</v>
      </c>
      <c r="I58" s="7" t="n">
        <f aca="false">H58*1.3</f>
        <v>390</v>
      </c>
      <c r="J58" s="9" t="s">
        <v>326</v>
      </c>
      <c r="K58" s="9" t="n">
        <v>1</v>
      </c>
      <c r="L58" s="7"/>
      <c r="M58" s="10" t="n">
        <v>2.13</v>
      </c>
      <c r="N58" s="10" t="n">
        <f aca="false">G58*M58</f>
        <v>2.13</v>
      </c>
      <c r="O58" s="1" t="n">
        <f aca="false">I58*2.13</f>
        <v>830.7</v>
      </c>
      <c r="P58" s="11"/>
    </row>
    <row r="59" customFormat="false" ht="23.85" hidden="false" customHeight="false" outlineLevel="0" collapsed="false">
      <c r="A59" s="7" t="s">
        <v>327</v>
      </c>
      <c r="B59" s="7" t="s">
        <v>328</v>
      </c>
      <c r="C59" s="7" t="s">
        <v>329</v>
      </c>
      <c r="D59" s="7" t="s">
        <v>330</v>
      </c>
      <c r="E59" s="8" t="s">
        <v>268</v>
      </c>
      <c r="F59" s="7" t="s">
        <v>269</v>
      </c>
      <c r="G59" s="7" t="n">
        <v>1</v>
      </c>
      <c r="H59" s="7" t="n">
        <f aca="false">G59*300</f>
        <v>300</v>
      </c>
      <c r="I59" s="7" t="n">
        <f aca="false">H59*1.3</f>
        <v>390</v>
      </c>
      <c r="J59" s="9" t="s">
        <v>331</v>
      </c>
      <c r="K59" s="9" t="n">
        <v>1</v>
      </c>
      <c r="L59" s="7"/>
      <c r="M59" s="10" t="n">
        <v>2.67</v>
      </c>
      <c r="N59" s="10" t="n">
        <f aca="false">G59*M59</f>
        <v>2.67</v>
      </c>
      <c r="O59" s="1" t="n">
        <f aca="false">I59*2.67</f>
        <v>1041.3</v>
      </c>
      <c r="P59" s="11"/>
    </row>
    <row r="60" customFormat="false" ht="35.05" hidden="false" customHeight="false" outlineLevel="0" collapsed="false">
      <c r="A60" s="7" t="s">
        <v>332</v>
      </c>
      <c r="B60" s="13" t="s">
        <v>333</v>
      </c>
      <c r="C60" s="7" t="s">
        <v>334</v>
      </c>
      <c r="D60" s="7" t="s">
        <v>335</v>
      </c>
      <c r="E60" s="8" t="s">
        <v>336</v>
      </c>
      <c r="F60" s="7" t="s">
        <v>337</v>
      </c>
      <c r="G60" s="7" t="n">
        <v>1</v>
      </c>
      <c r="H60" s="7" t="n">
        <f aca="false">G60*300</f>
        <v>300</v>
      </c>
      <c r="I60" s="7" t="n">
        <f aca="false">H60*1.3</f>
        <v>390</v>
      </c>
      <c r="J60" s="9" t="s">
        <v>338</v>
      </c>
      <c r="K60" s="9" t="n">
        <v>1</v>
      </c>
      <c r="L60" s="7"/>
      <c r="M60" s="10" t="n">
        <v>4.9</v>
      </c>
      <c r="N60" s="10" t="n">
        <f aca="false">G60*M60</f>
        <v>4.9</v>
      </c>
      <c r="O60" s="1" t="n">
        <f aca="false">I60*4.896</f>
        <v>1909.44</v>
      </c>
      <c r="P60" s="11"/>
    </row>
    <row r="61" customFormat="false" ht="23.85" hidden="false" customHeight="false" outlineLevel="0" collapsed="false">
      <c r="A61" s="7" t="s">
        <v>339</v>
      </c>
      <c r="B61" s="7" t="s">
        <v>340</v>
      </c>
      <c r="C61" s="7" t="s">
        <v>341</v>
      </c>
      <c r="D61" s="7" t="s">
        <v>342</v>
      </c>
      <c r="E61" s="8" t="s">
        <v>343</v>
      </c>
      <c r="F61" s="7" t="s">
        <v>344</v>
      </c>
      <c r="G61" s="7" t="n">
        <v>1</v>
      </c>
      <c r="H61" s="7" t="n">
        <f aca="false">G61*300</f>
        <v>300</v>
      </c>
      <c r="I61" s="7" t="n">
        <f aca="false">H61*1.3</f>
        <v>390</v>
      </c>
      <c r="J61" s="9" t="s">
        <v>345</v>
      </c>
      <c r="K61" s="9" t="n">
        <v>1</v>
      </c>
      <c r="L61" s="7"/>
      <c r="M61" s="10" t="n">
        <v>2.15</v>
      </c>
      <c r="N61" s="10" t="n">
        <f aca="false">G61*M61</f>
        <v>2.15</v>
      </c>
      <c r="O61" s="1" t="n">
        <f aca="false">I61*2.1527</f>
        <v>839.553</v>
      </c>
      <c r="P61" s="11"/>
    </row>
    <row r="62" customFormat="false" ht="23.85" hidden="false" customHeight="false" outlineLevel="0" collapsed="false">
      <c r="A62" s="7" t="s">
        <v>346</v>
      </c>
      <c r="B62" s="7" t="s">
        <v>347</v>
      </c>
      <c r="C62" s="7" t="s">
        <v>348</v>
      </c>
      <c r="D62" s="7" t="s">
        <v>349</v>
      </c>
      <c r="E62" s="8" t="s">
        <v>350</v>
      </c>
      <c r="F62" s="7" t="s">
        <v>300</v>
      </c>
      <c r="G62" s="7" t="n">
        <v>1</v>
      </c>
      <c r="H62" s="7" t="n">
        <f aca="false">G62*300</f>
        <v>300</v>
      </c>
      <c r="I62" s="7" t="n">
        <f aca="false">H62*1.3</f>
        <v>390</v>
      </c>
      <c r="J62" s="9" t="s">
        <v>351</v>
      </c>
      <c r="K62" s="9" t="n">
        <v>1</v>
      </c>
      <c r="L62" s="7"/>
      <c r="M62" s="10" t="n">
        <v>2.73</v>
      </c>
      <c r="N62" s="10" t="n">
        <f aca="false">G62*M62</f>
        <v>2.73</v>
      </c>
      <c r="O62" s="10" t="n">
        <f aca="false">I62*M62</f>
        <v>1064.7</v>
      </c>
      <c r="P62" s="11"/>
    </row>
    <row r="63" customFormat="false" ht="23.85" hidden="false" customHeight="false" outlineLevel="0" collapsed="false">
      <c r="A63" s="7" t="s">
        <v>352</v>
      </c>
      <c r="B63" s="7" t="s">
        <v>353</v>
      </c>
      <c r="C63" s="7" t="s">
        <v>354</v>
      </c>
      <c r="D63" s="7" t="s">
        <v>355</v>
      </c>
      <c r="E63" s="8" t="s">
        <v>356</v>
      </c>
      <c r="F63" s="7" t="s">
        <v>357</v>
      </c>
      <c r="G63" s="7" t="n">
        <v>1</v>
      </c>
      <c r="H63" s="7" t="n">
        <f aca="false">G63*300</f>
        <v>300</v>
      </c>
      <c r="I63" s="7" t="n">
        <f aca="false">H63*1.3</f>
        <v>390</v>
      </c>
      <c r="J63" s="9" t="s">
        <v>358</v>
      </c>
      <c r="K63" s="9" t="n">
        <v>1</v>
      </c>
      <c r="L63" s="7"/>
      <c r="M63" s="10" t="n">
        <v>0.33</v>
      </c>
      <c r="N63" s="10" t="n">
        <f aca="false">G63*M63</f>
        <v>0.33</v>
      </c>
      <c r="O63" s="10" t="n">
        <f aca="false">I63*M63</f>
        <v>128.7</v>
      </c>
      <c r="P63" s="11"/>
    </row>
    <row r="64" customFormat="false" ht="12.8" hidden="false" customHeight="false" outlineLevel="0" collapsed="false">
      <c r="A64" s="7" t="s">
        <v>359</v>
      </c>
      <c r="B64" s="7" t="s">
        <v>360</v>
      </c>
      <c r="C64" s="7" t="s">
        <v>361</v>
      </c>
      <c r="D64" s="7" t="s">
        <v>361</v>
      </c>
      <c r="E64" s="7" t="s">
        <v>361</v>
      </c>
      <c r="F64" s="7" t="s">
        <v>361</v>
      </c>
      <c r="G64" s="7" t="n">
        <v>4</v>
      </c>
      <c r="H64" s="7" t="s">
        <v>158</v>
      </c>
      <c r="I64" s="7"/>
      <c r="J64" s="9"/>
      <c r="K64" s="9"/>
      <c r="L64" s="7"/>
      <c r="M64" s="10"/>
      <c r="N64" s="10" t="n">
        <f aca="false">G64*M64</f>
        <v>0</v>
      </c>
      <c r="O64" s="12"/>
      <c r="P64" s="11"/>
    </row>
    <row r="65" customFormat="false" ht="12.8" hidden="false" customHeight="false" outlineLevel="0" collapsed="false">
      <c r="F65" s="11"/>
      <c r="J65" s="6"/>
      <c r="K65" s="6"/>
      <c r="M65" s="12"/>
      <c r="N65" s="12"/>
      <c r="O65" s="12"/>
    </row>
    <row r="66" customFormat="false" ht="46.25" hidden="false" customHeight="false" outlineLevel="0" collapsed="false">
      <c r="K66" s="2" t="n">
        <f aca="false">SUM(K2:K63)+5</f>
        <v>56</v>
      </c>
      <c r="M66" s="1" t="s">
        <v>362</v>
      </c>
      <c r="N66" s="10" t="n">
        <f aca="false">300*SUM(N2:N65)</f>
        <v>26570.7</v>
      </c>
      <c r="O66" s="12"/>
    </row>
    <row r="67" customFormat="false" ht="23.85" hidden="false" customHeight="false" outlineLevel="0" collapsed="false">
      <c r="M67" s="1" t="s">
        <v>363</v>
      </c>
      <c r="N67" s="10" t="n">
        <f aca="false">SUM(N2:N65)</f>
        <v>88.569</v>
      </c>
      <c r="O67" s="12"/>
    </row>
    <row r="68" customFormat="false" ht="12.8" hidden="false" customHeight="false" outlineLevel="0" collapsed="false">
      <c r="N68" s="12"/>
      <c r="O68" s="12"/>
    </row>
    <row r="69" customFormat="false" ht="12.8" hidden="false" customHeight="false" outlineLevel="0" collapsed="false">
      <c r="N69" s="12"/>
      <c r="O69" s="12"/>
    </row>
    <row r="70" customFormat="false" ht="12.8" hidden="false" customHeight="false" outlineLevel="0" collapsed="false">
      <c r="N70" s="12"/>
      <c r="O70" s="12"/>
    </row>
    <row r="71" customFormat="false" ht="12.8" hidden="false" customHeight="false" outlineLevel="0" collapsed="false">
      <c r="N71" s="12"/>
      <c r="O71" s="12"/>
    </row>
    <row r="72" customFormat="false" ht="12.8" hidden="false" customHeight="false" outlineLevel="0" collapsed="false">
      <c r="N72" s="12"/>
      <c r="O72" s="12"/>
    </row>
    <row r="73" customFormat="false" ht="12.8" hidden="false" customHeight="false" outlineLevel="0" collapsed="false">
      <c r="N73" s="1" t="s">
        <v>364</v>
      </c>
      <c r="O73" s="10" t="n">
        <f aca="false">SUM(O2:O63)</f>
        <v>33257.6503</v>
      </c>
    </row>
  </sheetData>
  <mergeCells count="15">
    <mergeCell ref="B27:B28"/>
    <mergeCell ref="C27:C28"/>
    <mergeCell ref="D27:D28"/>
    <mergeCell ref="E27:E28"/>
    <mergeCell ref="F27:F28"/>
    <mergeCell ref="B52:B53"/>
    <mergeCell ref="C52:C53"/>
    <mergeCell ref="D52:D53"/>
    <mergeCell ref="E52:E53"/>
    <mergeCell ref="F52:F53"/>
    <mergeCell ref="B55:B56"/>
    <mergeCell ref="C55:C56"/>
    <mergeCell ref="D55:D56"/>
    <mergeCell ref="E55:E56"/>
    <mergeCell ref="F55:F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17" width="12.5561224489796"/>
    <col collapsed="false" hidden="false" max="3" min="2" style="17" width="19.7091836734694"/>
    <col collapsed="false" hidden="false" max="5" min="4" style="17" width="21.1938775510204"/>
    <col collapsed="false" hidden="false" max="6" min="6" style="17" width="10.6632653061225"/>
    <col collapsed="false" hidden="false" max="7" min="7" style="17" width="6.0765306122449"/>
    <col collapsed="false" hidden="false" max="8" min="8" style="17" width="8.10204081632653"/>
    <col collapsed="false" hidden="false" max="11" min="9" style="17" width="14.5816326530612"/>
    <col collapsed="false" hidden="false" max="12" min="12" style="17" width="12.9591836734694"/>
    <col collapsed="false" hidden="false" max="13" min="13" style="17" width="9.31632653061224"/>
    <col collapsed="false" hidden="false" max="14" min="14" style="17" width="9.04591836734694"/>
    <col collapsed="false" hidden="false" max="1023" min="15" style="17" width="6.0765306122449"/>
    <col collapsed="false" hidden="false" max="1025" min="1024" style="0" width="7.83163265306122"/>
  </cols>
  <sheetData>
    <row r="1" s="6" customFormat="tru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365</v>
      </c>
      <c r="K1" s="3" t="s">
        <v>11</v>
      </c>
      <c r="L1" s="18" t="s">
        <v>12</v>
      </c>
      <c r="M1" s="18" t="s">
        <v>13</v>
      </c>
      <c r="N1" s="6" t="s">
        <v>366</v>
      </c>
      <c r="AMJ1" s="0"/>
    </row>
    <row r="2" customFormat="false" ht="23.85" hidden="false" customHeight="false" outlineLevel="0" collapsed="false">
      <c r="A2" s="7" t="s">
        <v>367</v>
      </c>
      <c r="B2" s="7" t="s">
        <v>104</v>
      </c>
      <c r="C2" s="7" t="s">
        <v>105</v>
      </c>
      <c r="D2" s="7" t="s">
        <v>106</v>
      </c>
      <c r="E2" s="8" t="s">
        <v>107</v>
      </c>
      <c r="F2" s="7" t="s">
        <v>108</v>
      </c>
      <c r="G2" s="7" t="n">
        <v>4</v>
      </c>
      <c r="H2" s="7" t="n">
        <f aca="false">300*G2</f>
        <v>1200</v>
      </c>
      <c r="I2" s="7" t="n">
        <f aca="false">H2*1.3</f>
        <v>1560</v>
      </c>
      <c r="J2" s="9" t="s">
        <v>109</v>
      </c>
      <c r="K2" s="19"/>
      <c r="L2" s="20" t="n">
        <v>1.73</v>
      </c>
      <c r="M2" s="20" t="n">
        <f aca="false">G2*L2</f>
        <v>6.92</v>
      </c>
      <c r="N2" s="17" t="n">
        <f aca="false">MBTemp3_Eurocard!O17</f>
        <v>1987.44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85" hidden="false" customHeight="false" outlineLevel="0" collapsed="false">
      <c r="A3" s="7" t="s">
        <v>147</v>
      </c>
      <c r="B3" s="13" t="s">
        <v>148</v>
      </c>
      <c r="C3" s="7" t="s">
        <v>149</v>
      </c>
      <c r="D3" s="21" t="s">
        <v>368</v>
      </c>
      <c r="E3" s="8" t="s">
        <v>151</v>
      </c>
      <c r="F3" s="21" t="s">
        <v>152</v>
      </c>
      <c r="G3" s="7" t="n">
        <v>1</v>
      </c>
      <c r="H3" s="7" t="n">
        <f aca="false">300*G3</f>
        <v>300</v>
      </c>
      <c r="I3" s="7" t="n">
        <f aca="false">H3*1.3</f>
        <v>390</v>
      </c>
      <c r="J3" s="9" t="s">
        <v>369</v>
      </c>
      <c r="K3" s="16"/>
      <c r="L3" s="20" t="n">
        <v>1</v>
      </c>
      <c r="M3" s="20" t="n">
        <f aca="false">G3*L3</f>
        <v>1</v>
      </c>
      <c r="N3" s="17" t="n">
        <v>390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s="1" customFormat="true" ht="35.05" hidden="false" customHeight="false" outlineLevel="0" collapsed="false">
      <c r="A4" s="7" t="s">
        <v>370</v>
      </c>
      <c r="B4" s="7" t="s">
        <v>36</v>
      </c>
      <c r="C4" s="7" t="s">
        <v>37</v>
      </c>
      <c r="D4" s="7" t="s">
        <v>38</v>
      </c>
      <c r="E4" s="8" t="s">
        <v>19</v>
      </c>
      <c r="F4" s="7" t="s">
        <v>20</v>
      </c>
      <c r="G4" s="7" t="n">
        <v>8</v>
      </c>
      <c r="H4" s="7" t="n">
        <f aca="false">G4*300</f>
        <v>2400</v>
      </c>
      <c r="I4" s="7" t="n">
        <v>4000</v>
      </c>
      <c r="J4" s="9" t="s">
        <v>39</v>
      </c>
      <c r="K4" s="9"/>
      <c r="L4" s="10" t="n">
        <v>0.06</v>
      </c>
      <c r="M4" s="10" t="n">
        <f aca="false">G4*L4</f>
        <v>0.48</v>
      </c>
      <c r="N4" s="1" t="n">
        <f aca="false">4*76.23</f>
        <v>304.92</v>
      </c>
      <c r="O4" s="0"/>
      <c r="P4" s="11"/>
      <c r="AMJ4" s="0"/>
    </row>
    <row r="5" customFormat="false" ht="23.85" hidden="false" customHeight="false" outlineLevel="0" collapsed="false">
      <c r="A5" s="7" t="s">
        <v>359</v>
      </c>
      <c r="B5" s="7" t="s">
        <v>360</v>
      </c>
      <c r="C5" s="7" t="s">
        <v>361</v>
      </c>
      <c r="D5" s="7" t="s">
        <v>361</v>
      </c>
      <c r="E5" s="7" t="s">
        <v>361</v>
      </c>
      <c r="F5" s="7" t="s">
        <v>361</v>
      </c>
      <c r="G5" s="7" t="n">
        <v>4</v>
      </c>
      <c r="H5" s="7" t="n">
        <f aca="false">G5*300</f>
        <v>1200</v>
      </c>
      <c r="I5" s="7" t="s">
        <v>158</v>
      </c>
      <c r="J5" s="9"/>
      <c r="K5" s="9"/>
      <c r="L5" s="1" t="s">
        <v>362</v>
      </c>
      <c r="M5" s="20" t="n">
        <f aca="false">300*SUM(M2:M3)</f>
        <v>2376</v>
      </c>
    </row>
    <row r="6" customFormat="false" ht="23.85" hidden="false" customHeight="false" outlineLevel="0" collapsed="false">
      <c r="G6" s="0"/>
      <c r="H6" s="0"/>
      <c r="I6" s="0"/>
      <c r="L6" s="1" t="s">
        <v>371</v>
      </c>
      <c r="M6" s="20" t="n">
        <f aca="false">M3+M2</f>
        <v>7.92</v>
      </c>
    </row>
    <row r="7" customFormat="false" ht="12.8" hidden="false" customHeight="false" outlineLevel="0" collapsed="false">
      <c r="G7" s="0"/>
      <c r="H7" s="0"/>
      <c r="I7" s="0"/>
    </row>
    <row r="8" customFormat="false" ht="12.8" hidden="false" customHeight="false" outlineLevel="0" collapsed="false">
      <c r="G8" s="0"/>
      <c r="H8" s="0"/>
      <c r="I8" s="0"/>
    </row>
    <row r="9" customFormat="false" ht="12.8" hidden="false" customHeight="false" outlineLevel="0" collapsed="false">
      <c r="G9" s="0"/>
      <c r="H9" s="0"/>
      <c r="I9" s="0"/>
    </row>
    <row r="10" customFormat="false" ht="12.8" hidden="false" customHeight="false" outlineLevel="0" collapsed="false">
      <c r="G10" s="0"/>
      <c r="H10" s="0"/>
      <c r="I10" s="0"/>
    </row>
    <row r="11" customFormat="false" ht="12.8" hidden="false" customHeight="false" outlineLevel="0" collapsed="false">
      <c r="G11" s="0"/>
      <c r="H11" s="0"/>
      <c r="I11" s="0"/>
    </row>
    <row r="12" customFormat="false" ht="12.8" hidden="false" customHeight="false" outlineLevel="0" collapsed="false">
      <c r="G12" s="0"/>
      <c r="H12" s="0"/>
      <c r="I12" s="0"/>
    </row>
    <row r="13" customFormat="false" ht="12.8" hidden="false" customHeight="false" outlineLevel="0" collapsed="false">
      <c r="G13" s="0"/>
      <c r="H13" s="0"/>
      <c r="I13" s="0"/>
    </row>
    <row r="14" customFormat="false" ht="12.8" hidden="false" customHeight="false" outlineLevel="0" collapsed="false">
      <c r="G14" s="0"/>
      <c r="H14" s="0"/>
      <c r="I14" s="0"/>
    </row>
    <row r="15" customFormat="false" ht="12.8" hidden="false" customHeight="false" outlineLevel="0" collapsed="false">
      <c r="G15" s="0"/>
      <c r="H15" s="0"/>
      <c r="I15" s="0"/>
    </row>
    <row r="16" customFormat="false" ht="12.8" hidden="false" customHeight="false" outlineLevel="0" collapsed="false">
      <c r="G16" s="0"/>
      <c r="H16" s="0"/>
      <c r="I16" s="0"/>
    </row>
    <row r="17" customFormat="false" ht="12.8" hidden="false" customHeight="false" outlineLevel="0" collapsed="false">
      <c r="G17" s="0"/>
      <c r="H17" s="0"/>
      <c r="I17" s="0"/>
    </row>
    <row r="18" customFormat="false" ht="12.8" hidden="false" customHeight="false" outlineLevel="0" collapsed="false">
      <c r="G18" s="0"/>
      <c r="H18" s="0"/>
      <c r="I18" s="0"/>
    </row>
    <row r="19" customFormat="false" ht="12.8" hidden="false" customHeight="false" outlineLevel="0" collapsed="false">
      <c r="G19" s="0"/>
      <c r="H19" s="0"/>
      <c r="I19" s="0"/>
    </row>
    <row r="20" customFormat="false" ht="12.8" hidden="false" customHeight="false" outlineLevel="0" collapsed="false">
      <c r="G20" s="0"/>
      <c r="H20" s="0"/>
      <c r="I20" s="0"/>
    </row>
    <row r="21" customFormat="false" ht="12.8" hidden="false" customHeight="false" outlineLevel="0" collapsed="false">
      <c r="G21" s="0"/>
      <c r="H21" s="0"/>
      <c r="I21" s="0"/>
    </row>
    <row r="22" customFormat="false" ht="12.8" hidden="false" customHeight="false" outlineLevel="0" collapsed="false">
      <c r="G22" s="0"/>
      <c r="H22" s="0"/>
      <c r="I22" s="0"/>
    </row>
    <row r="23" customFormat="false" ht="12.8" hidden="false" customHeight="false" outlineLevel="0" collapsed="false">
      <c r="G23" s="0"/>
      <c r="H23" s="0"/>
      <c r="I23" s="0"/>
    </row>
    <row r="24" customFormat="false" ht="12.8" hidden="false" customHeight="false" outlineLevel="0" collapsed="false">
      <c r="G24" s="0"/>
      <c r="H24" s="0"/>
      <c r="I24" s="0"/>
    </row>
    <row r="25" customFormat="false" ht="12.8" hidden="false" customHeight="false" outlineLevel="0" collapsed="false">
      <c r="G25" s="0"/>
      <c r="H25" s="0"/>
      <c r="I25" s="0"/>
    </row>
    <row r="26" customFormat="false" ht="12.8" hidden="false" customHeight="false" outlineLevel="0" collapsed="false">
      <c r="G26" s="0"/>
      <c r="H26" s="0"/>
      <c r="I26" s="0"/>
    </row>
    <row r="27" customFormat="false" ht="12.8" hidden="false" customHeight="false" outlineLevel="0" collapsed="false">
      <c r="G27" s="0"/>
      <c r="H27" s="0"/>
      <c r="I27" s="0"/>
    </row>
    <row r="28" customFormat="false" ht="12.8" hidden="false" customHeight="false" outlineLevel="0" collapsed="false">
      <c r="G28" s="0"/>
      <c r="H28" s="0"/>
      <c r="I28" s="0"/>
    </row>
    <row r="29" customFormat="false" ht="12.8" hidden="false" customHeight="false" outlineLevel="0" collapsed="false">
      <c r="G29" s="0"/>
      <c r="H29" s="0"/>
      <c r="I29" s="0"/>
    </row>
    <row r="30" customFormat="false" ht="12.8" hidden="false" customHeight="false" outlineLevel="0" collapsed="false">
      <c r="G30" s="0"/>
      <c r="H30" s="0"/>
      <c r="I30" s="0"/>
    </row>
    <row r="31" customFormat="false" ht="12.8" hidden="false" customHeight="false" outlineLevel="0" collapsed="false">
      <c r="G31" s="1" t="s">
        <v>372</v>
      </c>
      <c r="H31" s="1"/>
      <c r="I3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2.8"/>
  <cols>
    <col collapsed="false" hidden="false" max="1" min="1" style="17" width="12.5561224489796"/>
    <col collapsed="false" hidden="false" max="3" min="2" style="17" width="19.7091836734694"/>
    <col collapsed="false" hidden="false" max="4" min="4" style="17" width="9.85204081632653"/>
    <col collapsed="false" hidden="false" max="5" min="5" style="17" width="7.02040816326531"/>
    <col collapsed="false" hidden="false" max="6" min="6" style="17" width="10.6632653061225"/>
    <col collapsed="false" hidden="false" max="7" min="7" style="17" width="6.88265306122449"/>
    <col collapsed="false" hidden="false" max="8" min="8" style="17" width="7.4234693877551"/>
    <col collapsed="false" hidden="false" max="9" min="9" style="17" width="8.36734693877551"/>
    <col collapsed="false" hidden="false" max="10" min="10" style="17" width="10.2602040816327"/>
    <col collapsed="false" hidden="false" max="11" min="11" style="17" width="10.6632653061225"/>
    <col collapsed="false" hidden="false" max="12" min="12" style="17" width="9.71938775510204"/>
    <col collapsed="false" hidden="false" max="13" min="13" style="17" width="6.75"/>
    <col collapsed="false" hidden="false" max="14" min="14" style="17" width="7.83163265306122"/>
    <col collapsed="false" hidden="false" max="1023" min="15" style="17" width="6.0765306122449"/>
    <col collapsed="false" hidden="false" max="1025" min="1024" style="0" width="7.83163265306122"/>
  </cols>
  <sheetData>
    <row r="1" s="6" customFormat="true" ht="23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11</v>
      </c>
      <c r="L1" s="18" t="s">
        <v>12</v>
      </c>
      <c r="M1" s="18" t="s">
        <v>13</v>
      </c>
      <c r="N1" s="6" t="s">
        <v>373</v>
      </c>
      <c r="AMJ1" s="0"/>
    </row>
    <row r="2" s="23" customFormat="true" ht="35.95" hidden="false" customHeight="true" outlineLevel="0" collapsed="false">
      <c r="A2" s="7" t="s">
        <v>374</v>
      </c>
      <c r="B2" s="7" t="s">
        <v>375</v>
      </c>
      <c r="C2" s="7" t="s">
        <v>376</v>
      </c>
      <c r="D2" s="22" t="n">
        <v>971190321</v>
      </c>
      <c r="E2" s="8" t="s">
        <v>377</v>
      </c>
      <c r="F2" s="22" t="s">
        <v>378</v>
      </c>
      <c r="G2" s="7" t="n">
        <v>3</v>
      </c>
      <c r="H2" s="7" t="n">
        <f aca="false">300*G2</f>
        <v>900</v>
      </c>
      <c r="I2" s="7" t="n">
        <f aca="false">H2*1.3</f>
        <v>1170</v>
      </c>
      <c r="J2" s="9" t="s">
        <v>379</v>
      </c>
      <c r="K2" s="22"/>
      <c r="L2" s="20" t="n">
        <v>0.3927</v>
      </c>
      <c r="M2" s="20" t="n">
        <f aca="false">G2*L2</f>
        <v>1.1781</v>
      </c>
      <c r="N2" s="23" t="n">
        <f aca="false">I2*0.3927</f>
        <v>459.459</v>
      </c>
      <c r="AMJ2" s="0"/>
    </row>
    <row r="3" customFormat="false" ht="26.1" hidden="false" customHeight="true" outlineLevel="0" collapsed="false">
      <c r="A3" s="7"/>
      <c r="B3" s="7"/>
      <c r="C3" s="7" t="s">
        <v>380</v>
      </c>
      <c r="D3" s="22" t="s">
        <v>381</v>
      </c>
      <c r="E3" s="8" t="s">
        <v>377</v>
      </c>
      <c r="F3" s="15" t="s">
        <v>382</v>
      </c>
      <c r="G3" s="22" t="n">
        <v>3</v>
      </c>
      <c r="H3" s="7" t="n">
        <f aca="false">300*G3</f>
        <v>900</v>
      </c>
      <c r="I3" s="7" t="n">
        <f aca="false">H3*1.3</f>
        <v>1170</v>
      </c>
      <c r="J3" s="9" t="s">
        <v>383</v>
      </c>
      <c r="K3" s="9"/>
      <c r="L3" s="20" t="n">
        <f aca="false">47.52/1000</f>
        <v>0.04752</v>
      </c>
      <c r="M3" s="20" t="n">
        <f aca="false">G3*L3</f>
        <v>0.14256</v>
      </c>
      <c r="N3" s="17" t="n">
        <f aca="false">I3*0.04752</f>
        <v>55.5984</v>
      </c>
    </row>
    <row r="4" customFormat="false" ht="23.85" hidden="false" customHeight="false" outlineLevel="0" collapsed="false">
      <c r="A4" s="7"/>
      <c r="B4" s="7"/>
      <c r="C4" s="24" t="s">
        <v>384</v>
      </c>
      <c r="D4" s="22" t="s">
        <v>385</v>
      </c>
      <c r="E4" s="8" t="s">
        <v>377</v>
      </c>
      <c r="F4" s="15" t="s">
        <v>382</v>
      </c>
      <c r="G4" s="22" t="n">
        <v>3</v>
      </c>
      <c r="H4" s="7" t="n">
        <f aca="false">300*G4</f>
        <v>900</v>
      </c>
      <c r="I4" s="7" t="n">
        <f aca="false">H4*1.3</f>
        <v>1170</v>
      </c>
      <c r="J4" s="9" t="s">
        <v>386</v>
      </c>
      <c r="K4" s="25"/>
      <c r="L4" s="20" t="n">
        <f aca="false">30.72/1000</f>
        <v>0.03072</v>
      </c>
      <c r="M4" s="20" t="n">
        <f aca="false">G4*L4</f>
        <v>0.09216</v>
      </c>
      <c r="N4" s="17" t="n">
        <f aca="false">I4*0.03072</f>
        <v>35.9424</v>
      </c>
    </row>
    <row r="5" customFormat="false" ht="23.85" hidden="false" customHeight="false" outlineLevel="0" collapsed="false">
      <c r="A5" s="7"/>
      <c r="B5" s="7"/>
      <c r="C5" s="15" t="s">
        <v>387</v>
      </c>
      <c r="D5" s="22" t="s">
        <v>388</v>
      </c>
      <c r="E5" s="15" t="s">
        <v>377</v>
      </c>
      <c r="F5" s="15" t="s">
        <v>382</v>
      </c>
      <c r="G5" s="15" t="n">
        <v>6</v>
      </c>
      <c r="H5" s="7" t="n">
        <f aca="false">300*G5</f>
        <v>1800</v>
      </c>
      <c r="I5" s="7" t="n">
        <f aca="false">H5*1.3</f>
        <v>2340</v>
      </c>
      <c r="J5" s="9" t="s">
        <v>389</v>
      </c>
      <c r="K5" s="9"/>
      <c r="L5" s="20" t="n">
        <f aca="false">28.8/1000</f>
        <v>0.0288</v>
      </c>
      <c r="M5" s="20" t="n">
        <f aca="false">G5*L5</f>
        <v>0.1728</v>
      </c>
      <c r="N5" s="17" t="n">
        <f aca="false">I5*0.0288</f>
        <v>67.392</v>
      </c>
    </row>
    <row r="6" customFormat="false" ht="24.55" hidden="false" customHeight="false" outlineLevel="0" collapsed="false">
      <c r="A6" s="7" t="s">
        <v>390</v>
      </c>
      <c r="B6" s="22" t="s">
        <v>391</v>
      </c>
      <c r="C6" s="15" t="s">
        <v>392</v>
      </c>
      <c r="D6" s="15" t="s">
        <v>393</v>
      </c>
      <c r="E6" s="15" t="s">
        <v>394</v>
      </c>
      <c r="F6" s="7" t="s">
        <v>395</v>
      </c>
      <c r="G6" s="7" t="n">
        <v>2</v>
      </c>
      <c r="H6" s="9"/>
      <c r="I6" s="9"/>
      <c r="J6" s="15"/>
      <c r="K6" s="22"/>
      <c r="L6" s="0"/>
      <c r="M6" s="0"/>
    </row>
    <row r="7" customFormat="false" ht="24.55" hidden="false" customHeight="false" outlineLevel="0" collapsed="false">
      <c r="L7" s="1" t="s">
        <v>362</v>
      </c>
      <c r="M7" s="20" t="n">
        <f aca="false">300*SUM(M2:M5)</f>
        <v>475.686</v>
      </c>
    </row>
    <row r="8" customFormat="false" ht="13.15" hidden="false" customHeight="false" outlineLevel="0" collapsed="false">
      <c r="L8" s="1" t="s">
        <v>371</v>
      </c>
      <c r="M8" s="20" t="n">
        <f aca="false">SUM(M2:M5)</f>
        <v>1.58562</v>
      </c>
    </row>
  </sheetData>
  <mergeCells count="2">
    <mergeCell ref="A2:A5"/>
    <mergeCell ref="B2:B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3740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lastPrinted>2017-05-04T15:46:18Z</cp:lastPrinted>
  <dcterms:modified xsi:type="dcterms:W3CDTF">2017-08-17T13:11:07Z</dcterms:modified>
  <cp:revision>88</cp:revision>
</cp:coreProperties>
</file>