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307" documentId="8_{3FF2CA1A-A9BB-47DC-A325-31B7ED3CD36C}" xr6:coauthVersionLast="47" xr6:coauthVersionMax="47" xr10:uidLastSave="{C44D89AA-4499-490C-94EA-AF9280B902F5}"/>
  <bookViews>
    <workbookView xWindow="274" yWindow="1037" windowWidth="21300" windowHeight="14700" activeTab="2" xr2:uid="{00000000-000D-0000-FFFF-FFFF00000000}"/>
  </bookViews>
  <sheets>
    <sheet name="Pm_clean_80" sheetId="10" r:id="rId1"/>
    <sheet name="Pm_clean_41" sheetId="11" r:id="rId2"/>
    <sheet name="Sheet_70max" sheetId="12" r:id="rId3"/>
    <sheet name="Sheet1" sheetId="1" r:id="rId4"/>
    <sheet name="sheet 41" sheetId="8" r:id="rId5"/>
    <sheet name="Sheet2" sheetId="9" r:id="rId6"/>
    <sheet name="Sheet_40yr_max" sheetId="5" r:id="rId7"/>
    <sheet name="Sheet_35" sheetId="7" r:id="rId8"/>
    <sheet name="Pm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2" l="1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5" i="12"/>
  <c r="C60" i="12"/>
  <c r="B60" i="12"/>
  <c r="B59" i="12"/>
  <c r="B58" i="12"/>
  <c r="B57" i="12"/>
  <c r="B56" i="12"/>
  <c r="B55" i="12"/>
  <c r="B54" i="12"/>
  <c r="B53" i="12"/>
  <c r="B52" i="12"/>
  <c r="B51" i="12"/>
  <c r="E51" i="12" s="1"/>
  <c r="B50" i="12"/>
  <c r="B49" i="12"/>
  <c r="B48" i="12"/>
  <c r="B47" i="12"/>
  <c r="B46" i="12"/>
  <c r="B45" i="12"/>
  <c r="B44" i="12"/>
  <c r="E44" i="12" s="1"/>
  <c r="B43" i="12"/>
  <c r="B42" i="12"/>
  <c r="B41" i="12"/>
  <c r="E40" i="12"/>
  <c r="B40" i="12"/>
  <c r="B39" i="12"/>
  <c r="B38" i="12"/>
  <c r="B37" i="12"/>
  <c r="E37" i="12" s="1"/>
  <c r="B36" i="12"/>
  <c r="E36" i="12" s="1"/>
  <c r="B35" i="12"/>
  <c r="E35" i="12" s="1"/>
  <c r="B34" i="12"/>
  <c r="B33" i="12"/>
  <c r="B32" i="12"/>
  <c r="B31" i="12"/>
  <c r="B30" i="12"/>
  <c r="E30" i="12" s="1"/>
  <c r="B29" i="12"/>
  <c r="E29" i="12" s="1"/>
  <c r="B28" i="12"/>
  <c r="E28" i="12" s="1"/>
  <c r="B27" i="12"/>
  <c r="B26" i="12"/>
  <c r="B25" i="12"/>
  <c r="B24" i="12"/>
  <c r="E24" i="12" s="1"/>
  <c r="B23" i="12"/>
  <c r="B22" i="12"/>
  <c r="E22" i="12" s="1"/>
  <c r="B21" i="12"/>
  <c r="B20" i="12"/>
  <c r="B19" i="12"/>
  <c r="E19" i="12" s="1"/>
  <c r="B18" i="12"/>
  <c r="B17" i="12"/>
  <c r="B16" i="12"/>
  <c r="E16" i="12" s="1"/>
  <c r="B15" i="12"/>
  <c r="B14" i="12"/>
  <c r="B13" i="12"/>
  <c r="E13" i="12" s="1"/>
  <c r="B12" i="12"/>
  <c r="E12" i="12" s="1"/>
  <c r="B11" i="12"/>
  <c r="E11" i="12" s="1"/>
  <c r="B10" i="12"/>
  <c r="B9" i="12"/>
  <c r="E9" i="12" s="1"/>
  <c r="B8" i="12"/>
  <c r="B7" i="12"/>
  <c r="E7" i="12" s="1"/>
  <c r="B6" i="12"/>
  <c r="B5" i="12"/>
  <c r="E5" i="12" s="1"/>
  <c r="O69" i="1"/>
  <c r="O70" i="1"/>
  <c r="E6" i="1"/>
  <c r="E5" i="8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4" i="9"/>
  <c r="A29" i="9"/>
  <c r="A28" i="9" s="1"/>
  <c r="A27" i="9" s="1"/>
  <c r="E27" i="12" l="1"/>
  <c r="E48" i="12"/>
  <c r="E32" i="12"/>
  <c r="E56" i="12"/>
  <c r="E52" i="12"/>
  <c r="E43" i="12"/>
  <c r="E45" i="12"/>
  <c r="E21" i="12"/>
  <c r="E53" i="12"/>
  <c r="E14" i="12"/>
  <c r="E38" i="12"/>
  <c r="E46" i="12"/>
  <c r="E54" i="12"/>
  <c r="E20" i="12"/>
  <c r="E15" i="12"/>
  <c r="E23" i="12"/>
  <c r="E31" i="12"/>
  <c r="E39" i="12"/>
  <c r="E47" i="12"/>
  <c r="E55" i="12"/>
  <c r="E17" i="12"/>
  <c r="E25" i="12"/>
  <c r="E33" i="12"/>
  <c r="E41" i="12"/>
  <c r="E49" i="12"/>
  <c r="E57" i="12"/>
  <c r="E18" i="12"/>
  <c r="E26" i="12"/>
  <c r="E34" i="12"/>
  <c r="E42" i="12"/>
  <c r="E50" i="12"/>
  <c r="E6" i="12"/>
  <c r="E8" i="12"/>
  <c r="E10" i="12"/>
  <c r="E58" i="12"/>
  <c r="C59" i="12"/>
  <c r="E59" i="12"/>
  <c r="E60" i="12"/>
  <c r="A26" i="9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5" i="8"/>
  <c r="G58" i="12" l="1"/>
  <c r="F58" i="12"/>
  <c r="A25" i="9"/>
  <c r="A30" i="8"/>
  <c r="B30" i="8" s="1"/>
  <c r="C31" i="8"/>
  <c r="B31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A24" i="7"/>
  <c r="AB37" i="7"/>
  <c r="AB36" i="7"/>
  <c r="C25" i="7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AB42" i="5"/>
  <c r="AB41" i="5"/>
  <c r="C30" i="5"/>
  <c r="B30" i="5"/>
  <c r="B29" i="5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5" i="1"/>
  <c r="B6" i="1"/>
  <c r="B7" i="1"/>
  <c r="B8" i="1"/>
  <c r="B9" i="1"/>
  <c r="L58" i="12" l="1"/>
  <c r="J58" i="12"/>
  <c r="H58" i="12"/>
  <c r="I58" i="12" s="1"/>
  <c r="K58" i="12" s="1"/>
  <c r="C58" i="12" s="1"/>
  <c r="A24" i="9"/>
  <c r="D18" i="8"/>
  <c r="D25" i="8"/>
  <c r="D17" i="8"/>
  <c r="D14" i="8"/>
  <c r="D10" i="8"/>
  <c r="D6" i="8"/>
  <c r="D24" i="8"/>
  <c r="D21" i="8"/>
  <c r="D16" i="8"/>
  <c r="D20" i="8"/>
  <c r="D27" i="8"/>
  <c r="D11" i="8"/>
  <c r="D31" i="8"/>
  <c r="D23" i="8"/>
  <c r="D13" i="8"/>
  <c r="D9" i="8"/>
  <c r="D5" i="8"/>
  <c r="D29" i="8"/>
  <c r="D12" i="8"/>
  <c r="D28" i="8"/>
  <c r="D19" i="8"/>
  <c r="D26" i="8"/>
  <c r="D30" i="8"/>
  <c r="D22" i="8"/>
  <c r="D8" i="8"/>
  <c r="D7" i="8"/>
  <c r="D15" i="8"/>
  <c r="U30" i="8"/>
  <c r="P30" i="8"/>
  <c r="P31" i="8"/>
  <c r="U31" i="8"/>
  <c r="A29" i="8"/>
  <c r="B29" i="8" s="1"/>
  <c r="C30" i="8"/>
  <c r="A23" i="7"/>
  <c r="M23" i="7" s="1"/>
  <c r="A22" i="7"/>
  <c r="C24" i="7"/>
  <c r="D23" i="7" s="1"/>
  <c r="C29" i="5"/>
  <c r="E28" i="5" s="1"/>
  <c r="O5" i="1"/>
  <c r="O6" i="1"/>
  <c r="O7" i="1"/>
  <c r="O8" i="1"/>
  <c r="G57" i="12" l="1"/>
  <c r="F57" i="12"/>
  <c r="J57" i="12" s="1"/>
  <c r="M58" i="12"/>
  <c r="L57" i="12"/>
  <c r="A23" i="9"/>
  <c r="T13" i="8"/>
  <c r="T24" i="8"/>
  <c r="T26" i="8"/>
  <c r="T23" i="8"/>
  <c r="T6" i="8"/>
  <c r="T5" i="8"/>
  <c r="T22" i="8"/>
  <c r="T30" i="8"/>
  <c r="W30" i="8" s="1"/>
  <c r="E30" i="8"/>
  <c r="G30" i="8" s="1"/>
  <c r="T19" i="8"/>
  <c r="T31" i="8"/>
  <c r="W31" i="8" s="1"/>
  <c r="E31" i="8"/>
  <c r="G31" i="8" s="1"/>
  <c r="T10" i="8"/>
  <c r="T9" i="8"/>
  <c r="T28" i="8"/>
  <c r="T12" i="8"/>
  <c r="T27" i="8"/>
  <c r="T17" i="8"/>
  <c r="T8" i="8"/>
  <c r="T21" i="8"/>
  <c r="T11" i="8"/>
  <c r="T14" i="8"/>
  <c r="T15" i="8"/>
  <c r="T7" i="8"/>
  <c r="E29" i="8"/>
  <c r="G29" i="8" s="1"/>
  <c r="T29" i="8"/>
  <c r="W29" i="8" s="1"/>
  <c r="T20" i="8"/>
  <c r="T25" i="8"/>
  <c r="T16" i="8"/>
  <c r="T18" i="8"/>
  <c r="F31" i="8"/>
  <c r="P29" i="8"/>
  <c r="Q29" i="8"/>
  <c r="R29" i="8"/>
  <c r="A28" i="8"/>
  <c r="A27" i="8" s="1"/>
  <c r="U29" i="8"/>
  <c r="H29" i="8"/>
  <c r="I29" i="8"/>
  <c r="A21" i="7"/>
  <c r="M22" i="7"/>
  <c r="E23" i="7"/>
  <c r="F23" i="7" s="1"/>
  <c r="G23" i="7" s="1"/>
  <c r="J23" i="7"/>
  <c r="H23" i="7"/>
  <c r="D28" i="5"/>
  <c r="J28" i="5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23" i="1"/>
  <c r="O23" i="1" s="1"/>
  <c r="B24" i="1"/>
  <c r="O24" i="1" s="1"/>
  <c r="B25" i="1"/>
  <c r="O25" i="1" s="1"/>
  <c r="B26" i="1"/>
  <c r="O26" i="1" s="1"/>
  <c r="B27" i="1"/>
  <c r="O27" i="1" s="1"/>
  <c r="B28" i="1"/>
  <c r="O28" i="1" s="1"/>
  <c r="B29" i="1"/>
  <c r="O29" i="1" s="1"/>
  <c r="B30" i="1"/>
  <c r="O30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C70" i="1"/>
  <c r="H57" i="12" l="1"/>
  <c r="I57" i="12" s="1"/>
  <c r="K57" i="12" s="1"/>
  <c r="C57" i="12" s="1"/>
  <c r="A22" i="9"/>
  <c r="F30" i="8"/>
  <c r="W27" i="8"/>
  <c r="W28" i="8"/>
  <c r="F29" i="8"/>
  <c r="B28" i="8"/>
  <c r="E28" i="8" s="1"/>
  <c r="G28" i="8" s="1"/>
  <c r="A26" i="8"/>
  <c r="W26" i="8" s="1"/>
  <c r="B27" i="8"/>
  <c r="E27" i="8" s="1"/>
  <c r="G27" i="8" s="1"/>
  <c r="J29" i="8"/>
  <c r="K29" i="8" s="1"/>
  <c r="N29" i="8"/>
  <c r="L29" i="8"/>
  <c r="M21" i="7"/>
  <c r="A20" i="7"/>
  <c r="I23" i="7"/>
  <c r="C23" i="7" s="1"/>
  <c r="E22" i="7" s="1"/>
  <c r="F28" i="5"/>
  <c r="G28" i="5" s="1"/>
  <c r="H28" i="5"/>
  <c r="I28" i="5" s="1"/>
  <c r="C28" i="5" s="1"/>
  <c r="O9" i="1"/>
  <c r="B10" i="1"/>
  <c r="O10" i="1" s="1"/>
  <c r="B11" i="1"/>
  <c r="O11" i="1" s="1"/>
  <c r="B12" i="1"/>
  <c r="O12" i="1" s="1"/>
  <c r="B13" i="1"/>
  <c r="O13" i="1" s="1"/>
  <c r="B14" i="1"/>
  <c r="O14" i="1" s="1"/>
  <c r="B15" i="1"/>
  <c r="O15" i="1" s="1"/>
  <c r="B16" i="1"/>
  <c r="O16" i="1" s="1"/>
  <c r="B17" i="1"/>
  <c r="O17" i="1" s="1"/>
  <c r="B18" i="1"/>
  <c r="O18" i="1" s="1"/>
  <c r="B19" i="1"/>
  <c r="O19" i="1" s="1"/>
  <c r="B20" i="1"/>
  <c r="O20" i="1" s="1"/>
  <c r="B21" i="1"/>
  <c r="B22" i="1"/>
  <c r="O22" i="1" s="1"/>
  <c r="B68" i="1"/>
  <c r="O68" i="1" s="1"/>
  <c r="B69" i="1"/>
  <c r="B70" i="1"/>
  <c r="C69" i="1" s="1"/>
  <c r="G56" i="12" l="1"/>
  <c r="F56" i="12"/>
  <c r="M57" i="12"/>
  <c r="A21" i="9"/>
  <c r="P27" i="8"/>
  <c r="Q27" i="8"/>
  <c r="R27" i="8"/>
  <c r="P28" i="8"/>
  <c r="Q28" i="8"/>
  <c r="R28" i="8"/>
  <c r="U27" i="8"/>
  <c r="U28" i="8"/>
  <c r="A25" i="8"/>
  <c r="W25" i="8" s="1"/>
  <c r="B26" i="8"/>
  <c r="E26" i="8" s="1"/>
  <c r="G26" i="8" s="1"/>
  <c r="M29" i="8"/>
  <c r="C29" i="8" s="1"/>
  <c r="O29" i="8" s="1"/>
  <c r="K23" i="7"/>
  <c r="D22" i="7"/>
  <c r="H22" i="7" s="1"/>
  <c r="M20" i="7"/>
  <c r="A19" i="7"/>
  <c r="K28" i="5"/>
  <c r="E27" i="5"/>
  <c r="D27" i="5"/>
  <c r="H27" i="5" s="1"/>
  <c r="P21" i="1"/>
  <c r="O21" i="1"/>
  <c r="G68" i="1"/>
  <c r="J56" i="12" l="1"/>
  <c r="L56" i="12"/>
  <c r="H56" i="12"/>
  <c r="I56" i="12" s="1"/>
  <c r="K56" i="12" s="1"/>
  <c r="C56" i="12" s="1"/>
  <c r="A20" i="9"/>
  <c r="F28" i="8"/>
  <c r="F27" i="8"/>
  <c r="P26" i="8"/>
  <c r="Q26" i="8"/>
  <c r="R26" i="8"/>
  <c r="U26" i="8"/>
  <c r="H28" i="8"/>
  <c r="L28" i="8" s="1"/>
  <c r="I28" i="8"/>
  <c r="B25" i="8"/>
  <c r="E25" i="8" s="1"/>
  <c r="G25" i="8" s="1"/>
  <c r="A24" i="8"/>
  <c r="W24" i="8" s="1"/>
  <c r="F22" i="7"/>
  <c r="G22" i="7" s="1"/>
  <c r="I22" i="7" s="1"/>
  <c r="C22" i="7" s="1"/>
  <c r="K22" i="7" s="1"/>
  <c r="J22" i="7"/>
  <c r="A18" i="7"/>
  <c r="M19" i="7"/>
  <c r="F27" i="5"/>
  <c r="G27" i="5" s="1"/>
  <c r="I27" i="5" s="1"/>
  <c r="C27" i="5" s="1"/>
  <c r="K27" i="5" s="1"/>
  <c r="J27" i="5"/>
  <c r="F68" i="1"/>
  <c r="G55" i="12" l="1"/>
  <c r="F55" i="12"/>
  <c r="J55" i="12" s="1"/>
  <c r="M56" i="12"/>
  <c r="L55" i="12"/>
  <c r="A19" i="9"/>
  <c r="J28" i="8"/>
  <c r="K28" i="8" s="1"/>
  <c r="M28" i="8" s="1"/>
  <c r="F26" i="8"/>
  <c r="Q25" i="8"/>
  <c r="P25" i="8"/>
  <c r="R25" i="8"/>
  <c r="N28" i="8"/>
  <c r="U25" i="8"/>
  <c r="B24" i="8"/>
  <c r="E24" i="8" s="1"/>
  <c r="G24" i="8" s="1"/>
  <c r="A23" i="8"/>
  <c r="W23" i="8" s="1"/>
  <c r="D21" i="7"/>
  <c r="E21" i="7"/>
  <c r="A17" i="7"/>
  <c r="M18" i="7"/>
  <c r="H21" i="7"/>
  <c r="J21" i="7"/>
  <c r="F21" i="7"/>
  <c r="G21" i="7" s="1"/>
  <c r="I21" i="7" s="1"/>
  <c r="C21" i="7" s="1"/>
  <c r="D26" i="5"/>
  <c r="H26" i="5" s="1"/>
  <c r="E26" i="5"/>
  <c r="F26" i="5" s="1"/>
  <c r="G26" i="5" s="1"/>
  <c r="I26" i="5" s="1"/>
  <c r="C26" i="5" s="1"/>
  <c r="J26" i="5"/>
  <c r="J68" i="1"/>
  <c r="L68" i="1"/>
  <c r="H68" i="1"/>
  <c r="I68" i="1" s="1"/>
  <c r="K68" i="1" s="1"/>
  <c r="H55" i="12" l="1"/>
  <c r="I55" i="12" s="1"/>
  <c r="K55" i="12" s="1"/>
  <c r="C55" i="12" s="1"/>
  <c r="A18" i="9"/>
  <c r="C28" i="8"/>
  <c r="O28" i="8" s="1"/>
  <c r="F25" i="8"/>
  <c r="Q24" i="8"/>
  <c r="P24" i="8"/>
  <c r="R24" i="8"/>
  <c r="U24" i="8"/>
  <c r="A22" i="8"/>
  <c r="W22" i="8" s="1"/>
  <c r="B23" i="8"/>
  <c r="E23" i="8" s="1"/>
  <c r="G23" i="8" s="1"/>
  <c r="I27" i="8"/>
  <c r="H27" i="8"/>
  <c r="L27" i="8" s="1"/>
  <c r="A16" i="7"/>
  <c r="M17" i="7"/>
  <c r="D20" i="7"/>
  <c r="H20" i="7" s="1"/>
  <c r="K21" i="7"/>
  <c r="E20" i="7"/>
  <c r="K26" i="5"/>
  <c r="E25" i="5"/>
  <c r="D25" i="5"/>
  <c r="C68" i="1"/>
  <c r="M68" i="1" s="1"/>
  <c r="G54" i="12" l="1"/>
  <c r="F54" i="12"/>
  <c r="M55" i="12"/>
  <c r="A17" i="9"/>
  <c r="F24" i="8"/>
  <c r="Q23" i="8"/>
  <c r="P23" i="8"/>
  <c r="R23" i="8"/>
  <c r="U23" i="8"/>
  <c r="N27" i="8"/>
  <c r="A21" i="8"/>
  <c r="W21" i="8" s="1"/>
  <c r="B22" i="8"/>
  <c r="E22" i="8" s="1"/>
  <c r="G22" i="8" s="1"/>
  <c r="J27" i="8"/>
  <c r="K27" i="8" s="1"/>
  <c r="M27" i="8" s="1"/>
  <c r="M16" i="7"/>
  <c r="A15" i="7"/>
  <c r="J20" i="7"/>
  <c r="F20" i="7"/>
  <c r="G20" i="7" s="1"/>
  <c r="I20" i="7" s="1"/>
  <c r="H25" i="5"/>
  <c r="J25" i="5"/>
  <c r="F25" i="5"/>
  <c r="G25" i="5" s="1"/>
  <c r="I25" i="5" s="1"/>
  <c r="C25" i="5" s="1"/>
  <c r="G67" i="1"/>
  <c r="F67" i="1"/>
  <c r="J67" i="1" s="1"/>
  <c r="J54" i="12" l="1"/>
  <c r="L54" i="12"/>
  <c r="H54" i="12"/>
  <c r="I54" i="12" s="1"/>
  <c r="K54" i="12" s="1"/>
  <c r="C54" i="12" s="1"/>
  <c r="A16" i="9"/>
  <c r="F23" i="8"/>
  <c r="C27" i="8"/>
  <c r="O27" i="8" s="1"/>
  <c r="Q22" i="8"/>
  <c r="P22" i="8"/>
  <c r="R22" i="8"/>
  <c r="U22" i="8"/>
  <c r="B21" i="8"/>
  <c r="A20" i="8"/>
  <c r="W20" i="8" s="1"/>
  <c r="A14" i="7"/>
  <c r="M15" i="7"/>
  <c r="C20" i="7"/>
  <c r="K20" i="7" s="1"/>
  <c r="K25" i="5"/>
  <c r="E24" i="5"/>
  <c r="D24" i="5"/>
  <c r="H24" i="5" s="1"/>
  <c r="L67" i="1"/>
  <c r="H67" i="1"/>
  <c r="I67" i="1" s="1"/>
  <c r="K67" i="1" s="1"/>
  <c r="C67" i="1" s="1"/>
  <c r="M67" i="1" s="1"/>
  <c r="G53" i="12" l="1"/>
  <c r="F53" i="12"/>
  <c r="J53" i="12" s="1"/>
  <c r="M54" i="12"/>
  <c r="A15" i="9"/>
  <c r="E21" i="8"/>
  <c r="G21" i="8" s="1"/>
  <c r="P21" i="8"/>
  <c r="H26" i="8"/>
  <c r="N26" i="8" s="1"/>
  <c r="I26" i="8"/>
  <c r="F22" i="8"/>
  <c r="Q21" i="8"/>
  <c r="R21" i="8"/>
  <c r="U21" i="8"/>
  <c r="B20" i="8"/>
  <c r="A19" i="8"/>
  <c r="W19" i="8" s="1"/>
  <c r="A13" i="7"/>
  <c r="M14" i="7"/>
  <c r="D19" i="7"/>
  <c r="H19" i="7" s="1"/>
  <c r="E19" i="7"/>
  <c r="F24" i="5"/>
  <c r="G24" i="5" s="1"/>
  <c r="I24" i="5" s="1"/>
  <c r="J24" i="5"/>
  <c r="F66" i="1"/>
  <c r="G66" i="1"/>
  <c r="L53" i="12" l="1"/>
  <c r="H53" i="12"/>
  <c r="I53" i="12" s="1"/>
  <c r="K53" i="12" s="1"/>
  <c r="C53" i="12" s="1"/>
  <c r="A14" i="9"/>
  <c r="L26" i="8"/>
  <c r="Y21" i="8"/>
  <c r="Z21" i="8" s="1"/>
  <c r="Y19" i="8"/>
  <c r="Z19" i="8" s="1"/>
  <c r="Y20" i="8"/>
  <c r="Z20" i="8" s="1"/>
  <c r="J26" i="8"/>
  <c r="K26" i="8" s="1"/>
  <c r="M26" i="8" s="1"/>
  <c r="C26" i="8" s="1"/>
  <c r="O26" i="8" s="1"/>
  <c r="E20" i="8"/>
  <c r="G20" i="8" s="1"/>
  <c r="F21" i="8"/>
  <c r="P20" i="8"/>
  <c r="Q20" i="8"/>
  <c r="R20" i="8"/>
  <c r="V19" i="8"/>
  <c r="V20" i="8"/>
  <c r="V21" i="8"/>
  <c r="U20" i="8"/>
  <c r="B19" i="8"/>
  <c r="A18" i="8"/>
  <c r="W18" i="8" s="1"/>
  <c r="J19" i="7"/>
  <c r="F19" i="7"/>
  <c r="G19" i="7" s="1"/>
  <c r="M13" i="7"/>
  <c r="A12" i="7"/>
  <c r="I19" i="7"/>
  <c r="C19" i="7" s="1"/>
  <c r="C24" i="5"/>
  <c r="J66" i="1"/>
  <c r="L66" i="1"/>
  <c r="H66" i="1"/>
  <c r="I66" i="1" s="1"/>
  <c r="F52" i="12" l="1"/>
  <c r="G52" i="12"/>
  <c r="H52" i="12" s="1"/>
  <c r="I52" i="12" s="1"/>
  <c r="M53" i="12"/>
  <c r="A13" i="9"/>
  <c r="Y18" i="8"/>
  <c r="Z18" i="8" s="1"/>
  <c r="R19" i="8"/>
  <c r="E19" i="8"/>
  <c r="G19" i="8" s="1"/>
  <c r="F20" i="8"/>
  <c r="P19" i="8"/>
  <c r="Q19" i="8"/>
  <c r="V18" i="8"/>
  <c r="U19" i="8"/>
  <c r="B18" i="8"/>
  <c r="E18" i="8" s="1"/>
  <c r="G18" i="8" s="1"/>
  <c r="A17" i="8"/>
  <c r="I25" i="8"/>
  <c r="H25" i="8"/>
  <c r="M12" i="7"/>
  <c r="A11" i="7"/>
  <c r="K19" i="7"/>
  <c r="E18" i="7"/>
  <c r="D18" i="7"/>
  <c r="K24" i="5"/>
  <c r="E23" i="5"/>
  <c r="D23" i="5"/>
  <c r="K66" i="1"/>
  <c r="C66" i="1" s="1"/>
  <c r="J52" i="12" l="1"/>
  <c r="K52" i="12" s="1"/>
  <c r="L52" i="12"/>
  <c r="A12" i="9"/>
  <c r="V17" i="8"/>
  <c r="Y17" i="8"/>
  <c r="Z17" i="8" s="1"/>
  <c r="F19" i="8"/>
  <c r="Q18" i="8"/>
  <c r="P18" i="8"/>
  <c r="R18" i="8"/>
  <c r="U18" i="8"/>
  <c r="W17" i="8"/>
  <c r="B17" i="8"/>
  <c r="E17" i="8" s="1"/>
  <c r="G17" i="8" s="1"/>
  <c r="A16" i="8"/>
  <c r="J25" i="8"/>
  <c r="K25" i="8" s="1"/>
  <c r="L25" i="8"/>
  <c r="N25" i="8"/>
  <c r="A10" i="7"/>
  <c r="M11" i="7"/>
  <c r="H18" i="7"/>
  <c r="J18" i="7"/>
  <c r="F18" i="7"/>
  <c r="G18" i="7" s="1"/>
  <c r="I18" i="7" s="1"/>
  <c r="C18" i="7" s="1"/>
  <c r="H23" i="5"/>
  <c r="J23" i="5"/>
  <c r="F23" i="5"/>
  <c r="G23" i="5" s="1"/>
  <c r="I23" i="5" s="1"/>
  <c r="M66" i="1"/>
  <c r="F65" i="1"/>
  <c r="G65" i="1"/>
  <c r="H65" i="1" s="1"/>
  <c r="I65" i="1" s="1"/>
  <c r="C52" i="12" l="1"/>
  <c r="G51" i="12"/>
  <c r="F51" i="12"/>
  <c r="J51" i="12" s="1"/>
  <c r="M52" i="12"/>
  <c r="A11" i="9"/>
  <c r="V16" i="8"/>
  <c r="Y16" i="8"/>
  <c r="Z16" i="8" s="1"/>
  <c r="F18" i="8"/>
  <c r="P17" i="8"/>
  <c r="Q17" i="8"/>
  <c r="R17" i="8"/>
  <c r="M25" i="8"/>
  <c r="C25" i="8" s="1"/>
  <c r="O25" i="8" s="1"/>
  <c r="W16" i="8"/>
  <c r="U17" i="8"/>
  <c r="A15" i="8"/>
  <c r="B16" i="8"/>
  <c r="E16" i="8" s="1"/>
  <c r="A9" i="7"/>
  <c r="M10" i="7"/>
  <c r="D17" i="7"/>
  <c r="H17" i="7" s="1"/>
  <c r="E17" i="7"/>
  <c r="K18" i="7"/>
  <c r="J17" i="7"/>
  <c r="C23" i="5"/>
  <c r="K23" i="5" s="1"/>
  <c r="J65" i="1"/>
  <c r="K65" i="1" s="1"/>
  <c r="L65" i="1"/>
  <c r="L51" i="12" l="1"/>
  <c r="H51" i="12"/>
  <c r="I51" i="12" s="1"/>
  <c r="K51" i="12" s="1"/>
  <c r="C51" i="12" s="1"/>
  <c r="A10" i="9"/>
  <c r="V15" i="8"/>
  <c r="Y15" i="8"/>
  <c r="Z15" i="8" s="1"/>
  <c r="F17" i="8"/>
  <c r="H24" i="8"/>
  <c r="L24" i="8" s="1"/>
  <c r="I24" i="8"/>
  <c r="J24" i="8" s="1"/>
  <c r="K24" i="8" s="1"/>
  <c r="Q16" i="8"/>
  <c r="P16" i="8"/>
  <c r="R16" i="8"/>
  <c r="W15" i="8"/>
  <c r="U16" i="8"/>
  <c r="G16" i="8"/>
  <c r="A14" i="8"/>
  <c r="B15" i="8"/>
  <c r="E15" i="8" s="1"/>
  <c r="N24" i="8"/>
  <c r="M9" i="7"/>
  <c r="A8" i="7"/>
  <c r="F17" i="7"/>
  <c r="G17" i="7" s="1"/>
  <c r="I17" i="7" s="1"/>
  <c r="C17" i="7" s="1"/>
  <c r="D22" i="5"/>
  <c r="H22" i="5" s="1"/>
  <c r="E22" i="5"/>
  <c r="F22" i="5" s="1"/>
  <c r="G22" i="5" s="1"/>
  <c r="I22" i="5" s="1"/>
  <c r="J22" i="5"/>
  <c r="C65" i="1"/>
  <c r="M65" i="1" s="1"/>
  <c r="G64" i="1"/>
  <c r="G50" i="12" l="1"/>
  <c r="F50" i="12"/>
  <c r="J50" i="12" s="1"/>
  <c r="M51" i="12"/>
  <c r="A9" i="9"/>
  <c r="V14" i="8"/>
  <c r="Y14" i="8"/>
  <c r="Z14" i="8" s="1"/>
  <c r="F16" i="8"/>
  <c r="Q15" i="8"/>
  <c r="P15" i="8"/>
  <c r="R15" i="8"/>
  <c r="W14" i="8"/>
  <c r="U15" i="8"/>
  <c r="G15" i="8"/>
  <c r="B14" i="8"/>
  <c r="E14" i="8" s="1"/>
  <c r="A13" i="8"/>
  <c r="M24" i="8"/>
  <c r="C24" i="8" s="1"/>
  <c r="M8" i="7"/>
  <c r="A7" i="7"/>
  <c r="K17" i="7"/>
  <c r="E16" i="7"/>
  <c r="D16" i="7"/>
  <c r="C22" i="5"/>
  <c r="K22" i="5" s="1"/>
  <c r="E21" i="5"/>
  <c r="D21" i="5"/>
  <c r="H21" i="5" s="1"/>
  <c r="F64" i="1"/>
  <c r="J64" i="1" s="1"/>
  <c r="L50" i="12" l="1"/>
  <c r="H50" i="12"/>
  <c r="I50" i="12" s="1"/>
  <c r="K50" i="12" s="1"/>
  <c r="C50" i="12" s="1"/>
  <c r="A8" i="9"/>
  <c r="V13" i="8"/>
  <c r="Y13" i="8"/>
  <c r="Z13" i="8" s="1"/>
  <c r="F15" i="8"/>
  <c r="Q14" i="8"/>
  <c r="P14" i="8"/>
  <c r="R14" i="8"/>
  <c r="W13" i="8"/>
  <c r="U14" i="8"/>
  <c r="H23" i="8"/>
  <c r="L23" i="8" s="1"/>
  <c r="O24" i="8"/>
  <c r="G14" i="8"/>
  <c r="B13" i="8"/>
  <c r="E13" i="8" s="1"/>
  <c r="A12" i="8"/>
  <c r="I23" i="8"/>
  <c r="A6" i="7"/>
  <c r="M7" i="7"/>
  <c r="H16" i="7"/>
  <c r="J16" i="7"/>
  <c r="F16" i="7"/>
  <c r="G16" i="7" s="1"/>
  <c r="L64" i="1"/>
  <c r="F21" i="5"/>
  <c r="G21" i="5" s="1"/>
  <c r="I21" i="5" s="1"/>
  <c r="J21" i="5"/>
  <c r="H64" i="1"/>
  <c r="I64" i="1" s="1"/>
  <c r="K64" i="1" s="1"/>
  <c r="C64" i="1" s="1"/>
  <c r="G49" i="12" l="1"/>
  <c r="F49" i="12"/>
  <c r="M50" i="12"/>
  <c r="A7" i="9"/>
  <c r="V12" i="8"/>
  <c r="Y12" i="8"/>
  <c r="Z12" i="8" s="1"/>
  <c r="F14" i="8"/>
  <c r="P13" i="8"/>
  <c r="Q13" i="8"/>
  <c r="R13" i="8"/>
  <c r="J23" i="8"/>
  <c r="K23" i="8" s="1"/>
  <c r="M23" i="8" s="1"/>
  <c r="U13" i="8"/>
  <c r="N23" i="8"/>
  <c r="W12" i="8"/>
  <c r="B12" i="8"/>
  <c r="E12" i="8" s="1"/>
  <c r="A11" i="8"/>
  <c r="G13" i="8"/>
  <c r="I16" i="7"/>
  <c r="C16" i="7" s="1"/>
  <c r="E15" i="7" s="1"/>
  <c r="A5" i="7"/>
  <c r="B5" i="7" s="1"/>
  <c r="M5" i="7" s="1"/>
  <c r="M6" i="7"/>
  <c r="K16" i="7"/>
  <c r="C21" i="5"/>
  <c r="K21" i="5"/>
  <c r="E20" i="5"/>
  <c r="D20" i="5"/>
  <c r="H20" i="5" s="1"/>
  <c r="M64" i="1"/>
  <c r="F63" i="1"/>
  <c r="L63" i="1" s="1"/>
  <c r="G63" i="1"/>
  <c r="H63" i="1" s="1"/>
  <c r="I63" i="1" s="1"/>
  <c r="J63" i="1"/>
  <c r="J49" i="12" l="1"/>
  <c r="L49" i="12"/>
  <c r="H49" i="12"/>
  <c r="I49" i="12" s="1"/>
  <c r="K49" i="12" s="1"/>
  <c r="C49" i="12" s="1"/>
  <c r="A6" i="9"/>
  <c r="V11" i="8"/>
  <c r="Y11" i="8"/>
  <c r="Z11" i="8" s="1"/>
  <c r="F13" i="8"/>
  <c r="P12" i="8"/>
  <c r="Q12" i="8"/>
  <c r="R12" i="8"/>
  <c r="W11" i="8"/>
  <c r="U12" i="8"/>
  <c r="C23" i="8"/>
  <c r="O23" i="8" s="1"/>
  <c r="B11" i="8"/>
  <c r="E11" i="8" s="1"/>
  <c r="A10" i="8"/>
  <c r="G12" i="8"/>
  <c r="D15" i="7"/>
  <c r="H15" i="7" s="1"/>
  <c r="F20" i="5"/>
  <c r="G20" i="5" s="1"/>
  <c r="I20" i="5" s="1"/>
  <c r="J20" i="5"/>
  <c r="K63" i="1"/>
  <c r="C63" i="1" s="1"/>
  <c r="F48" i="12" l="1"/>
  <c r="J48" i="12" s="1"/>
  <c r="G48" i="12"/>
  <c r="H48" i="12" s="1"/>
  <c r="I48" i="12" s="1"/>
  <c r="K48" i="12" s="1"/>
  <c r="M49" i="12"/>
  <c r="A5" i="9"/>
  <c r="V10" i="8"/>
  <c r="Y10" i="8"/>
  <c r="Z10" i="8" s="1"/>
  <c r="F12" i="8"/>
  <c r="P11" i="8"/>
  <c r="Q11" i="8"/>
  <c r="R11" i="8"/>
  <c r="W10" i="8"/>
  <c r="U11" i="8"/>
  <c r="H22" i="8"/>
  <c r="I22" i="8"/>
  <c r="B10" i="8"/>
  <c r="E10" i="8" s="1"/>
  <c r="A9" i="8"/>
  <c r="G11" i="8"/>
  <c r="F15" i="7"/>
  <c r="G15" i="7" s="1"/>
  <c r="I15" i="7" s="1"/>
  <c r="C15" i="7" s="1"/>
  <c r="E14" i="7" s="1"/>
  <c r="J15" i="7"/>
  <c r="C20" i="5"/>
  <c r="M63" i="1"/>
  <c r="G62" i="1"/>
  <c r="F62" i="1"/>
  <c r="L48" i="12" l="1"/>
  <c r="A4" i="9"/>
  <c r="V9" i="8"/>
  <c r="Y9" i="8"/>
  <c r="Z9" i="8" s="1"/>
  <c r="F11" i="8"/>
  <c r="Q10" i="8"/>
  <c r="P10" i="8"/>
  <c r="R10" i="8"/>
  <c r="J22" i="8"/>
  <c r="K22" i="8" s="1"/>
  <c r="L22" i="8"/>
  <c r="N22" i="8"/>
  <c r="W9" i="8"/>
  <c r="U10" i="8"/>
  <c r="A8" i="8"/>
  <c r="B9" i="8"/>
  <c r="E9" i="8" s="1"/>
  <c r="G10" i="8"/>
  <c r="K15" i="7"/>
  <c r="D14" i="7"/>
  <c r="H14" i="7"/>
  <c r="J14" i="7"/>
  <c r="F14" i="7"/>
  <c r="G14" i="7" s="1"/>
  <c r="I14" i="7" s="1"/>
  <c r="D19" i="5"/>
  <c r="K20" i="5"/>
  <c r="E19" i="5"/>
  <c r="F19" i="5" s="1"/>
  <c r="G19" i="5" s="1"/>
  <c r="J62" i="1"/>
  <c r="L62" i="1"/>
  <c r="H62" i="1"/>
  <c r="I62" i="1" s="1"/>
  <c r="K62" i="1" s="1"/>
  <c r="C48" i="12" l="1"/>
  <c r="V8" i="8"/>
  <c r="Y8" i="8"/>
  <c r="Z8" i="8" s="1"/>
  <c r="F10" i="8"/>
  <c r="Q9" i="8"/>
  <c r="P9" i="8"/>
  <c r="R9" i="8"/>
  <c r="M22" i="8"/>
  <c r="C22" i="8" s="1"/>
  <c r="H21" i="8" s="1"/>
  <c r="L21" i="8" s="1"/>
  <c r="W8" i="8"/>
  <c r="U9" i="8"/>
  <c r="G9" i="8"/>
  <c r="B8" i="8"/>
  <c r="E8" i="8" s="1"/>
  <c r="A7" i="8"/>
  <c r="C14" i="7"/>
  <c r="K14" i="7" s="1"/>
  <c r="H19" i="5"/>
  <c r="I19" i="5" s="1"/>
  <c r="J19" i="5"/>
  <c r="C62" i="1"/>
  <c r="G47" i="12" l="1"/>
  <c r="F47" i="12"/>
  <c r="M48" i="12"/>
  <c r="V7" i="8"/>
  <c r="Y7" i="8"/>
  <c r="Z7" i="8" s="1"/>
  <c r="F9" i="8"/>
  <c r="O22" i="8"/>
  <c r="I21" i="8"/>
  <c r="J21" i="8" s="1"/>
  <c r="K21" i="8" s="1"/>
  <c r="M21" i="8" s="1"/>
  <c r="Q8" i="8"/>
  <c r="P8" i="8"/>
  <c r="R8" i="8"/>
  <c r="N21" i="8"/>
  <c r="W7" i="8"/>
  <c r="U8" i="8"/>
  <c r="B7" i="8"/>
  <c r="E7" i="8" s="1"/>
  <c r="A6" i="8"/>
  <c r="G8" i="8"/>
  <c r="D13" i="7"/>
  <c r="E13" i="7"/>
  <c r="C19" i="5"/>
  <c r="K19" i="5" s="1"/>
  <c r="E18" i="5"/>
  <c r="D18" i="5"/>
  <c r="H18" i="5" s="1"/>
  <c r="M62" i="1"/>
  <c r="F61" i="1"/>
  <c r="G61" i="1"/>
  <c r="H61" i="1" s="1"/>
  <c r="I61" i="1" s="1"/>
  <c r="J47" i="12" l="1"/>
  <c r="L47" i="12"/>
  <c r="H47" i="12"/>
  <c r="I47" i="12" s="1"/>
  <c r="K47" i="12" s="1"/>
  <c r="C47" i="12" s="1"/>
  <c r="V6" i="8"/>
  <c r="Y6" i="8"/>
  <c r="Z6" i="8" s="1"/>
  <c r="F8" i="8"/>
  <c r="Q7" i="8"/>
  <c r="P7" i="8"/>
  <c r="R7" i="8"/>
  <c r="C21" i="8"/>
  <c r="W6" i="8"/>
  <c r="U7" i="8"/>
  <c r="A5" i="8"/>
  <c r="Y5" i="8" s="1"/>
  <c r="Z5" i="8" s="1"/>
  <c r="B6" i="8"/>
  <c r="E6" i="8" s="1"/>
  <c r="G7" i="8"/>
  <c r="H13" i="7"/>
  <c r="J13" i="7"/>
  <c r="F13" i="7"/>
  <c r="G13" i="7" s="1"/>
  <c r="I13" i="7" s="1"/>
  <c r="C13" i="7" s="1"/>
  <c r="D12" i="7"/>
  <c r="K13" i="7"/>
  <c r="E12" i="7"/>
  <c r="F12" i="7" s="1"/>
  <c r="G12" i="7" s="1"/>
  <c r="J18" i="5"/>
  <c r="F18" i="5"/>
  <c r="G18" i="5" s="1"/>
  <c r="I18" i="5" s="1"/>
  <c r="C18" i="5" s="1"/>
  <c r="J61" i="1"/>
  <c r="K61" i="1" s="1"/>
  <c r="L61" i="1"/>
  <c r="F46" i="12" l="1"/>
  <c r="J46" i="12" s="1"/>
  <c r="G46" i="12"/>
  <c r="H46" i="12" s="1"/>
  <c r="I46" i="12" s="1"/>
  <c r="K46" i="12" s="1"/>
  <c r="C46" i="12" s="1"/>
  <c r="M47" i="12"/>
  <c r="L46" i="12"/>
  <c r="V5" i="8"/>
  <c r="W5" i="8"/>
  <c r="S20" i="8" s="1"/>
  <c r="F7" i="8"/>
  <c r="Q6" i="8"/>
  <c r="P6" i="8"/>
  <c r="R6" i="8"/>
  <c r="O21" i="8"/>
  <c r="I20" i="8"/>
  <c r="H20" i="8"/>
  <c r="B5" i="8"/>
  <c r="S6" i="8"/>
  <c r="U6" i="8"/>
  <c r="G6" i="8"/>
  <c r="H12" i="7"/>
  <c r="I12" i="7" s="1"/>
  <c r="J12" i="7"/>
  <c r="K18" i="5"/>
  <c r="E17" i="5"/>
  <c r="D17" i="5"/>
  <c r="H17" i="5" s="1"/>
  <c r="C61" i="1"/>
  <c r="M61" i="1" s="1"/>
  <c r="G45" i="12" l="1"/>
  <c r="F45" i="12"/>
  <c r="J45" i="12" s="1"/>
  <c r="M46" i="12"/>
  <c r="AA5" i="8"/>
  <c r="AB5" i="8" s="1"/>
  <c r="AA13" i="8"/>
  <c r="AB13" i="8" s="1"/>
  <c r="AA15" i="8"/>
  <c r="AB15" i="8" s="1"/>
  <c r="AA16" i="8"/>
  <c r="AB16" i="8" s="1"/>
  <c r="AA17" i="8"/>
  <c r="AB17" i="8" s="1"/>
  <c r="AA19" i="8"/>
  <c r="AB19" i="8" s="1"/>
  <c r="AA12" i="8"/>
  <c r="AB12" i="8" s="1"/>
  <c r="AA6" i="8"/>
  <c r="AB6" i="8" s="1"/>
  <c r="AA14" i="8"/>
  <c r="AB14" i="8" s="1"/>
  <c r="AA7" i="8"/>
  <c r="AB7" i="8" s="1"/>
  <c r="AA8" i="8"/>
  <c r="AB8" i="8" s="1"/>
  <c r="AA9" i="8"/>
  <c r="AB9" i="8" s="1"/>
  <c r="AA10" i="8"/>
  <c r="AB10" i="8" s="1"/>
  <c r="AA20" i="8"/>
  <c r="AB20" i="8" s="1"/>
  <c r="AA18" i="8"/>
  <c r="AB18" i="8" s="1"/>
  <c r="AA11" i="8"/>
  <c r="AB11" i="8" s="1"/>
  <c r="F6" i="8"/>
  <c r="G5" i="8"/>
  <c r="Q5" i="8"/>
  <c r="P5" i="8"/>
  <c r="S5" i="8"/>
  <c r="R5" i="8"/>
  <c r="S29" i="8"/>
  <c r="S27" i="8"/>
  <c r="S28" i="8"/>
  <c r="S26" i="8"/>
  <c r="S25" i="8"/>
  <c r="S24" i="8"/>
  <c r="S23" i="8"/>
  <c r="S22" i="8"/>
  <c r="S21" i="8"/>
  <c r="S38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J20" i="8"/>
  <c r="K20" i="8" s="1"/>
  <c r="L20" i="8"/>
  <c r="N20" i="8"/>
  <c r="U5" i="8"/>
  <c r="C12" i="7"/>
  <c r="E11" i="7" s="1"/>
  <c r="J17" i="5"/>
  <c r="F17" i="5"/>
  <c r="G17" i="5" s="1"/>
  <c r="I17" i="5" s="1"/>
  <c r="C17" i="5" s="1"/>
  <c r="G60" i="1"/>
  <c r="F60" i="1"/>
  <c r="J60" i="1" s="1"/>
  <c r="L45" i="12" l="1"/>
  <c r="H45" i="12"/>
  <c r="I45" i="12" s="1"/>
  <c r="K45" i="12" s="1"/>
  <c r="C45" i="12" s="1"/>
  <c r="F5" i="8"/>
  <c r="M20" i="8"/>
  <c r="C20" i="8" s="1"/>
  <c r="H19" i="8" s="1"/>
  <c r="K12" i="7"/>
  <c r="D11" i="7"/>
  <c r="H11" i="7" s="1"/>
  <c r="D16" i="5"/>
  <c r="H16" i="5" s="1"/>
  <c r="K17" i="5"/>
  <c r="E16" i="5"/>
  <c r="F16" i="5" s="1"/>
  <c r="G16" i="5" s="1"/>
  <c r="I16" i="5" s="1"/>
  <c r="C16" i="5" s="1"/>
  <c r="J16" i="5"/>
  <c r="L60" i="1"/>
  <c r="H60" i="1"/>
  <c r="I60" i="1" s="1"/>
  <c r="K60" i="1" s="1"/>
  <c r="C60" i="1" s="1"/>
  <c r="G59" i="1" s="1"/>
  <c r="F44" i="12" l="1"/>
  <c r="G44" i="12"/>
  <c r="H44" i="12" s="1"/>
  <c r="I44" i="12" s="1"/>
  <c r="M45" i="12"/>
  <c r="O20" i="8"/>
  <c r="I19" i="8"/>
  <c r="J19" i="8" s="1"/>
  <c r="K19" i="8" s="1"/>
  <c r="L19" i="8"/>
  <c r="N19" i="8"/>
  <c r="F11" i="7"/>
  <c r="G11" i="7" s="1"/>
  <c r="I11" i="7" s="1"/>
  <c r="J11" i="7"/>
  <c r="K16" i="5"/>
  <c r="E15" i="5"/>
  <c r="D15" i="5"/>
  <c r="H15" i="5" s="1"/>
  <c r="F59" i="1"/>
  <c r="H59" i="1" s="1"/>
  <c r="I59" i="1" s="1"/>
  <c r="M60" i="1"/>
  <c r="J59" i="1"/>
  <c r="J44" i="12" l="1"/>
  <c r="K44" i="12" s="1"/>
  <c r="L44" i="12"/>
  <c r="M19" i="8"/>
  <c r="C19" i="8" s="1"/>
  <c r="C11" i="7"/>
  <c r="F15" i="5"/>
  <c r="G15" i="5" s="1"/>
  <c r="I15" i="5" s="1"/>
  <c r="J15" i="5"/>
  <c r="K59" i="1"/>
  <c r="L59" i="1"/>
  <c r="C59" i="1" s="1"/>
  <c r="C44" i="12" l="1"/>
  <c r="G43" i="12"/>
  <c r="F43" i="12"/>
  <c r="J43" i="12" s="1"/>
  <c r="M44" i="12"/>
  <c r="I18" i="8"/>
  <c r="O19" i="8"/>
  <c r="H18" i="8"/>
  <c r="N18" i="8" s="1"/>
  <c r="L18" i="8"/>
  <c r="K11" i="7"/>
  <c r="E10" i="7"/>
  <c r="D10" i="7"/>
  <c r="C15" i="5"/>
  <c r="K15" i="5"/>
  <c r="E14" i="5"/>
  <c r="D14" i="5"/>
  <c r="H14" i="5" s="1"/>
  <c r="F58" i="1"/>
  <c r="J58" i="1" s="1"/>
  <c r="G58" i="1"/>
  <c r="M59" i="1"/>
  <c r="L43" i="12" l="1"/>
  <c r="H43" i="12"/>
  <c r="I43" i="12" s="1"/>
  <c r="K43" i="12" s="1"/>
  <c r="C43" i="12" s="1"/>
  <c r="J18" i="8"/>
  <c r="K18" i="8" s="1"/>
  <c r="M18" i="8" s="1"/>
  <c r="C18" i="8" s="1"/>
  <c r="F10" i="7"/>
  <c r="G10" i="7" s="1"/>
  <c r="H10" i="7"/>
  <c r="I10" i="7" s="1"/>
  <c r="J10" i="7"/>
  <c r="L58" i="1"/>
  <c r="F14" i="5"/>
  <c r="G14" i="5" s="1"/>
  <c r="I14" i="5" s="1"/>
  <c r="J14" i="5"/>
  <c r="H58" i="1"/>
  <c r="I58" i="1" s="1"/>
  <c r="K58" i="1" s="1"/>
  <c r="C58" i="1" s="1"/>
  <c r="M58" i="1" s="1"/>
  <c r="F42" i="12" l="1"/>
  <c r="G42" i="12"/>
  <c r="M43" i="12"/>
  <c r="O18" i="8"/>
  <c r="H17" i="8"/>
  <c r="I17" i="8"/>
  <c r="C10" i="7"/>
  <c r="D9" i="7" s="1"/>
  <c r="C14" i="5"/>
  <c r="G57" i="1"/>
  <c r="F57" i="1"/>
  <c r="L57" i="1" s="1"/>
  <c r="J42" i="12" l="1"/>
  <c r="L42" i="12"/>
  <c r="H42" i="12"/>
  <c r="I42" i="12" s="1"/>
  <c r="K42" i="12" s="1"/>
  <c r="C42" i="12" s="1"/>
  <c r="J17" i="8"/>
  <c r="K17" i="8" s="1"/>
  <c r="M17" i="8" s="1"/>
  <c r="C17" i="8" s="1"/>
  <c r="I16" i="8" s="1"/>
  <c r="L17" i="8"/>
  <c r="N17" i="8"/>
  <c r="H9" i="7"/>
  <c r="J9" i="7"/>
  <c r="E9" i="7"/>
  <c r="F9" i="7" s="1"/>
  <c r="G9" i="7" s="1"/>
  <c r="I9" i="7" s="1"/>
  <c r="C9" i="7" s="1"/>
  <c r="K9" i="7" s="1"/>
  <c r="K10" i="7"/>
  <c r="E13" i="5"/>
  <c r="D13" i="5"/>
  <c r="K14" i="5"/>
  <c r="J57" i="1"/>
  <c r="H57" i="1"/>
  <c r="I57" i="1" s="1"/>
  <c r="G41" i="12" l="1"/>
  <c r="F41" i="12"/>
  <c r="J41" i="12" s="1"/>
  <c r="M42" i="12"/>
  <c r="O17" i="8"/>
  <c r="H16" i="8"/>
  <c r="E8" i="7"/>
  <c r="D8" i="7"/>
  <c r="F8" i="7"/>
  <c r="G8" i="7" s="1"/>
  <c r="H8" i="7"/>
  <c r="I8" i="7" s="1"/>
  <c r="J8" i="7"/>
  <c r="H13" i="5"/>
  <c r="J13" i="5"/>
  <c r="F13" i="5"/>
  <c r="G13" i="5" s="1"/>
  <c r="I13" i="5" s="1"/>
  <c r="C13" i="5" s="1"/>
  <c r="K57" i="1"/>
  <c r="C57" i="1" s="1"/>
  <c r="L41" i="12" l="1"/>
  <c r="H41" i="12"/>
  <c r="I41" i="12" s="1"/>
  <c r="K41" i="12" s="1"/>
  <c r="C41" i="12" s="1"/>
  <c r="L16" i="8"/>
  <c r="N16" i="8"/>
  <c r="J16" i="8"/>
  <c r="K16" i="8" s="1"/>
  <c r="C8" i="7"/>
  <c r="E7" i="7" s="1"/>
  <c r="F7" i="7" s="1"/>
  <c r="G7" i="7" s="1"/>
  <c r="I7" i="7" s="1"/>
  <c r="K8" i="7"/>
  <c r="D7" i="7"/>
  <c r="H7" i="7" s="1"/>
  <c r="J7" i="7"/>
  <c r="K13" i="5"/>
  <c r="E12" i="5"/>
  <c r="D12" i="5"/>
  <c r="H12" i="5" s="1"/>
  <c r="M57" i="1"/>
  <c r="G56" i="1"/>
  <c r="F56" i="1"/>
  <c r="G40" i="12" l="1"/>
  <c r="F40" i="12"/>
  <c r="J40" i="12" s="1"/>
  <c r="M41" i="12"/>
  <c r="M16" i="8"/>
  <c r="C16" i="8" s="1"/>
  <c r="I15" i="8" s="1"/>
  <c r="C7" i="7"/>
  <c r="E6" i="7" s="1"/>
  <c r="F12" i="5"/>
  <c r="G12" i="5" s="1"/>
  <c r="I12" i="5" s="1"/>
  <c r="J12" i="5"/>
  <c r="J56" i="1"/>
  <c r="L56" i="1"/>
  <c r="H56" i="1"/>
  <c r="I56" i="1" s="1"/>
  <c r="K56" i="1" s="1"/>
  <c r="C56" i="1" s="1"/>
  <c r="L40" i="12" l="1"/>
  <c r="H40" i="12"/>
  <c r="I40" i="12" s="1"/>
  <c r="K40" i="12" s="1"/>
  <c r="C40" i="12" s="1"/>
  <c r="O16" i="8"/>
  <c r="H15" i="8"/>
  <c r="L15" i="8"/>
  <c r="N15" i="8"/>
  <c r="J15" i="8"/>
  <c r="K15" i="8" s="1"/>
  <c r="M15" i="8" s="1"/>
  <c r="C15" i="8" s="1"/>
  <c r="O15" i="8" s="1"/>
  <c r="K7" i="7"/>
  <c r="D6" i="7"/>
  <c r="H6" i="7" s="1"/>
  <c r="J6" i="7"/>
  <c r="F6" i="7"/>
  <c r="G6" i="7" s="1"/>
  <c r="I6" i="7" s="1"/>
  <c r="C6" i="7" s="1"/>
  <c r="C12" i="5"/>
  <c r="K12" i="5"/>
  <c r="E11" i="5"/>
  <c r="D11" i="5"/>
  <c r="H11" i="5" s="1"/>
  <c r="G55" i="1"/>
  <c r="M56" i="1"/>
  <c r="F55" i="1"/>
  <c r="G39" i="12" l="1"/>
  <c r="F39" i="12"/>
  <c r="J39" i="12" s="1"/>
  <c r="M40" i="12"/>
  <c r="I14" i="8"/>
  <c r="H14" i="8"/>
  <c r="L14" i="8"/>
  <c r="N14" i="8"/>
  <c r="K6" i="7"/>
  <c r="E5" i="7"/>
  <c r="D5" i="7"/>
  <c r="H5" i="7" s="1"/>
  <c r="F11" i="5"/>
  <c r="G11" i="5" s="1"/>
  <c r="I11" i="5" s="1"/>
  <c r="J11" i="5"/>
  <c r="J55" i="1"/>
  <c r="L55" i="1"/>
  <c r="H55" i="1"/>
  <c r="I55" i="1" s="1"/>
  <c r="L39" i="12" l="1"/>
  <c r="H39" i="12"/>
  <c r="I39" i="12" s="1"/>
  <c r="K39" i="12" s="1"/>
  <c r="C39" i="12" s="1"/>
  <c r="J14" i="8"/>
  <c r="K14" i="8" s="1"/>
  <c r="M14" i="8"/>
  <c r="C14" i="8" s="1"/>
  <c r="J5" i="7"/>
  <c r="F5" i="7"/>
  <c r="G5" i="7" s="1"/>
  <c r="I5" i="7" s="1"/>
  <c r="C5" i="7" s="1"/>
  <c r="K55" i="1"/>
  <c r="C55" i="1" s="1"/>
  <c r="M55" i="1" s="1"/>
  <c r="C11" i="5"/>
  <c r="K11" i="5"/>
  <c r="E10" i="5"/>
  <c r="D10" i="5"/>
  <c r="H10" i="5" s="1"/>
  <c r="G38" i="12" l="1"/>
  <c r="F38" i="12"/>
  <c r="J38" i="12" s="1"/>
  <c r="M39" i="12"/>
  <c r="H13" i="8"/>
  <c r="O14" i="8"/>
  <c r="I13" i="8"/>
  <c r="K5" i="7"/>
  <c r="F54" i="1"/>
  <c r="L54" i="1" s="1"/>
  <c r="G54" i="1"/>
  <c r="F10" i="5"/>
  <c r="G10" i="5" s="1"/>
  <c r="I10" i="5" s="1"/>
  <c r="J10" i="5"/>
  <c r="J54" i="1"/>
  <c r="H54" i="1"/>
  <c r="I54" i="1" s="1"/>
  <c r="K54" i="1" s="1"/>
  <c r="L38" i="12" l="1"/>
  <c r="H38" i="12"/>
  <c r="I38" i="12" s="1"/>
  <c r="K38" i="12" s="1"/>
  <c r="C38" i="12" s="1"/>
  <c r="J13" i="8"/>
  <c r="K13" i="8" s="1"/>
  <c r="L13" i="8"/>
  <c r="N13" i="8"/>
  <c r="C54" i="1"/>
  <c r="G53" i="1" s="1"/>
  <c r="C10" i="5"/>
  <c r="K10" i="5" s="1"/>
  <c r="D9" i="5"/>
  <c r="H9" i="5" s="1"/>
  <c r="M54" i="1"/>
  <c r="F53" i="1"/>
  <c r="J53" i="1" s="1"/>
  <c r="G37" i="12" l="1"/>
  <c r="F37" i="12"/>
  <c r="M38" i="12"/>
  <c r="M13" i="8"/>
  <c r="C13" i="8"/>
  <c r="E9" i="5"/>
  <c r="F9" i="5" s="1"/>
  <c r="G9" i="5" s="1"/>
  <c r="I9" i="5" s="1"/>
  <c r="C9" i="5" s="1"/>
  <c r="J9" i="5"/>
  <c r="L53" i="1"/>
  <c r="H53" i="1"/>
  <c r="I53" i="1" s="1"/>
  <c r="K53" i="1" s="1"/>
  <c r="C53" i="1" s="1"/>
  <c r="J37" i="12" l="1"/>
  <c r="L37" i="12"/>
  <c r="H37" i="12"/>
  <c r="I37" i="12" s="1"/>
  <c r="K37" i="12" s="1"/>
  <c r="C37" i="12" s="1"/>
  <c r="O13" i="8"/>
  <c r="I12" i="8"/>
  <c r="H12" i="8"/>
  <c r="K9" i="5"/>
  <c r="E8" i="5"/>
  <c r="D8" i="5"/>
  <c r="H8" i="5" s="1"/>
  <c r="G52" i="1"/>
  <c r="M53" i="1"/>
  <c r="F52" i="1"/>
  <c r="J52" i="1" s="1"/>
  <c r="G36" i="12" l="1"/>
  <c r="F36" i="12"/>
  <c r="J36" i="12" s="1"/>
  <c r="M37" i="12"/>
  <c r="L12" i="8"/>
  <c r="N12" i="8"/>
  <c r="J12" i="8"/>
  <c r="K12" i="8" s="1"/>
  <c r="H52" i="1"/>
  <c r="I52" i="1" s="1"/>
  <c r="K52" i="1" s="1"/>
  <c r="F8" i="5"/>
  <c r="G8" i="5" s="1"/>
  <c r="I8" i="5" s="1"/>
  <c r="J8" i="5"/>
  <c r="L52" i="1"/>
  <c r="L36" i="12" l="1"/>
  <c r="H36" i="12"/>
  <c r="I36" i="12" s="1"/>
  <c r="K36" i="12" s="1"/>
  <c r="C36" i="12" s="1"/>
  <c r="M12" i="8"/>
  <c r="C12" i="8" s="1"/>
  <c r="C52" i="1"/>
  <c r="C8" i="5"/>
  <c r="K8" i="5"/>
  <c r="E7" i="5"/>
  <c r="D7" i="5"/>
  <c r="H7" i="5" s="1"/>
  <c r="G51" i="1"/>
  <c r="F51" i="1"/>
  <c r="J51" i="1" s="1"/>
  <c r="M52" i="1"/>
  <c r="G35" i="12" l="1"/>
  <c r="F35" i="12"/>
  <c r="J35" i="12" s="1"/>
  <c r="M36" i="12"/>
  <c r="O12" i="8"/>
  <c r="I11" i="8"/>
  <c r="H11" i="8"/>
  <c r="F7" i="5"/>
  <c r="G7" i="5" s="1"/>
  <c r="I7" i="5" s="1"/>
  <c r="J7" i="5"/>
  <c r="L51" i="1"/>
  <c r="H51" i="1"/>
  <c r="I51" i="1" s="1"/>
  <c r="K51" i="1" s="1"/>
  <c r="C51" i="1" s="1"/>
  <c r="M51" i="1" s="1"/>
  <c r="L35" i="12" l="1"/>
  <c r="H35" i="12"/>
  <c r="I35" i="12" s="1"/>
  <c r="K35" i="12" s="1"/>
  <c r="C35" i="12" s="1"/>
  <c r="L11" i="8"/>
  <c r="N11" i="8"/>
  <c r="J11" i="8"/>
  <c r="K11" i="8" s="1"/>
  <c r="M11" i="8" s="1"/>
  <c r="C11" i="8" s="1"/>
  <c r="C7" i="5"/>
  <c r="K7" i="5"/>
  <c r="E6" i="5"/>
  <c r="D6" i="5"/>
  <c r="H6" i="5" s="1"/>
  <c r="G50" i="1"/>
  <c r="F50" i="1"/>
  <c r="J50" i="1" s="1"/>
  <c r="G34" i="12" l="1"/>
  <c r="F34" i="12"/>
  <c r="M35" i="12"/>
  <c r="O11" i="8"/>
  <c r="H10" i="8"/>
  <c r="L10" i="8" s="1"/>
  <c r="I10" i="8"/>
  <c r="J10" i="8" s="1"/>
  <c r="K10" i="8" s="1"/>
  <c r="M10" i="8" s="1"/>
  <c r="N10" i="8"/>
  <c r="F6" i="5"/>
  <c r="G6" i="5" s="1"/>
  <c r="I6" i="5" s="1"/>
  <c r="J6" i="5"/>
  <c r="L50" i="1"/>
  <c r="H50" i="1"/>
  <c r="I50" i="1" s="1"/>
  <c r="K50" i="1" s="1"/>
  <c r="C50" i="1" s="1"/>
  <c r="H34" i="12" l="1"/>
  <c r="I34" i="12" s="1"/>
  <c r="J34" i="12"/>
  <c r="L34" i="12"/>
  <c r="K34" i="12"/>
  <c r="C34" i="12" s="1"/>
  <c r="C10" i="8"/>
  <c r="O10" i="8"/>
  <c r="H9" i="8"/>
  <c r="L9" i="8" s="1"/>
  <c r="I9" i="8"/>
  <c r="J9" i="8" s="1"/>
  <c r="K9" i="8" s="1"/>
  <c r="M9" i="8" s="1"/>
  <c r="C6" i="5"/>
  <c r="K6" i="5"/>
  <c r="E5" i="5"/>
  <c r="D5" i="5"/>
  <c r="H5" i="5" s="1"/>
  <c r="M50" i="1"/>
  <c r="F49" i="1"/>
  <c r="G49" i="1"/>
  <c r="G33" i="12" l="1"/>
  <c r="F33" i="12"/>
  <c r="J33" i="12" s="1"/>
  <c r="M34" i="12"/>
  <c r="N9" i="8"/>
  <c r="F5" i="5"/>
  <c r="G5" i="5" s="1"/>
  <c r="I5" i="5" s="1"/>
  <c r="J5" i="5"/>
  <c r="H49" i="1"/>
  <c r="I49" i="1" s="1"/>
  <c r="J49" i="1"/>
  <c r="L49" i="1"/>
  <c r="H33" i="12" l="1"/>
  <c r="I33" i="12" s="1"/>
  <c r="K33" i="12" s="1"/>
  <c r="L33" i="12"/>
  <c r="C9" i="8"/>
  <c r="C5" i="5"/>
  <c r="K5" i="5"/>
  <c r="K49" i="1"/>
  <c r="C49" i="1" s="1"/>
  <c r="M49" i="1" s="1"/>
  <c r="C33" i="12" l="1"/>
  <c r="O9" i="8"/>
  <c r="I8" i="8"/>
  <c r="H8" i="8"/>
  <c r="G48" i="1"/>
  <c r="F48" i="1"/>
  <c r="G32" i="12" l="1"/>
  <c r="F32" i="12"/>
  <c r="M33" i="12"/>
  <c r="L8" i="8"/>
  <c r="N8" i="8"/>
  <c r="J8" i="8"/>
  <c r="K8" i="8" s="1"/>
  <c r="H48" i="1"/>
  <c r="I48" i="1" s="1"/>
  <c r="J48" i="1"/>
  <c r="L48" i="1"/>
  <c r="J32" i="12" l="1"/>
  <c r="L32" i="12"/>
  <c r="H32" i="12"/>
  <c r="I32" i="12" s="1"/>
  <c r="K32" i="12" s="1"/>
  <c r="C32" i="12" s="1"/>
  <c r="M8" i="8"/>
  <c r="C8" i="8" s="1"/>
  <c r="H7" i="8" s="1"/>
  <c r="L7" i="8" s="1"/>
  <c r="O8" i="8"/>
  <c r="I7" i="8"/>
  <c r="K48" i="1"/>
  <c r="C48" i="1" s="1"/>
  <c r="G47" i="1" s="1"/>
  <c r="G31" i="12" l="1"/>
  <c r="F31" i="12"/>
  <c r="J31" i="12" s="1"/>
  <c r="M32" i="12"/>
  <c r="J7" i="8"/>
  <c r="K7" i="8" s="1"/>
  <c r="M7" i="8" s="1"/>
  <c r="N7" i="8"/>
  <c r="F47" i="1"/>
  <c r="H47" i="1" s="1"/>
  <c r="I47" i="1" s="1"/>
  <c r="M48" i="1"/>
  <c r="H31" i="12" l="1"/>
  <c r="I31" i="12" s="1"/>
  <c r="K31" i="12" s="1"/>
  <c r="L31" i="12"/>
  <c r="C7" i="8"/>
  <c r="L47" i="1"/>
  <c r="J47" i="1"/>
  <c r="K47" i="1" s="1"/>
  <c r="C31" i="12" l="1"/>
  <c r="O7" i="8"/>
  <c r="I6" i="8"/>
  <c r="H6" i="8"/>
  <c r="C47" i="1"/>
  <c r="M47" i="1" s="1"/>
  <c r="G46" i="1"/>
  <c r="F46" i="1"/>
  <c r="J46" i="1" s="1"/>
  <c r="F30" i="12" l="1"/>
  <c r="G30" i="12"/>
  <c r="H30" i="12" s="1"/>
  <c r="I30" i="12" s="1"/>
  <c r="M31" i="12"/>
  <c r="L6" i="8"/>
  <c r="N6" i="8"/>
  <c r="J6" i="8"/>
  <c r="K6" i="8" s="1"/>
  <c r="L46" i="1"/>
  <c r="H46" i="1"/>
  <c r="I46" i="1" s="1"/>
  <c r="K46" i="1" s="1"/>
  <c r="C46" i="1" s="1"/>
  <c r="M46" i="1" s="1"/>
  <c r="J30" i="12" l="1"/>
  <c r="K30" i="12" s="1"/>
  <c r="L30" i="12"/>
  <c r="M6" i="8"/>
  <c r="C6" i="8" s="1"/>
  <c r="O6" i="8"/>
  <c r="H5" i="8"/>
  <c r="L5" i="8" s="1"/>
  <c r="I5" i="8"/>
  <c r="J5" i="8" s="1"/>
  <c r="K5" i="8" s="1"/>
  <c r="M5" i="8" s="1"/>
  <c r="N5" i="8"/>
  <c r="G45" i="1"/>
  <c r="F45" i="1"/>
  <c r="J45" i="1" s="1"/>
  <c r="C30" i="12" l="1"/>
  <c r="G29" i="12"/>
  <c r="F29" i="12"/>
  <c r="J29" i="12" s="1"/>
  <c r="M30" i="12"/>
  <c r="C5" i="8"/>
  <c r="O5" i="8" s="1"/>
  <c r="L45" i="1"/>
  <c r="H45" i="1"/>
  <c r="I45" i="1" s="1"/>
  <c r="K45" i="1" s="1"/>
  <c r="C45" i="1" s="1"/>
  <c r="F44" i="1" s="1"/>
  <c r="L29" i="12" l="1"/>
  <c r="H29" i="12"/>
  <c r="I29" i="12" s="1"/>
  <c r="K29" i="12" s="1"/>
  <c r="C29" i="12" s="1"/>
  <c r="G28" i="12" s="1"/>
  <c r="G44" i="1"/>
  <c r="M45" i="1"/>
  <c r="J44" i="1"/>
  <c r="L44" i="1"/>
  <c r="H44" i="1"/>
  <c r="I44" i="1" s="1"/>
  <c r="F28" i="12" l="1"/>
  <c r="J28" i="12" s="1"/>
  <c r="M29" i="12"/>
  <c r="K44" i="1"/>
  <c r="C44" i="1" s="1"/>
  <c r="M44" i="1" s="1"/>
  <c r="L28" i="12" l="1"/>
  <c r="H28" i="12"/>
  <c r="I28" i="12" s="1"/>
  <c r="K28" i="12" s="1"/>
  <c r="C28" i="12" s="1"/>
  <c r="G43" i="1"/>
  <c r="F43" i="1"/>
  <c r="J43" i="1" s="1"/>
  <c r="G27" i="12" l="1"/>
  <c r="F27" i="12"/>
  <c r="M28" i="12"/>
  <c r="L43" i="1"/>
  <c r="H43" i="1"/>
  <c r="I43" i="1" s="1"/>
  <c r="K43" i="1" s="1"/>
  <c r="C43" i="1" s="1"/>
  <c r="M43" i="1" s="1"/>
  <c r="J27" i="12" l="1"/>
  <c r="L27" i="12"/>
  <c r="H27" i="12"/>
  <c r="I27" i="12" s="1"/>
  <c r="K27" i="12" s="1"/>
  <c r="C27" i="12" s="1"/>
  <c r="G42" i="1"/>
  <c r="F42" i="1"/>
  <c r="L42" i="1" s="1"/>
  <c r="F26" i="12" l="1"/>
  <c r="J26" i="12" s="1"/>
  <c r="G26" i="12"/>
  <c r="H26" i="12" s="1"/>
  <c r="I26" i="12" s="1"/>
  <c r="K26" i="12" s="1"/>
  <c r="M27" i="12"/>
  <c r="L26" i="12"/>
  <c r="J42" i="1"/>
  <c r="H42" i="1"/>
  <c r="I42" i="1" s="1"/>
  <c r="K42" i="1" s="1"/>
  <c r="C42" i="1" s="1"/>
  <c r="G41" i="1" s="1"/>
  <c r="C26" i="12" l="1"/>
  <c r="M42" i="1"/>
  <c r="F41" i="1"/>
  <c r="J41" i="1" s="1"/>
  <c r="G25" i="12" l="1"/>
  <c r="F25" i="12"/>
  <c r="M26" i="12"/>
  <c r="H41" i="1"/>
  <c r="I41" i="1" s="1"/>
  <c r="K41" i="1" s="1"/>
  <c r="L41" i="1"/>
  <c r="J25" i="12" l="1"/>
  <c r="L25" i="12"/>
  <c r="H25" i="12"/>
  <c r="I25" i="12" s="1"/>
  <c r="K25" i="12" s="1"/>
  <c r="C25" i="12" s="1"/>
  <c r="C41" i="1"/>
  <c r="M41" i="1" s="1"/>
  <c r="F40" i="1"/>
  <c r="G40" i="1"/>
  <c r="H40" i="1" s="1"/>
  <c r="I40" i="1" s="1"/>
  <c r="J40" i="1"/>
  <c r="L40" i="1"/>
  <c r="F24" i="12" l="1"/>
  <c r="J24" i="12" s="1"/>
  <c r="G24" i="12"/>
  <c r="M25" i="12"/>
  <c r="K40" i="1"/>
  <c r="C40" i="1" s="1"/>
  <c r="M40" i="1"/>
  <c r="G39" i="1"/>
  <c r="F39" i="1"/>
  <c r="J39" i="1" s="1"/>
  <c r="L24" i="12" l="1"/>
  <c r="H24" i="12"/>
  <c r="I24" i="12" s="1"/>
  <c r="K24" i="12" s="1"/>
  <c r="C24" i="12" s="1"/>
  <c r="L39" i="1"/>
  <c r="H39" i="1"/>
  <c r="I39" i="1" s="1"/>
  <c r="K39" i="1" s="1"/>
  <c r="C39" i="1" s="1"/>
  <c r="G23" i="12" l="1"/>
  <c r="F23" i="12"/>
  <c r="J23" i="12" s="1"/>
  <c r="M24" i="12"/>
  <c r="M39" i="1"/>
  <c r="F38" i="1"/>
  <c r="J38" i="1" s="1"/>
  <c r="G38" i="1"/>
  <c r="H38" i="1" s="1"/>
  <c r="I38" i="1" s="1"/>
  <c r="K38" i="1" s="1"/>
  <c r="L38" i="1"/>
  <c r="L23" i="12" l="1"/>
  <c r="H23" i="12"/>
  <c r="I23" i="12" s="1"/>
  <c r="K23" i="12" s="1"/>
  <c r="C23" i="12" s="1"/>
  <c r="C38" i="1"/>
  <c r="F37" i="1" s="1"/>
  <c r="F22" i="12" l="1"/>
  <c r="G22" i="12"/>
  <c r="H22" i="12" s="1"/>
  <c r="I22" i="12" s="1"/>
  <c r="M23" i="12"/>
  <c r="M38" i="1"/>
  <c r="J37" i="1"/>
  <c r="L37" i="1"/>
  <c r="G37" i="1"/>
  <c r="H37" i="1" s="1"/>
  <c r="I37" i="1" s="1"/>
  <c r="K37" i="1" s="1"/>
  <c r="C37" i="1" s="1"/>
  <c r="F36" i="1" s="1"/>
  <c r="J22" i="12" l="1"/>
  <c r="K22" i="12" s="1"/>
  <c r="L22" i="12"/>
  <c r="J36" i="1"/>
  <c r="L36" i="1"/>
  <c r="G36" i="1"/>
  <c r="H36" i="1" s="1"/>
  <c r="I36" i="1" s="1"/>
  <c r="K36" i="1" s="1"/>
  <c r="C36" i="1" s="1"/>
  <c r="M37" i="1"/>
  <c r="C22" i="12" l="1"/>
  <c r="G21" i="12" s="1"/>
  <c r="F21" i="12"/>
  <c r="J21" i="12" s="1"/>
  <c r="M22" i="12"/>
  <c r="M36" i="1"/>
  <c r="F35" i="1"/>
  <c r="G35" i="1"/>
  <c r="H35" i="1" s="1"/>
  <c r="I35" i="1" s="1"/>
  <c r="L21" i="12" l="1"/>
  <c r="H21" i="12"/>
  <c r="I21" i="12" s="1"/>
  <c r="K21" i="12" s="1"/>
  <c r="C21" i="12" s="1"/>
  <c r="J35" i="1"/>
  <c r="K35" i="1" s="1"/>
  <c r="L35" i="1"/>
  <c r="G20" i="12" l="1"/>
  <c r="F20" i="12"/>
  <c r="J20" i="12" s="1"/>
  <c r="M21" i="12"/>
  <c r="C35" i="1"/>
  <c r="M35" i="1"/>
  <c r="F34" i="1"/>
  <c r="J34" i="1" s="1"/>
  <c r="G34" i="1"/>
  <c r="L20" i="12" l="1"/>
  <c r="H20" i="12"/>
  <c r="I20" i="12" s="1"/>
  <c r="K20" i="12" s="1"/>
  <c r="C20" i="12" s="1"/>
  <c r="H34" i="1"/>
  <c r="I34" i="1" s="1"/>
  <c r="K34" i="1" s="1"/>
  <c r="L34" i="1"/>
  <c r="C34" i="1" s="1"/>
  <c r="G19" i="12" l="1"/>
  <c r="F19" i="12"/>
  <c r="J19" i="12" s="1"/>
  <c r="M20" i="12"/>
  <c r="G33" i="1"/>
  <c r="F33" i="1"/>
  <c r="M34" i="1"/>
  <c r="H19" i="12" l="1"/>
  <c r="I19" i="12" s="1"/>
  <c r="K19" i="12" s="1"/>
  <c r="L19" i="12"/>
  <c r="J33" i="1"/>
  <c r="L33" i="1"/>
  <c r="H33" i="1"/>
  <c r="I33" i="1" s="1"/>
  <c r="K33" i="1" s="1"/>
  <c r="C19" i="12" l="1"/>
  <c r="C33" i="1"/>
  <c r="G32" i="1" s="1"/>
  <c r="F32" i="1"/>
  <c r="J32" i="1" s="1"/>
  <c r="M33" i="1"/>
  <c r="F18" i="12" l="1"/>
  <c r="G18" i="12"/>
  <c r="H18" i="12" s="1"/>
  <c r="I18" i="12" s="1"/>
  <c r="M19" i="12"/>
  <c r="H32" i="1"/>
  <c r="I32" i="1" s="1"/>
  <c r="K32" i="1" s="1"/>
  <c r="L32" i="1"/>
  <c r="J18" i="12" l="1"/>
  <c r="K18" i="12" s="1"/>
  <c r="C18" i="12" s="1"/>
  <c r="L18" i="12"/>
  <c r="C32" i="1"/>
  <c r="M32" i="1" s="1"/>
  <c r="G31" i="1"/>
  <c r="F31" i="1"/>
  <c r="G17" i="12" l="1"/>
  <c r="F17" i="12"/>
  <c r="J17" i="12" s="1"/>
  <c r="M18" i="12"/>
  <c r="J31" i="1"/>
  <c r="L31" i="1"/>
  <c r="H31" i="1"/>
  <c r="I31" i="1" s="1"/>
  <c r="K31" i="1" s="1"/>
  <c r="C31" i="1" s="1"/>
  <c r="L17" i="12" l="1"/>
  <c r="H17" i="12"/>
  <c r="I17" i="12" s="1"/>
  <c r="K17" i="12" s="1"/>
  <c r="C17" i="12" s="1"/>
  <c r="G30" i="1"/>
  <c r="M31" i="1"/>
  <c r="F30" i="1"/>
  <c r="F16" i="12" l="1"/>
  <c r="G16" i="12"/>
  <c r="H16" i="12" s="1"/>
  <c r="I16" i="12" s="1"/>
  <c r="M17" i="12"/>
  <c r="J30" i="1"/>
  <c r="L30" i="1"/>
  <c r="H30" i="1"/>
  <c r="I30" i="1" s="1"/>
  <c r="K30" i="1" s="1"/>
  <c r="C30" i="1" s="1"/>
  <c r="G29" i="1" s="1"/>
  <c r="J16" i="12" l="1"/>
  <c r="K16" i="12" s="1"/>
  <c r="L16" i="12"/>
  <c r="M30" i="1"/>
  <c r="F29" i="1"/>
  <c r="H29" i="1" s="1"/>
  <c r="I29" i="1" s="1"/>
  <c r="L29" i="1"/>
  <c r="C16" i="12" l="1"/>
  <c r="G15" i="12"/>
  <c r="F15" i="12"/>
  <c r="J15" i="12" s="1"/>
  <c r="M16" i="12"/>
  <c r="J29" i="1"/>
  <c r="K29" i="1" s="1"/>
  <c r="C29" i="1" s="1"/>
  <c r="L15" i="12" l="1"/>
  <c r="H15" i="12"/>
  <c r="I15" i="12" s="1"/>
  <c r="K15" i="12" s="1"/>
  <c r="C15" i="12" s="1"/>
  <c r="F14" i="12" s="1"/>
  <c r="J14" i="12" s="1"/>
  <c r="G28" i="1"/>
  <c r="F28" i="1"/>
  <c r="J28" i="1" s="1"/>
  <c r="M29" i="1"/>
  <c r="M15" i="12" l="1"/>
  <c r="G14" i="12"/>
  <c r="H14" i="12" s="1"/>
  <c r="I14" i="12" s="1"/>
  <c r="K14" i="12" s="1"/>
  <c r="L14" i="12"/>
  <c r="L28" i="1"/>
  <c r="H28" i="1"/>
  <c r="I28" i="1" s="1"/>
  <c r="K28" i="1" s="1"/>
  <c r="C28" i="1" s="1"/>
  <c r="C14" i="12" l="1"/>
  <c r="M28" i="1"/>
  <c r="G27" i="1"/>
  <c r="F27" i="1"/>
  <c r="G13" i="12" l="1"/>
  <c r="F13" i="12"/>
  <c r="M14" i="12"/>
  <c r="J27" i="1"/>
  <c r="L27" i="1"/>
  <c r="H27" i="1"/>
  <c r="I27" i="1" s="1"/>
  <c r="H13" i="12" l="1"/>
  <c r="I13" i="12" s="1"/>
  <c r="J13" i="12"/>
  <c r="L13" i="12"/>
  <c r="K13" i="12"/>
  <c r="K27" i="1"/>
  <c r="C27" i="1" s="1"/>
  <c r="C13" i="12" l="1"/>
  <c r="G12" i="12"/>
  <c r="F12" i="12"/>
  <c r="J12" i="12" s="1"/>
  <c r="M13" i="12"/>
  <c r="M27" i="1"/>
  <c r="F26" i="1"/>
  <c r="G26" i="1"/>
  <c r="H26" i="1" s="1"/>
  <c r="I26" i="1" s="1"/>
  <c r="L12" i="12" l="1"/>
  <c r="H12" i="12"/>
  <c r="I12" i="12" s="1"/>
  <c r="K12" i="12" s="1"/>
  <c r="C12" i="12" s="1"/>
  <c r="J26" i="1"/>
  <c r="K26" i="1" s="1"/>
  <c r="L26" i="1"/>
  <c r="F11" i="12" l="1"/>
  <c r="G11" i="12"/>
  <c r="H11" i="12" s="1"/>
  <c r="I11" i="12" s="1"/>
  <c r="M12" i="12"/>
  <c r="C26" i="1"/>
  <c r="M26" i="1" s="1"/>
  <c r="J11" i="12" l="1"/>
  <c r="K11" i="12" s="1"/>
  <c r="L11" i="12"/>
  <c r="G25" i="1"/>
  <c r="F25" i="1"/>
  <c r="J25" i="1" s="1"/>
  <c r="L25" i="1"/>
  <c r="H25" i="1"/>
  <c r="I25" i="1" s="1"/>
  <c r="K25" i="1" s="1"/>
  <c r="C25" i="1" s="1"/>
  <c r="C11" i="12" l="1"/>
  <c r="G10" i="12"/>
  <c r="M11" i="12"/>
  <c r="F10" i="12"/>
  <c r="J10" i="12" s="1"/>
  <c r="M25" i="1"/>
  <c r="F24" i="1"/>
  <c r="J24" i="1" s="1"/>
  <c r="G24" i="1"/>
  <c r="H24" i="1" s="1"/>
  <c r="I24" i="1" s="1"/>
  <c r="K24" i="1" s="1"/>
  <c r="L24" i="1"/>
  <c r="L10" i="12" l="1"/>
  <c r="H10" i="12"/>
  <c r="I10" i="12" s="1"/>
  <c r="K10" i="12" s="1"/>
  <c r="C10" i="12" s="1"/>
  <c r="C24" i="1"/>
  <c r="M24" i="1" s="1"/>
  <c r="G23" i="1"/>
  <c r="F23" i="1"/>
  <c r="J23" i="1" s="1"/>
  <c r="F9" i="12" l="1"/>
  <c r="G9" i="12"/>
  <c r="M10" i="12"/>
  <c r="H23" i="1"/>
  <c r="I23" i="1" s="1"/>
  <c r="K23" i="1" s="1"/>
  <c r="L23" i="1"/>
  <c r="J9" i="12" l="1"/>
  <c r="L9" i="12"/>
  <c r="H9" i="12"/>
  <c r="I9" i="12" s="1"/>
  <c r="K9" i="12" s="1"/>
  <c r="C9" i="12" s="1"/>
  <c r="C23" i="1"/>
  <c r="F8" i="12" l="1"/>
  <c r="J8" i="12" s="1"/>
  <c r="G8" i="12"/>
  <c r="H8" i="12" s="1"/>
  <c r="I8" i="12" s="1"/>
  <c r="K8" i="12" s="1"/>
  <c r="M9" i="12"/>
  <c r="M23" i="1"/>
  <c r="G22" i="1"/>
  <c r="F22" i="1"/>
  <c r="L8" i="12" l="1"/>
  <c r="J22" i="1"/>
  <c r="L22" i="1"/>
  <c r="H22" i="1"/>
  <c r="I22" i="1" s="1"/>
  <c r="K22" i="1" s="1"/>
  <c r="C22" i="1" s="1"/>
  <c r="C8" i="12" l="1"/>
  <c r="M22" i="1"/>
  <c r="F21" i="1"/>
  <c r="J21" i="1" s="1"/>
  <c r="G21" i="1"/>
  <c r="F7" i="12" l="1"/>
  <c r="G7" i="12"/>
  <c r="H7" i="12" s="1"/>
  <c r="I7" i="12" s="1"/>
  <c r="M8" i="12"/>
  <c r="H21" i="1"/>
  <c r="I21" i="1" s="1"/>
  <c r="K21" i="1" s="1"/>
  <c r="L21" i="1"/>
  <c r="J7" i="12" l="1"/>
  <c r="K7" i="12" s="1"/>
  <c r="L7" i="12"/>
  <c r="C21" i="1"/>
  <c r="C7" i="12" l="1"/>
  <c r="G6" i="12"/>
  <c r="M7" i="12"/>
  <c r="F6" i="12"/>
  <c r="J6" i="12" s="1"/>
  <c r="M21" i="1"/>
  <c r="F20" i="1"/>
  <c r="G20" i="1"/>
  <c r="L6" i="12" l="1"/>
  <c r="H6" i="12"/>
  <c r="I6" i="12" s="1"/>
  <c r="K6" i="12" s="1"/>
  <c r="C6" i="12" s="1"/>
  <c r="F5" i="12" s="1"/>
  <c r="H20" i="1"/>
  <c r="I20" i="1" s="1"/>
  <c r="J20" i="1"/>
  <c r="L20" i="1"/>
  <c r="M6" i="12" l="1"/>
  <c r="J5" i="12"/>
  <c r="L5" i="12"/>
  <c r="G5" i="12"/>
  <c r="H5" i="12" s="1"/>
  <c r="I5" i="12" s="1"/>
  <c r="K5" i="12" s="1"/>
  <c r="C5" i="12" s="1"/>
  <c r="K20" i="1"/>
  <c r="C20" i="1" s="1"/>
  <c r="M5" i="12" l="1"/>
  <c r="G19" i="1"/>
  <c r="M20" i="1"/>
  <c r="F19" i="1"/>
  <c r="J19" i="1" s="1"/>
  <c r="L19" i="1"/>
  <c r="H19" i="1" l="1"/>
  <c r="I19" i="1" s="1"/>
  <c r="K19" i="1" s="1"/>
  <c r="C19" i="1" s="1"/>
  <c r="M19" i="1" l="1"/>
  <c r="F18" i="1"/>
  <c r="J18" i="1" s="1"/>
  <c r="G18" i="1"/>
  <c r="H18" i="1" s="1"/>
  <c r="I18" i="1" s="1"/>
  <c r="K18" i="1" s="1"/>
  <c r="L18" i="1"/>
  <c r="C18" i="1" l="1"/>
  <c r="M18" i="1"/>
  <c r="F17" i="1"/>
  <c r="G17" i="1"/>
  <c r="H17" i="1" s="1"/>
  <c r="I17" i="1" s="1"/>
  <c r="J17" i="1" l="1"/>
  <c r="K17" i="1" s="1"/>
  <c r="L17" i="1"/>
  <c r="C17" i="1" l="1"/>
  <c r="M17" i="1" s="1"/>
  <c r="G16" i="1"/>
  <c r="F16" i="1" l="1"/>
  <c r="J16" i="1" s="1"/>
  <c r="H16" i="1" l="1"/>
  <c r="I16" i="1" s="1"/>
  <c r="K16" i="1" s="1"/>
  <c r="L16" i="1"/>
  <c r="C16" i="1" l="1"/>
  <c r="F15" i="1" s="1"/>
  <c r="M16" i="1"/>
  <c r="G15" i="1"/>
  <c r="H15" i="1" s="1"/>
  <c r="I15" i="1" s="1"/>
  <c r="J15" i="1"/>
  <c r="L15" i="1"/>
  <c r="K15" i="1" l="1"/>
  <c r="C15" i="1" s="1"/>
  <c r="M15" i="1" l="1"/>
  <c r="G14" i="1"/>
  <c r="F14" i="1"/>
  <c r="J14" i="1" s="1"/>
  <c r="H14" i="1" l="1"/>
  <c r="I14" i="1" s="1"/>
  <c r="K14" i="1" s="1"/>
  <c r="L14" i="1"/>
  <c r="C14" i="1" l="1"/>
  <c r="M14" i="1"/>
  <c r="G13" i="1"/>
  <c r="F13" i="1"/>
  <c r="H13" i="1" l="1"/>
  <c r="I13" i="1" s="1"/>
  <c r="J13" i="1"/>
  <c r="K13" i="1" s="1"/>
  <c r="L13" i="1"/>
  <c r="C13" i="1" l="1"/>
  <c r="G12" i="1"/>
  <c r="F12" i="1"/>
  <c r="J12" i="1" s="1"/>
  <c r="M13" i="1"/>
  <c r="H12" i="1" l="1"/>
  <c r="I12" i="1" s="1"/>
  <c r="K12" i="1" s="1"/>
  <c r="L12" i="1"/>
  <c r="C12" i="1" l="1"/>
  <c r="M12" i="1" l="1"/>
  <c r="F11" i="1"/>
  <c r="G11" i="1"/>
  <c r="H11" i="1" s="1"/>
  <c r="I11" i="1" s="1"/>
  <c r="J11" i="1" l="1"/>
  <c r="K11" i="1" s="1"/>
  <c r="L11" i="1"/>
  <c r="C11" i="1" l="1"/>
  <c r="G10" i="1" l="1"/>
  <c r="M11" i="1"/>
  <c r="F10" i="1"/>
  <c r="J10" i="1" l="1"/>
  <c r="L10" i="1"/>
  <c r="H10" i="1"/>
  <c r="I10" i="1" s="1"/>
  <c r="K10" i="1" s="1"/>
  <c r="C10" i="1" s="1"/>
  <c r="F9" i="1" l="1"/>
  <c r="J9" i="1" s="1"/>
  <c r="G9" i="1"/>
  <c r="H9" i="1" s="1"/>
  <c r="I9" i="1" s="1"/>
  <c r="K9" i="1" s="1"/>
  <c r="C9" i="1" s="1"/>
  <c r="L9" i="1"/>
  <c r="M10" i="1"/>
  <c r="G8" i="1" l="1"/>
  <c r="F8" i="1"/>
  <c r="J8" i="1" s="1"/>
  <c r="M9" i="1"/>
  <c r="L8" i="1" l="1"/>
  <c r="H8" i="1"/>
  <c r="I8" i="1" s="1"/>
  <c r="K8" i="1" s="1"/>
  <c r="C8" i="1" s="1"/>
  <c r="F7" i="1" l="1"/>
  <c r="J7" i="1" s="1"/>
  <c r="G7" i="1"/>
  <c r="H7" i="1" s="1"/>
  <c r="I7" i="1" s="1"/>
  <c r="M8" i="1"/>
  <c r="L7" i="1"/>
  <c r="K7" i="1" l="1"/>
  <c r="C7" i="1" s="1"/>
  <c r="G6" i="1" l="1"/>
  <c r="M7" i="1"/>
  <c r="F6" i="1"/>
  <c r="J6" i="1" l="1"/>
  <c r="L6" i="1"/>
  <c r="H6" i="1"/>
  <c r="I6" i="1" s="1"/>
  <c r="K6" i="1" s="1"/>
  <c r="C6" i="1" s="1"/>
  <c r="M6" i="1" s="1"/>
</calcChain>
</file>

<file path=xl/sharedStrings.xml><?xml version="1.0" encoding="utf-8"?>
<sst xmlns="http://schemas.openxmlformats.org/spreadsheetml/2006/main" count="139" uniqueCount="51">
  <si>
    <t>r=</t>
  </si>
  <si>
    <t>std=</t>
  </si>
  <si>
    <t>Pm</t>
  </si>
  <si>
    <t>F(k)</t>
  </si>
  <si>
    <t>mid-term</t>
  </si>
  <si>
    <t>last-term</t>
  </si>
  <si>
    <t>integral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</si>
  <si>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</si>
  <si>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</si>
  <si>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</si>
  <si>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</si>
  <si>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</si>
  <si>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</si>
  <si>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Interg_sum</t>
  </si>
  <si>
    <t xml:space="preserve"> </t>
  </si>
  <si>
    <t>Asset Value</t>
  </si>
  <si>
    <t>LEV</t>
  </si>
  <si>
    <t>Qt</t>
  </si>
  <si>
    <t>Year</t>
  </si>
  <si>
    <t>NPV</t>
  </si>
  <si>
    <t>Put value</t>
  </si>
  <si>
    <t xml:space="preserve">Put based </t>
  </si>
  <si>
    <t>Reser price</t>
  </si>
  <si>
    <t>Premium</t>
  </si>
  <si>
    <t>option</t>
  </si>
  <si>
    <t xml:space="preserve">Stumpage </t>
  </si>
  <si>
    <t>value</t>
  </si>
  <si>
    <t>V^(s)</t>
  </si>
  <si>
    <t xml:space="preserve">Premium </t>
  </si>
  <si>
    <t>discounted back to year 0</t>
  </si>
  <si>
    <t>LEV with insurance premium</t>
  </si>
  <si>
    <t xml:space="preserve">no. of STD above the target price </t>
  </si>
  <si>
    <t xml:space="preserve">Res. Price as </t>
  </si>
  <si>
    <t>C=</t>
  </si>
  <si>
    <t>LEV with put optiion at age 15 and insurance</t>
  </si>
  <si>
    <t>LEV1</t>
  </si>
  <si>
    <t xml:space="preserve">LEV w/o insurance </t>
  </si>
  <si>
    <t>LEV1 w/o insurance premium</t>
  </si>
  <si>
    <t xml:space="preserve">insurance premium </t>
  </si>
  <si>
    <t>down side risk</t>
  </si>
  <si>
    <t xml:space="preserve">Put value </t>
  </si>
  <si>
    <t>FV with option at 4%</t>
  </si>
  <si>
    <t>FV with option and insurance at 5%</t>
  </si>
  <si>
    <t>STD=</t>
  </si>
  <si>
    <t xml:space="preserve">Brazee and Mendelsohn </t>
  </si>
  <si>
    <t>Downsdie Risk</t>
  </si>
  <si>
    <t>Reservaton Price</t>
  </si>
  <si>
    <t>Reservation price</t>
  </si>
  <si>
    <t>downside Risk</t>
  </si>
  <si>
    <t>Ave. price =</t>
  </si>
  <si>
    <t xml:space="preserve">Put option based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</si>
</sst>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Sheet_70max!$A$5:$A$60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Sheet_70max!$C$5:$C$60</c:f>
              <c:numCache>
                <c:formatCode>General</c:formatCode>
                <c:ptCount val="56"/>
                <c:pt idx="0">
                  <c:v>0</c:v>
                </c:pt>
                <c:pt idx="1">
                  <c:v>734.87066639985255</c:v>
                </c:pt>
                <c:pt idx="2">
                  <c:v>631.73731521283844</c:v>
                </c:pt>
                <c:pt idx="3">
                  <c:v>554.86469163483605</c:v>
                </c:pt>
                <c:pt idx="4">
                  <c:v>496.23052203809846</c:v>
                </c:pt>
                <c:pt idx="5">
                  <c:v>450.65342624735376</c:v>
                </c:pt>
                <c:pt idx="6">
                  <c:v>414.6734136954974</c:v>
                </c:pt>
                <c:pt idx="7">
                  <c:v>385.90873942585893</c:v>
                </c:pt>
                <c:pt idx="8">
                  <c:v>362.67062403345562</c:v>
                </c:pt>
                <c:pt idx="9">
                  <c:v>343.72661461943778</c:v>
                </c:pt>
                <c:pt idx="10">
                  <c:v>328.15437288602476</c:v>
                </c:pt>
                <c:pt idx="11">
                  <c:v>315.25063769756304</c:v>
                </c:pt>
                <c:pt idx="12">
                  <c:v>304.47272931881793</c:v>
                </c:pt>
                <c:pt idx="13">
                  <c:v>295.39885931545064</c:v>
                </c:pt>
                <c:pt idx="14">
                  <c:v>287.69963736434806</c:v>
                </c:pt>
                <c:pt idx="15">
                  <c:v>281.11678324856388</c:v>
                </c:pt>
                <c:pt idx="16">
                  <c:v>275.44689633783042</c:v>
                </c:pt>
                <c:pt idx="17">
                  <c:v>270.52899552812431</c:v>
                </c:pt>
                <c:pt idx="18">
                  <c:v>266.23494867864338</c:v>
                </c:pt>
                <c:pt idx="19">
                  <c:v>262.46213074017379</c:v>
                </c:pt>
                <c:pt idx="20">
                  <c:v>259.12779601004377</c:v>
                </c:pt>
                <c:pt idx="21">
                  <c:v>256.16476189174142</c:v>
                </c:pt>
                <c:pt idx="22">
                  <c:v>253.518091580098</c:v>
                </c:pt>
                <c:pt idx="23">
                  <c:v>251.14253544007647</c:v>
                </c:pt>
                <c:pt idx="24">
                  <c:v>249.00054797900469</c:v>
                </c:pt>
                <c:pt idx="25">
                  <c:v>247.06074159317208</c:v>
                </c:pt>
                <c:pt idx="26">
                  <c:v>245.29667206032713</c:v>
                </c:pt>
                <c:pt idx="27">
                  <c:v>243.68587622901126</c:v>
                </c:pt>
                <c:pt idx="28">
                  <c:v>242.20910139062016</c:v>
                </c:pt>
                <c:pt idx="29">
                  <c:v>240.84967992281824</c:v>
                </c:pt>
                <c:pt idx="30">
                  <c:v>239.59301313869361</c:v>
                </c:pt>
                <c:pt idx="31">
                  <c:v>238.42613574709955</c:v>
                </c:pt>
                <c:pt idx="32">
                  <c:v>237.33733756493757</c:v>
                </c:pt>
                <c:pt idx="33">
                  <c:v>236.31582256001906</c:v>
                </c:pt>
                <c:pt idx="34">
                  <c:v>235.35138721175483</c:v>
                </c:pt>
                <c:pt idx="35">
                  <c:v>234.43410066937309</c:v>
                </c:pt>
                <c:pt idx="36">
                  <c:v>233.55396821671636</c:v>
                </c:pt>
                <c:pt idx="37">
                  <c:v>232.70055688104284</c:v>
                </c:pt>
                <c:pt idx="38">
                  <c:v>231.86255715071113</c:v>
                </c:pt>
                <c:pt idx="39">
                  <c:v>231.02724679323202</c:v>
                </c:pt>
                <c:pt idx="40">
                  <c:v>230.17981013516527</c:v>
                </c:pt>
                <c:pt idx="41">
                  <c:v>229.30244618925744</c:v>
                </c:pt>
                <c:pt idx="42">
                  <c:v>228.37316695921831</c:v>
                </c:pt>
                <c:pt idx="43">
                  <c:v>227.36413455288738</c:v>
                </c:pt>
                <c:pt idx="44">
                  <c:v>226.23929633141194</c:v>
                </c:pt>
                <c:pt idx="45">
                  <c:v>224.95091981964407</c:v>
                </c:pt>
                <c:pt idx="46">
                  <c:v>223.43433902431445</c:v>
                </c:pt>
                <c:pt idx="47">
                  <c:v>221.59966081743443</c:v>
                </c:pt>
                <c:pt idx="48">
                  <c:v>219.3180167587318</c:v>
                </c:pt>
                <c:pt idx="49">
                  <c:v>216.39735112485502</c:v>
                </c:pt>
                <c:pt idx="50">
                  <c:v>212.53636632155408</c:v>
                </c:pt>
                <c:pt idx="51">
                  <c:v>207.22753050791439</c:v>
                </c:pt>
                <c:pt idx="52">
                  <c:v>199.52156607032893</c:v>
                </c:pt>
                <c:pt idx="53">
                  <c:v>187.31638321999151</c:v>
                </c:pt>
                <c:pt idx="54">
                  <c:v>164.34593584671683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7-4324-8E2F-CF9F3752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Sheet_35!$A$5:$A$25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Sheet_35!$C$5:$C$25</c:f>
              <c:numCache>
                <c:formatCode>General</c:formatCode>
                <c:ptCount val="21"/>
                <c:pt idx="0">
                  <c:v>773.9387381633245</c:v>
                </c:pt>
                <c:pt idx="1">
                  <c:v>648.67960123916532</c:v>
                </c:pt>
                <c:pt idx="2">
                  <c:v>557.88397586090719</c:v>
                </c:pt>
                <c:pt idx="3">
                  <c:v>490.20063493084871</c:v>
                </c:pt>
                <c:pt idx="4">
                  <c:v>438.57233080647643</c:v>
                </c:pt>
                <c:pt idx="5">
                  <c:v>398.43702660020227</c:v>
                </c:pt>
                <c:pt idx="6">
                  <c:v>366.73449416379503</c:v>
                </c:pt>
                <c:pt idx="7">
                  <c:v>341.32943925845819</c:v>
                </c:pt>
                <c:pt idx="8">
                  <c:v>320.67098015663009</c:v>
                </c:pt>
                <c:pt idx="9">
                  <c:v>303.59367400715502</c:v>
                </c:pt>
                <c:pt idx="10">
                  <c:v>289.1986665670089</c:v>
                </c:pt>
                <c:pt idx="11">
                  <c:v>276.775712930422</c:v>
                </c:pt>
                <c:pt idx="12">
                  <c:v>265.74443576454189</c:v>
                </c:pt>
                <c:pt idx="13">
                  <c:v>255.60325270089581</c:v>
                </c:pt>
                <c:pt idx="14">
                  <c:v>245.87697356943039</c:v>
                </c:pt>
                <c:pt idx="15">
                  <c:v>236.04959057014727</c:v>
                </c:pt>
                <c:pt idx="16">
                  <c:v>225.45170746690522</c:v>
                </c:pt>
                <c:pt idx="17">
                  <c:v>213.01379999601897</c:v>
                </c:pt>
                <c:pt idx="18">
                  <c:v>196.54666272045188</c:v>
                </c:pt>
                <c:pt idx="19">
                  <c:v>169.94479842750499</c:v>
                </c:pt>
                <c:pt idx="20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4E16-847D-3FBE74C9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Sheet_35!$K$4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Sheet_35!$A$5:$A$23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cat>
          <c:val>
            <c:numRef>
              <c:f>Sheet_35!$K$5:$K$23</c:f>
              <c:numCache>
                <c:formatCode>General</c:formatCode>
                <c:ptCount val="19"/>
                <c:pt idx="0">
                  <c:v>4052425.1167278709</c:v>
                </c:pt>
                <c:pt idx="1">
                  <c:v>4234132.0327751609</c:v>
                </c:pt>
                <c:pt idx="2">
                  <c:v>4423254.5486023137</c:v>
                </c:pt>
                <c:pt idx="3">
                  <c:v>4620095.2394862389</c:v>
                </c:pt>
                <c:pt idx="4">
                  <c:v>4824965.8857603287</c:v>
                </c:pt>
                <c:pt idx="5">
                  <c:v>5038149.7504819855</c:v>
                </c:pt>
                <c:pt idx="6">
                  <c:v>5259731.3961872123</c:v>
                </c:pt>
                <c:pt idx="7">
                  <c:v>5489252.5347536812</c:v>
                </c:pt>
                <c:pt idx="8">
                  <c:v>5725357.8588037873</c:v>
                </c:pt>
                <c:pt idx="9">
                  <c:v>5965619.9658372877</c:v>
                </c:pt>
                <c:pt idx="10">
                  <c:v>6206538.4281086866</c:v>
                </c:pt>
                <c:pt idx="11">
                  <c:v>6443562.2719897032</c:v>
                </c:pt>
                <c:pt idx="12">
                  <c:v>6670969.9018173777</c:v>
                </c:pt>
                <c:pt idx="13">
                  <c:v>6881455.4388659447</c:v>
                </c:pt>
                <c:pt idx="14">
                  <c:v>7065210.5278459722</c:v>
                </c:pt>
                <c:pt idx="15">
                  <c:v>7208046.8585124286</c:v>
                </c:pt>
                <c:pt idx="16">
                  <c:v>7287377.978312037</c:v>
                </c:pt>
                <c:pt idx="17">
                  <c:v>7262480.1892497251</c:v>
                </c:pt>
                <c:pt idx="18">
                  <c:v>7045287.9074727213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90A-B1D4-2E76C834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Sheet_70max!$M$4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Sheet_70max!$A$5:$A$58</c:f>
              <c:numCache>
                <c:formatCode>General</c:formatCode>
                <c:ptCount val="5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</c:numCache>
            </c:numRef>
          </c:cat>
          <c:val>
            <c:numRef>
              <c:f>Sheet_70max!$M$5:$M$58</c:f>
              <c:numCache>
                <c:formatCode>General</c:formatCode>
                <c:ptCount val="54"/>
                <c:pt idx="0">
                  <c:v>0</c:v>
                </c:pt>
                <c:pt idx="1">
                  <c:v>4796727.725993705</c:v>
                </c:pt>
                <c:pt idx="2">
                  <c:v>5008810.2077584872</c:v>
                </c:pt>
                <c:pt idx="3">
                  <c:v>5229547.9395752633</c:v>
                </c:pt>
                <c:pt idx="4">
                  <c:v>5459294.1052712379</c:v>
                </c:pt>
                <c:pt idx="5">
                  <c:v>5698414.7943664147</c:v>
                </c:pt>
                <c:pt idx="6">
                  <c:v>5947274.6847865414</c:v>
                </c:pt>
                <c:pt idx="7">
                  <c:v>6206175.8595424201</c:v>
                </c:pt>
                <c:pt idx="8">
                  <c:v>6475232.3595137997</c:v>
                </c:pt>
                <c:pt idx="9">
                  <c:v>6754232.813543574</c:v>
                </c:pt>
                <c:pt idx="10">
                  <c:v>7042573.0168334115</c:v>
                </c:pt>
                <c:pt idx="11">
                  <c:v>7339289.6138952952</c:v>
                </c:pt>
                <c:pt idx="12">
                  <c:v>7643164.4085660893</c:v>
                </c:pt>
                <c:pt idx="13">
                  <c:v>7952849.0564626511</c:v>
                </c:pt>
                <c:pt idx="14">
                  <c:v>8266973.8335219957</c:v>
                </c:pt>
                <c:pt idx="15">
                  <c:v>8584225.6344340928</c:v>
                </c:pt>
                <c:pt idx="16">
                  <c:v>8903395.184360534</c:v>
                </c:pt>
                <c:pt idx="17">
                  <c:v>9223399.9425264876</c:v>
                </c:pt>
                <c:pt idx="18">
                  <c:v>9543290.323581202</c:v>
                </c:pt>
                <c:pt idx="19">
                  <c:v>9862245.6563108806</c:v>
                </c:pt>
                <c:pt idx="20">
                  <c:v>10179564.512788119</c:v>
                </c:pt>
                <c:pt idx="21">
                  <c:v>10494652.441952946</c:v>
                </c:pt>
                <c:pt idx="22">
                  <c:v>10807008.944412537</c:v>
                </c:pt>
                <c:pt idx="23">
                  <c:v>11116214.710183997</c:v>
                </c:pt>
                <c:pt idx="24">
                  <c:v>11421919.618688596</c:v>
                </c:pt>
                <c:pt idx="25">
                  <c:v>11723831.679313516</c:v>
                </c:pt>
                <c:pt idx="26">
                  <c:v>12021706.899246437</c:v>
                </c:pt>
                <c:pt idx="27">
                  <c:v>12315339.951978007</c:v>
                </c:pt>
                <c:pt idx="28">
                  <c:v>12604555.450479383</c:v>
                </c:pt>
                <c:pt idx="29">
                  <c:v>12889199.580846414</c:v>
                </c:pt>
                <c:pt idx="30">
                  <c:v>13169131.809776206</c:v>
                </c:pt>
                <c:pt idx="31">
                  <c:v>13444216.331387119</c:v>
                </c:pt>
                <c:pt idx="32">
                  <c:v>13714312.856166318</c:v>
                </c:pt>
                <c:pt idx="33">
                  <c:v>13979266.257644398</c:v>
                </c:pt>
                <c:pt idx="34">
                  <c:v>14238894.469210556</c:v>
                </c:pt>
                <c:pt idx="35">
                  <c:v>14492973.84868489</c:v>
                </c:pt>
                <c:pt idx="36">
                  <c:v>14741220.979261521</c:v>
                </c:pt>
                <c:pt idx="37">
                  <c:v>14983269.518142598</c:v>
                </c:pt>
                <c:pt idx="38">
                  <c:v>15218640.185606765</c:v>
                </c:pt>
                <c:pt idx="39">
                  <c:v>15446701.222781489</c:v>
                </c:pt>
                <c:pt idx="40">
                  <c:v>15666615.497252656</c:v>
                </c:pt>
                <c:pt idx="41">
                  <c:v>15877268.667754235</c:v>
                </c:pt>
                <c:pt idx="42">
                  <c:v>16077170.025320467</c:v>
                </c:pt>
                <c:pt idx="43">
                  <c:v>16264313.07567006</c:v>
                </c:pt>
                <c:pt idx="44">
                  <c:v>16435975.246606009</c:v>
                </c:pt>
                <c:pt idx="45">
                  <c:v>16588422.622167824</c:v>
                </c:pt>
                <c:pt idx="46">
                  <c:v>16716460.840732461</c:v>
                </c:pt>
                <c:pt idx="47">
                  <c:v>16812725.330818761</c:v>
                </c:pt>
                <c:pt idx="48">
                  <c:v>16866505.127609655</c:v>
                </c:pt>
                <c:pt idx="49">
                  <c:v>16861674.20889847</c:v>
                </c:pt>
                <c:pt idx="50">
                  <c:v>16772764.287839821</c:v>
                </c:pt>
                <c:pt idx="51">
                  <c:v>16556713.37102141</c:v>
                </c:pt>
                <c:pt idx="52">
                  <c:v>16132881.755809873</c:v>
                </c:pt>
                <c:pt idx="53">
                  <c:v>15322883.148304088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0-457D-B8E9-5B43FE73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Sheet1!$A$6:$A$70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Sheet1!$C$6:$C$70</c:f>
              <c:numCache>
                <c:formatCode>General</c:formatCode>
                <c:ptCount val="65"/>
                <c:pt idx="0">
                  <c:v>734.94659905878916</c:v>
                </c:pt>
                <c:pt idx="1">
                  <c:v>631.80237857429643</c:v>
                </c:pt>
                <c:pt idx="2">
                  <c:v>554.92165941068379</c:v>
                </c:pt>
                <c:pt idx="3">
                  <c:v>496.28131753637842</c:v>
                </c:pt>
                <c:pt idx="4">
                  <c:v>450.69942463982318</c:v>
                </c:pt>
                <c:pt idx="5">
                  <c:v>414.7156275263967</c:v>
                </c:pt>
                <c:pt idx="6">
                  <c:v>385.94794166178929</c:v>
                </c:pt>
                <c:pt idx="7">
                  <c:v>362.70743553905612</c:v>
                </c:pt>
                <c:pt idx="8">
                  <c:v>343.76156547941218</c:v>
                </c:pt>
                <c:pt idx="9">
                  <c:v>328.18794161443094</c:v>
                </c:pt>
                <c:pt idx="10">
                  <c:v>315.28327402876511</c:v>
                </c:pt>
                <c:pt idx="11">
                  <c:v>304.5048674723875</c:v>
                </c:pt>
                <c:pt idx="12">
                  <c:v>295.4309273430095</c:v>
                </c:pt>
                <c:pt idx="13">
                  <c:v>287.73206594926398</c:v>
                </c:pt>
                <c:pt idx="14">
                  <c:v>281.15001555361255</c:v>
                </c:pt>
                <c:pt idx="15">
                  <c:v>275.48139954148581</c:v>
                </c:pt>
                <c:pt idx="16">
                  <c:v>270.56527435522321</c:v>
                </c:pt>
                <c:pt idx="17">
                  <c:v>266.27356123367997</c:v>
                </c:pt>
                <c:pt idx="18">
                  <c:v>262.50370710333118</c:v>
                </c:pt>
                <c:pt idx="19">
                  <c:v>259.1730602682722</c:v>
                </c:pt>
                <c:pt idx="20">
                  <c:v>256.21455852251472</c:v>
                </c:pt>
                <c:pt idx="21">
                  <c:v>253.57341738750523</c:v>
                </c:pt>
                <c:pt idx="22">
                  <c:v>251.20457857916941</c:v>
                </c:pt>
                <c:pt idx="23">
                  <c:v>249.07073601943151</c:v>
                </c:pt>
                <c:pt idx="24">
                  <c:v>247.14080109739848</c:v>
                </c:pt>
                <c:pt idx="25">
                  <c:v>245.38870282252196</c:v>
                </c:pt>
                <c:pt idx="26">
                  <c:v>243.792444185194</c:v>
                </c:pt>
                <c:pt idx="27">
                  <c:v>242.33335533018482</c:v>
                </c:pt>
                <c:pt idx="28">
                  <c:v>240.99549858688695</c:v>
                </c:pt>
                <c:pt idx="29">
                  <c:v>239.76519119004124</c:v>
                </c:pt>
                <c:pt idx="30">
                  <c:v>238.63061958589529</c:v>
                </c:pt>
                <c:pt idx="31">
                  <c:v>237.58152524438674</c:v>
                </c:pt>
                <c:pt idx="32">
                  <c:v>236.60894640321121</c:v>
                </c:pt>
                <c:pt idx="33">
                  <c:v>235.70500353434994</c:v>
                </c:pt>
                <c:pt idx="34">
                  <c:v>234.86271882578464</c:v>
                </c:pt>
                <c:pt idx="35">
                  <c:v>234.07586181194543</c:v>
                </c:pt>
                <c:pt idx="36">
                  <c:v>233.3388146093082</c:v>
                </c:pt>
                <c:pt idx="37">
                  <c:v>232.6464511174633</c:v>
                </c:pt>
                <c:pt idx="38">
                  <c:v>231.99402509431414</c:v>
                </c:pt>
                <c:pt idx="39">
                  <c:v>231.37706224048841</c:v>
                </c:pt>
                <c:pt idx="40">
                  <c:v>230.79125133852534</c:v>
                </c:pt>
                <c:pt idx="41">
                  <c:v>230.23232906456349</c:v>
                </c:pt>
                <c:pt idx="42">
                  <c:v>229.69595226858993</c:v>
                </c:pt>
                <c:pt idx="43">
                  <c:v>229.17755020568097</c:v>
                </c:pt>
                <c:pt idx="44">
                  <c:v>228.67214723693067</c:v>
                </c:pt>
                <c:pt idx="45">
                  <c:v>228.174143657733</c:v>
                </c:pt>
                <c:pt idx="46">
                  <c:v>227.67703816672721</c:v>
                </c:pt>
                <c:pt idx="47">
                  <c:v>227.17306945188912</c:v>
                </c:pt>
                <c:pt idx="48">
                  <c:v>226.65274546080019</c:v>
                </c:pt>
                <c:pt idx="49">
                  <c:v>226.10421552619627</c:v>
                </c:pt>
                <c:pt idx="50">
                  <c:v>225.51241990471445</c:v>
                </c:pt>
                <c:pt idx="51">
                  <c:v>224.85791869515234</c:v>
                </c:pt>
                <c:pt idx="52">
                  <c:v>224.11524894738511</c:v>
                </c:pt>
                <c:pt idx="53">
                  <c:v>223.2505689805362</c:v>
                </c:pt>
                <c:pt idx="54">
                  <c:v>222.21819108573979</c:v>
                </c:pt>
                <c:pt idx="55">
                  <c:v>220.95531338710086</c:v>
                </c:pt>
                <c:pt idx="56">
                  <c:v>219.37369827849321</c:v>
                </c:pt>
                <c:pt idx="57">
                  <c:v>217.3458810408965</c:v>
                </c:pt>
                <c:pt idx="58">
                  <c:v>214.68089673995428</c:v>
                </c:pt>
                <c:pt idx="59">
                  <c:v>211.07814235813075</c:v>
                </c:pt>
                <c:pt idx="60">
                  <c:v>206.03027259391047</c:v>
                </c:pt>
                <c:pt idx="61">
                  <c:v>198.58754235739622</c:v>
                </c:pt>
                <c:pt idx="62">
                  <c:v>186.64659322742239</c:v>
                </c:pt>
                <c:pt idx="63">
                  <c:v>163.92213809141143</c:v>
                </c:pt>
                <c:pt idx="6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Sheet1!$M$9:$M$68</c:f>
              <c:numCache>
                <c:formatCode>General</c:formatCode>
                <c:ptCount val="60"/>
                <c:pt idx="0">
                  <c:v>5459852.9333803905</c:v>
                </c:pt>
                <c:pt idx="1">
                  <c:v>5698996.4340586886</c:v>
                </c:pt>
                <c:pt idx="2">
                  <c:v>5947880.118459315</c:v>
                </c:pt>
                <c:pt idx="3">
                  <c:v>6206806.3090384156</c:v>
                </c:pt>
                <c:pt idx="4">
                  <c:v>6475889.6034052847</c:v>
                </c:pt>
                <c:pt idx="5">
                  <c:v>6754919.5984338326</c:v>
                </c:pt>
                <c:pt idx="6">
                  <c:v>7043293.4406351838</c:v>
                </c:pt>
                <c:pt idx="7">
                  <c:v>7340049.414060575</c:v>
                </c:pt>
                <c:pt idx="8">
                  <c:v>7643971.171102982</c:v>
                </c:pt>
                <c:pt idx="9">
                  <c:v>7953712.4050324634</c:v>
                </c:pt>
                <c:pt idx="10">
                  <c:v>8267905.660428049</c:v>
                </c:pt>
                <c:pt idx="11">
                  <c:v>8585240.4212482888</c:v>
                </c:pt>
                <c:pt idx="12">
                  <c:v>8904510.4470894113</c:v>
                </c:pt>
                <c:pt idx="13">
                  <c:v>9224636.8307614289</c:v>
                </c:pt>
                <c:pt idx="14">
                  <c:v>9544674.4049149211</c:v>
                </c:pt>
                <c:pt idx="15">
                  <c:v>9863807.924763849</c:v>
                </c:pt>
                <c:pt idx="16">
                  <c:v>10181342.671842666</c:v>
                </c:pt>
                <c:pt idx="17">
                  <c:v>10496692.528688088</c:v>
                </c:pt>
                <c:pt idx="18">
                  <c:v>10809367.381602483</c:v>
                </c:pt>
                <c:pt idx="19">
                  <c:v>11118960.899133002</c:v>
                </c:pt>
                <c:pt idx="20">
                  <c:v>11425139.218655163</c:v>
                </c:pt>
                <c:pt idx="21">
                  <c:v>11727630.761862313</c:v>
                </c:pt>
                <c:pt idx="22">
                  <c:v>12026217.220725844</c:v>
                </c:pt>
                <c:pt idx="23">
                  <c:v>12320725.658481345</c:v>
                </c:pt>
                <c:pt idx="24">
                  <c:v>12611021.62232095</c:v>
                </c:pt>
                <c:pt idx="25">
                  <c:v>12897003.144730726</c:v>
                </c:pt>
                <c:pt idx="26">
                  <c:v>13178595.505829958</c:v>
                </c:pt>
                <c:pt idx="27">
                  <c:v>13455746.631773142</c:v>
                </c:pt>
                <c:pt idx="28">
                  <c:v>13728423.009528391</c:v>
                </c:pt>
                <c:pt idx="29">
                  <c:v>13996606.003269795</c:v>
                </c:pt>
                <c:pt idx="30">
                  <c:v>14260288.460381264</c:v>
                </c:pt>
                <c:pt idx="31">
                  <c:v>14519471.49435251</c:v>
                </c:pt>
                <c:pt idx="32">
                  <c:v>14774161.326512629</c:v>
                </c:pt>
                <c:pt idx="33">
                  <c:v>15024366.057372309</c:v>
                </c:pt>
                <c:pt idx="34">
                  <c:v>15270092.219821651</c:v>
                </c:pt>
                <c:pt idx="35">
                  <c:v>15511340.938541289</c:v>
                </c:pt>
                <c:pt idx="36">
                  <c:v>15748103.479957828</c:v>
                </c:pt>
                <c:pt idx="37">
                  <c:v>15980355.92103784</c:v>
                </c:pt>
                <c:pt idx="38">
                  <c:v>16208052.587708389</c:v>
                </c:pt>
                <c:pt idx="39">
                  <c:v>16431117.80693588</c:v>
                </c:pt>
                <c:pt idx="40">
                  <c:v>16649435.3692674</c:v>
                </c:pt>
                <c:pt idx="41">
                  <c:v>16862834.894501008</c:v>
                </c:pt>
                <c:pt idx="42">
                  <c:v>17071074.007595059</c:v>
                </c:pt>
                <c:pt idx="43">
                  <c:v>17273814.827655029</c:v>
                </c:pt>
                <c:pt idx="44">
                  <c:v>17470592.691799738</c:v>
                </c:pt>
                <c:pt idx="45">
                  <c:v>17660774.185296603</c:v>
                </c:pt>
                <c:pt idx="46">
                  <c:v>17843500.277830914</c:v>
                </c:pt>
                <c:pt idx="47">
                  <c:v>18017608.417261828</c:v>
                </c:pt>
                <c:pt idx="48">
                  <c:v>18181524.361570597</c:v>
                </c:pt>
                <c:pt idx="49">
                  <c:v>18333109.535543051</c:v>
                </c:pt>
                <c:pt idx="50">
                  <c:v>18469441.282386132</c:v>
                </c:pt>
                <c:pt idx="51">
                  <c:v>18586488.615885209</c:v>
                </c:pt>
                <c:pt idx="52">
                  <c:v>18678618.962134559</c:v>
                </c:pt>
                <c:pt idx="53">
                  <c:v>18737818.855266433</c:v>
                </c:pt>
                <c:pt idx="54">
                  <c:v>18752403.188034549</c:v>
                </c:pt>
                <c:pt idx="55">
                  <c:v>18704746.245412368</c:v>
                </c:pt>
                <c:pt idx="56">
                  <c:v>18566975.958027583</c:v>
                </c:pt>
                <c:pt idx="57">
                  <c:v>18291928.972177345</c:v>
                </c:pt>
                <c:pt idx="58">
                  <c:v>17791244.910983149</c:v>
                </c:pt>
                <c:pt idx="59">
                  <c:v>16869398.937157746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228-8EE8-3879B479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9486111111111112"/>
          <c:w val="0.822298556430446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'sheet 41'!$O$4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41'!$A$5:$A$29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'sheet 41'!$O$5:$O$29</c:f>
              <c:numCache>
                <c:formatCode>0.00</c:formatCode>
                <c:ptCount val="25"/>
                <c:pt idx="0">
                  <c:v>3603.9055301023263</c:v>
                </c:pt>
                <c:pt idx="1">
                  <c:v>3828.5241758605925</c:v>
                </c:pt>
                <c:pt idx="2">
                  <c:v>4062.3096741273371</c:v>
                </c:pt>
                <c:pt idx="3">
                  <c:v>4305.6353651191703</c:v>
                </c:pt>
                <c:pt idx="4">
                  <c:v>4558.8756335963699</c:v>
                </c:pt>
                <c:pt idx="5">
                  <c:v>4822.3286397419515</c:v>
                </c:pt>
                <c:pt idx="6">
                  <c:v>5096.0273990686883</c:v>
                </c:pt>
                <c:pt idx="7">
                  <c:v>5379.5190742777249</c:v>
                </c:pt>
                <c:pt idx="8">
                  <c:v>5671.7588524084185</c:v>
                </c:pt>
                <c:pt idx="9">
                  <c:v>5971.1623955730975</c:v>
                </c:pt>
                <c:pt idx="10">
                  <c:v>6275.7481326954285</c:v>
                </c:pt>
                <c:pt idx="11">
                  <c:v>6583.281482637507</c:v>
                </c:pt>
                <c:pt idx="12">
                  <c:v>6891.369241374955</c:v>
                </c:pt>
                <c:pt idx="13">
                  <c:v>7197.4880370589317</c:v>
                </c:pt>
                <c:pt idx="14">
                  <c:v>7498.9471519878634</c:v>
                </c:pt>
                <c:pt idx="15">
                  <c:v>7792.7863369126835</c:v>
                </c:pt>
                <c:pt idx="16">
                  <c:v>8075.5995393696521</c:v>
                </c:pt>
                <c:pt idx="17">
                  <c:v>8343.2572613236516</c:v>
                </c:pt>
                <c:pt idx="18">
                  <c:v>8590.4684212429929</c:v>
                </c:pt>
                <c:pt idx="19">
                  <c:v>8810.0609989447057</c:v>
                </c:pt>
                <c:pt idx="20">
                  <c:v>8991.7271887884053</c:v>
                </c:pt>
                <c:pt idx="21">
                  <c:v>9119.6545373350618</c:v>
                </c:pt>
                <c:pt idx="22">
                  <c:v>9167.5674704866015</c:v>
                </c:pt>
                <c:pt idx="23">
                  <c:v>9086.7537497313569</c:v>
                </c:pt>
                <c:pt idx="24">
                  <c:v>8770.1182847045438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682-916F-2CA341BE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 prices determined by Brazee and Mendelsohn </a:t>
            </a:r>
          </a:p>
          <a:p>
            <a:pPr>
              <a:defRPr/>
            </a:pPr>
            <a:r>
              <a:rPr lang="en-US"/>
              <a:t>method and the put</a:t>
            </a:r>
            <a:r>
              <a:rPr lang="en-US" baseline="0"/>
              <a:t> </a:t>
            </a:r>
            <a:r>
              <a:rPr lang="en-US"/>
              <a:t>option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B and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55A-86FE-E0C8D5AD847B}"/>
            </c:ext>
          </c:extLst>
        </c:ser>
        <c:ser>
          <c:idx val="1"/>
          <c:order val="1"/>
          <c:tx>
            <c:v>put option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41'!$E$5:$E$31</c:f>
              <c:numCache>
                <c:formatCode>0.00</c:formatCode>
                <c:ptCount val="27"/>
                <c:pt idx="0">
                  <c:v>726.28465059867563</c:v>
                </c:pt>
                <c:pt idx="1">
                  <c:v>614.9564436197561</c:v>
                </c:pt>
                <c:pt idx="2">
                  <c:v>534.99648000635989</c:v>
                </c:pt>
                <c:pt idx="3">
                  <c:v>475.72581908729711</c:v>
                </c:pt>
                <c:pt idx="4">
                  <c:v>430.59360106112001</c:v>
                </c:pt>
                <c:pt idx="5">
                  <c:v>395.42135193054105</c:v>
                </c:pt>
                <c:pt idx="6">
                  <c:v>367.41824634315594</c:v>
                </c:pt>
                <c:pt idx="7">
                  <c:v>344.69200961270599</c:v>
                </c:pt>
                <c:pt idx="8">
                  <c:v>325.95303441800252</c:v>
                </c:pt>
                <c:pt idx="9">
                  <c:v>310.28050636694189</c:v>
                </c:pt>
                <c:pt idx="10">
                  <c:v>296.95779722786028</c:v>
                </c:pt>
                <c:pt idx="11">
                  <c:v>285.70827659336351</c:v>
                </c:pt>
                <c:pt idx="12">
                  <c:v>276.059670616049</c:v>
                </c:pt>
                <c:pt idx="13">
                  <c:v>267.58119869800782</c:v>
                </c:pt>
                <c:pt idx="14">
                  <c:v>260.02817338437961</c:v>
                </c:pt>
                <c:pt idx="15">
                  <c:v>253.19281649606864</c:v>
                </c:pt>
                <c:pt idx="16">
                  <c:v>246.91045131287007</c:v>
                </c:pt>
                <c:pt idx="17">
                  <c:v>241.04887190035052</c:v>
                </c:pt>
                <c:pt idx="18">
                  <c:v>235.48695653631506</c:v>
                </c:pt>
                <c:pt idx="19">
                  <c:v>230.19040004337651</c:v>
                </c:pt>
                <c:pt idx="20">
                  <c:v>225.04298334804281</c:v>
                </c:pt>
                <c:pt idx="21">
                  <c:v>219.8635998893908</c:v>
                </c:pt>
                <c:pt idx="22">
                  <c:v>214.45300047722657</c:v>
                </c:pt>
                <c:pt idx="23">
                  <c:v>208.58524181745182</c:v>
                </c:pt>
                <c:pt idx="24">
                  <c:v>201.78701933333673</c:v>
                </c:pt>
                <c:pt idx="25">
                  <c:v>192.86136262363792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D-455A-86FE-E0C8D5AD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49231"/>
        <c:axId val="1889654639"/>
      </c:lineChart>
      <c:catAx>
        <c:axId val="18896492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4639"/>
        <c:crosses val="autoZero"/>
        <c:auto val="1"/>
        <c:lblAlgn val="ctr"/>
        <c:lblOffset val="100"/>
        <c:noMultiLvlLbl val="0"/>
      </c:catAx>
      <c:valAx>
        <c:axId val="1889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9114572789367"/>
          <c:y val="4.2461011497681257E-2"/>
          <c:w val="0.14955373474120878"/>
          <c:h val="0.1278417657355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Sheet_40yr_max!$A$5:$A$30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Sheet_40yr_max!$C$5:$C$30</c:f>
              <c:numCache>
                <c:formatCode>General</c:formatCode>
                <c:ptCount val="26"/>
                <c:pt idx="0">
                  <c:v>827.31694386885829</c:v>
                </c:pt>
                <c:pt idx="1">
                  <c:v>693.24625309613816</c:v>
                </c:pt>
                <c:pt idx="2">
                  <c:v>596.07118306083612</c:v>
                </c:pt>
                <c:pt idx="3">
                  <c:v>523.63635980293918</c:v>
                </c:pt>
                <c:pt idx="4">
                  <c:v>468.38565846592178</c:v>
                </c:pt>
                <c:pt idx="5">
                  <c:v>425.43784969398541</c:v>
                </c:pt>
                <c:pt idx="6">
                  <c:v>391.5300248144938</c:v>
                </c:pt>
                <c:pt idx="7">
                  <c:v>364.40746033097247</c:v>
                </c:pt>
                <c:pt idx="8">
                  <c:v>342.45819637813304</c:v>
                </c:pt>
                <c:pt idx="9">
                  <c:v>324.49240390624175</c:v>
                </c:pt>
                <c:pt idx="10">
                  <c:v>309.60938660595525</c:v>
                </c:pt>
                <c:pt idx="11">
                  <c:v>297.11519433035994</c:v>
                </c:pt>
                <c:pt idx="12">
                  <c:v>286.46797289078125</c:v>
                </c:pt>
                <c:pt idx="13">
                  <c:v>277.23858603430301</c:v>
                </c:pt>
                <c:pt idx="14">
                  <c:v>269.08024756940478</c:v>
                </c:pt>
                <c:pt idx="15">
                  <c:v>261.70380744021037</c:v>
                </c:pt>
                <c:pt idx="16">
                  <c:v>254.85633315254799</c:v>
                </c:pt>
                <c:pt idx="17">
                  <c:v>248.30059572778555</c:v>
                </c:pt>
                <c:pt idx="18">
                  <c:v>241.79217366434935</c:v>
                </c:pt>
                <c:pt idx="19">
                  <c:v>235.04848140722322</c:v>
                </c:pt>
                <c:pt idx="20">
                  <c:v>227.69781847871835</c:v>
                </c:pt>
                <c:pt idx="21">
                  <c:v>219.1789550924268</c:v>
                </c:pt>
                <c:pt idx="22">
                  <c:v>208.5033575144671</c:v>
                </c:pt>
                <c:pt idx="23">
                  <c:v>193.54238548148152</c:v>
                </c:pt>
                <c:pt idx="24">
                  <c:v>168.16246520730942</c:v>
                </c:pt>
                <c:pt idx="2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CC-9FE5-670A6233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Sheet_40yr_max!$K$4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Sheet_40yr_max!$A$5:$A$28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Sheet_40yr_max!$K$5:$K$28</c:f>
              <c:numCache>
                <c:formatCode>General</c:formatCode>
                <c:ptCount val="24"/>
                <c:pt idx="0">
                  <c:v>4331919.0492842272</c:v>
                </c:pt>
                <c:pt idx="1">
                  <c:v>4525032.3291012263</c:v>
                </c:pt>
                <c:pt idx="2">
                  <c:v>4726026.7113711871</c:v>
                </c:pt>
                <c:pt idx="3">
                  <c:v>4935223.8262374746</c:v>
                </c:pt>
                <c:pt idx="4">
                  <c:v>5152958.0521455193</c:v>
                </c:pt>
                <c:pt idx="5">
                  <c:v>5379569.2999990303</c:v>
                </c:pt>
                <c:pt idx="6">
                  <c:v>5615350.6060626647</c:v>
                </c:pt>
                <c:pt idx="7">
                  <c:v>5860392.7620502599</c:v>
                </c:pt>
                <c:pt idx="8">
                  <c:v>6114353.4877637597</c:v>
                </c:pt>
                <c:pt idx="9">
                  <c:v>6376280.3024017913</c:v>
                </c:pt>
                <c:pt idx="10">
                  <c:v>6644576.1264524171</c:v>
                </c:pt>
                <c:pt idx="11">
                  <c:v>6917081.8362349337</c:v>
                </c:pt>
                <c:pt idx="12">
                  <c:v>7191191.8663172415</c:v>
                </c:pt>
                <c:pt idx="13">
                  <c:v>7463930.7425471283</c:v>
                </c:pt>
                <c:pt idx="14">
                  <c:v>7731950.5375558352</c:v>
                </c:pt>
                <c:pt idx="15">
                  <c:v>7991427.9983450044</c:v>
                </c:pt>
                <c:pt idx="16">
                  <c:v>8237837.0548462728</c:v>
                </c:pt>
                <c:pt idx="17">
                  <c:v>8465546.1640778631</c:v>
                </c:pt>
                <c:pt idx="18">
                  <c:v>8667130.0019062869</c:v>
                </c:pt>
                <c:pt idx="19">
                  <c:v>8832153.6453412436</c:v>
                </c:pt>
                <c:pt idx="20">
                  <c:v>8944870.7097998559</c:v>
                </c:pt>
                <c:pt idx="21">
                  <c:v>8979404.2681699116</c:v>
                </c:pt>
                <c:pt idx="22">
                  <c:v>8888113.8050337937</c:v>
                </c:pt>
                <c:pt idx="23">
                  <c:v>8566683.8903388083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48E-B131-81400B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4083</xdr:colOff>
      <xdr:row>4</xdr:row>
      <xdr:rowOff>0</xdr:rowOff>
    </xdr:from>
    <xdr:to>
      <xdr:col>26</xdr:col>
      <xdr:colOff>346983</xdr:colOff>
      <xdr:row>17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E296-0AC5-4569-98A0-E81C11DC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20</xdr:row>
      <xdr:rowOff>23812</xdr:rowOff>
    </xdr:from>
    <xdr:to>
      <xdr:col>26</xdr:col>
      <xdr:colOff>314325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3100C-4590-476A-83AF-FE16D553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4083</xdr:colOff>
      <xdr:row>5</xdr:row>
      <xdr:rowOff>115660</xdr:rowOff>
    </xdr:from>
    <xdr:to>
      <xdr:col>26</xdr:col>
      <xdr:colOff>346983</xdr:colOff>
      <xdr:row>27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30</xdr:row>
      <xdr:rowOff>23812</xdr:rowOff>
    </xdr:from>
    <xdr:to>
      <xdr:col>26</xdr:col>
      <xdr:colOff>314325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381000</xdr:colOff>
      <xdr:row>5</xdr:row>
      <xdr:rowOff>9525</xdr:rowOff>
    </xdr:from>
    <xdr:to>
      <xdr:col>38</xdr:col>
      <xdr:colOff>114300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FACDE-03EC-4B17-8C2E-B08893F6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209550</xdr:colOff>
      <xdr:row>23</xdr:row>
      <xdr:rowOff>52387</xdr:rowOff>
    </xdr:from>
    <xdr:to>
      <xdr:col>37</xdr:col>
      <xdr:colOff>514350</xdr:colOff>
      <xdr:row>37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96E6E-1633-4BA3-8ED1-EADBE778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33</xdr:row>
      <xdr:rowOff>17688</xdr:rowOff>
    </xdr:from>
    <xdr:to>
      <xdr:col>16</xdr:col>
      <xdr:colOff>304800</xdr:colOff>
      <xdr:row>50</xdr:row>
      <xdr:rowOff>131989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28047-3BD8-46E2-BCF6-9D1E57C6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36195</xdr:rowOff>
    </xdr:from>
    <xdr:to>
      <xdr:col>22</xdr:col>
      <xdr:colOff>556259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D5B6-8476-4297-B608-DCFF2A1C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21</xdr:row>
      <xdr:rowOff>153352</xdr:rowOff>
    </xdr:from>
    <xdr:to>
      <xdr:col>22</xdr:col>
      <xdr:colOff>609599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143A-3FBD-4397-BA78-38253153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0</xdr:rowOff>
    </xdr:from>
    <xdr:to>
      <xdr:col>22</xdr:col>
      <xdr:colOff>556259</xdr:colOff>
      <xdr:row>15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B5581-8BB9-424B-9BF4-6EE29351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16</xdr:row>
      <xdr:rowOff>153352</xdr:rowOff>
    </xdr:from>
    <xdr:to>
      <xdr:col>22</xdr:col>
      <xdr:colOff>609599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8CE41-2FF8-4CFE-B73B-F71F8FC2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51AB-8478-4EA5-A516-079F4CF0D21C}">
  <dimension ref="A1:F66"/>
  <sheetViews>
    <sheetView topLeftCell="A40" workbookViewId="0">
      <selection activeCell="A2" sqref="A2:G34"/>
    </sheetView>
  </sheetViews>
  <sheetFormatPr defaultRowHeight="14.6" x14ac:dyDescent="0.4"/>
  <sheetData>
    <row r="1" spans="1:6" x14ac:dyDescent="0.4">
      <c r="A1" t="s">
        <v>10</v>
      </c>
      <c r="B1" t="s">
        <v>9</v>
      </c>
      <c r="C1" t="s">
        <v>2</v>
      </c>
      <c r="D1" t="s">
        <v>20</v>
      </c>
      <c r="E1" t="s">
        <v>22</v>
      </c>
      <c r="F1" t="s">
        <v>16</v>
      </c>
    </row>
    <row r="2" spans="1:6" x14ac:dyDescent="0.4">
      <c r="A2">
        <v>16</v>
      </c>
      <c r="B2">
        <v>6527.3087433098653</v>
      </c>
      <c r="C2">
        <v>734.94659905878916</v>
      </c>
      <c r="D2">
        <v>61.375300000000003</v>
      </c>
      <c r="E2">
        <v>1033.5656670102853</v>
      </c>
      <c r="F2">
        <v>1104.9499620006316</v>
      </c>
    </row>
    <row r="3" spans="1:6" x14ac:dyDescent="0.4">
      <c r="A3">
        <v>17</v>
      </c>
      <c r="B3">
        <v>7928.6280660355969</v>
      </c>
      <c r="C3">
        <v>631.80237857429643</v>
      </c>
      <c r="D3">
        <v>61.420900000000003</v>
      </c>
      <c r="E3">
        <v>881.32312980393931</v>
      </c>
      <c r="F3">
        <v>1255.816698629819</v>
      </c>
    </row>
    <row r="4" spans="1:6" x14ac:dyDescent="0.4">
      <c r="A4">
        <v>18</v>
      </c>
      <c r="B4">
        <v>9424.9066816039176</v>
      </c>
      <c r="C4">
        <v>554.92165941068379</v>
      </c>
      <c r="D4">
        <v>61.462299999999999</v>
      </c>
      <c r="E4">
        <v>768.67015276441589</v>
      </c>
      <c r="F4">
        <v>1395.3790092816466</v>
      </c>
    </row>
    <row r="5" spans="1:6" x14ac:dyDescent="0.4">
      <c r="A5">
        <v>19</v>
      </c>
      <c r="B5">
        <v>11001.528247091775</v>
      </c>
      <c r="C5">
        <v>496.28131753637842</v>
      </c>
      <c r="D5">
        <v>61.499299999999998</v>
      </c>
      <c r="E5">
        <v>683.06822392394929</v>
      </c>
      <c r="F5">
        <v>1522.5232326642395</v>
      </c>
    </row>
    <row r="6" spans="1:6" x14ac:dyDescent="0.4">
      <c r="A6">
        <v>20</v>
      </c>
      <c r="B6">
        <v>12644.783024990649</v>
      </c>
      <c r="C6">
        <v>450.69942463982318</v>
      </c>
      <c r="D6">
        <v>61.531700000000001</v>
      </c>
      <c r="E6">
        <v>616.52264457749106</v>
      </c>
      <c r="F6">
        <v>1636.6963661964292</v>
      </c>
    </row>
    <row r="7" spans="1:6" x14ac:dyDescent="0.4">
      <c r="A7">
        <v>21</v>
      </c>
      <c r="B7">
        <v>14342.06893513009</v>
      </c>
      <c r="C7">
        <v>414.7156275263967</v>
      </c>
      <c r="D7">
        <v>61.5593</v>
      </c>
      <c r="E7">
        <v>563.76078621739111</v>
      </c>
      <c r="F7">
        <v>1737.7772801028029</v>
      </c>
    </row>
    <row r="8" spans="1:6" x14ac:dyDescent="0.4">
      <c r="A8">
        <v>22</v>
      </c>
      <c r="B8">
        <v>16081.978005410669</v>
      </c>
      <c r="C8">
        <v>385.94794166178929</v>
      </c>
      <c r="D8">
        <v>61.581899999999997</v>
      </c>
      <c r="E8">
        <v>521.20136103302798</v>
      </c>
      <c r="F8">
        <v>1825.9666967345638</v>
      </c>
    </row>
    <row r="9" spans="1:6" x14ac:dyDescent="0.4">
      <c r="A9">
        <v>23</v>
      </c>
      <c r="B9">
        <v>17854.306167671504</v>
      </c>
      <c r="C9">
        <v>362.70743553905612</v>
      </c>
      <c r="D9">
        <v>61.599200000000003</v>
      </c>
      <c r="E9">
        <v>486.34762290674655</v>
      </c>
      <c r="F9">
        <v>1901.6967551441876</v>
      </c>
    </row>
    <row r="10" spans="1:6" x14ac:dyDescent="0.4">
      <c r="A10">
        <v>24</v>
      </c>
      <c r="B10">
        <v>19650.014070110999</v>
      </c>
      <c r="C10">
        <v>343.76156547941218</v>
      </c>
      <c r="D10">
        <v>61.6111</v>
      </c>
      <c r="E10">
        <v>457.41998364332801</v>
      </c>
      <c r="F10">
        <v>1965.5587415838625</v>
      </c>
    </row>
    <row r="11" spans="1:6" x14ac:dyDescent="0.4">
      <c r="A11">
        <v>25</v>
      </c>
      <c r="B11">
        <v>21461.158523947059</v>
      </c>
      <c r="C11">
        <v>328.18794161443094</v>
      </c>
      <c r="D11">
        <v>61.617100000000001</v>
      </c>
      <c r="E11">
        <v>433.12145503604751</v>
      </c>
      <c r="F11">
        <v>2018.2466249259512</v>
      </c>
    </row>
    <row r="12" spans="1:6" x14ac:dyDescent="0.4">
      <c r="A12">
        <v>26</v>
      </c>
      <c r="B12">
        <v>23280.808145220224</v>
      </c>
      <c r="C12">
        <v>315.28327402876511</v>
      </c>
      <c r="D12">
        <v>61.616999999999997</v>
      </c>
      <c r="E12">
        <v>412.49193213022659</v>
      </c>
      <c r="F12">
        <v>2060.513804352971</v>
      </c>
    </row>
    <row r="13" spans="1:6" x14ac:dyDescent="0.4">
      <c r="A13">
        <v>27</v>
      </c>
      <c r="B13">
        <v>25102.952325700138</v>
      </c>
      <c r="C13">
        <v>304.5048674723875</v>
      </c>
      <c r="D13">
        <v>61.610599999999998</v>
      </c>
      <c r="E13">
        <v>394.80797501100028</v>
      </c>
      <c r="F13">
        <v>2093.1406044203954</v>
      </c>
    </row>
    <row r="14" spans="1:6" x14ac:dyDescent="0.4">
      <c r="A14">
        <v>28</v>
      </c>
      <c r="B14">
        <v>26922.409500471225</v>
      </c>
      <c r="C14">
        <v>295.4309273430095</v>
      </c>
      <c r="D14">
        <v>61.597499999999997</v>
      </c>
      <c r="E14">
        <v>379.51564068229703</v>
      </c>
      <c r="F14">
        <v>2116.9103388588678</v>
      </c>
    </row>
    <row r="15" spans="1:6" x14ac:dyDescent="0.4">
      <c r="A15">
        <v>29</v>
      </c>
      <c r="B15">
        <v>28734.73845590062</v>
      </c>
      <c r="C15">
        <v>287.73206594926398</v>
      </c>
      <c r="D15">
        <v>61.577399999999997</v>
      </c>
      <c r="E15">
        <v>366.18588715593171</v>
      </c>
      <c r="F15">
        <v>2132.5920993672689</v>
      </c>
    </row>
    <row r="16" spans="1:6" x14ac:dyDescent="0.4">
      <c r="A16">
        <v>30</v>
      </c>
      <c r="B16">
        <v>30536.154886362325</v>
      </c>
      <c r="C16">
        <v>281.15001555361255</v>
      </c>
      <c r="D16">
        <v>61.55</v>
      </c>
      <c r="E16">
        <v>354.48204203109867</v>
      </c>
      <c r="F16">
        <v>2140.9287528495315</v>
      </c>
    </row>
    <row r="17" spans="1:6" x14ac:dyDescent="0.4">
      <c r="A17">
        <v>31</v>
      </c>
      <c r="B17">
        <v>32323.454367192026</v>
      </c>
      <c r="C17">
        <v>275.48139954148581</v>
      </c>
      <c r="D17">
        <v>61.514699999999998</v>
      </c>
      <c r="E17">
        <v>344.1360749936245</v>
      </c>
      <c r="F17">
        <v>2142.628924299353</v>
      </c>
    </row>
    <row r="18" spans="1:6" x14ac:dyDescent="0.4">
      <c r="A18">
        <v>32</v>
      </c>
      <c r="B18">
        <v>34093.942220576573</v>
      </c>
      <c r="C18">
        <v>270.56527435522321</v>
      </c>
      <c r="D18">
        <v>61.471400000000003</v>
      </c>
      <c r="E18">
        <v>334.93443038491728</v>
      </c>
      <c r="F18">
        <v>2138.3619938063848</v>
      </c>
    </row>
    <row r="19" spans="1:6" x14ac:dyDescent="0.4">
      <c r="A19">
        <v>33</v>
      </c>
      <c r="B19">
        <v>35845.370305234981</v>
      </c>
      <c r="C19">
        <v>266.27356123367997</v>
      </c>
      <c r="D19">
        <v>61.419499999999999</v>
      </c>
      <c r="E19">
        <v>326.70295003641763</v>
      </c>
      <c r="F19">
        <v>2128.7553445901949</v>
      </c>
    </row>
    <row r="20" spans="1:6" x14ac:dyDescent="0.4">
      <c r="A20">
        <v>34</v>
      </c>
      <c r="B20">
        <v>37575.880484160509</v>
      </c>
      <c r="C20">
        <v>262.50370710333118</v>
      </c>
      <c r="D20">
        <v>61.358600000000003</v>
      </c>
      <c r="E20">
        <v>319.29990016200964</v>
      </c>
      <c r="F20">
        <v>2114.3932682986365</v>
      </c>
    </row>
    <row r="21" spans="1:6" x14ac:dyDescent="0.4">
      <c r="A21">
        <v>35</v>
      </c>
      <c r="B21">
        <v>39283.954363558747</v>
      </c>
      <c r="C21">
        <v>259.1730602682722</v>
      </c>
      <c r="D21">
        <v>61.2883</v>
      </c>
      <c r="E21">
        <v>312.60858633022787</v>
      </c>
      <c r="F21">
        <v>2095.8170693399188</v>
      </c>
    </row>
    <row r="22" spans="1:6" x14ac:dyDescent="0.4">
      <c r="A22">
        <v>36</v>
      </c>
      <c r="B22">
        <v>40968.368812522793</v>
      </c>
      <c r="C22">
        <v>256.21455852251472</v>
      </c>
      <c r="D22">
        <v>61.207900000000002</v>
      </c>
      <c r="E22">
        <v>306.53152549971753</v>
      </c>
      <c r="F22">
        <v>2073.5260173059946</v>
      </c>
    </row>
    <row r="23" spans="1:6" x14ac:dyDescent="0.4">
      <c r="A23">
        <v>37</v>
      </c>
      <c r="B23">
        <v>42628.156740435646</v>
      </c>
      <c r="C23">
        <v>253.57341738750523</v>
      </c>
      <c r="D23">
        <v>61.116999999999997</v>
      </c>
      <c r="E23">
        <v>300.98791329899007</v>
      </c>
      <c r="F23">
        <v>2047.978880751662</v>
      </c>
    </row>
    <row r="24" spans="1:6" x14ac:dyDescent="0.4">
      <c r="A24">
        <v>38</v>
      </c>
      <c r="B24">
        <v>44262.572609235947</v>
      </c>
      <c r="C24">
        <v>251.20457857916941</v>
      </c>
      <c r="D24">
        <v>61.015099999999997</v>
      </c>
      <c r="E24">
        <v>295.90958304315984</v>
      </c>
      <c r="F24">
        <v>2019.5958412305515</v>
      </c>
    </row>
    <row r="25" spans="1:6" x14ac:dyDescent="0.4">
      <c r="A25">
        <v>39</v>
      </c>
      <c r="B25">
        <v>45871.062177950203</v>
      </c>
      <c r="C25">
        <v>249.07073601943151</v>
      </c>
      <c r="D25">
        <v>60.901400000000002</v>
      </c>
      <c r="E25">
        <v>291.2382452422367</v>
      </c>
      <c r="F25">
        <v>1988.7606373537362</v>
      </c>
    </row>
    <row r="26" spans="1:6" x14ac:dyDescent="0.4">
      <c r="A26">
        <v>40</v>
      </c>
      <c r="B26">
        <v>47453.236008733504</v>
      </c>
      <c r="C26">
        <v>247.14080109739848</v>
      </c>
      <c r="D26">
        <v>60.775399999999998</v>
      </c>
      <c r="E26">
        <v>286.92485466650817</v>
      </c>
      <c r="F26">
        <v>1955.8228278476522</v>
      </c>
    </row>
    <row r="27" spans="1:6" x14ac:dyDescent="0.4">
      <c r="A27">
        <v>41</v>
      </c>
      <c r="B27">
        <v>49008.846301387552</v>
      </c>
      <c r="C27">
        <v>245.38870282252196</v>
      </c>
      <c r="D27">
        <v>60.636299999999999</v>
      </c>
      <c r="E27">
        <v>282.92687039617095</v>
      </c>
      <c r="F27">
        <v>1921.1000926661668</v>
      </c>
    </row>
    <row r="28" spans="1:6" x14ac:dyDescent="0.4">
      <c r="A28">
        <v>42</v>
      </c>
      <c r="B28">
        <v>50537.766663195078</v>
      </c>
      <c r="C28">
        <v>243.792444185194</v>
      </c>
      <c r="D28">
        <v>60.483499999999999</v>
      </c>
      <c r="E28">
        <v>279.20804635300783</v>
      </c>
      <c r="F28">
        <v>1884.8805141682487</v>
      </c>
    </row>
    <row r="29" spans="1:6" x14ac:dyDescent="0.4">
      <c r="A29">
        <v>43</v>
      </c>
      <c r="B29">
        <v>52039.974460544814</v>
      </c>
      <c r="C29">
        <v>242.33335533018482</v>
      </c>
      <c r="D29">
        <v>60.316000000000003</v>
      </c>
      <c r="E29">
        <v>275.73633560590378</v>
      </c>
      <c r="F29">
        <v>1847.4247977998866</v>
      </c>
    </row>
    <row r="30" spans="1:6" x14ac:dyDescent="0.4">
      <c r="A30">
        <v>44</v>
      </c>
      <c r="B30">
        <v>53515.53543677881</v>
      </c>
      <c r="C30">
        <v>240.99549858688695</v>
      </c>
      <c r="D30">
        <v>60.133000000000003</v>
      </c>
      <c r="E30">
        <v>272.484228465353</v>
      </c>
      <c r="F30">
        <v>1808.9684048690156</v>
      </c>
    </row>
    <row r="31" spans="1:6" x14ac:dyDescent="0.4">
      <c r="A31">
        <v>45</v>
      </c>
      <c r="B31">
        <v>54964.590316133166</v>
      </c>
      <c r="C31">
        <v>239.76519119004124</v>
      </c>
      <c r="D31">
        <v>59.938299999999998</v>
      </c>
      <c r="E31">
        <v>269.43540756849876</v>
      </c>
      <c r="F31">
        <v>1769.7235798540473</v>
      </c>
    </row>
    <row r="32" spans="1:6" x14ac:dyDescent="0.4">
      <c r="A32">
        <v>46</v>
      </c>
      <c r="B32">
        <v>56387.343146170453</v>
      </c>
      <c r="C32">
        <v>238.63061958589529</v>
      </c>
      <c r="D32">
        <v>59.892200000000003</v>
      </c>
      <c r="E32">
        <v>266.83088209246273</v>
      </c>
      <c r="F32">
        <v>1729.8812620043236</v>
      </c>
    </row>
    <row r="33" spans="1:6" x14ac:dyDescent="0.4">
      <c r="A33">
        <v>47</v>
      </c>
      <c r="B33">
        <v>57784.051160572082</v>
      </c>
      <c r="C33">
        <v>237.58152524438674</v>
      </c>
      <c r="D33">
        <v>59.893500000000003</v>
      </c>
      <c r="E33">
        <v>264.4728560502827</v>
      </c>
      <c r="F33">
        <v>1689.6128763671463</v>
      </c>
    </row>
    <row r="34" spans="1:6" x14ac:dyDescent="0.4">
      <c r="A34">
        <v>48</v>
      </c>
      <c r="B34">
        <v>59155.01597060421</v>
      </c>
      <c r="C34">
        <v>236.60894640321121</v>
      </c>
      <c r="D34">
        <v>59.893799999999999</v>
      </c>
      <c r="E34">
        <v>262.26506585019337</v>
      </c>
      <c r="F34">
        <v>1649.0720032707409</v>
      </c>
    </row>
    <row r="35" spans="1:6" x14ac:dyDescent="0.4">
      <c r="A35">
        <v>49</v>
      </c>
      <c r="B35">
        <v>60500.575917146678</v>
      </c>
      <c r="C35">
        <v>235.70500353434994</v>
      </c>
      <c r="D35">
        <v>59.883400000000002</v>
      </c>
      <c r="E35">
        <v>260.17923246006825</v>
      </c>
      <c r="F35">
        <v>1608.3959280614054</v>
      </c>
    </row>
    <row r="36" spans="1:6" x14ac:dyDescent="0.4">
      <c r="A36">
        <v>50</v>
      </c>
      <c r="B36">
        <v>61821.09943606118</v>
      </c>
      <c r="C36">
        <v>234.86271882578464</v>
      </c>
      <c r="D36">
        <v>59.856099999999998</v>
      </c>
      <c r="E36">
        <v>258.19507123529479</v>
      </c>
      <c r="F36">
        <v>1567.7070748099673</v>
      </c>
    </row>
    <row r="37" spans="1:6" x14ac:dyDescent="0.4">
      <c r="A37">
        <v>51</v>
      </c>
      <c r="B37">
        <v>63116.979308110233</v>
      </c>
      <c r="C37">
        <v>234.07586181194543</v>
      </c>
      <c r="D37">
        <v>59.81</v>
      </c>
      <c r="E37">
        <v>256.30053008220432</v>
      </c>
      <c r="F37">
        <v>1527.1143289789406</v>
      </c>
    </row>
    <row r="38" spans="1:6" x14ac:dyDescent="0.4">
      <c r="A38">
        <v>52</v>
      </c>
      <c r="B38">
        <v>64388.627680861486</v>
      </c>
      <c r="C38">
        <v>233.3388146093082</v>
      </c>
      <c r="D38">
        <v>59.74</v>
      </c>
      <c r="E38">
        <v>254.48019537953974</v>
      </c>
      <c r="F38">
        <v>1486.7142548398754</v>
      </c>
    </row>
    <row r="39" spans="1:6" x14ac:dyDescent="0.4">
      <c r="A39">
        <v>53</v>
      </c>
      <c r="B39">
        <v>65636.471764238406</v>
      </c>
      <c r="C39">
        <v>232.6464511174633</v>
      </c>
      <c r="D39">
        <v>59.64</v>
      </c>
      <c r="E39">
        <v>252.71865089079228</v>
      </c>
      <c r="F39">
        <v>1446.5922138741935</v>
      </c>
    </row>
    <row r="40" spans="1:6" x14ac:dyDescent="0.4">
      <c r="A40">
        <v>54</v>
      </c>
      <c r="B40">
        <v>66860.950113846062</v>
      </c>
      <c r="C40">
        <v>231.99402509431414</v>
      </c>
      <c r="D40">
        <v>59.52</v>
      </c>
      <c r="E40">
        <v>251.02393575883536</v>
      </c>
      <c r="F40">
        <v>1406.8233905758711</v>
      </c>
    </row>
    <row r="41" spans="1:6" x14ac:dyDescent="0.4">
      <c r="A41">
        <v>55</v>
      </c>
      <c r="B41">
        <v>68062.509427099489</v>
      </c>
      <c r="C41">
        <v>231.37706224048841</v>
      </c>
      <c r="D41">
        <v>59.37</v>
      </c>
      <c r="E41">
        <v>249.37666507003792</v>
      </c>
      <c r="F41">
        <v>1367.473732072692</v>
      </c>
    </row>
    <row r="42" spans="1:6" x14ac:dyDescent="0.4">
      <c r="A42">
        <v>56</v>
      </c>
      <c r="B42">
        <v>69241.601786706393</v>
      </c>
      <c r="C42">
        <v>230.79125133852534</v>
      </c>
      <c r="D42">
        <v>59.18</v>
      </c>
      <c r="E42">
        <v>247.75894378486862</v>
      </c>
      <c r="F42">
        <v>1328.6008078496575</v>
      </c>
    </row>
    <row r="43" spans="1:6" x14ac:dyDescent="0.4">
      <c r="A43">
        <v>57</v>
      </c>
      <c r="B43">
        <v>70398.682294367114</v>
      </c>
      <c r="C43">
        <v>230.23232906456349</v>
      </c>
      <c r="D43">
        <v>58.95</v>
      </c>
      <c r="E43">
        <v>246.16724066797465</v>
      </c>
      <c r="F43">
        <v>1290.2545956347597</v>
      </c>
    </row>
    <row r="44" spans="1:6" x14ac:dyDescent="0.4">
      <c r="A44">
        <v>58</v>
      </c>
      <c r="B44">
        <v>71534.207044809009</v>
      </c>
      <c r="C44">
        <v>229.69595226858993</v>
      </c>
      <c r="D44">
        <v>58.68</v>
      </c>
      <c r="E44">
        <v>244.5983430024117</v>
      </c>
      <c r="F44">
        <v>1252.4781992251098</v>
      </c>
    </row>
    <row r="45" spans="1:6" x14ac:dyDescent="0.4">
      <c r="A45">
        <v>59</v>
      </c>
      <c r="B45">
        <v>72648.631396596043</v>
      </c>
      <c r="C45">
        <v>229.17755020568097</v>
      </c>
      <c r="D45">
        <v>58.37</v>
      </c>
      <c r="E45">
        <v>243.04932191534078</v>
      </c>
      <c r="F45">
        <v>1215.3085037132851</v>
      </c>
    </row>
    <row r="46" spans="1:6" x14ac:dyDescent="0.4">
      <c r="A46">
        <v>60</v>
      </c>
      <c r="B46">
        <v>73742.408501675411</v>
      </c>
      <c r="C46">
        <v>228.67214723693067</v>
      </c>
      <c r="D46">
        <v>58.01</v>
      </c>
      <c r="E46">
        <v>241.50503612995288</v>
      </c>
      <c r="F46">
        <v>1178.7767732371942</v>
      </c>
    </row>
    <row r="47" spans="1:6" x14ac:dyDescent="0.4">
      <c r="A47">
        <v>61</v>
      </c>
      <c r="B47">
        <v>74815.988060426782</v>
      </c>
      <c r="C47">
        <v>228.174143657733</v>
      </c>
      <c r="D47">
        <v>57.59</v>
      </c>
      <c r="E47">
        <v>239.95128692248483</v>
      </c>
      <c r="F47">
        <v>1142.9091960337087</v>
      </c>
    </row>
    <row r="48" spans="1:6" x14ac:dyDescent="0.4">
      <c r="A48">
        <v>62</v>
      </c>
      <c r="B48">
        <v>75869.815273183005</v>
      </c>
      <c r="C48">
        <v>227.67703816672721</v>
      </c>
      <c r="D48">
        <v>57.11</v>
      </c>
      <c r="E48">
        <v>238.38682908678112</v>
      </c>
      <c r="F48">
        <v>1107.7273812363903</v>
      </c>
    </row>
    <row r="49" spans="1:6" x14ac:dyDescent="0.4">
      <c r="A49">
        <v>63</v>
      </c>
      <c r="B49">
        <v>76904.329962842152</v>
      </c>
      <c r="C49">
        <v>227.17306945188912</v>
      </c>
      <c r="D49">
        <v>56.57</v>
      </c>
      <c r="E49">
        <v>236.81051065179491</v>
      </c>
      <c r="F49">
        <v>1073.2488115263504</v>
      </c>
    </row>
    <row r="50" spans="1:6" x14ac:dyDescent="0.4">
      <c r="A50">
        <v>64</v>
      </c>
      <c r="B50">
        <v>77919.965846392312</v>
      </c>
      <c r="C50">
        <v>226.65274546080019</v>
      </c>
      <c r="D50">
        <v>55.95</v>
      </c>
      <c r="E50">
        <v>235.19766916582154</v>
      </c>
      <c r="F50">
        <v>1039.4872554275526</v>
      </c>
    </row>
    <row r="51" spans="1:6" x14ac:dyDescent="0.4">
      <c r="A51">
        <v>65</v>
      </c>
      <c r="B51">
        <v>78917.149935948793</v>
      </c>
      <c r="C51">
        <v>226.10421552619627</v>
      </c>
      <c r="D51">
        <v>55.35</v>
      </c>
      <c r="E51">
        <v>233.66469446874675</v>
      </c>
      <c r="F51">
        <v>1006.4531427357916</v>
      </c>
    </row>
    <row r="52" spans="1:6" x14ac:dyDescent="0.4">
      <c r="A52">
        <v>66</v>
      </c>
      <c r="B52">
        <v>79896.302052342799</v>
      </c>
      <c r="C52">
        <v>225.51241990471445</v>
      </c>
      <c r="D52">
        <v>54.74</v>
      </c>
      <c r="E52">
        <v>232.17268549011709</v>
      </c>
      <c r="F52">
        <v>974.15390628623766</v>
      </c>
    </row>
    <row r="53" spans="1:6" x14ac:dyDescent="0.4">
      <c r="A53">
        <v>67</v>
      </c>
      <c r="B53">
        <v>80857.834436419915</v>
      </c>
      <c r="C53">
        <v>224.85791869515234</v>
      </c>
      <c r="D53">
        <v>54.05</v>
      </c>
      <c r="E53">
        <v>230.63925934018701</v>
      </c>
      <c r="F53">
        <v>942.59429299817771</v>
      </c>
    </row>
    <row r="54" spans="1:6" x14ac:dyDescent="0.4">
      <c r="A54">
        <v>68</v>
      </c>
      <c r="B54">
        <v>81802.15144506772</v>
      </c>
      <c r="C54">
        <v>224.11524894738511</v>
      </c>
      <c r="D54">
        <v>53.26</v>
      </c>
      <c r="E54">
        <v>229.0421142297578</v>
      </c>
      <c r="F54">
        <v>911.77664688788661</v>
      </c>
    </row>
    <row r="55" spans="1:6" x14ac:dyDescent="0.4">
      <c r="A55">
        <v>69</v>
      </c>
      <c r="B55">
        <v>82729.649320608747</v>
      </c>
      <c r="C55">
        <v>223.2505689805362</v>
      </c>
      <c r="D55">
        <v>52.34</v>
      </c>
      <c r="E55">
        <v>227.34882114035165</v>
      </c>
      <c r="F55">
        <v>881.70116651082253</v>
      </c>
    </row>
    <row r="56" spans="1:6" x14ac:dyDescent="0.4">
      <c r="A56">
        <v>70</v>
      </c>
      <c r="B56">
        <v>83640.716023621455</v>
      </c>
      <c r="C56">
        <v>222.21819108573979</v>
      </c>
      <c r="D56">
        <v>51.26</v>
      </c>
      <c r="E56">
        <v>225.52832358328141</v>
      </c>
      <c r="F56">
        <v>852.36613908235063</v>
      </c>
    </row>
    <row r="57" spans="1:6" x14ac:dyDescent="0.4">
      <c r="A57">
        <v>71</v>
      </c>
      <c r="B57">
        <v>84535.731120485449</v>
      </c>
      <c r="C57">
        <v>220.95531338710086</v>
      </c>
      <c r="D57">
        <v>49.99</v>
      </c>
      <c r="E57">
        <v>223.55080554929083</v>
      </c>
      <c r="F57">
        <v>823.76815333076115</v>
      </c>
    </row>
    <row r="58" spans="1:6" x14ac:dyDescent="0.4">
      <c r="A58">
        <v>72</v>
      </c>
      <c r="B58">
        <v>85415.065718037527</v>
      </c>
      <c r="C58">
        <v>219.37369827849321</v>
      </c>
      <c r="D58">
        <v>48.49</v>
      </c>
      <c r="E58">
        <v>221.37681168942797</v>
      </c>
      <c r="F58">
        <v>795.90229295695849</v>
      </c>
    </row>
    <row r="59" spans="1:6" x14ac:dyDescent="0.4">
      <c r="A59">
        <v>73</v>
      </c>
      <c r="B59">
        <v>86279.082438677724</v>
      </c>
      <c r="C59">
        <v>217.3458810408965</v>
      </c>
      <c r="D59">
        <v>46.77</v>
      </c>
      <c r="E59">
        <v>219.02160922060898</v>
      </c>
      <c r="F59">
        <v>768.76231241065761</v>
      </c>
    </row>
    <row r="60" spans="1:6" x14ac:dyDescent="0.4">
      <c r="A60">
        <v>74</v>
      </c>
      <c r="B60">
        <v>87128.135430092167</v>
      </c>
      <c r="C60">
        <v>214.68089673995428</v>
      </c>
      <c r="D60">
        <v>44.77</v>
      </c>
      <c r="E60">
        <v>216.42584994935473</v>
      </c>
      <c r="F60">
        <v>742.34079654222921</v>
      </c>
    </row>
    <row r="61" spans="1:6" x14ac:dyDescent="0.4">
      <c r="A61">
        <v>75</v>
      </c>
      <c r="B61">
        <v>87962.57040449731</v>
      </c>
      <c r="C61">
        <v>211.07814235813075</v>
      </c>
      <c r="D61">
        <v>42.36</v>
      </c>
      <c r="E61">
        <v>213.45914149449098</v>
      </c>
      <c r="F61">
        <v>716.62930555171738</v>
      </c>
    </row>
    <row r="62" spans="1:6" x14ac:dyDescent="0.4">
      <c r="A62">
        <v>76</v>
      </c>
      <c r="B62">
        <v>88782.724702942476</v>
      </c>
      <c r="C62">
        <v>206.03027259391047</v>
      </c>
      <c r="D62">
        <v>39.369999999999997</v>
      </c>
      <c r="E62">
        <v>209.95430155558327</v>
      </c>
      <c r="F62">
        <v>691.61850653070496</v>
      </c>
    </row>
    <row r="63" spans="1:6" x14ac:dyDescent="0.4">
      <c r="A63">
        <v>77</v>
      </c>
      <c r="B63">
        <v>89588.927380773996</v>
      </c>
      <c r="C63">
        <v>198.58754235739622</v>
      </c>
      <c r="D63">
        <v>35.58</v>
      </c>
      <c r="E63">
        <v>205.69855691904013</v>
      </c>
      <c r="F63">
        <v>667.29829277801309</v>
      </c>
    </row>
    <row r="64" spans="1:6" x14ac:dyDescent="0.4">
      <c r="A64">
        <v>78</v>
      </c>
      <c r="B64">
        <v>90381.499310855186</v>
      </c>
      <c r="C64">
        <v>186.64659322742239</v>
      </c>
      <c r="D64">
        <v>30.51</v>
      </c>
      <c r="E64">
        <v>200.22171130431761</v>
      </c>
      <c r="F64">
        <v>643.65789196558671</v>
      </c>
    </row>
    <row r="65" spans="1:6" x14ac:dyDescent="0.4">
      <c r="A65">
        <v>79</v>
      </c>
      <c r="B65">
        <v>91160.753301568489</v>
      </c>
      <c r="C65">
        <v>163.92213809141143</v>
      </c>
      <c r="D65">
        <v>22.92</v>
      </c>
      <c r="E65">
        <v>192.3026513480296</v>
      </c>
      <c r="F65">
        <v>620.68596413558157</v>
      </c>
    </row>
    <row r="66" spans="1:6" x14ac:dyDescent="0.4">
      <c r="A66">
        <v>80</v>
      </c>
      <c r="B66">
        <v>91926.994227002258</v>
      </c>
      <c r="C66">
        <v>169.19</v>
      </c>
      <c r="D66">
        <v>0</v>
      </c>
      <c r="E66">
        <v>169.19</v>
      </c>
      <c r="F66">
        <v>598.37069042281018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C9A-6FCF-47C5-83BB-16065D214D19}">
  <dimension ref="A1:E28"/>
  <sheetViews>
    <sheetView workbookViewId="0">
      <selection activeCell="C2" sqref="C2"/>
    </sheetView>
  </sheetViews>
  <sheetFormatPr defaultRowHeight="14.6" x14ac:dyDescent="0.4"/>
  <sheetData>
    <row r="1" spans="1:5" x14ac:dyDescent="0.4">
      <c r="A1" t="s">
        <v>10</v>
      </c>
      <c r="B1" t="s">
        <v>9</v>
      </c>
      <c r="C1" t="s">
        <v>2</v>
      </c>
      <c r="D1" t="s">
        <v>40</v>
      </c>
      <c r="E1" t="s">
        <v>22</v>
      </c>
    </row>
    <row r="2" spans="1:5" x14ac:dyDescent="0.4">
      <c r="A2">
        <v>15</v>
      </c>
      <c r="B2">
        <v>5236.1058012742687</v>
      </c>
      <c r="C2">
        <v>688.27973820263014</v>
      </c>
      <c r="D2">
        <v>2917.0065318585871</v>
      </c>
      <c r="E2">
        <v>726.28465059867563</v>
      </c>
    </row>
    <row r="3" spans="1:5" x14ac:dyDescent="0.4">
      <c r="A3">
        <v>16</v>
      </c>
      <c r="B3">
        <v>6527.3087433098653</v>
      </c>
      <c r="C3">
        <v>586.53946464300782</v>
      </c>
      <c r="D3">
        <v>2909.6552049133788</v>
      </c>
      <c r="E3">
        <v>614.9564436197561</v>
      </c>
    </row>
    <row r="4" spans="1:5" x14ac:dyDescent="0.4">
      <c r="A4">
        <v>17</v>
      </c>
      <c r="B4">
        <v>7928.6280660355969</v>
      </c>
      <c r="C4">
        <v>512.3597222991616</v>
      </c>
      <c r="D4">
        <v>2900.3435241161151</v>
      </c>
      <c r="E4">
        <v>534.99648000635989</v>
      </c>
    </row>
    <row r="5" spans="1:5" x14ac:dyDescent="0.4">
      <c r="A5">
        <v>18</v>
      </c>
      <c r="B5">
        <v>9424.9066816039176</v>
      </c>
      <c r="C5">
        <v>456.83586167735336</v>
      </c>
      <c r="D5">
        <v>2889.0714894667963</v>
      </c>
      <c r="E5">
        <v>475.72581908729711</v>
      </c>
    </row>
    <row r="6" spans="1:5" x14ac:dyDescent="0.4">
      <c r="A6">
        <v>19</v>
      </c>
      <c r="B6">
        <v>11001.528247091775</v>
      </c>
      <c r="C6">
        <v>414.38566817310101</v>
      </c>
      <c r="D6">
        <v>2875.8391009654215</v>
      </c>
      <c r="E6">
        <v>430.59360106112001</v>
      </c>
    </row>
    <row r="7" spans="1:5" x14ac:dyDescent="0.4">
      <c r="A7">
        <v>20</v>
      </c>
      <c r="B7">
        <v>12644.783024990649</v>
      </c>
      <c r="C7">
        <v>381.36903023257037</v>
      </c>
      <c r="D7">
        <v>2860.6463586119912</v>
      </c>
      <c r="E7">
        <v>395.42135193054105</v>
      </c>
    </row>
    <row r="8" spans="1:5" x14ac:dyDescent="0.4">
      <c r="A8">
        <v>21</v>
      </c>
      <c r="B8">
        <v>14342.06893513009</v>
      </c>
      <c r="C8">
        <v>355.3202415996102</v>
      </c>
      <c r="D8">
        <v>2843.0031739434917</v>
      </c>
      <c r="E8">
        <v>367.41824634315594</v>
      </c>
    </row>
    <row r="9" spans="1:5" x14ac:dyDescent="0.4">
      <c r="A9">
        <v>22</v>
      </c>
      <c r="B9">
        <v>16081.978005410669</v>
      </c>
      <c r="C9">
        <v>334.50605842563795</v>
      </c>
      <c r="D9">
        <v>2822.4194584969091</v>
      </c>
      <c r="E9">
        <v>344.69200961270599</v>
      </c>
    </row>
    <row r="10" spans="1:5" x14ac:dyDescent="0.4">
      <c r="A10">
        <v>23</v>
      </c>
      <c r="B10">
        <v>17854.306167671504</v>
      </c>
      <c r="C10">
        <v>317.6689589135745</v>
      </c>
      <c r="D10">
        <v>2798.895212272243</v>
      </c>
      <c r="E10">
        <v>325.95303441800252</v>
      </c>
    </row>
    <row r="11" spans="1:5" x14ac:dyDescent="0.4">
      <c r="A11">
        <v>24</v>
      </c>
      <c r="B11">
        <v>19650.014070110999</v>
      </c>
      <c r="C11">
        <v>303.87573129810829</v>
      </c>
      <c r="D11">
        <v>2772.4304352694935</v>
      </c>
      <c r="E11">
        <v>310.28050636694189</v>
      </c>
    </row>
    <row r="12" spans="1:5" x14ac:dyDescent="0.4">
      <c r="A12">
        <v>25</v>
      </c>
      <c r="B12">
        <v>21461.158523947059</v>
      </c>
      <c r="C12">
        <v>292.42354860259496</v>
      </c>
      <c r="D12">
        <v>2742.0449505626334</v>
      </c>
      <c r="E12">
        <v>296.95779722786028</v>
      </c>
    </row>
    <row r="13" spans="1:5" x14ac:dyDescent="0.4">
      <c r="A13">
        <v>26</v>
      </c>
      <c r="B13">
        <v>23280.808145220224</v>
      </c>
      <c r="C13">
        <v>282.77718890051153</v>
      </c>
      <c r="D13">
        <v>2712.6396427818008</v>
      </c>
      <c r="E13">
        <v>285.70827659336351</v>
      </c>
    </row>
    <row r="14" spans="1:5" x14ac:dyDescent="0.4">
      <c r="A14">
        <v>27</v>
      </c>
      <c r="B14">
        <v>25102.952325700138</v>
      </c>
      <c r="C14">
        <v>274.52425324170508</v>
      </c>
      <c r="D14">
        <v>2682.7442465379545</v>
      </c>
      <c r="E14">
        <v>276.059670616049</v>
      </c>
    </row>
    <row r="15" spans="1:5" x14ac:dyDescent="0.4">
      <c r="A15">
        <v>28</v>
      </c>
      <c r="B15">
        <v>26922.409500471225</v>
      </c>
      <c r="C15">
        <v>267.34189734885928</v>
      </c>
      <c r="D15">
        <v>2648.9281425899972</v>
      </c>
      <c r="E15">
        <v>267.58119869800782</v>
      </c>
    </row>
    <row r="16" spans="1:5" x14ac:dyDescent="0.4">
      <c r="A16">
        <v>29</v>
      </c>
      <c r="B16">
        <v>28734.73845590062</v>
      </c>
      <c r="C16">
        <v>260.97147755482598</v>
      </c>
      <c r="D16">
        <v>2610.2111540119008</v>
      </c>
      <c r="E16">
        <v>260.02817338437961</v>
      </c>
    </row>
    <row r="17" spans="1:5" x14ac:dyDescent="0.4">
      <c r="A17">
        <v>30</v>
      </c>
      <c r="B17">
        <v>30536.154886362325</v>
      </c>
      <c r="C17">
        <v>255.19867730278639</v>
      </c>
      <c r="D17">
        <v>2565.1230154146247</v>
      </c>
      <c r="E17">
        <v>253.19281649606864</v>
      </c>
    </row>
    <row r="18" spans="1:5" x14ac:dyDescent="0.4">
      <c r="A18">
        <v>31</v>
      </c>
      <c r="B18">
        <v>32323.454367192026</v>
      </c>
      <c r="C18">
        <v>249.83714449673121</v>
      </c>
      <c r="D18">
        <v>2512.193461409126</v>
      </c>
      <c r="E18">
        <v>246.91045131287007</v>
      </c>
    </row>
    <row r="19" spans="1:5" x14ac:dyDescent="0.4">
      <c r="A19">
        <v>32</v>
      </c>
      <c r="B19">
        <v>34093.942220576573</v>
      </c>
      <c r="C19">
        <v>244.71377370635307</v>
      </c>
      <c r="D19">
        <v>2449.9522266063641</v>
      </c>
      <c r="E19">
        <v>241.04887190035052</v>
      </c>
    </row>
    <row r="20" spans="1:5" x14ac:dyDescent="0.4">
      <c r="A20">
        <v>33</v>
      </c>
      <c r="B20">
        <v>35845.370305234981</v>
      </c>
      <c r="C20">
        <v>239.65349912952109</v>
      </c>
      <c r="D20">
        <v>2376.4389571542824</v>
      </c>
      <c r="E20">
        <v>235.48695653631506</v>
      </c>
    </row>
    <row r="21" spans="1:5" x14ac:dyDescent="0.4">
      <c r="A21">
        <v>34</v>
      </c>
      <c r="B21">
        <v>37575.880484160509</v>
      </c>
      <c r="C21">
        <v>234.46053386981689</v>
      </c>
      <c r="D21">
        <v>2292.1437415158957</v>
      </c>
      <c r="E21">
        <v>230.19040004337651</v>
      </c>
    </row>
    <row r="22" spans="1:5" x14ac:dyDescent="0.4">
      <c r="A22">
        <v>35</v>
      </c>
      <c r="B22">
        <v>39283.954363558747</v>
      </c>
      <c r="C22">
        <v>228.89058228642747</v>
      </c>
      <c r="D22">
        <v>2194.1260489131209</v>
      </c>
      <c r="E22">
        <v>225.04298334804281</v>
      </c>
    </row>
    <row r="23" spans="1:5" x14ac:dyDescent="0.4">
      <c r="A23">
        <v>36</v>
      </c>
      <c r="B23">
        <v>40968.368812522793</v>
      </c>
      <c r="C23">
        <v>222.60233447584713</v>
      </c>
      <c r="D23">
        <v>2076.0147293267769</v>
      </c>
      <c r="E23">
        <v>219.8635998893908</v>
      </c>
    </row>
    <row r="24" spans="1:5" x14ac:dyDescent="0.4">
      <c r="A24">
        <v>37</v>
      </c>
      <c r="B24">
        <v>42628.156740435646</v>
      </c>
      <c r="C24">
        <v>215.05896973937305</v>
      </c>
      <c r="D24">
        <v>1929.4782788856278</v>
      </c>
      <c r="E24">
        <v>214.45300047722657</v>
      </c>
    </row>
    <row r="25" spans="1:5" x14ac:dyDescent="0.4">
      <c r="A25">
        <v>38</v>
      </c>
      <c r="B25">
        <v>44262.572609235947</v>
      </c>
      <c r="C25">
        <v>205.29203826339028</v>
      </c>
      <c r="D25">
        <v>1743.734751403369</v>
      </c>
      <c r="E25">
        <v>208.58524181745182</v>
      </c>
    </row>
    <row r="26" spans="1:5" x14ac:dyDescent="0.4">
      <c r="A26">
        <v>39</v>
      </c>
      <c r="B26">
        <v>45871.062177950203</v>
      </c>
      <c r="C26">
        <v>191.19065197753929</v>
      </c>
      <c r="D26">
        <v>1495.2599006553344</v>
      </c>
      <c r="E26">
        <v>201.78701933333673</v>
      </c>
    </row>
    <row r="27" spans="1:5" x14ac:dyDescent="0.4">
      <c r="A27">
        <v>40</v>
      </c>
      <c r="B27">
        <v>47453.236008733504</v>
      </c>
      <c r="C27">
        <v>167.88329910372539</v>
      </c>
      <c r="D27">
        <v>1123.2827572278029</v>
      </c>
      <c r="E27">
        <v>192.86136262363792</v>
      </c>
    </row>
    <row r="28" spans="1:5" x14ac:dyDescent="0.4">
      <c r="A28">
        <v>41</v>
      </c>
      <c r="B28">
        <v>49008.846301387552</v>
      </c>
      <c r="C28">
        <v>169.19</v>
      </c>
      <c r="D28">
        <v>0</v>
      </c>
      <c r="E28">
        <v>169.19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17F-04E0-4B01-A778-CBAF559BB586}">
  <dimension ref="A2:X6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7" sqref="O17"/>
    </sheetView>
  </sheetViews>
  <sheetFormatPr defaultRowHeight="14.6" x14ac:dyDescent="0.4"/>
  <cols>
    <col min="4" max="4" width="11.3046875" customWidth="1"/>
    <col min="5" max="5" width="12.3046875" customWidth="1"/>
    <col min="11" max="11" width="11.69140625" customWidth="1"/>
  </cols>
  <sheetData>
    <row r="2" spans="1:24" x14ac:dyDescent="0.4">
      <c r="B2" s="1" t="s">
        <v>0</v>
      </c>
      <c r="C2">
        <v>0.04</v>
      </c>
      <c r="F2" s="1" t="s">
        <v>8</v>
      </c>
      <c r="G2">
        <v>400</v>
      </c>
      <c r="H2" s="1" t="s">
        <v>7</v>
      </c>
      <c r="I2">
        <v>169.19</v>
      </c>
      <c r="K2" s="1" t="s">
        <v>1</v>
      </c>
      <c r="L2">
        <v>65.73</v>
      </c>
    </row>
    <row r="3" spans="1:24" x14ac:dyDescent="0.4">
      <c r="E3" t="s">
        <v>21</v>
      </c>
    </row>
    <row r="4" spans="1:24" x14ac:dyDescent="0.4">
      <c r="A4" t="s">
        <v>10</v>
      </c>
      <c r="B4" t="s">
        <v>9</v>
      </c>
      <c r="C4" t="s">
        <v>2</v>
      </c>
      <c r="D4" t="s">
        <v>20</v>
      </c>
      <c r="E4" t="s">
        <v>22</v>
      </c>
      <c r="F4" t="s">
        <v>3</v>
      </c>
      <c r="G4" s="2" t="s">
        <v>11</v>
      </c>
      <c r="H4" s="2" t="s">
        <v>12</v>
      </c>
      <c r="I4" t="s">
        <v>6</v>
      </c>
      <c r="J4" t="s">
        <v>4</v>
      </c>
      <c r="K4" t="s">
        <v>13</v>
      </c>
      <c r="L4" t="s">
        <v>5</v>
      </c>
      <c r="M4" t="s">
        <v>15</v>
      </c>
      <c r="O4" t="s">
        <v>16</v>
      </c>
      <c r="P4" t="s">
        <v>19</v>
      </c>
    </row>
    <row r="5" spans="1:24" x14ac:dyDescent="0.4">
      <c r="A5">
        <v>15</v>
      </c>
      <c r="B5">
        <f t="shared" ref="B5:B59" si="0">EXP(12.09-52.9/A5)</f>
        <v>5236.1058012742687</v>
      </c>
      <c r="C5" t="e">
        <f t="shared" ref="C5:C56" si="1">(K5+L5-$G$2)/(B5/1000)</f>
        <v>#DIV/0!</v>
      </c>
      <c r="D5">
        <v>61.617100000000001</v>
      </c>
      <c r="E5" s="4">
        <f t="shared" ref="E5:E36" si="2">169.19+D5*B$60/B5</f>
        <v>1153.4516934984147</v>
      </c>
      <c r="F5">
        <f t="shared" ref="F5:F56" si="3">NORMDIST(C6,$I$2,$L$2,TRUE)</f>
        <v>1</v>
      </c>
      <c r="G5">
        <f t="shared" ref="G5:G56" si="4">NORMDIST((C6-$I$2)/$L$2,0,1,FALSE)</f>
        <v>3.294667014583576E-17</v>
      </c>
      <c r="H5" t="e">
        <f t="shared" ref="H5:H56" si="5">G5/(1-F5)</f>
        <v>#DIV/0!</v>
      </c>
      <c r="I5" t="e">
        <f t="shared" ref="I5:I56" si="6">(B6/1000)*EXP(-$C$2)*($I$2+$L$2*H5)*(1-F5)</f>
        <v>#DIV/0!</v>
      </c>
      <c r="J5">
        <f t="shared" ref="J5:J56" si="7">$G$2/EXP($C$2)*(1-F5)</f>
        <v>0</v>
      </c>
      <c r="K5" t="e">
        <f t="shared" ref="K5:K38" si="8">I5+J5+F5*K6/EXP($C$2)</f>
        <v>#DIV/0!</v>
      </c>
      <c r="L5">
        <f t="shared" ref="L5:L56" si="9">L6*F5/EXP($C$2)</f>
        <v>0.62474553630687257</v>
      </c>
      <c r="M5" t="e">
        <f t="shared" ref="M5:M58" si="10">C5*B5</f>
        <v>#DIV/0!</v>
      </c>
      <c r="O5">
        <f>(($B5*$I$2)/1000 - 240*EXP($C$2*$A5))/(EXP($C$2*$A5)-1)</f>
        <v>545.64891133834999</v>
      </c>
    </row>
    <row r="6" spans="1:24" x14ac:dyDescent="0.4">
      <c r="A6">
        <v>16</v>
      </c>
      <c r="B6">
        <f t="shared" si="0"/>
        <v>6527.3087433098653</v>
      </c>
      <c r="C6">
        <f t="shared" si="1"/>
        <v>734.87066639985255</v>
      </c>
      <c r="D6">
        <v>61.616999999999997</v>
      </c>
      <c r="E6" s="4">
        <f t="shared" si="2"/>
        <v>958.74817809441492</v>
      </c>
      <c r="F6">
        <f t="shared" si="3"/>
        <v>0.99999999999901845</v>
      </c>
      <c r="G6">
        <f t="shared" si="4"/>
        <v>7.0415626137647624E-12</v>
      </c>
      <c r="H6">
        <f t="shared" si="5"/>
        <v>7.1739347954885195</v>
      </c>
      <c r="I6">
        <f t="shared" si="6"/>
        <v>4.7908745464878236E-9</v>
      </c>
      <c r="J6">
        <f t="shared" si="7"/>
        <v>3.7722444863533551E-10</v>
      </c>
      <c r="K6">
        <f t="shared" si="8"/>
        <v>5196.0774841083885</v>
      </c>
      <c r="L6">
        <f t="shared" si="9"/>
        <v>0.65024188531679483</v>
      </c>
      <c r="M6">
        <f t="shared" si="10"/>
        <v>4796727.725993705</v>
      </c>
      <c r="O6">
        <f t="shared" ref="O6:O60" si="11">(($B6*$I$2)/1000 - 240*EXP($C$2*$A6))/(EXP($C$2*$A6)-1)</f>
        <v>724.16486534630542</v>
      </c>
    </row>
    <row r="7" spans="1:24" x14ac:dyDescent="0.4">
      <c r="A7">
        <v>17</v>
      </c>
      <c r="B7">
        <f t="shared" si="0"/>
        <v>7928.6280660355969</v>
      </c>
      <c r="C7">
        <f t="shared" si="1"/>
        <v>631.73731521283844</v>
      </c>
      <c r="D7">
        <v>61.610599999999998</v>
      </c>
      <c r="E7" s="4">
        <f t="shared" si="2"/>
        <v>819.13279662579339</v>
      </c>
      <c r="F7">
        <f t="shared" si="3"/>
        <v>0.99999999778871951</v>
      </c>
      <c r="G7">
        <f t="shared" si="4"/>
        <v>1.3332431850011052E-8</v>
      </c>
      <c r="H7">
        <f t="shared" si="5"/>
        <v>6.0292811780118276</v>
      </c>
      <c r="I7">
        <f t="shared" si="6"/>
        <v>1.1323419998394795E-5</v>
      </c>
      <c r="J7">
        <f t="shared" si="7"/>
        <v>8.4982997750539206E-7</v>
      </c>
      <c r="K7">
        <f t="shared" si="8"/>
        <v>5408.1334289984188</v>
      </c>
      <c r="L7">
        <f t="shared" si="9"/>
        <v>0.67677876006955562</v>
      </c>
      <c r="M7">
        <f t="shared" si="10"/>
        <v>5008810.2077584872</v>
      </c>
      <c r="O7">
        <f t="shared" si="11"/>
        <v>890.98856872920976</v>
      </c>
    </row>
    <row r="8" spans="1:24" x14ac:dyDescent="0.4">
      <c r="A8">
        <v>18</v>
      </c>
      <c r="B8">
        <f t="shared" si="0"/>
        <v>9424.9066816039176</v>
      </c>
      <c r="C8">
        <f t="shared" si="1"/>
        <v>554.86469163483605</v>
      </c>
      <c r="D8">
        <v>61.597499999999997</v>
      </c>
      <c r="E8" s="4">
        <f t="shared" si="2"/>
        <v>715.83297263771442</v>
      </c>
      <c r="F8">
        <f t="shared" si="3"/>
        <v>0.99999967462600947</v>
      </c>
      <c r="G8">
        <f t="shared" si="4"/>
        <v>1.6798478779599265E-6</v>
      </c>
      <c r="H8">
        <f t="shared" si="5"/>
        <v>5.1628216355941943</v>
      </c>
      <c r="I8">
        <f t="shared" si="6"/>
        <v>1.7490053042845688E-3</v>
      </c>
      <c r="J8">
        <f t="shared" si="7"/>
        <v>1.2504635754983492E-4</v>
      </c>
      <c r="K8">
        <f t="shared" si="8"/>
        <v>5628.8435409484809</v>
      </c>
      <c r="L8">
        <f t="shared" si="9"/>
        <v>0.70439862678258169</v>
      </c>
      <c r="M8">
        <f t="shared" si="10"/>
        <v>5229547.9395752633</v>
      </c>
      <c r="O8">
        <f t="shared" si="11"/>
        <v>1044.6711842785976</v>
      </c>
    </row>
    <row r="9" spans="1:24" x14ac:dyDescent="0.4">
      <c r="A9">
        <v>19</v>
      </c>
      <c r="B9">
        <f t="shared" si="0"/>
        <v>11001.528247091775</v>
      </c>
      <c r="C9">
        <f t="shared" si="1"/>
        <v>496.23052203809846</v>
      </c>
      <c r="D9">
        <v>61.577399999999997</v>
      </c>
      <c r="E9" s="4">
        <f t="shared" si="2"/>
        <v>637.34112511613432</v>
      </c>
      <c r="F9">
        <f t="shared" si="3"/>
        <v>0.99999074374172836</v>
      </c>
      <c r="G9">
        <f t="shared" si="4"/>
        <v>4.1609025910951073E-5</v>
      </c>
      <c r="H9">
        <f t="shared" si="5"/>
        <v>4.4952317329388718</v>
      </c>
      <c r="I9">
        <f t="shared" si="6"/>
        <v>5.225307256881348E-2</v>
      </c>
      <c r="J9">
        <f t="shared" si="7"/>
        <v>3.557326077382965E-3</v>
      </c>
      <c r="K9">
        <f t="shared" si="8"/>
        <v>5858.5609593526096</v>
      </c>
      <c r="L9">
        <f t="shared" si="9"/>
        <v>0.73314591862824707</v>
      </c>
      <c r="M9">
        <f t="shared" si="10"/>
        <v>5459294.1052712379</v>
      </c>
      <c r="O9">
        <f t="shared" si="11"/>
        <v>1184.3893836399347</v>
      </c>
    </row>
    <row r="10" spans="1:24" x14ac:dyDescent="0.4">
      <c r="A10">
        <v>20</v>
      </c>
      <c r="B10">
        <f t="shared" si="0"/>
        <v>12644.783024990649</v>
      </c>
      <c r="C10">
        <f t="shared" si="1"/>
        <v>450.65342624735376</v>
      </c>
      <c r="D10">
        <v>61.55</v>
      </c>
      <c r="E10" s="4">
        <f t="shared" si="2"/>
        <v>576.32123041173793</v>
      </c>
      <c r="F10">
        <f t="shared" si="3"/>
        <v>0.99990603944695533</v>
      </c>
      <c r="G10">
        <f t="shared" si="4"/>
        <v>3.7334019413673262E-4</v>
      </c>
      <c r="H10">
        <f t="shared" si="5"/>
        <v>3.9733716122258609</v>
      </c>
      <c r="I10">
        <f t="shared" si="6"/>
        <v>0.55720782024192006</v>
      </c>
      <c r="J10">
        <f t="shared" si="7"/>
        <v>3.6110522824892112E-2</v>
      </c>
      <c r="K10">
        <f t="shared" si="8"/>
        <v>6097.6517211320488</v>
      </c>
      <c r="L10">
        <f t="shared" si="9"/>
        <v>0.76307323436639296</v>
      </c>
      <c r="M10">
        <f t="shared" si="10"/>
        <v>5698414.7943664147</v>
      </c>
      <c r="O10">
        <f t="shared" si="11"/>
        <v>1309.8224464315322</v>
      </c>
    </row>
    <row r="11" spans="1:24" x14ac:dyDescent="0.4">
      <c r="A11">
        <v>21</v>
      </c>
      <c r="B11">
        <f t="shared" si="0"/>
        <v>14342.06893513009</v>
      </c>
      <c r="C11">
        <f t="shared" si="1"/>
        <v>414.6734136954974</v>
      </c>
      <c r="D11">
        <v>61.514699999999998</v>
      </c>
      <c r="E11" s="4">
        <f t="shared" si="2"/>
        <v>527.9341656604754</v>
      </c>
      <c r="F11">
        <f t="shared" si="3"/>
        <v>0.99951156586553902</v>
      </c>
      <c r="G11">
        <f t="shared" si="4"/>
        <v>1.7390946504650818E-3</v>
      </c>
      <c r="H11">
        <f t="shared" si="5"/>
        <v>3.5605510093685204</v>
      </c>
      <c r="I11">
        <f t="shared" si="6"/>
        <v>3.0431345973840624</v>
      </c>
      <c r="J11">
        <f t="shared" si="7"/>
        <v>0.18771294324464613</v>
      </c>
      <c r="K11">
        <f t="shared" si="8"/>
        <v>6346.4803953108367</v>
      </c>
      <c r="L11">
        <f t="shared" si="9"/>
        <v>0.79428947570479003</v>
      </c>
      <c r="M11">
        <f t="shared" si="10"/>
        <v>5947274.6847865414</v>
      </c>
      <c r="O11">
        <f t="shared" si="11"/>
        <v>1421.0372956038348</v>
      </c>
    </row>
    <row r="12" spans="1:24" x14ac:dyDescent="0.4">
      <c r="A12">
        <v>22</v>
      </c>
      <c r="B12">
        <f t="shared" si="0"/>
        <v>16081.978005410669</v>
      </c>
      <c r="C12">
        <f t="shared" si="1"/>
        <v>385.90873942585893</v>
      </c>
      <c r="D12">
        <v>61.471400000000003</v>
      </c>
      <c r="E12" s="4">
        <f t="shared" si="2"/>
        <v>488.89643842720204</v>
      </c>
      <c r="F12">
        <f t="shared" si="3"/>
        <v>0.99837772928879331</v>
      </c>
      <c r="G12">
        <f t="shared" si="4"/>
        <v>5.2410662785174807E-3</v>
      </c>
      <c r="H12">
        <f t="shared" si="5"/>
        <v>3.2306977142051978</v>
      </c>
      <c r="I12">
        <f t="shared" si="6"/>
        <v>10.617906142723839</v>
      </c>
      <c r="J12">
        <f t="shared" si="7"/>
        <v>0.62346422670940482</v>
      </c>
      <c r="K12">
        <f t="shared" si="8"/>
        <v>6605.3487505099947</v>
      </c>
      <c r="L12">
        <f t="shared" si="9"/>
        <v>0.82710903242552625</v>
      </c>
      <c r="M12">
        <f t="shared" si="10"/>
        <v>6206175.8595424201</v>
      </c>
      <c r="O12">
        <f t="shared" si="11"/>
        <v>1518.3885285761157</v>
      </c>
    </row>
    <row r="13" spans="1:24" x14ac:dyDescent="0.4">
      <c r="A13">
        <v>23</v>
      </c>
      <c r="B13">
        <f t="shared" si="0"/>
        <v>17854.306167671504</v>
      </c>
      <c r="C13">
        <f t="shared" si="1"/>
        <v>362.67062403345562</v>
      </c>
      <c r="D13">
        <v>61.419499999999999</v>
      </c>
      <c r="E13" s="4">
        <f t="shared" si="2"/>
        <v>456.91728044255274</v>
      </c>
      <c r="F13">
        <f t="shared" si="3"/>
        <v>0.99603877405049202</v>
      </c>
      <c r="G13">
        <f t="shared" si="4"/>
        <v>1.1744163421216263E-2</v>
      </c>
      <c r="H13">
        <f t="shared" si="5"/>
        <v>2.9647799875376912</v>
      </c>
      <c r="I13">
        <f t="shared" si="6"/>
        <v>27.226989100454574</v>
      </c>
      <c r="J13">
        <f t="shared" si="7"/>
        <v>1.5223616233533623</v>
      </c>
      <c r="K13">
        <f t="shared" si="8"/>
        <v>6874.3700966977076</v>
      </c>
      <c r="L13">
        <f t="shared" si="9"/>
        <v>0.86226281609223809</v>
      </c>
      <c r="M13">
        <f t="shared" si="10"/>
        <v>6475232.3595137997</v>
      </c>
      <c r="O13">
        <f t="shared" si="11"/>
        <v>1602.4354114026448</v>
      </c>
    </row>
    <row r="14" spans="1:24" x14ac:dyDescent="0.4">
      <c r="A14">
        <v>24</v>
      </c>
      <c r="B14">
        <f t="shared" si="0"/>
        <v>19650.014070110999</v>
      </c>
      <c r="C14">
        <f t="shared" si="1"/>
        <v>343.72661461943778</v>
      </c>
      <c r="D14">
        <v>61.358600000000003</v>
      </c>
      <c r="E14" s="4">
        <f t="shared" si="2"/>
        <v>430.36422714791928</v>
      </c>
      <c r="F14">
        <f t="shared" si="3"/>
        <v>0.99220649360541668</v>
      </c>
      <c r="G14">
        <f t="shared" si="4"/>
        <v>2.1421160907881823E-2</v>
      </c>
      <c r="H14">
        <f t="shared" si="5"/>
        <v>2.7485909195853195</v>
      </c>
      <c r="I14">
        <f t="shared" si="6"/>
        <v>56.221472601374671</v>
      </c>
      <c r="J14">
        <f t="shared" si="7"/>
        <v>2.9951674551526994</v>
      </c>
      <c r="K14">
        <f t="shared" si="8"/>
        <v>7153.3317919643378</v>
      </c>
      <c r="L14">
        <f t="shared" si="9"/>
        <v>0.90102157923500348</v>
      </c>
      <c r="M14">
        <f t="shared" si="10"/>
        <v>6754232.813543574</v>
      </c>
      <c r="O14">
        <f t="shared" si="11"/>
        <v>1673.8751814543957</v>
      </c>
      <c r="X14" t="s">
        <v>14</v>
      </c>
    </row>
    <row r="15" spans="1:24" x14ac:dyDescent="0.4">
      <c r="A15">
        <v>25</v>
      </c>
      <c r="B15">
        <f t="shared" si="0"/>
        <v>21461.158523947059</v>
      </c>
      <c r="C15">
        <f t="shared" si="1"/>
        <v>328.15437288602476</v>
      </c>
      <c r="D15">
        <v>61.2883</v>
      </c>
      <c r="E15" s="4">
        <f t="shared" si="2"/>
        <v>408.04929970418613</v>
      </c>
      <c r="F15">
        <f t="shared" si="3"/>
        <v>0.9868627561642711</v>
      </c>
      <c r="G15">
        <f t="shared" si="4"/>
        <v>3.3780535659197045E-2</v>
      </c>
      <c r="H15">
        <f t="shared" si="5"/>
        <v>2.5713563728889102</v>
      </c>
      <c r="I15">
        <f t="shared" si="6"/>
        <v>99.382721184362339</v>
      </c>
      <c r="J15">
        <f t="shared" si="7"/>
        <v>5.0488500547749124</v>
      </c>
      <c r="K15">
        <f t="shared" si="8"/>
        <v>7441.6278577627027</v>
      </c>
      <c r="L15">
        <f t="shared" si="9"/>
        <v>0.94515907070910199</v>
      </c>
      <c r="M15">
        <f t="shared" si="10"/>
        <v>7042573.0168334115</v>
      </c>
      <c r="O15">
        <f t="shared" si="11"/>
        <v>1733.4908176894726</v>
      </c>
    </row>
    <row r="16" spans="1:24" x14ac:dyDescent="0.4">
      <c r="A16">
        <v>26</v>
      </c>
      <c r="B16">
        <f t="shared" si="0"/>
        <v>23280.808145220224</v>
      </c>
      <c r="C16">
        <f t="shared" si="1"/>
        <v>315.25063769756304</v>
      </c>
      <c r="D16">
        <v>61.207900000000002</v>
      </c>
      <c r="E16" s="4">
        <f t="shared" si="2"/>
        <v>389.09098240439721</v>
      </c>
      <c r="F16">
        <f t="shared" si="3"/>
        <v>0.98021251846886392</v>
      </c>
      <c r="G16">
        <f t="shared" si="4"/>
        <v>4.7981208501774633E-2</v>
      </c>
      <c r="H16">
        <f t="shared" si="5"/>
        <v>2.4248264452590926</v>
      </c>
      <c r="I16">
        <f t="shared" si="6"/>
        <v>156.81100233802147</v>
      </c>
      <c r="J16">
        <f t="shared" si="7"/>
        <v>7.6046413130148727</v>
      </c>
      <c r="K16">
        <f t="shared" si="8"/>
        <v>7738.2927865877737</v>
      </c>
      <c r="L16">
        <f t="shared" si="9"/>
        <v>0.99682730752071136</v>
      </c>
      <c r="M16">
        <f t="shared" si="10"/>
        <v>7339289.6138952952</v>
      </c>
      <c r="O16">
        <f t="shared" si="11"/>
        <v>1782.1110459116451</v>
      </c>
    </row>
    <row r="17" spans="1:15" x14ac:dyDescent="0.4">
      <c r="A17">
        <v>27</v>
      </c>
      <c r="B17">
        <f t="shared" si="0"/>
        <v>25102.952325700138</v>
      </c>
      <c r="C17">
        <f t="shared" si="1"/>
        <v>304.47272931881793</v>
      </c>
      <c r="D17">
        <v>61.116999999999997</v>
      </c>
      <c r="E17" s="4">
        <f t="shared" si="2"/>
        <v>372.82619286254999</v>
      </c>
      <c r="F17">
        <f t="shared" si="3"/>
        <v>0.97257802465788012</v>
      </c>
      <c r="G17">
        <f t="shared" si="4"/>
        <v>6.3143170275586386E-2</v>
      </c>
      <c r="H17">
        <f t="shared" si="5"/>
        <v>2.3026484958798399</v>
      </c>
      <c r="I17">
        <f t="shared" si="6"/>
        <v>227.36692890523057</v>
      </c>
      <c r="J17">
        <f t="shared" si="7"/>
        <v>10.538697723761675</v>
      </c>
      <c r="K17">
        <f t="shared" si="8"/>
        <v>8042.1059558508568</v>
      </c>
      <c r="L17">
        <f t="shared" si="9"/>
        <v>1.0584527152309589</v>
      </c>
      <c r="M17">
        <f t="shared" si="10"/>
        <v>7643164.4085660893</v>
      </c>
      <c r="O17">
        <f t="shared" si="11"/>
        <v>1820.5803674901649</v>
      </c>
    </row>
    <row r="18" spans="1:15" x14ac:dyDescent="0.4">
      <c r="A18">
        <v>28</v>
      </c>
      <c r="B18">
        <f t="shared" si="0"/>
        <v>26922.409500471225</v>
      </c>
      <c r="C18">
        <f t="shared" si="1"/>
        <v>295.39885931545064</v>
      </c>
      <c r="D18">
        <v>61.015099999999997</v>
      </c>
      <c r="E18" s="4">
        <f t="shared" si="2"/>
        <v>358.74757478406752</v>
      </c>
      <c r="F18">
        <f t="shared" si="3"/>
        <v>0.96430403775913431</v>
      </c>
      <c r="G18">
        <f t="shared" si="4"/>
        <v>7.8527967475474789E-2</v>
      </c>
      <c r="H18">
        <f t="shared" si="5"/>
        <v>2.1999117700089306</v>
      </c>
      <c r="I18">
        <f t="shared" si="6"/>
        <v>309.23877176850669</v>
      </c>
      <c r="J18">
        <f t="shared" si="7"/>
        <v>13.718521416561538</v>
      </c>
      <c r="K18">
        <f t="shared" si="8"/>
        <v>8351.7163463231518</v>
      </c>
      <c r="L18">
        <f t="shared" si="9"/>
        <v>1.1327101395007277</v>
      </c>
      <c r="M18">
        <f t="shared" si="10"/>
        <v>7952849.0564626511</v>
      </c>
      <c r="O18">
        <f t="shared" si="11"/>
        <v>1849.7371138859189</v>
      </c>
    </row>
    <row r="19" spans="1:15" x14ac:dyDescent="0.4">
      <c r="A19">
        <v>29</v>
      </c>
      <c r="B19">
        <f t="shared" si="0"/>
        <v>28734.73845590062</v>
      </c>
      <c r="C19">
        <f t="shared" si="1"/>
        <v>287.69963736434806</v>
      </c>
      <c r="D19">
        <v>60.901400000000002</v>
      </c>
      <c r="E19" s="4">
        <f t="shared" si="2"/>
        <v>346.46103069542539</v>
      </c>
      <c r="F19">
        <f t="shared" si="3"/>
        <v>0.95569972526788538</v>
      </c>
      <c r="G19">
        <f t="shared" si="4"/>
        <v>9.3597883260595816E-2</v>
      </c>
      <c r="H19">
        <f t="shared" si="5"/>
        <v>2.1128059323917432</v>
      </c>
      <c r="I19">
        <f t="shared" si="6"/>
        <v>400.39714753180095</v>
      </c>
      <c r="J19">
        <f t="shared" si="7"/>
        <v>17.025294445664894</v>
      </c>
      <c r="K19">
        <f t="shared" si="8"/>
        <v>8665.751255506073</v>
      </c>
      <c r="L19">
        <f t="shared" si="9"/>
        <v>1.2225780159221915</v>
      </c>
      <c r="M19">
        <f t="shared" si="10"/>
        <v>8266973.8335219957</v>
      </c>
      <c r="O19">
        <f t="shared" si="11"/>
        <v>1870.3978142887631</v>
      </c>
    </row>
    <row r="20" spans="1:15" x14ac:dyDescent="0.4">
      <c r="A20">
        <v>30</v>
      </c>
      <c r="B20">
        <f t="shared" si="0"/>
        <v>30536.154886362325</v>
      </c>
      <c r="C20">
        <f t="shared" si="1"/>
        <v>281.11678324856388</v>
      </c>
      <c r="D20">
        <v>60.775399999999998</v>
      </c>
      <c r="E20" s="4">
        <f t="shared" si="2"/>
        <v>335.6581749073863</v>
      </c>
      <c r="F20">
        <f t="shared" si="3"/>
        <v>0.94701402360477283</v>
      </c>
      <c r="G20">
        <f t="shared" si="4"/>
        <v>0.10800457701505892</v>
      </c>
      <c r="H20">
        <f t="shared" si="5"/>
        <v>2.0383615507892698</v>
      </c>
      <c r="I20">
        <f t="shared" si="6"/>
        <v>498.87909856882754</v>
      </c>
      <c r="J20">
        <f t="shared" si="7"/>
        <v>20.363346617483419</v>
      </c>
      <c r="K20">
        <f t="shared" si="8"/>
        <v>8982.8941781852118</v>
      </c>
      <c r="L20">
        <f t="shared" si="9"/>
        <v>1.3314562488818258</v>
      </c>
      <c r="M20">
        <f t="shared" si="10"/>
        <v>8584225.6344340928</v>
      </c>
      <c r="O20">
        <f t="shared" si="11"/>
        <v>1883.3464559247313</v>
      </c>
    </row>
    <row r="21" spans="1:15" x14ac:dyDescent="0.4">
      <c r="A21">
        <v>31</v>
      </c>
      <c r="B21">
        <f t="shared" si="0"/>
        <v>32323.454367192026</v>
      </c>
      <c r="C21">
        <f t="shared" si="1"/>
        <v>275.44689633783042</v>
      </c>
      <c r="D21">
        <v>60.636299999999999</v>
      </c>
      <c r="E21" s="4">
        <f t="shared" si="2"/>
        <v>326.0935132015718</v>
      </c>
      <c r="F21">
        <f t="shared" si="3"/>
        <v>0.9384323927563315</v>
      </c>
      <c r="G21">
        <f t="shared" si="4"/>
        <v>0.12154999451152719</v>
      </c>
      <c r="H21">
        <f t="shared" si="5"/>
        <v>1.9742523699266739</v>
      </c>
      <c r="I21">
        <f t="shared" si="6"/>
        <v>602.93060237122688</v>
      </c>
      <c r="J21">
        <f t="shared" si="7"/>
        <v>23.661402733437907</v>
      </c>
      <c r="K21">
        <f t="shared" si="8"/>
        <v>9301.9318543837217</v>
      </c>
      <c r="L21">
        <f t="shared" si="9"/>
        <v>1.4633299768117627</v>
      </c>
      <c r="M21">
        <f t="shared" si="10"/>
        <v>8903395.184360534</v>
      </c>
      <c r="O21">
        <f t="shared" si="11"/>
        <v>1889.3274855416064</v>
      </c>
    </row>
    <row r="22" spans="1:15" x14ac:dyDescent="0.4">
      <c r="A22">
        <v>32</v>
      </c>
      <c r="B22">
        <f t="shared" si="0"/>
        <v>34093.942220576573</v>
      </c>
      <c r="C22">
        <f t="shared" si="1"/>
        <v>270.52899552812431</v>
      </c>
      <c r="D22">
        <v>60.483499999999999</v>
      </c>
      <c r="E22" s="4">
        <f t="shared" si="2"/>
        <v>317.57070689758905</v>
      </c>
      <c r="F22">
        <f t="shared" si="3"/>
        <v>0.9300841300728212</v>
      </c>
      <c r="G22">
        <f t="shared" si="4"/>
        <v>0.13414372979818132</v>
      </c>
      <c r="H22">
        <f t="shared" si="5"/>
        <v>1.9186449362340674</v>
      </c>
      <c r="I22">
        <f t="shared" si="6"/>
        <v>711.05669181589633</v>
      </c>
      <c r="J22">
        <f t="shared" si="7"/>
        <v>26.869771782072359</v>
      </c>
      <c r="K22">
        <f t="shared" si="8"/>
        <v>9621.7769704106267</v>
      </c>
      <c r="L22">
        <f t="shared" si="9"/>
        <v>1.6229721158611448</v>
      </c>
      <c r="M22">
        <f t="shared" si="10"/>
        <v>9223399.9425264876</v>
      </c>
      <c r="O22">
        <f t="shared" si="11"/>
        <v>1889.0416340246527</v>
      </c>
    </row>
    <row r="23" spans="1:15" x14ac:dyDescent="0.4">
      <c r="A23">
        <v>33</v>
      </c>
      <c r="B23">
        <f t="shared" si="0"/>
        <v>35845.370305234981</v>
      </c>
      <c r="C23">
        <f t="shared" si="1"/>
        <v>266.23494867864338</v>
      </c>
      <c r="D23">
        <v>60.316000000000003</v>
      </c>
      <c r="E23" s="4">
        <f t="shared" si="2"/>
        <v>309.92988871427508</v>
      </c>
      <c r="F23">
        <f t="shared" si="3"/>
        <v>0.92205328790213292</v>
      </c>
      <c r="G23">
        <f t="shared" si="4"/>
        <v>0.14576693758675929</v>
      </c>
      <c r="H23">
        <f t="shared" si="5"/>
        <v>1.8700844931565501</v>
      </c>
      <c r="I23">
        <f t="shared" si="6"/>
        <v>822.02037817117048</v>
      </c>
      <c r="J23">
        <f t="shared" si="7"/>
        <v>29.956151120110924</v>
      </c>
      <c r="K23">
        <f t="shared" si="8"/>
        <v>9941.474136410834</v>
      </c>
      <c r="L23">
        <f t="shared" si="9"/>
        <v>1.8161871703690284</v>
      </c>
      <c r="M23">
        <f t="shared" si="10"/>
        <v>9543290.323581202</v>
      </c>
      <c r="O23">
        <f t="shared" si="11"/>
        <v>1883.1438415626435</v>
      </c>
    </row>
    <row r="24" spans="1:15" x14ac:dyDescent="0.4">
      <c r="A24">
        <v>34</v>
      </c>
      <c r="B24">
        <f t="shared" si="0"/>
        <v>37575.880484160509</v>
      </c>
      <c r="C24">
        <f t="shared" si="1"/>
        <v>262.46213074017379</v>
      </c>
      <c r="D24">
        <v>60.133000000000003</v>
      </c>
      <c r="E24" s="4">
        <f t="shared" si="2"/>
        <v>303.04094672015896</v>
      </c>
      <c r="F24">
        <f t="shared" si="3"/>
        <v>0.91438956462506138</v>
      </c>
      <c r="G24">
        <f t="shared" si="4"/>
        <v>0.15644523622881149</v>
      </c>
      <c r="H24">
        <f t="shared" si="5"/>
        <v>1.8274084875710008</v>
      </c>
      <c r="I24">
        <f t="shared" si="6"/>
        <v>934.81765149031878</v>
      </c>
      <c r="J24">
        <f t="shared" si="7"/>
        <v>32.90144087578939</v>
      </c>
      <c r="K24">
        <f t="shared" si="8"/>
        <v>10260.195550097204</v>
      </c>
      <c r="L24">
        <f t="shared" si="9"/>
        <v>2.0501062136776516</v>
      </c>
      <c r="M24">
        <f t="shared" si="10"/>
        <v>9862245.6563108806</v>
      </c>
      <c r="O24">
        <f t="shared" si="11"/>
        <v>1872.2427205819401</v>
      </c>
    </row>
    <row r="25" spans="1:15" x14ac:dyDescent="0.4">
      <c r="A25">
        <v>35</v>
      </c>
      <c r="B25">
        <f t="shared" si="0"/>
        <v>39283.954363558747</v>
      </c>
      <c r="C25">
        <f t="shared" si="1"/>
        <v>259.12779601004377</v>
      </c>
      <c r="D25">
        <v>59.938299999999998</v>
      </c>
      <c r="E25" s="4">
        <f t="shared" si="2"/>
        <v>296.80653989418988</v>
      </c>
      <c r="F25">
        <f t="shared" si="3"/>
        <v>0.90711765067086381</v>
      </c>
      <c r="G25">
        <f t="shared" si="4"/>
        <v>0.16622977197549646</v>
      </c>
      <c r="H25">
        <f t="shared" si="5"/>
        <v>1.7896809585042652</v>
      </c>
      <c r="I25">
        <f t="shared" si="6"/>
        <v>1048.6442785612167</v>
      </c>
      <c r="J25">
        <f t="shared" si="7"/>
        <v>35.696152127636367</v>
      </c>
      <c r="K25">
        <f t="shared" si="8"/>
        <v>10577.230964027303</v>
      </c>
      <c r="L25">
        <f t="shared" si="9"/>
        <v>2.3335487608166217</v>
      </c>
      <c r="M25">
        <f t="shared" si="10"/>
        <v>10179564.512788119</v>
      </c>
      <c r="O25">
        <f t="shared" si="11"/>
        <v>1856.901122117682</v>
      </c>
    </row>
    <row r="26" spans="1:15" x14ac:dyDescent="0.4">
      <c r="A26">
        <v>36</v>
      </c>
      <c r="B26">
        <f t="shared" si="0"/>
        <v>40968.368812522793</v>
      </c>
      <c r="C26">
        <f t="shared" si="1"/>
        <v>256.16476189174142</v>
      </c>
      <c r="D26" s="3">
        <v>59.892200000000003</v>
      </c>
      <c r="E26" s="4">
        <f t="shared" si="2"/>
        <v>291.4654685487676</v>
      </c>
      <c r="F26">
        <f t="shared" si="3"/>
        <v>0.90024463823525225</v>
      </c>
      <c r="G26">
        <f t="shared" si="4"/>
        <v>0.1751846448090929</v>
      </c>
      <c r="H26">
        <f t="shared" si="5"/>
        <v>1.75614264446486</v>
      </c>
      <c r="I26">
        <f t="shared" si="6"/>
        <v>1162.8624675194953</v>
      </c>
      <c r="J26">
        <f t="shared" si="7"/>
        <v>38.337559232955634</v>
      </c>
      <c r="K26">
        <f t="shared" si="8"/>
        <v>10891.97496931137</v>
      </c>
      <c r="L26">
        <f t="shared" si="9"/>
        <v>2.6774726415752319</v>
      </c>
      <c r="M26">
        <f t="shared" si="10"/>
        <v>10494652.441952946</v>
      </c>
      <c r="O26">
        <f t="shared" si="11"/>
        <v>1837.6374732683717</v>
      </c>
    </row>
    <row r="27" spans="1:15" x14ac:dyDescent="0.4">
      <c r="A27">
        <v>37</v>
      </c>
      <c r="B27">
        <f t="shared" si="0"/>
        <v>42628.156740435646</v>
      </c>
      <c r="C27">
        <f t="shared" si="1"/>
        <v>253.518091580098</v>
      </c>
      <c r="D27" s="3">
        <v>59.893500000000003</v>
      </c>
      <c r="E27" s="4">
        <f t="shared" si="2"/>
        <v>286.70704995512727</v>
      </c>
      <c r="F27">
        <f t="shared" si="3"/>
        <v>0.89376561602355631</v>
      </c>
      <c r="G27">
        <f t="shared" si="4"/>
        <v>0.18337891393073844</v>
      </c>
      <c r="H27">
        <f t="shared" si="5"/>
        <v>1.7261728930569287</v>
      </c>
      <c r="I27">
        <f t="shared" si="6"/>
        <v>1276.9709926846331</v>
      </c>
      <c r="J27">
        <f t="shared" si="7"/>
        <v>40.827549679767955</v>
      </c>
      <c r="K27">
        <f t="shared" si="8"/>
        <v>11203.913405428357</v>
      </c>
      <c r="L27">
        <f t="shared" si="9"/>
        <v>3.0955389841806795</v>
      </c>
      <c r="M27">
        <f t="shared" si="10"/>
        <v>10807008.944412537</v>
      </c>
      <c r="O27">
        <f t="shared" si="11"/>
        <v>1814.9276335677521</v>
      </c>
    </row>
    <row r="28" spans="1:15" x14ac:dyDescent="0.4">
      <c r="A28">
        <v>38</v>
      </c>
      <c r="B28">
        <f t="shared" si="0"/>
        <v>44262.572609235947</v>
      </c>
      <c r="C28">
        <f t="shared" si="1"/>
        <v>251.14253544007647</v>
      </c>
      <c r="D28" s="3">
        <v>59.893799999999999</v>
      </c>
      <c r="E28" s="4">
        <f t="shared" si="2"/>
        <v>282.3682456840358</v>
      </c>
      <c r="F28">
        <f t="shared" si="3"/>
        <v>0.88766775227727734</v>
      </c>
      <c r="G28">
        <f t="shared" si="4"/>
        <v>0.19088174333651464</v>
      </c>
      <c r="H28">
        <f t="shared" si="5"/>
        <v>1.6992604279376753</v>
      </c>
      <c r="I28">
        <f t="shared" si="6"/>
        <v>1390.5799877815246</v>
      </c>
      <c r="J28">
        <f t="shared" si="7"/>
        <v>43.171054915293809</v>
      </c>
      <c r="K28">
        <f t="shared" si="8"/>
        <v>11512.609883293248</v>
      </c>
      <c r="L28">
        <f t="shared" si="9"/>
        <v>3.604826890748162</v>
      </c>
      <c r="M28">
        <f t="shared" si="10"/>
        <v>11116214.710183997</v>
      </c>
      <c r="O28">
        <f t="shared" si="11"/>
        <v>1789.207080677387</v>
      </c>
    </row>
    <row r="29" spans="1:15" x14ac:dyDescent="0.4">
      <c r="A29">
        <v>39</v>
      </c>
      <c r="B29">
        <f t="shared" si="0"/>
        <v>45871.062177950203</v>
      </c>
      <c r="C29">
        <f t="shared" si="1"/>
        <v>249.00054797900469</v>
      </c>
      <c r="D29">
        <v>59.883400000000002</v>
      </c>
      <c r="E29" s="4">
        <f t="shared" si="2"/>
        <v>278.3806360157617</v>
      </c>
      <c r="F29">
        <f t="shared" si="3"/>
        <v>0.88193319410331095</v>
      </c>
      <c r="G29">
        <f t="shared" si="4"/>
        <v>0.19775962941130493</v>
      </c>
      <c r="H29">
        <f t="shared" si="5"/>
        <v>1.6749807696529775</v>
      </c>
      <c r="I29">
        <f t="shared" si="6"/>
        <v>1503.3904620319327</v>
      </c>
      <c r="J29">
        <f t="shared" si="7"/>
        <v>45.374936087994428</v>
      </c>
      <c r="K29">
        <f t="shared" si="8"/>
        <v>11817.692876580006</v>
      </c>
      <c r="L29">
        <f t="shared" si="9"/>
        <v>4.2267421085914973</v>
      </c>
      <c r="M29">
        <f t="shared" si="10"/>
        <v>11421919.618688596</v>
      </c>
      <c r="O29">
        <f t="shared" si="11"/>
        <v>1760.8732843084604</v>
      </c>
    </row>
    <row r="30" spans="1:15" x14ac:dyDescent="0.4">
      <c r="A30">
        <v>40</v>
      </c>
      <c r="B30">
        <f t="shared" si="0"/>
        <v>47453.236008733504</v>
      </c>
      <c r="C30">
        <f t="shared" si="1"/>
        <v>247.06074159317208</v>
      </c>
      <c r="D30">
        <v>59.856099999999998</v>
      </c>
      <c r="E30" s="4">
        <f t="shared" si="2"/>
        <v>274.69191058540429</v>
      </c>
      <c r="F30">
        <f t="shared" si="3"/>
        <v>0.87654107209390764</v>
      </c>
      <c r="G30">
        <f t="shared" si="4"/>
        <v>0.2040749737558776</v>
      </c>
      <c r="H30">
        <f t="shared" si="5"/>
        <v>1.6529786643790145</v>
      </c>
      <c r="I30">
        <f t="shared" si="6"/>
        <v>1615.1781132019325</v>
      </c>
      <c r="J30">
        <f t="shared" si="7"/>
        <v>47.447213640496635</v>
      </c>
      <c r="K30">
        <f t="shared" si="8"/>
        <v>12118.843502481339</v>
      </c>
      <c r="L30">
        <f t="shared" si="9"/>
        <v>4.9881768321777784</v>
      </c>
      <c r="M30">
        <f t="shared" si="10"/>
        <v>11723831.679313516</v>
      </c>
      <c r="O30">
        <f t="shared" si="11"/>
        <v>1730.2881646637188</v>
      </c>
    </row>
    <row r="31" spans="1:15" x14ac:dyDescent="0.4">
      <c r="A31">
        <v>41</v>
      </c>
      <c r="B31">
        <f t="shared" si="0"/>
        <v>49008.846301387552</v>
      </c>
      <c r="C31">
        <f t="shared" si="1"/>
        <v>245.29667206032713</v>
      </c>
      <c r="D31">
        <v>59.81</v>
      </c>
      <c r="E31" s="4">
        <f t="shared" si="2"/>
        <v>271.26445395896144</v>
      </c>
      <c r="F31">
        <f t="shared" si="3"/>
        <v>0.8714688418282126</v>
      </c>
      <c r="G31">
        <f t="shared" si="4"/>
        <v>0.20988550604583936</v>
      </c>
      <c r="H31">
        <f t="shared" si="5"/>
        <v>1.6329542893040643</v>
      </c>
      <c r="I31">
        <f t="shared" si="6"/>
        <v>1725.78087627733</v>
      </c>
      <c r="J31">
        <f t="shared" si="7"/>
        <v>49.39655174938806</v>
      </c>
      <c r="K31">
        <f t="shared" si="8"/>
        <v>12415.783904470956</v>
      </c>
      <c r="L31">
        <f t="shared" si="9"/>
        <v>5.9229947754818655</v>
      </c>
      <c r="M31">
        <f t="shared" si="10"/>
        <v>12021706.899246437</v>
      </c>
      <c r="O31">
        <f t="shared" si="11"/>
        <v>1697.7805603414329</v>
      </c>
    </row>
    <row r="32" spans="1:15" x14ac:dyDescent="0.4">
      <c r="A32">
        <v>42</v>
      </c>
      <c r="B32">
        <f t="shared" si="0"/>
        <v>50537.766663195078</v>
      </c>
      <c r="C32">
        <f t="shared" si="1"/>
        <v>243.68587622901126</v>
      </c>
      <c r="D32">
        <v>59.74</v>
      </c>
      <c r="E32" s="4">
        <f t="shared" si="2"/>
        <v>268.06054187715165</v>
      </c>
      <c r="F32">
        <f t="shared" si="3"/>
        <v>0.86669313774890755</v>
      </c>
      <c r="G32">
        <f t="shared" si="4"/>
        <v>0.21524423301193957</v>
      </c>
      <c r="H32">
        <f t="shared" si="5"/>
        <v>1.6146523095451197</v>
      </c>
      <c r="I32">
        <f t="shared" si="6"/>
        <v>1835.0896758477559</v>
      </c>
      <c r="J32">
        <f t="shared" si="7"/>
        <v>51.231930166953248</v>
      </c>
      <c r="K32">
        <f t="shared" si="8"/>
        <v>12708.266013723514</v>
      </c>
      <c r="L32">
        <f t="shared" si="9"/>
        <v>7.0739382544923668</v>
      </c>
      <c r="M32">
        <f t="shared" si="10"/>
        <v>12315339.951978007</v>
      </c>
      <c r="O32">
        <f t="shared" si="11"/>
        <v>1663.6486524785364</v>
      </c>
    </row>
    <row r="33" spans="1:15" x14ac:dyDescent="0.4">
      <c r="A33">
        <v>43</v>
      </c>
      <c r="B33">
        <f t="shared" si="0"/>
        <v>52039.974460544814</v>
      </c>
      <c r="C33">
        <f t="shared" si="1"/>
        <v>242.20910139062016</v>
      </c>
      <c r="D33">
        <v>59.64</v>
      </c>
      <c r="E33" s="4">
        <f t="shared" si="2"/>
        <v>265.04577924199003</v>
      </c>
      <c r="F33">
        <f t="shared" si="3"/>
        <v>0.86219026703402768</v>
      </c>
      <c r="G33">
        <f t="shared" si="4"/>
        <v>0.22019970712018447</v>
      </c>
      <c r="H33">
        <f t="shared" si="5"/>
        <v>1.5978530861427305</v>
      </c>
      <c r="I33">
        <f t="shared" si="6"/>
        <v>1943.0419516416566</v>
      </c>
      <c r="J33">
        <f t="shared" si="7"/>
        <v>52.962454418443187</v>
      </c>
      <c r="K33">
        <f t="shared" si="8"/>
        <v>12996.06036631341</v>
      </c>
      <c r="L33">
        <f t="shared" si="9"/>
        <v>8.4950841659720204</v>
      </c>
      <c r="M33">
        <f t="shared" si="10"/>
        <v>12604555.450479383</v>
      </c>
      <c r="O33">
        <f t="shared" si="11"/>
        <v>1628.1623084506305</v>
      </c>
    </row>
    <row r="34" spans="1:15" x14ac:dyDescent="0.4">
      <c r="A34">
        <v>44</v>
      </c>
      <c r="B34">
        <f t="shared" si="0"/>
        <v>53515.53543677881</v>
      </c>
      <c r="C34">
        <f t="shared" si="1"/>
        <v>240.84967992281824</v>
      </c>
      <c r="D34">
        <v>59.52</v>
      </c>
      <c r="E34" s="4">
        <f t="shared" si="2"/>
        <v>262.21523794435575</v>
      </c>
      <c r="F34">
        <f t="shared" si="3"/>
        <v>0.85793643256682051</v>
      </c>
      <c r="G34">
        <f t="shared" si="4"/>
        <v>0.22479648768618976</v>
      </c>
      <c r="H34">
        <f t="shared" si="5"/>
        <v>1.5823654984021447</v>
      </c>
      <c r="I34">
        <f t="shared" si="6"/>
        <v>2049.6176559198084</v>
      </c>
      <c r="J34">
        <f t="shared" si="7"/>
        <v>54.597270111241109</v>
      </c>
      <c r="K34">
        <f t="shared" si="8"/>
        <v>13278.944564679239</v>
      </c>
      <c r="L34">
        <f t="shared" si="9"/>
        <v>10.255016167174945</v>
      </c>
      <c r="M34">
        <f t="shared" si="10"/>
        <v>12889199.580846414</v>
      </c>
      <c r="O34">
        <f t="shared" si="11"/>
        <v>1591.56532089137</v>
      </c>
    </row>
    <row r="35" spans="1:15" x14ac:dyDescent="0.4">
      <c r="A35">
        <v>45</v>
      </c>
      <c r="B35">
        <f t="shared" si="0"/>
        <v>54964.590316133166</v>
      </c>
      <c r="C35">
        <f t="shared" si="1"/>
        <v>239.59301313869361</v>
      </c>
      <c r="D35">
        <v>59.37</v>
      </c>
      <c r="E35" s="4">
        <f t="shared" si="2"/>
        <v>259.53451601952293</v>
      </c>
      <c r="F35">
        <f t="shared" si="3"/>
        <v>0.85390774373605904</v>
      </c>
      <c r="G35">
        <f t="shared" si="4"/>
        <v>0.2290757201918476</v>
      </c>
      <c r="H35">
        <f t="shared" si="5"/>
        <v>1.5680209618912495</v>
      </c>
      <c r="I35">
        <f t="shared" si="6"/>
        <v>2154.8375610905405</v>
      </c>
      <c r="J35">
        <f t="shared" si="7"/>
        <v>56.145558784131723</v>
      </c>
      <c r="K35">
        <f t="shared" si="8"/>
        <v>13556.690874864071</v>
      </c>
      <c r="L35">
        <f t="shared" si="9"/>
        <v>12.440934912134651</v>
      </c>
      <c r="M35">
        <f t="shared" si="10"/>
        <v>13169131.809776206</v>
      </c>
      <c r="O35">
        <f t="shared" si="11"/>
        <v>1554.0775270813463</v>
      </c>
    </row>
    <row r="36" spans="1:15" x14ac:dyDescent="0.4">
      <c r="A36">
        <v>46</v>
      </c>
      <c r="B36">
        <f t="shared" si="0"/>
        <v>56387.343146170453</v>
      </c>
      <c r="C36">
        <f t="shared" si="1"/>
        <v>238.42613574709955</v>
      </c>
      <c r="D36">
        <v>59.18</v>
      </c>
      <c r="E36" s="4">
        <f t="shared" si="2"/>
        <v>256.97313178272327</v>
      </c>
      <c r="F36">
        <f t="shared" si="3"/>
        <v>0.85008004960834782</v>
      </c>
      <c r="G36">
        <f t="shared" si="4"/>
        <v>0.23307579542356469</v>
      </c>
      <c r="H36">
        <f t="shared" si="5"/>
        <v>1.5546683067508724</v>
      </c>
      <c r="I36">
        <f t="shared" si="6"/>
        <v>2258.763862881673</v>
      </c>
      <c r="J36">
        <f t="shared" si="7"/>
        <v>57.616602021815844</v>
      </c>
      <c r="K36">
        <f t="shared" si="8"/>
        <v>13829.052328961139</v>
      </c>
      <c r="L36">
        <f t="shared" si="9"/>
        <v>15.164002425979145</v>
      </c>
      <c r="M36">
        <f t="shared" si="10"/>
        <v>13444216.331387119</v>
      </c>
      <c r="O36">
        <f t="shared" si="11"/>
        <v>1515.8968006204632</v>
      </c>
    </row>
    <row r="37" spans="1:15" x14ac:dyDescent="0.4">
      <c r="A37">
        <v>47</v>
      </c>
      <c r="B37">
        <f t="shared" si="0"/>
        <v>57784.051160572082</v>
      </c>
      <c r="C37">
        <f t="shared" si="1"/>
        <v>237.33733756493757</v>
      </c>
      <c r="D37">
        <v>58.95</v>
      </c>
      <c r="E37" s="4">
        <f t="shared" ref="E37:E60" si="12">169.19+D37*B$60/B37</f>
        <v>254.51839270633911</v>
      </c>
      <c r="F37">
        <f t="shared" si="3"/>
        <v>0.84642860891415339</v>
      </c>
      <c r="G37">
        <f t="shared" si="4"/>
        <v>0.23683307505403331</v>
      </c>
      <c r="H37">
        <f t="shared" si="5"/>
        <v>1.5421692372483837</v>
      </c>
      <c r="I37">
        <f t="shared" si="6"/>
        <v>2361.5032240886562</v>
      </c>
      <c r="J37">
        <f t="shared" si="7"/>
        <v>59.019908284485055</v>
      </c>
      <c r="K37">
        <f t="shared" si="8"/>
        <v>14095.746537485968</v>
      </c>
      <c r="L37">
        <f t="shared" si="9"/>
        <v>18.566318680352687</v>
      </c>
      <c r="M37">
        <f t="shared" si="10"/>
        <v>13714312.856166318</v>
      </c>
      <c r="O37">
        <f t="shared" si="11"/>
        <v>1477.2009123072139</v>
      </c>
    </row>
    <row r="38" spans="1:15" x14ac:dyDescent="0.4">
      <c r="A38">
        <v>48</v>
      </c>
      <c r="B38">
        <f t="shared" si="0"/>
        <v>59155.01597060421</v>
      </c>
      <c r="C38">
        <f t="shared" si="1"/>
        <v>236.31582256001906</v>
      </c>
      <c r="D38">
        <v>58.68</v>
      </c>
      <c r="E38" s="4">
        <f t="shared" si="12"/>
        <v>252.1590793880446</v>
      </c>
      <c r="F38">
        <f t="shared" si="3"/>
        <v>0.84292759324027267</v>
      </c>
      <c r="G38">
        <f t="shared" si="4"/>
        <v>0.24038268891986686</v>
      </c>
      <c r="H38">
        <f t="shared" si="5"/>
        <v>1.530394127643175</v>
      </c>
      <c r="I38">
        <f t="shared" si="6"/>
        <v>2463.2125878911907</v>
      </c>
      <c r="J38">
        <f t="shared" si="7"/>
        <v>60.365403838793597</v>
      </c>
      <c r="K38">
        <f t="shared" si="8"/>
        <v>14356.436187493071</v>
      </c>
      <c r="L38">
        <f t="shared" si="9"/>
        <v>22.830070151327273</v>
      </c>
      <c r="M38">
        <f t="shared" si="10"/>
        <v>13979266.257644398</v>
      </c>
      <c r="O38">
        <f t="shared" si="11"/>
        <v>1438.1492607448124</v>
      </c>
    </row>
    <row r="39" spans="1:15" x14ac:dyDescent="0.4">
      <c r="A39">
        <v>49</v>
      </c>
      <c r="B39">
        <f t="shared" si="0"/>
        <v>60500.575917146678</v>
      </c>
      <c r="C39">
        <f t="shared" si="1"/>
        <v>235.35138721175483</v>
      </c>
      <c r="D39">
        <v>58.37</v>
      </c>
      <c r="E39" s="4">
        <f t="shared" si="12"/>
        <v>249.88524166157777</v>
      </c>
      <c r="F39">
        <f t="shared" si="3"/>
        <v>0.83954940176352111</v>
      </c>
      <c r="G39">
        <f t="shared" si="4"/>
        <v>0.24375942476958526</v>
      </c>
      <c r="H39">
        <f t="shared" si="5"/>
        <v>1.519217924076059</v>
      </c>
      <c r="I39">
        <f t="shared" si="6"/>
        <v>2564.1083158970528</v>
      </c>
      <c r="J39">
        <f t="shared" si="7"/>
        <v>61.663696116512511</v>
      </c>
      <c r="K39">
        <f>I39+J39+F39*K40/EXP($C$2)</f>
        <v>14610.704879523822</v>
      </c>
      <c r="L39">
        <f t="shared" si="9"/>
        <v>28.189589686733967</v>
      </c>
      <c r="M39">
        <f t="shared" si="10"/>
        <v>14238894.469210556</v>
      </c>
      <c r="O39">
        <f t="shared" si="11"/>
        <v>1398.8844757196741</v>
      </c>
    </row>
    <row r="40" spans="1:15" x14ac:dyDescent="0.4">
      <c r="A40">
        <v>50</v>
      </c>
      <c r="B40">
        <f t="shared" si="0"/>
        <v>61821.09943606118</v>
      </c>
      <c r="C40">
        <f t="shared" si="1"/>
        <v>234.43410066937309</v>
      </c>
      <c r="D40">
        <v>58.01</v>
      </c>
      <c r="E40" s="4">
        <f t="shared" si="12"/>
        <v>247.67449770047341</v>
      </c>
      <c r="F40">
        <f t="shared" si="3"/>
        <v>0.83626374549299931</v>
      </c>
      <c r="G40">
        <f t="shared" si="4"/>
        <v>0.24699874624834842</v>
      </c>
      <c r="H40">
        <f t="shared" si="5"/>
        <v>1.5085159178219003</v>
      </c>
      <c r="I40">
        <f t="shared" si="6"/>
        <v>2664.4795009653494</v>
      </c>
      <c r="J40">
        <f t="shared" si="7"/>
        <v>62.926425654673295</v>
      </c>
      <c r="K40">
        <f t="shared" ref="K40:K55" si="13">I40+J40+F40*K41/EXP($C$2)</f>
        <v>14858.026496445244</v>
      </c>
      <c r="L40">
        <f t="shared" si="9"/>
        <v>34.947352239647778</v>
      </c>
      <c r="M40">
        <f t="shared" si="10"/>
        <v>14492973.84868489</v>
      </c>
      <c r="O40">
        <f t="shared" si="11"/>
        <v>1359.5338991150277</v>
      </c>
    </row>
    <row r="41" spans="1:15" x14ac:dyDescent="0.4">
      <c r="A41">
        <v>51</v>
      </c>
      <c r="B41">
        <f t="shared" si="0"/>
        <v>63116.979308110233</v>
      </c>
      <c r="C41">
        <f t="shared" si="1"/>
        <v>233.55396821671636</v>
      </c>
      <c r="D41">
        <v>57.59</v>
      </c>
      <c r="E41" s="4">
        <f t="shared" si="12"/>
        <v>245.50652985619695</v>
      </c>
      <c r="F41">
        <f t="shared" si="3"/>
        <v>0.83303643339619882</v>
      </c>
      <c r="G41">
        <f t="shared" si="4"/>
        <v>0.25013799167941569</v>
      </c>
      <c r="H41">
        <f t="shared" si="5"/>
        <v>1.498159129967465</v>
      </c>
      <c r="I41">
        <f t="shared" si="6"/>
        <v>2764.7067084490272</v>
      </c>
      <c r="J41">
        <f t="shared" si="7"/>
        <v>64.166732606455071</v>
      </c>
      <c r="K41">
        <f t="shared" si="13"/>
        <v>15097.725633520951</v>
      </c>
      <c r="L41">
        <f t="shared" si="9"/>
        <v>43.495345740569824</v>
      </c>
      <c r="M41">
        <f t="shared" si="10"/>
        <v>14741220.979261521</v>
      </c>
      <c r="O41">
        <f t="shared" si="11"/>
        <v>1320.2109492343641</v>
      </c>
    </row>
    <row r="42" spans="1:15" x14ac:dyDescent="0.4">
      <c r="A42">
        <v>52</v>
      </c>
      <c r="B42">
        <f t="shared" si="0"/>
        <v>64388.627680861486</v>
      </c>
      <c r="C42">
        <f t="shared" si="1"/>
        <v>232.70055688104284</v>
      </c>
      <c r="D42">
        <v>57.11</v>
      </c>
      <c r="E42" s="4">
        <f t="shared" si="12"/>
        <v>243.37579125159436</v>
      </c>
      <c r="F42">
        <f t="shared" si="3"/>
        <v>0.82982775782884977</v>
      </c>
      <c r="G42">
        <f t="shared" si="4"/>
        <v>0.25321782730194242</v>
      </c>
      <c r="H42">
        <f t="shared" si="5"/>
        <v>1.4880089964805736</v>
      </c>
      <c r="I42">
        <f t="shared" si="6"/>
        <v>2865.2879738645247</v>
      </c>
      <c r="J42">
        <f t="shared" si="7"/>
        <v>65.399877245965101</v>
      </c>
      <c r="K42">
        <f t="shared" si="13"/>
        <v>15328.925647143529</v>
      </c>
      <c r="L42">
        <f t="shared" si="9"/>
        <v>54.343870999069615</v>
      </c>
      <c r="M42">
        <f t="shared" si="10"/>
        <v>14983269.518142598</v>
      </c>
      <c r="O42">
        <f t="shared" si="11"/>
        <v>1281.0163750716299</v>
      </c>
    </row>
    <row r="43" spans="1:15" x14ac:dyDescent="0.4">
      <c r="A43">
        <v>53</v>
      </c>
      <c r="B43">
        <f t="shared" si="0"/>
        <v>65636.471764238406</v>
      </c>
      <c r="C43">
        <f t="shared" si="1"/>
        <v>231.86255715071113</v>
      </c>
      <c r="D43">
        <v>56.57</v>
      </c>
      <c r="E43" s="4">
        <f t="shared" si="12"/>
        <v>241.27728894587267</v>
      </c>
      <c r="F43">
        <f t="shared" si="3"/>
        <v>0.82659032597937543</v>
      </c>
      <c r="G43">
        <f t="shared" si="4"/>
        <v>0.25628405718180208</v>
      </c>
      <c r="H43">
        <f t="shared" si="5"/>
        <v>1.4779109564055855</v>
      </c>
      <c r="I43">
        <f t="shared" si="6"/>
        <v>2966.874729717164</v>
      </c>
      <c r="J43">
        <f t="shared" si="7"/>
        <v>66.644073378345226</v>
      </c>
      <c r="K43">
        <f t="shared" si="13"/>
        <v>15550.479430662701</v>
      </c>
      <c r="L43">
        <f t="shared" si="9"/>
        <v>68.160754944062319</v>
      </c>
      <c r="M43">
        <f t="shared" si="10"/>
        <v>15218640.185606765</v>
      </c>
      <c r="O43">
        <f t="shared" si="11"/>
        <v>1242.0394073960308</v>
      </c>
    </row>
    <row r="44" spans="1:15" x14ac:dyDescent="0.4">
      <c r="A44">
        <v>54</v>
      </c>
      <c r="B44">
        <f t="shared" si="0"/>
        <v>66860.950113846062</v>
      </c>
      <c r="C44">
        <f t="shared" si="1"/>
        <v>231.02724679323202</v>
      </c>
      <c r="D44">
        <v>55.95</v>
      </c>
      <c r="E44" s="4">
        <f t="shared" si="12"/>
        <v>239.18149808002076</v>
      </c>
      <c r="F44">
        <f t="shared" si="3"/>
        <v>0.82326610711892201</v>
      </c>
      <c r="G44">
        <f t="shared" si="4"/>
        <v>0.25938993245578468</v>
      </c>
      <c r="H44">
        <f t="shared" si="5"/>
        <v>1.4676864082336765</v>
      </c>
      <c r="I44">
        <f t="shared" si="6"/>
        <v>3070.3216138458261</v>
      </c>
      <c r="J44">
        <f t="shared" si="7"/>
        <v>67.92162312816707</v>
      </c>
      <c r="K44">
        <f t="shared" si="13"/>
        <v>15760.875819443007</v>
      </c>
      <c r="L44">
        <f t="shared" si="9"/>
        <v>85.825403338481919</v>
      </c>
      <c r="M44">
        <f t="shared" si="10"/>
        <v>15446701.222781489</v>
      </c>
      <c r="O44">
        <f t="shared" si="11"/>
        <v>1203.358813610366</v>
      </c>
    </row>
    <row r="45" spans="1:15" x14ac:dyDescent="0.4">
      <c r="A45">
        <v>55</v>
      </c>
      <c r="B45">
        <f t="shared" si="0"/>
        <v>68062.509427099489</v>
      </c>
      <c r="C45">
        <f t="shared" si="1"/>
        <v>230.17981013516527</v>
      </c>
      <c r="D45">
        <v>55.35</v>
      </c>
      <c r="E45" s="4">
        <f t="shared" si="12"/>
        <v>237.20855633703948</v>
      </c>
      <c r="F45">
        <f t="shared" si="3"/>
        <v>0.81978234444914377</v>
      </c>
      <c r="G45">
        <f t="shared" si="4"/>
        <v>0.26259916154341933</v>
      </c>
      <c r="H45">
        <f t="shared" si="5"/>
        <v>1.4571222821690497</v>
      </c>
      <c r="I45">
        <f t="shared" si="6"/>
        <v>3176.7561063268631</v>
      </c>
      <c r="J45">
        <f t="shared" si="7"/>
        <v>69.260488080821489</v>
      </c>
      <c r="K45">
        <f t="shared" si="13"/>
        <v>15958.111085712251</v>
      </c>
      <c r="L45">
        <f t="shared" si="9"/>
        <v>108.50441154040583</v>
      </c>
      <c r="M45">
        <f t="shared" si="10"/>
        <v>15666615.497252656</v>
      </c>
      <c r="O45">
        <f t="shared" si="11"/>
        <v>1165.0438632615442</v>
      </c>
    </row>
    <row r="46" spans="1:15" x14ac:dyDescent="0.4">
      <c r="A46">
        <v>56</v>
      </c>
      <c r="B46">
        <f t="shared" si="0"/>
        <v>69241.601786706393</v>
      </c>
      <c r="C46">
        <f t="shared" si="1"/>
        <v>229.30244618925744</v>
      </c>
      <c r="D46">
        <v>54.74</v>
      </c>
      <c r="E46" s="4">
        <f t="shared" si="12"/>
        <v>235.31343846748007</v>
      </c>
      <c r="F46">
        <f t="shared" si="3"/>
        <v>0.81604578359181712</v>
      </c>
      <c r="G46">
        <f t="shared" si="4"/>
        <v>0.26598991077424472</v>
      </c>
      <c r="H46">
        <f t="shared" si="5"/>
        <v>1.4459571298112013</v>
      </c>
      <c r="I46">
        <f t="shared" si="6"/>
        <v>3287.6771430680483</v>
      </c>
      <c r="J46">
        <f t="shared" si="7"/>
        <v>70.696507365009239</v>
      </c>
      <c r="K46">
        <f t="shared" si="13"/>
        <v>16139.50946698181</v>
      </c>
      <c r="L46">
        <f t="shared" si="9"/>
        <v>137.75920077242552</v>
      </c>
      <c r="M46">
        <f t="shared" si="10"/>
        <v>15877268.667754235</v>
      </c>
      <c r="O46">
        <f t="shared" si="11"/>
        <v>1127.1552108827775</v>
      </c>
    </row>
    <row r="47" spans="1:15" x14ac:dyDescent="0.4">
      <c r="A47">
        <v>57</v>
      </c>
      <c r="B47">
        <f t="shared" si="0"/>
        <v>70398.682294367114</v>
      </c>
      <c r="C47">
        <f t="shared" si="1"/>
        <v>228.37316695921831</v>
      </c>
      <c r="D47">
        <v>54.05</v>
      </c>
      <c r="E47" s="4">
        <f t="shared" si="12"/>
        <v>233.40683693131376</v>
      </c>
      <c r="F47">
        <f t="shared" si="3"/>
        <v>0.81193433909609725</v>
      </c>
      <c r="G47">
        <f t="shared" si="4"/>
        <v>0.26966021775620497</v>
      </c>
      <c r="H47">
        <f t="shared" si="5"/>
        <v>1.4338620695566278</v>
      </c>
      <c r="I47">
        <f t="shared" si="6"/>
        <v>3405.09715164817</v>
      </c>
      <c r="J47">
        <f t="shared" si="7"/>
        <v>72.27660034546868</v>
      </c>
      <c r="K47">
        <f t="shared" si="13"/>
        <v>16301.467554587784</v>
      </c>
      <c r="L47">
        <f t="shared" si="9"/>
        <v>175.70247073268573</v>
      </c>
      <c r="M47">
        <f t="shared" si="10"/>
        <v>16077170.025320467</v>
      </c>
      <c r="O47">
        <f t="shared" si="11"/>
        <v>1089.7457025680176</v>
      </c>
    </row>
    <row r="48" spans="1:15" x14ac:dyDescent="0.4">
      <c r="A48">
        <v>58</v>
      </c>
      <c r="B48">
        <f t="shared" si="0"/>
        <v>71534.207044809009</v>
      </c>
      <c r="C48">
        <f t="shared" si="1"/>
        <v>227.36413455288738</v>
      </c>
      <c r="D48">
        <v>53.26</v>
      </c>
      <c r="E48" s="4">
        <f t="shared" si="12"/>
        <v>231.46376690745524</v>
      </c>
      <c r="F48">
        <f t="shared" si="3"/>
        <v>0.80728474480023205</v>
      </c>
      <c r="G48">
        <f t="shared" si="4"/>
        <v>0.27373544316769344</v>
      </c>
      <c r="H48">
        <f t="shared" si="5"/>
        <v>1.4204139827121638</v>
      </c>
      <c r="I48">
        <f t="shared" si="6"/>
        <v>3531.7510178788407</v>
      </c>
      <c r="J48">
        <f t="shared" si="7"/>
        <v>74.063512783792746</v>
      </c>
      <c r="K48">
        <f t="shared" si="13"/>
        <v>16439.081778279204</v>
      </c>
      <c r="L48">
        <f t="shared" si="9"/>
        <v>225.23129739085707</v>
      </c>
      <c r="M48">
        <f t="shared" si="10"/>
        <v>16264313.07567006</v>
      </c>
      <c r="O48">
        <f t="shared" si="11"/>
        <v>1052.861112349995</v>
      </c>
    </row>
    <row r="49" spans="1:15" x14ac:dyDescent="0.4">
      <c r="A49">
        <v>59</v>
      </c>
      <c r="B49">
        <f t="shared" si="0"/>
        <v>72648.631396596043</v>
      </c>
      <c r="C49">
        <f t="shared" si="1"/>
        <v>226.23929633141194</v>
      </c>
      <c r="D49">
        <v>52.34</v>
      </c>
      <c r="E49" s="4">
        <f t="shared" si="12"/>
        <v>229.44929177905294</v>
      </c>
      <c r="F49">
        <f t="shared" si="3"/>
        <v>0.80187369279748888</v>
      </c>
      <c r="G49">
        <f t="shared" si="4"/>
        <v>0.27837869893109513</v>
      </c>
      <c r="H49">
        <f t="shared" si="5"/>
        <v>1.4050567179176034</v>
      </c>
      <c r="I49">
        <f t="shared" si="6"/>
        <v>3671.4115761780417</v>
      </c>
      <c r="J49">
        <f t="shared" si="7"/>
        <v>76.143065431368612</v>
      </c>
      <c r="K49">
        <f t="shared" si="13"/>
        <v>16545.590518640234</v>
      </c>
      <c r="L49">
        <f t="shared" si="9"/>
        <v>290.38472796577315</v>
      </c>
      <c r="M49">
        <f t="shared" si="10"/>
        <v>16435975.246606009</v>
      </c>
      <c r="O49">
        <f t="shared" si="11"/>
        <v>1016.540814095346</v>
      </c>
    </row>
    <row r="50" spans="1:15" x14ac:dyDescent="0.4">
      <c r="A50">
        <v>60</v>
      </c>
      <c r="B50">
        <f t="shared" si="0"/>
        <v>73742.408501675411</v>
      </c>
      <c r="C50">
        <f t="shared" si="1"/>
        <v>224.95091981964407</v>
      </c>
      <c r="D50">
        <v>51.26</v>
      </c>
      <c r="E50" s="4">
        <f t="shared" si="12"/>
        <v>227.33053528334955</v>
      </c>
      <c r="F50">
        <f t="shared" si="3"/>
        <v>0.79538799869156374</v>
      </c>
      <c r="G50">
        <f t="shared" si="4"/>
        <v>0.28380566385041711</v>
      </c>
      <c r="H50">
        <f t="shared" si="5"/>
        <v>1.3870430963753819</v>
      </c>
      <c r="I50">
        <f t="shared" si="6"/>
        <v>3829.3809664514156</v>
      </c>
      <c r="J50">
        <f t="shared" si="7"/>
        <v>78.635619992386751</v>
      </c>
      <c r="K50">
        <f t="shared" si="13"/>
        <v>16611.510951112381</v>
      </c>
      <c r="L50">
        <f t="shared" si="9"/>
        <v>376.91167105544537</v>
      </c>
      <c r="M50">
        <f t="shared" si="10"/>
        <v>16588422.622167824</v>
      </c>
      <c r="O50">
        <f t="shared" si="11"/>
        <v>980.81839425988278</v>
      </c>
    </row>
    <row r="51" spans="1:15" x14ac:dyDescent="0.4">
      <c r="A51">
        <v>61</v>
      </c>
      <c r="B51">
        <f t="shared" si="0"/>
        <v>74815.988060426782</v>
      </c>
      <c r="C51">
        <f t="shared" si="1"/>
        <v>223.43433902431445</v>
      </c>
      <c r="D51">
        <v>49.99</v>
      </c>
      <c r="E51" s="4">
        <f t="shared" si="12"/>
        <v>225.07644222199937</v>
      </c>
      <c r="F51">
        <f t="shared" si="3"/>
        <v>0.78737542220593293</v>
      </c>
      <c r="G51">
        <f t="shared" si="4"/>
        <v>0.29030587570236355</v>
      </c>
      <c r="H51">
        <f t="shared" si="5"/>
        <v>1.365344866121418</v>
      </c>
      <c r="I51">
        <f t="shared" si="6"/>
        <v>4013.284889880028</v>
      </c>
      <c r="J51">
        <f t="shared" si="7"/>
        <v>81.714979539504483</v>
      </c>
      <c r="K51">
        <f t="shared" si="13"/>
        <v>16623.250321088337</v>
      </c>
      <c r="L51">
        <f t="shared" si="9"/>
        <v>493.2105196441226</v>
      </c>
      <c r="M51">
        <f t="shared" si="10"/>
        <v>16716460.840732461</v>
      </c>
      <c r="O51">
        <f t="shared" si="11"/>
        <v>945.72221047520827</v>
      </c>
    </row>
    <row r="52" spans="1:15" x14ac:dyDescent="0.4">
      <c r="A52">
        <v>62</v>
      </c>
      <c r="B52">
        <f t="shared" si="0"/>
        <v>75869.815273183005</v>
      </c>
      <c r="C52">
        <f t="shared" si="1"/>
        <v>221.59966081743443</v>
      </c>
      <c r="D52">
        <v>48.49</v>
      </c>
      <c r="E52" s="4">
        <f t="shared" si="12"/>
        <v>222.64654665669059</v>
      </c>
      <c r="F52">
        <f t="shared" si="3"/>
        <v>0.77715953004384419</v>
      </c>
      <c r="G52">
        <f t="shared" si="4"/>
        <v>0.29827338428912037</v>
      </c>
      <c r="H52">
        <f t="shared" si="5"/>
        <v>1.3385063509685027</v>
      </c>
      <c r="I52">
        <f t="shared" si="6"/>
        <v>4234.4150237058802</v>
      </c>
      <c r="J52">
        <f t="shared" si="7"/>
        <v>85.641108059846019</v>
      </c>
      <c r="K52">
        <f t="shared" si="13"/>
        <v>16560.763371741545</v>
      </c>
      <c r="L52">
        <f t="shared" si="9"/>
        <v>651.96195907721506</v>
      </c>
      <c r="M52">
        <f t="shared" si="10"/>
        <v>16812725.330818761</v>
      </c>
      <c r="O52">
        <f t="shared" si="11"/>
        <v>911.27590057330019</v>
      </c>
    </row>
    <row r="53" spans="1:15" x14ac:dyDescent="0.4">
      <c r="A53">
        <v>63</v>
      </c>
      <c r="B53">
        <f t="shared" si="0"/>
        <v>76904.329962842152</v>
      </c>
      <c r="C53">
        <f t="shared" si="1"/>
        <v>219.3180167587318</v>
      </c>
      <c r="D53">
        <v>46.77</v>
      </c>
      <c r="E53" s="4">
        <f t="shared" si="12"/>
        <v>220.05678851912339</v>
      </c>
      <c r="F53">
        <f t="shared" si="3"/>
        <v>0.76368331643051801</v>
      </c>
      <c r="G53">
        <f t="shared" si="4"/>
        <v>0.30824977563866912</v>
      </c>
      <c r="H53">
        <f t="shared" si="5"/>
        <v>1.3043927791413732</v>
      </c>
      <c r="I53">
        <f t="shared" si="6"/>
        <v>4510.1236511354964</v>
      </c>
      <c r="J53">
        <f t="shared" si="7"/>
        <v>90.820229547623853</v>
      </c>
      <c r="K53">
        <f t="shared" si="13"/>
        <v>16393.365179968714</v>
      </c>
      <c r="L53">
        <f t="shared" si="9"/>
        <v>873.13994764094332</v>
      </c>
      <c r="M53">
        <f t="shared" si="10"/>
        <v>16866505.127609655</v>
      </c>
      <c r="O53">
        <f t="shared" si="11"/>
        <v>877.49884630326642</v>
      </c>
    </row>
    <row r="54" spans="1:15" x14ac:dyDescent="0.4">
      <c r="A54">
        <v>64</v>
      </c>
      <c r="B54">
        <f t="shared" si="0"/>
        <v>77919.965846392312</v>
      </c>
      <c r="C54">
        <f t="shared" si="1"/>
        <v>216.39735112485502</v>
      </c>
      <c r="D54">
        <v>44.77</v>
      </c>
      <c r="E54" s="4">
        <f t="shared" si="12"/>
        <v>217.24693657206481</v>
      </c>
      <c r="F54">
        <f t="shared" si="3"/>
        <v>0.74520008354703271</v>
      </c>
      <c r="G54">
        <f t="shared" si="4"/>
        <v>0.32097793831345062</v>
      </c>
      <c r="H54">
        <f t="shared" si="5"/>
        <v>1.2597254456820002</v>
      </c>
      <c r="I54">
        <f t="shared" si="6"/>
        <v>4868.3884470154935</v>
      </c>
      <c r="J54">
        <f t="shared" si="7"/>
        <v>97.92362752996209</v>
      </c>
      <c r="K54">
        <f t="shared" si="13"/>
        <v>16071.686886496154</v>
      </c>
      <c r="L54">
        <f t="shared" si="9"/>
        <v>1189.9873224023145</v>
      </c>
      <c r="M54">
        <f t="shared" si="10"/>
        <v>16861674.20889847</v>
      </c>
      <c r="O54">
        <f t="shared" si="11"/>
        <v>844.40659565860665</v>
      </c>
    </row>
    <row r="55" spans="1:15" x14ac:dyDescent="0.4">
      <c r="A55">
        <v>65</v>
      </c>
      <c r="B55">
        <f t="shared" si="0"/>
        <v>78917.149935948793</v>
      </c>
      <c r="C55">
        <f t="shared" si="1"/>
        <v>212.53636632155408</v>
      </c>
      <c r="D55">
        <v>42.36</v>
      </c>
      <c r="E55" s="4">
        <f t="shared" si="12"/>
        <v>214.08544710669622</v>
      </c>
      <c r="F55">
        <f t="shared" si="3"/>
        <v>0.71860203334666362</v>
      </c>
      <c r="G55">
        <f t="shared" si="4"/>
        <v>0.33743523744679743</v>
      </c>
      <c r="H55">
        <f t="shared" si="5"/>
        <v>1.1991388618045533</v>
      </c>
      <c r="I55">
        <f t="shared" si="6"/>
        <v>5357.2756333375592</v>
      </c>
      <c r="J55">
        <f t="shared" si="7"/>
        <v>108.14567782378528</v>
      </c>
      <c r="K55">
        <f t="shared" si="13"/>
        <v>15510.725254761117</v>
      </c>
      <c r="L55">
        <f t="shared" si="9"/>
        <v>1662.0390330787043</v>
      </c>
      <c r="M55">
        <f t="shared" si="10"/>
        <v>16772764.287839821</v>
      </c>
      <c r="O55">
        <f t="shared" si="11"/>
        <v>812.01124741558294</v>
      </c>
    </row>
    <row r="56" spans="1:15" x14ac:dyDescent="0.4">
      <c r="A56">
        <v>66</v>
      </c>
      <c r="B56">
        <f t="shared" si="0"/>
        <v>79896.302052342799</v>
      </c>
      <c r="C56">
        <f t="shared" si="1"/>
        <v>207.22753050791439</v>
      </c>
      <c r="D56">
        <v>39.369999999999997</v>
      </c>
      <c r="E56" s="4">
        <f t="shared" si="12"/>
        <v>210.40511140393784</v>
      </c>
      <c r="F56">
        <f t="shared" si="3"/>
        <v>0.67776460367036662</v>
      </c>
      <c r="G56">
        <f t="shared" si="4"/>
        <v>0.35864946188562447</v>
      </c>
      <c r="H56">
        <f t="shared" si="5"/>
        <v>1.1130045487577069</v>
      </c>
      <c r="I56">
        <f t="shared" si="6"/>
        <v>6066.8412729138972</v>
      </c>
      <c r="J56">
        <f t="shared" si="7"/>
        <v>123.84014628583002</v>
      </c>
      <c r="K56">
        <f>I56+J56+F56*K57/EXP($C$2)</f>
        <v>14549.444740427234</v>
      </c>
      <c r="L56">
        <f t="shared" si="9"/>
        <v>2407.2686305941779</v>
      </c>
      <c r="M56">
        <f t="shared" si="10"/>
        <v>16556713.37102141</v>
      </c>
      <c r="O56">
        <f t="shared" si="11"/>
        <v>780.32180118545921</v>
      </c>
    </row>
    <row r="57" spans="1:15" x14ac:dyDescent="0.4">
      <c r="A57">
        <v>67</v>
      </c>
      <c r="B57">
        <f t="shared" si="0"/>
        <v>80857.834436419915</v>
      </c>
      <c r="C57">
        <f>(K57+L57-$G$2)/(B57/1000)</f>
        <v>199.52156607032893</v>
      </c>
      <c r="D57">
        <v>35.58</v>
      </c>
      <c r="E57" s="4">
        <f t="shared" si="12"/>
        <v>205.99455575965848</v>
      </c>
      <c r="F57">
        <f>NORMDIST(C58,$I$2,$L$2,TRUE)</f>
        <v>0.60863775987088786</v>
      </c>
      <c r="G57">
        <f>NORMDIST((C58-$I$2)/$L$2,0,1,FALSE)</f>
        <v>0.3840574346170389</v>
      </c>
      <c r="H57">
        <f>G57/(1-F57)</f>
        <v>0.98133492513313658</v>
      </c>
      <c r="I57">
        <f>(B58/1000)*EXP(-$C$2)*($I$2+$L$2*H57)*(1-F57)</f>
        <v>7188.1617401143385</v>
      </c>
      <c r="J57">
        <f>$G$2/EXP($C$2)*(1-F57)</f>
        <v>150.40668287961859</v>
      </c>
      <c r="K57">
        <f>I57+J57+F57*K58/EXP($C$2)</f>
        <v>12836.154140455768</v>
      </c>
      <c r="L57">
        <f>L58*F57/EXP($C$2)</f>
        <v>3696.7276153541079</v>
      </c>
      <c r="M57">
        <f t="shared" si="10"/>
        <v>16132881.755809873</v>
      </c>
      <c r="O57">
        <f t="shared" si="11"/>
        <v>749.34447600541694</v>
      </c>
    </row>
    <row r="58" spans="1:15" x14ac:dyDescent="0.4">
      <c r="A58">
        <v>68</v>
      </c>
      <c r="B58">
        <f t="shared" si="0"/>
        <v>81802.15144506772</v>
      </c>
      <c r="C58">
        <f>(K58+L58-$G$2)/(B58/1000)</f>
        <v>187.31638321999151</v>
      </c>
      <c r="D58">
        <v>30.51</v>
      </c>
      <c r="E58" s="4">
        <f t="shared" si="12"/>
        <v>200.38573508521159</v>
      </c>
      <c r="F58">
        <f>NORMDIST(C59,$I$2,$L$2,TRUE)</f>
        <v>0.47062598301639103</v>
      </c>
      <c r="G58">
        <f>NORMDIST((C59-$I$2)/$L$2,0,1,FALSE)</f>
        <v>0.39786039059024642</v>
      </c>
      <c r="H58">
        <f>G58/(1-F58)</f>
        <v>0.75156765883083643</v>
      </c>
      <c r="I58">
        <f>(B59/1000)*EXP(-$C$2)*($I$2+$L$2*H58)*(1-F58)</f>
        <v>9197.7879451865665</v>
      </c>
      <c r="J58">
        <f>$G$2/EXP($C$2)*(1-F58)</f>
        <v>203.44678595179764</v>
      </c>
      <c r="K58">
        <f>I58+J58</f>
        <v>9401.2347311383637</v>
      </c>
      <c r="L58">
        <f>F58*($I$2*$B$60/1000+$G$2)/EXP($C$2*2)</f>
        <v>6321.6484171657239</v>
      </c>
      <c r="M58">
        <f t="shared" si="10"/>
        <v>15322883.148304088</v>
      </c>
      <c r="O58">
        <f t="shared" si="11"/>
        <v>719.08300023510662</v>
      </c>
    </row>
    <row r="59" spans="1:15" x14ac:dyDescent="0.4">
      <c r="A59">
        <v>69</v>
      </c>
      <c r="B59">
        <f t="shared" si="0"/>
        <v>82729.649320608747</v>
      </c>
      <c r="C59">
        <f>((I2*B60+G2)*EXP(-C2)-G2)/B59</f>
        <v>164.34593584671683</v>
      </c>
      <c r="D59">
        <v>22.92</v>
      </c>
      <c r="E59" s="4">
        <f t="shared" si="12"/>
        <v>192.36240828414643</v>
      </c>
      <c r="O59">
        <f t="shared" si="11"/>
        <v>689.53887528724192</v>
      </c>
    </row>
    <row r="60" spans="1:15" x14ac:dyDescent="0.4">
      <c r="A60">
        <v>70</v>
      </c>
      <c r="B60">
        <f t="shared" ref="B60" si="14">EXP(12.09-52.9/A60)</f>
        <v>83640.716023621455</v>
      </c>
      <c r="C60">
        <f>I2</f>
        <v>169.19</v>
      </c>
      <c r="D60">
        <v>0</v>
      </c>
      <c r="E60" s="4">
        <f t="shared" si="12"/>
        <v>169.19</v>
      </c>
      <c r="O60">
        <f t="shared" si="11"/>
        <v>660.71161550095997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0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B69" sqref="B69"/>
    </sheetView>
  </sheetViews>
  <sheetFormatPr defaultRowHeight="14.6" x14ac:dyDescent="0.4"/>
  <cols>
    <col min="4" max="4" width="11.3046875" customWidth="1"/>
    <col min="5" max="5" width="12.3046875" customWidth="1"/>
    <col min="11" max="11" width="11.69140625" customWidth="1"/>
  </cols>
  <sheetData>
    <row r="2" spans="1:16" x14ac:dyDescent="0.4">
      <c r="B2" s="1" t="s">
        <v>0</v>
      </c>
      <c r="C2">
        <v>0.04</v>
      </c>
      <c r="F2" s="1" t="s">
        <v>8</v>
      </c>
      <c r="G2">
        <v>400</v>
      </c>
      <c r="H2" s="1" t="s">
        <v>7</v>
      </c>
      <c r="I2">
        <v>169.19</v>
      </c>
      <c r="K2" s="1" t="s">
        <v>1</v>
      </c>
      <c r="L2">
        <v>65.73</v>
      </c>
    </row>
    <row r="3" spans="1:16" x14ac:dyDescent="0.4">
      <c r="E3" t="s">
        <v>21</v>
      </c>
    </row>
    <row r="4" spans="1:16" x14ac:dyDescent="0.4">
      <c r="A4" t="s">
        <v>10</v>
      </c>
      <c r="B4" t="s">
        <v>9</v>
      </c>
      <c r="C4" t="s">
        <v>2</v>
      </c>
      <c r="D4" t="s">
        <v>20</v>
      </c>
      <c r="E4" t="s">
        <v>22</v>
      </c>
      <c r="F4" t="s">
        <v>3</v>
      </c>
      <c r="G4" s="2" t="s">
        <v>11</v>
      </c>
      <c r="H4" s="2" t="s">
        <v>12</v>
      </c>
      <c r="I4" t="s">
        <v>6</v>
      </c>
      <c r="J4" t="s">
        <v>4</v>
      </c>
      <c r="K4" t="s">
        <v>13</v>
      </c>
      <c r="L4" t="s">
        <v>5</v>
      </c>
      <c r="M4" t="s">
        <v>15</v>
      </c>
      <c r="O4" t="s">
        <v>16</v>
      </c>
      <c r="P4" t="s">
        <v>19</v>
      </c>
    </row>
    <row r="5" spans="1:16" x14ac:dyDescent="0.4">
      <c r="A5">
        <v>15</v>
      </c>
      <c r="B5">
        <f>EXP(12.09-52.9/A5)</f>
        <v>5236.1058012742687</v>
      </c>
      <c r="O5">
        <f>(($B5*$I$2)/1000 - 60*EXP($C$2*$A5))/(EXP($C$2*$A5)-1)</f>
        <v>944.59537006730682</v>
      </c>
    </row>
    <row r="6" spans="1:16" x14ac:dyDescent="0.4">
      <c r="A6">
        <v>16</v>
      </c>
      <c r="B6">
        <f t="shared" ref="B6:B8" si="0">EXP(12.09-52.9/A6)</f>
        <v>6527.3087433098653</v>
      </c>
      <c r="C6">
        <f t="shared" ref="C6:C8" si="1">(K6+L6-$G$2)/(B6/1000)</f>
        <v>734.94659905878916</v>
      </c>
      <c r="D6" s="3">
        <v>61.375300000000003</v>
      </c>
      <c r="E6" s="4">
        <f>169.19+D6*B$70/B6</f>
        <v>1033.5656670102853</v>
      </c>
      <c r="F6">
        <f t="shared" ref="F6:F8" si="2">NORMDIST(C7,$I$2,$L$2,TRUE)</f>
        <v>0.99999999999902545</v>
      </c>
      <c r="G6">
        <f t="shared" ref="G6:G8" si="3">NORMDIST((C7-$I$2)/$L$2,0,1,FALSE)</f>
        <v>6.9926801403237399E-12</v>
      </c>
      <c r="H6">
        <f t="shared" ref="H6:H8" si="4">G6/(1-F6)</f>
        <v>7.1752635393672959</v>
      </c>
      <c r="I6">
        <f t="shared" ref="I6:I8" si="5">(B7/1000)*EXP(-$C$2)*($I$2+$L$2*H6)*(1-F6)</f>
        <v>4.7573836889434605E-9</v>
      </c>
      <c r="J6">
        <f t="shared" ref="J6:J8" si="6">$G$2/EXP($C$2)*(1-F6)</f>
        <v>3.7453638843128322E-10</v>
      </c>
      <c r="K6">
        <f t="shared" ref="K6:K8" si="7">I6+J6+F6*K7/EXP($C$2)</f>
        <v>5197.1689426057801</v>
      </c>
      <c r="L6">
        <f t="shared" ref="L6:L8" si="8">L7*F6/EXP($C$2)</f>
        <v>5.4419296504257253E-2</v>
      </c>
      <c r="M6">
        <f t="shared" ref="M6:M8" si="9">C6*B6</f>
        <v>4797223.3619022844</v>
      </c>
      <c r="O6">
        <f t="shared" ref="O6:O69" si="10">(($B6*$I$2)/1000 - 60*EXP($C$2*$A6))/(EXP($C$2*$A6)-1)</f>
        <v>1104.9499620006316</v>
      </c>
    </row>
    <row r="7" spans="1:16" x14ac:dyDescent="0.4">
      <c r="A7">
        <v>17</v>
      </c>
      <c r="B7">
        <f t="shared" si="0"/>
        <v>7928.6280660355969</v>
      </c>
      <c r="C7">
        <f t="shared" si="1"/>
        <v>631.80237857429643</v>
      </c>
      <c r="D7" s="3">
        <v>61.420900000000003</v>
      </c>
      <c r="E7" s="4">
        <f t="shared" ref="E7:E70" si="11">169.19+D7*B$70/B7</f>
        <v>881.32312980393931</v>
      </c>
      <c r="F7">
        <f t="shared" si="2"/>
        <v>0.99999999780024529</v>
      </c>
      <c r="G7">
        <f t="shared" si="3"/>
        <v>1.3264798531490677E-8</v>
      </c>
      <c r="H7">
        <f t="shared" si="4"/>
        <v>6.0301262049033131</v>
      </c>
      <c r="I7">
        <f t="shared" si="5"/>
        <v>1.1265505734426071E-5</v>
      </c>
      <c r="J7">
        <f t="shared" si="6"/>
        <v>8.4540043829771449E-7</v>
      </c>
      <c r="K7">
        <f t="shared" si="7"/>
        <v>5409.2694307620877</v>
      </c>
      <c r="L7">
        <f t="shared" si="8"/>
        <v>5.6640190125656319E-2</v>
      </c>
      <c r="M7">
        <f t="shared" si="9"/>
        <v>5009326.0709522143</v>
      </c>
      <c r="O7">
        <f t="shared" si="10"/>
        <v>1255.816698629819</v>
      </c>
    </row>
    <row r="8" spans="1:16" x14ac:dyDescent="0.4">
      <c r="A8">
        <v>18</v>
      </c>
      <c r="B8">
        <f t="shared" si="0"/>
        <v>9424.9066816039176</v>
      </c>
      <c r="C8">
        <f t="shared" si="1"/>
        <v>554.92165941068379</v>
      </c>
      <c r="D8" s="3">
        <v>61.462299999999999</v>
      </c>
      <c r="E8" s="4">
        <f t="shared" si="11"/>
        <v>768.67015276441589</v>
      </c>
      <c r="F8">
        <f t="shared" si="2"/>
        <v>0.9999996759216867</v>
      </c>
      <c r="G8">
        <f t="shared" si="3"/>
        <v>1.6734007175786115E-6</v>
      </c>
      <c r="H8">
        <f t="shared" si="4"/>
        <v>5.1635689551640338</v>
      </c>
      <c r="I8">
        <f t="shared" si="5"/>
        <v>1.7422088287583008E-3</v>
      </c>
      <c r="J8">
        <f t="shared" si="6"/>
        <v>1.2454840834934673E-4</v>
      </c>
      <c r="K8">
        <f t="shared" si="7"/>
        <v>5630.025903826222</v>
      </c>
      <c r="L8">
        <f t="shared" si="8"/>
        <v>5.8951720264767735E-2</v>
      </c>
      <c r="M8">
        <f t="shared" si="9"/>
        <v>5230084.8555464875</v>
      </c>
      <c r="O8">
        <f t="shared" si="10"/>
        <v>1395.3790092816466</v>
      </c>
    </row>
    <row r="9" spans="1:16" x14ac:dyDescent="0.4">
      <c r="A9">
        <v>19</v>
      </c>
      <c r="B9">
        <f t="shared" ref="B9:B69" si="12">EXP(12.09-52.9/A9)</f>
        <v>11001.528247091775</v>
      </c>
      <c r="C9">
        <f t="shared" ref="C9:C20" si="13">(K9+L9-$G$2)/(B9/1000)</f>
        <v>496.28131753637842</v>
      </c>
      <c r="D9" s="3">
        <v>61.499299999999998</v>
      </c>
      <c r="E9" s="4">
        <f t="shared" si="11"/>
        <v>683.06822392394929</v>
      </c>
      <c r="F9">
        <f t="shared" ref="F9:F20" si="14">NORMDIST(C10,$I$2,$L$2,TRUE)</f>
        <v>0.99999077281647797</v>
      </c>
      <c r="G9">
        <f t="shared" ref="G9:G20" si="15">NORMDIST((C10-$I$2)/$L$2,0,1,FALSE)</f>
        <v>4.1484514318438097E-5</v>
      </c>
      <c r="H9">
        <f t="shared" ref="H9:H20" si="16">G9/(1-F9)</f>
        <v>4.4959021590268442</v>
      </c>
      <c r="I9">
        <f t="shared" ref="I9:I20" si="17">(B10/1000)*EXP(-$C$2)*($I$2+$L$2*H9)*(1-F9)</f>
        <v>5.2093880871000246E-2</v>
      </c>
      <c r="J9">
        <f t="shared" ref="J9:J20" si="18">$G$2/EXP($C$2)*(1-F9)</f>
        <v>3.5461521924352603E-3</v>
      </c>
      <c r="K9">
        <f t="shared" ref="K9:K20" si="19">I9+J9+F9*K10/EXP($C$2)</f>
        <v>5859.791575774896</v>
      </c>
      <c r="L9">
        <f t="shared" ref="L9:L20" si="20">L10*F9/EXP($C$2)</f>
        <v>6.1357605493415297E-2</v>
      </c>
      <c r="M9">
        <f>C9*B9</f>
        <v>5459852.9333803905</v>
      </c>
      <c r="O9">
        <f t="shared" si="10"/>
        <v>1522.5232326642395</v>
      </c>
    </row>
    <row r="10" spans="1:16" x14ac:dyDescent="0.4">
      <c r="A10">
        <v>20</v>
      </c>
      <c r="B10">
        <f t="shared" si="12"/>
        <v>12644.783024990649</v>
      </c>
      <c r="C10">
        <f t="shared" si="13"/>
        <v>450.69942463982318</v>
      </c>
      <c r="D10" s="3">
        <v>61.531700000000001</v>
      </c>
      <c r="E10" s="4">
        <f t="shared" si="11"/>
        <v>616.52264457749106</v>
      </c>
      <c r="F10">
        <f t="shared" si="14"/>
        <v>0.99990627893019113</v>
      </c>
      <c r="G10">
        <f t="shared" si="15"/>
        <v>3.7244571345857738E-4</v>
      </c>
      <c r="H10">
        <f t="shared" si="16"/>
        <v>3.9739806024207418</v>
      </c>
      <c r="I10">
        <f t="shared" si="17"/>
        <v>0.5558393245579869</v>
      </c>
      <c r="J10">
        <f t="shared" si="18"/>
        <v>3.6018485639368727E-2</v>
      </c>
      <c r="K10">
        <f t="shared" si="19"/>
        <v>6098.9325718125438</v>
      </c>
      <c r="L10">
        <f t="shared" si="20"/>
        <v>6.3862246144858012E-2</v>
      </c>
      <c r="M10">
        <f t="shared" ref="M10:M68" si="21">C10*B10</f>
        <v>5698996.4340586886</v>
      </c>
      <c r="O10">
        <f t="shared" si="10"/>
        <v>1636.6963661964292</v>
      </c>
    </row>
    <row r="11" spans="1:16" x14ac:dyDescent="0.4">
      <c r="A11">
        <v>21</v>
      </c>
      <c r="B11">
        <f t="shared" si="12"/>
        <v>14342.06893513009</v>
      </c>
      <c r="C11">
        <f t="shared" si="13"/>
        <v>414.7156275263967</v>
      </c>
      <c r="D11" s="3">
        <v>61.5593</v>
      </c>
      <c r="E11" s="4">
        <f t="shared" si="11"/>
        <v>563.76078621739111</v>
      </c>
      <c r="F11">
        <f t="shared" si="14"/>
        <v>0.9995126020652404</v>
      </c>
      <c r="G11">
        <f t="shared" si="15"/>
        <v>1.7356778819102631E-3</v>
      </c>
      <c r="H11">
        <f t="shared" si="16"/>
        <v>3.5611104564206686</v>
      </c>
      <c r="I11">
        <f t="shared" si="17"/>
        <v>3.0369556028340283</v>
      </c>
      <c r="J11">
        <f t="shared" si="18"/>
        <v>0.18731471535267205</v>
      </c>
      <c r="K11">
        <f t="shared" si="19"/>
        <v>6347.8136437153798</v>
      </c>
      <c r="L11">
        <f t="shared" si="20"/>
        <v>6.6474743935811459E-2</v>
      </c>
      <c r="M11">
        <f t="shared" si="21"/>
        <v>5947880.118459315</v>
      </c>
      <c r="O11">
        <f t="shared" si="10"/>
        <v>1737.7772801028029</v>
      </c>
    </row>
    <row r="12" spans="1:16" x14ac:dyDescent="0.4">
      <c r="A12">
        <v>22</v>
      </c>
      <c r="B12">
        <f t="shared" si="12"/>
        <v>16081.978005410669</v>
      </c>
      <c r="C12">
        <f t="shared" si="13"/>
        <v>385.94794166178929</v>
      </c>
      <c r="D12" s="3">
        <v>61.581899999999997</v>
      </c>
      <c r="E12" s="4">
        <f t="shared" si="11"/>
        <v>521.20136103302798</v>
      </c>
      <c r="F12">
        <f t="shared" si="14"/>
        <v>0.99838066208344334</v>
      </c>
      <c r="G12">
        <f t="shared" si="15"/>
        <v>5.2324325815069047E-3</v>
      </c>
      <c r="H12">
        <f t="shared" si="16"/>
        <v>3.231217232678079</v>
      </c>
      <c r="I12">
        <f t="shared" si="17"/>
        <v>10.599659319373876</v>
      </c>
      <c r="J12">
        <f t="shared" si="18"/>
        <v>0.6223371074586268</v>
      </c>
      <c r="K12">
        <f t="shared" si="19"/>
        <v>6606.7370876703626</v>
      </c>
      <c r="L12">
        <f t="shared" si="20"/>
        <v>6.9221368051902418E-2</v>
      </c>
      <c r="M12">
        <f t="shared" si="21"/>
        <v>6206806.3090384156</v>
      </c>
      <c r="O12">
        <f t="shared" si="10"/>
        <v>1825.9666967345638</v>
      </c>
    </row>
    <row r="13" spans="1:16" x14ac:dyDescent="0.4">
      <c r="A13">
        <v>23</v>
      </c>
      <c r="B13">
        <f t="shared" si="12"/>
        <v>17854.306167671504</v>
      </c>
      <c r="C13">
        <f t="shared" si="13"/>
        <v>362.70743553905612</v>
      </c>
      <c r="D13" s="3">
        <v>61.599200000000003</v>
      </c>
      <c r="E13" s="4">
        <f t="shared" si="11"/>
        <v>486.34762290674655</v>
      </c>
      <c r="F13">
        <f t="shared" si="14"/>
        <v>0.99604501441180548</v>
      </c>
      <c r="G13">
        <f t="shared" si="15"/>
        <v>1.1727591375499162E-2</v>
      </c>
      <c r="H13">
        <f t="shared" si="16"/>
        <v>2.9652677902305351</v>
      </c>
      <c r="I13">
        <f t="shared" si="17"/>
        <v>27.186490869089628</v>
      </c>
      <c r="J13">
        <f t="shared" si="18"/>
        <v>1.5199633540547717</v>
      </c>
      <c r="K13">
        <f t="shared" si="19"/>
        <v>6875.8174402030008</v>
      </c>
      <c r="L13">
        <f t="shared" si="20"/>
        <v>7.2163202282392827E-2</v>
      </c>
      <c r="M13">
        <f t="shared" si="21"/>
        <v>6475889.6034052847</v>
      </c>
      <c r="O13">
        <f t="shared" si="10"/>
        <v>1901.6967551441876</v>
      </c>
    </row>
    <row r="14" spans="1:16" x14ac:dyDescent="0.4">
      <c r="A14">
        <v>24</v>
      </c>
      <c r="B14">
        <f t="shared" si="12"/>
        <v>19650.014070110999</v>
      </c>
      <c r="C14">
        <f t="shared" si="13"/>
        <v>343.76156547941218</v>
      </c>
      <c r="D14" s="3">
        <v>61.6111</v>
      </c>
      <c r="E14" s="4">
        <f t="shared" si="11"/>
        <v>457.41998364332801</v>
      </c>
      <c r="F14">
        <f t="shared" si="14"/>
        <v>0.99221742677459712</v>
      </c>
      <c r="G14">
        <f t="shared" si="15"/>
        <v>2.1394716851120429E-2</v>
      </c>
      <c r="H14">
        <f t="shared" si="16"/>
        <v>2.7490543592042971</v>
      </c>
      <c r="I14">
        <f t="shared" si="17"/>
        <v>56.147490296795844</v>
      </c>
      <c r="J14">
        <f t="shared" si="18"/>
        <v>2.9909656657586869</v>
      </c>
      <c r="K14">
        <f t="shared" si="19"/>
        <v>7154.8441919638954</v>
      </c>
      <c r="L14">
        <f t="shared" si="20"/>
        <v>7.5406469937599016E-2</v>
      </c>
      <c r="M14">
        <f t="shared" si="21"/>
        <v>6754919.5984338326</v>
      </c>
      <c r="O14">
        <f t="shared" si="10"/>
        <v>1965.5587415838625</v>
      </c>
    </row>
    <row r="15" spans="1:16" x14ac:dyDescent="0.4">
      <c r="A15">
        <v>25</v>
      </c>
      <c r="B15">
        <f t="shared" si="12"/>
        <v>21461.158523947059</v>
      </c>
      <c r="C15">
        <f t="shared" si="13"/>
        <v>328.18794161443094</v>
      </c>
      <c r="D15">
        <v>61.617100000000001</v>
      </c>
      <c r="E15" s="4">
        <f t="shared" si="11"/>
        <v>433.12145503604751</v>
      </c>
      <c r="F15">
        <f t="shared" si="14"/>
        <v>0.9868795196623712</v>
      </c>
      <c r="G15">
        <f t="shared" si="15"/>
        <v>3.3743280817849552E-2</v>
      </c>
      <c r="H15">
        <f t="shared" si="16"/>
        <v>2.5718022472908793</v>
      </c>
      <c r="I15">
        <f t="shared" si="17"/>
        <v>99.264507059535347</v>
      </c>
      <c r="J15">
        <f t="shared" si="18"/>
        <v>5.0424075779997848</v>
      </c>
      <c r="K15">
        <f t="shared" si="19"/>
        <v>7443.2143411714605</v>
      </c>
      <c r="L15">
        <f t="shared" si="20"/>
        <v>7.9099463723384819E-2</v>
      </c>
      <c r="M15">
        <f t="shared" si="21"/>
        <v>7043293.4406351838</v>
      </c>
      <c r="O15">
        <f t="shared" si="10"/>
        <v>2018.2466249259512</v>
      </c>
    </row>
    <row r="16" spans="1:16" x14ac:dyDescent="0.4">
      <c r="A16">
        <v>26</v>
      </c>
      <c r="B16">
        <f t="shared" si="12"/>
        <v>23280.808145220224</v>
      </c>
      <c r="C16">
        <f t="shared" si="13"/>
        <v>315.28327402876511</v>
      </c>
      <c r="D16">
        <v>61.616999999999997</v>
      </c>
      <c r="E16" s="4">
        <f t="shared" si="11"/>
        <v>412.49193213022659</v>
      </c>
      <c r="F16">
        <f t="shared" si="14"/>
        <v>0.9802359666928061</v>
      </c>
      <c r="G16">
        <f t="shared" si="15"/>
        <v>4.7932942619214401E-2</v>
      </c>
      <c r="H16">
        <f t="shared" si="16"/>
        <v>2.4252611738802994</v>
      </c>
      <c r="I16">
        <f t="shared" si="17"/>
        <v>156.63880188419185</v>
      </c>
      <c r="J16">
        <f t="shared" si="18"/>
        <v>7.5956297906426631</v>
      </c>
      <c r="K16">
        <f t="shared" si="19"/>
        <v>7739.9659919483147</v>
      </c>
      <c r="L16">
        <f t="shared" si="20"/>
        <v>8.3422112259766604E-2</v>
      </c>
      <c r="M16">
        <f t="shared" si="21"/>
        <v>7340049.414060575</v>
      </c>
      <c r="O16">
        <f t="shared" si="10"/>
        <v>2060.513804352971</v>
      </c>
    </row>
    <row r="17" spans="1:24" x14ac:dyDescent="0.4">
      <c r="A17">
        <v>27</v>
      </c>
      <c r="B17">
        <f t="shared" si="12"/>
        <v>25102.952325700138</v>
      </c>
      <c r="C17">
        <f t="shared" si="13"/>
        <v>304.5048674723875</v>
      </c>
      <c r="D17">
        <v>61.610599999999998</v>
      </c>
      <c r="E17" s="4">
        <f t="shared" si="11"/>
        <v>394.80797501100028</v>
      </c>
      <c r="F17">
        <f t="shared" si="14"/>
        <v>0.97260881620990125</v>
      </c>
      <c r="G17">
        <f t="shared" si="15"/>
        <v>6.308403958500057E-2</v>
      </c>
      <c r="H17">
        <f t="shared" si="16"/>
        <v>2.3030782484035583</v>
      </c>
      <c r="I17">
        <f t="shared" si="17"/>
        <v>227.13163747536069</v>
      </c>
      <c r="J17">
        <f t="shared" si="18"/>
        <v>10.526864044562874</v>
      </c>
      <c r="K17">
        <f t="shared" si="19"/>
        <v>8043.8825938254731</v>
      </c>
      <c r="L17">
        <f t="shared" si="20"/>
        <v>8.8577277508796418E-2</v>
      </c>
      <c r="M17">
        <f t="shared" si="21"/>
        <v>7643971.171102982</v>
      </c>
      <c r="O17">
        <f t="shared" si="10"/>
        <v>2093.1406044203954</v>
      </c>
    </row>
    <row r="18" spans="1:24" x14ac:dyDescent="0.4">
      <c r="A18">
        <v>28</v>
      </c>
      <c r="B18">
        <f t="shared" si="12"/>
        <v>26922.409500471225</v>
      </c>
      <c r="C18">
        <f t="shared" si="13"/>
        <v>295.4309273430095</v>
      </c>
      <c r="D18">
        <v>61.597499999999997</v>
      </c>
      <c r="E18" s="4">
        <f t="shared" si="11"/>
        <v>379.51564068229703</v>
      </c>
      <c r="F18">
        <f t="shared" si="14"/>
        <v>0.9643427631279694</v>
      </c>
      <c r="G18">
        <f t="shared" si="15"/>
        <v>7.8458136998846129E-2</v>
      </c>
      <c r="H18">
        <f t="shared" si="16"/>
        <v>2.2003425918957955</v>
      </c>
      <c r="I18">
        <f t="shared" si="17"/>
        <v>308.93116575712901</v>
      </c>
      <c r="J18">
        <f t="shared" si="18"/>
        <v>13.703638646399925</v>
      </c>
      <c r="K18">
        <f t="shared" si="19"/>
        <v>8353.6176164769386</v>
      </c>
      <c r="L18">
        <f t="shared" si="20"/>
        <v>9.4788555525378029E-2</v>
      </c>
      <c r="M18">
        <f t="shared" si="21"/>
        <v>7953712.4050324634</v>
      </c>
      <c r="O18">
        <f t="shared" si="10"/>
        <v>2116.9103388588678</v>
      </c>
    </row>
    <row r="19" spans="1:24" x14ac:dyDescent="0.4">
      <c r="A19">
        <v>29</v>
      </c>
      <c r="B19">
        <f t="shared" si="12"/>
        <v>28734.73845590062</v>
      </c>
      <c r="C19">
        <f t="shared" si="13"/>
        <v>287.73206594926398</v>
      </c>
      <c r="D19">
        <v>61.577399999999997</v>
      </c>
      <c r="E19" s="4">
        <f t="shared" si="11"/>
        <v>366.18588715593171</v>
      </c>
      <c r="F19">
        <f t="shared" si="14"/>
        <v>0.95574702687616364</v>
      </c>
      <c r="G19">
        <f t="shared" si="15"/>
        <v>9.3517324874546684E-2</v>
      </c>
      <c r="H19">
        <f t="shared" si="16"/>
        <v>2.1132438856221083</v>
      </c>
      <c r="I19">
        <f t="shared" si="17"/>
        <v>400.00699815452623</v>
      </c>
      <c r="J19">
        <f t="shared" si="18"/>
        <v>17.007115691389426</v>
      </c>
      <c r="K19">
        <f t="shared" si="19"/>
        <v>8667.8033555696165</v>
      </c>
      <c r="L19">
        <f t="shared" si="20"/>
        <v>0.10230485843118729</v>
      </c>
      <c r="M19">
        <f t="shared" si="21"/>
        <v>8267905.660428049</v>
      </c>
      <c r="O19">
        <f t="shared" si="10"/>
        <v>2132.5920993672689</v>
      </c>
    </row>
    <row r="20" spans="1:24" x14ac:dyDescent="0.4">
      <c r="A20">
        <v>30</v>
      </c>
      <c r="B20">
        <f t="shared" si="12"/>
        <v>30536.154886362325</v>
      </c>
      <c r="C20">
        <f t="shared" si="13"/>
        <v>281.15001555361255</v>
      </c>
      <c r="D20">
        <v>61.55</v>
      </c>
      <c r="E20" s="4">
        <f t="shared" si="11"/>
        <v>354.48204203109867</v>
      </c>
      <c r="F20">
        <f t="shared" si="14"/>
        <v>0.94707069366542995</v>
      </c>
      <c r="G20">
        <f t="shared" si="15"/>
        <v>0.10791295123882676</v>
      </c>
      <c r="H20">
        <f t="shared" si="16"/>
        <v>2.0388128753605996</v>
      </c>
      <c r="I20">
        <f t="shared" si="17"/>
        <v>498.39429618764837</v>
      </c>
      <c r="J20">
        <f t="shared" si="18"/>
        <v>20.341567419165223</v>
      </c>
      <c r="K20">
        <f t="shared" si="19"/>
        <v>8985.1290110153368</v>
      </c>
      <c r="L20">
        <f t="shared" si="20"/>
        <v>0.1114102329519497</v>
      </c>
      <c r="M20">
        <f t="shared" si="21"/>
        <v>8585240.4212482888</v>
      </c>
      <c r="O20">
        <f t="shared" si="10"/>
        <v>2140.9287528495315</v>
      </c>
    </row>
    <row r="21" spans="1:24" x14ac:dyDescent="0.4">
      <c r="A21">
        <v>31</v>
      </c>
      <c r="B21">
        <f t="shared" si="12"/>
        <v>32323.454367192026</v>
      </c>
      <c r="C21">
        <f t="shared" ref="C21:C38" si="22">(K21+L21-$G$2)/(B21/1000)</f>
        <v>275.48139954148581</v>
      </c>
      <c r="D21">
        <v>61.514699999999998</v>
      </c>
      <c r="E21" s="4">
        <f t="shared" si="11"/>
        <v>344.1360749936245</v>
      </c>
      <c r="F21">
        <f t="shared" ref="F21:F38" si="23">NORMDIST(C22,$I$2,$L$2,TRUE)</f>
        <v>0.93849945217115072</v>
      </c>
      <c r="G21">
        <f t="shared" ref="G21:G38" si="24">NORMDIST((C22-$I$2)/$L$2,0,1,FALSE)</f>
        <v>0.12144658739172808</v>
      </c>
      <c r="H21">
        <f t="shared" ref="H21:H38" si="25">G21/(1-F21)</f>
        <v>1.9747236679859088</v>
      </c>
      <c r="I21">
        <f t="shared" ref="I21:I38" si="26">(B22/1000)*EXP(-$C$2)*($I$2+$L$2*H21)*(1-F21)</f>
        <v>602.33629907926957</v>
      </c>
      <c r="J21">
        <f t="shared" ref="J21:J38" si="27">$G$2/EXP($C$2)*(1-F21)</f>
        <v>23.635630742416293</v>
      </c>
      <c r="K21">
        <f t="shared" ref="K21:K38" si="28">I21+J21+F21*K22/EXP($C$2)</f>
        <v>9304.3880095865006</v>
      </c>
      <c r="L21">
        <f t="shared" ref="L21:L38" si="29">L22*F21/EXP($C$2)</f>
        <v>0.12243750291003831</v>
      </c>
      <c r="M21">
        <f t="shared" si="21"/>
        <v>8904510.4470894113</v>
      </c>
      <c r="O21" s="3">
        <f t="shared" si="10"/>
        <v>2142.628924299353</v>
      </c>
      <c r="P21">
        <f>(B21*I2/1000)*(EXP(-C2*A21)) - 60</f>
        <v>1522.5859287073952</v>
      </c>
    </row>
    <row r="22" spans="1:24" x14ac:dyDescent="0.4">
      <c r="A22">
        <v>32</v>
      </c>
      <c r="B22">
        <f t="shared" si="12"/>
        <v>34093.942220576573</v>
      </c>
      <c r="C22">
        <f t="shared" si="22"/>
        <v>270.56527435522321</v>
      </c>
      <c r="D22">
        <v>61.471400000000003</v>
      </c>
      <c r="E22" s="4">
        <f t="shared" si="11"/>
        <v>334.93443038491728</v>
      </c>
      <c r="F22">
        <f t="shared" si="23"/>
        <v>0.93016289755081494</v>
      </c>
      <c r="G22">
        <f t="shared" si="24"/>
        <v>0.13402741295128681</v>
      </c>
      <c r="H22">
        <f t="shared" si="25"/>
        <v>1.9191433815400341</v>
      </c>
      <c r="I22">
        <f t="shared" si="26"/>
        <v>710.33441315429161</v>
      </c>
      <c r="J22">
        <f t="shared" si="27"/>
        <v>26.83950019767034</v>
      </c>
      <c r="K22">
        <f t="shared" si="28"/>
        <v>9624.5010456292166</v>
      </c>
      <c r="L22">
        <f t="shared" si="29"/>
        <v>0.13578513221203251</v>
      </c>
      <c r="M22">
        <f t="shared" si="21"/>
        <v>9224636.8307614289</v>
      </c>
      <c r="O22">
        <f t="shared" si="10"/>
        <v>2138.3619938063848</v>
      </c>
    </row>
    <row r="23" spans="1:24" x14ac:dyDescent="0.4">
      <c r="A23">
        <v>33</v>
      </c>
      <c r="B23">
        <f t="shared" si="12"/>
        <v>35845.370305234981</v>
      </c>
      <c r="C23">
        <f t="shared" si="22"/>
        <v>266.27356123367997</v>
      </c>
      <c r="D23">
        <v>61.419499999999999</v>
      </c>
      <c r="E23" s="4">
        <f t="shared" si="11"/>
        <v>326.70295003641763</v>
      </c>
      <c r="F23">
        <f t="shared" si="23"/>
        <v>0.92214544885881133</v>
      </c>
      <c r="G23">
        <f t="shared" si="24"/>
        <v>0.14563613027849104</v>
      </c>
      <c r="H23">
        <f t="shared" si="25"/>
        <v>1.8706180710538163</v>
      </c>
      <c r="I23">
        <f t="shared" si="26"/>
        <v>821.1470340470247</v>
      </c>
      <c r="J23">
        <f t="shared" si="27"/>
        <v>29.920732210559407</v>
      </c>
      <c r="K23">
        <f t="shared" si="28"/>
        <v>9944.5224674113342</v>
      </c>
      <c r="L23">
        <f t="shared" si="29"/>
        <v>0.15193750358517244</v>
      </c>
      <c r="M23">
        <f t="shared" si="21"/>
        <v>9544674.4049149211</v>
      </c>
      <c r="O23">
        <f t="shared" si="10"/>
        <v>2128.7553445901949</v>
      </c>
    </row>
    <row r="24" spans="1:24" x14ac:dyDescent="0.4">
      <c r="A24">
        <v>34</v>
      </c>
      <c r="B24">
        <f t="shared" si="12"/>
        <v>37575.880484160509</v>
      </c>
      <c r="C24">
        <f t="shared" si="22"/>
        <v>262.50370710333118</v>
      </c>
      <c r="D24">
        <v>61.358600000000003</v>
      </c>
      <c r="E24" s="4">
        <f t="shared" si="11"/>
        <v>319.29990016200964</v>
      </c>
      <c r="F24">
        <f t="shared" si="23"/>
        <v>0.91449724820657718</v>
      </c>
      <c r="G24">
        <f t="shared" si="24"/>
        <v>0.15629785663480739</v>
      </c>
      <c r="H24">
        <f t="shared" si="25"/>
        <v>1.8279862736164052</v>
      </c>
      <c r="I24">
        <f t="shared" si="26"/>
        <v>933.76436907201605</v>
      </c>
      <c r="J24">
        <f t="shared" si="27"/>
        <v>32.860056376633203</v>
      </c>
      <c r="K24">
        <f t="shared" si="28"/>
        <v>10263.636435341077</v>
      </c>
      <c r="L24">
        <f t="shared" si="29"/>
        <v>0.17148942277060941</v>
      </c>
      <c r="M24">
        <f t="shared" si="21"/>
        <v>9863807.924763849</v>
      </c>
      <c r="O24">
        <f t="shared" si="10"/>
        <v>2114.3932682986365</v>
      </c>
      <c r="X24" t="s">
        <v>14</v>
      </c>
    </row>
    <row r="25" spans="1:24" x14ac:dyDescent="0.4">
      <c r="A25">
        <v>35</v>
      </c>
      <c r="B25">
        <f t="shared" si="12"/>
        <v>39283.954363558747</v>
      </c>
      <c r="C25">
        <f t="shared" si="22"/>
        <v>259.1730602682722</v>
      </c>
      <c r="D25">
        <v>61.2883</v>
      </c>
      <c r="E25" s="4">
        <f t="shared" si="11"/>
        <v>312.60858633022787</v>
      </c>
      <c r="F25">
        <f t="shared" si="23"/>
        <v>0.90724352217795601</v>
      </c>
      <c r="G25">
        <f t="shared" si="24"/>
        <v>0.16606316954398845</v>
      </c>
      <c r="H25">
        <f t="shared" si="25"/>
        <v>1.7903134470304649</v>
      </c>
      <c r="I25">
        <f t="shared" si="26"/>
        <v>1047.3749737798157</v>
      </c>
      <c r="J25">
        <f t="shared" si="27"/>
        <v>35.647777721754622</v>
      </c>
      <c r="K25">
        <f t="shared" si="28"/>
        <v>10581.147495707111</v>
      </c>
      <c r="L25">
        <f t="shared" si="29"/>
        <v>0.19517613555395283</v>
      </c>
      <c r="M25">
        <f t="shared" si="21"/>
        <v>10181342.671842666</v>
      </c>
      <c r="O25">
        <f t="shared" si="10"/>
        <v>2095.8170693399188</v>
      </c>
    </row>
    <row r="26" spans="1:24" x14ac:dyDescent="0.4">
      <c r="A26">
        <v>36</v>
      </c>
      <c r="B26">
        <f t="shared" si="12"/>
        <v>40968.368812522793</v>
      </c>
      <c r="C26">
        <f t="shared" si="22"/>
        <v>256.21455852251472</v>
      </c>
      <c r="D26">
        <v>61.207900000000002</v>
      </c>
      <c r="E26" s="4">
        <f t="shared" si="11"/>
        <v>306.53152549971753</v>
      </c>
      <c r="F26">
        <f t="shared" si="23"/>
        <v>0.90039201385473022</v>
      </c>
      <c r="G26">
        <f t="shared" si="24"/>
        <v>0.17499550772040284</v>
      </c>
      <c r="H26">
        <f t="shared" si="25"/>
        <v>1.7568421418056457</v>
      </c>
      <c r="I26">
        <f t="shared" si="26"/>
        <v>1161.3320611918848</v>
      </c>
      <c r="J26">
        <f t="shared" si="27"/>
        <v>38.280920457442448</v>
      </c>
      <c r="K26">
        <f t="shared" si="28"/>
        <v>10896.468618106435</v>
      </c>
      <c r="L26">
        <f t="shared" si="29"/>
        <v>0.22391058165080172</v>
      </c>
      <c r="M26">
        <f t="shared" si="21"/>
        <v>10496692.528688088</v>
      </c>
      <c r="O26">
        <f t="shared" si="10"/>
        <v>2073.5260173059946</v>
      </c>
    </row>
    <row r="27" spans="1:24" x14ac:dyDescent="0.4">
      <c r="A27">
        <v>37</v>
      </c>
      <c r="B27">
        <f t="shared" si="12"/>
        <v>42628.156740435646</v>
      </c>
      <c r="C27">
        <f t="shared" si="22"/>
        <v>253.57341738750523</v>
      </c>
      <c r="D27">
        <v>61.116999999999997</v>
      </c>
      <c r="E27" s="4">
        <f t="shared" si="11"/>
        <v>300.98791329899007</v>
      </c>
      <c r="F27">
        <f t="shared" si="23"/>
        <v>0.8939386071924702</v>
      </c>
      <c r="G27">
        <f t="shared" si="24"/>
        <v>0.18316314593582272</v>
      </c>
      <c r="H27">
        <f t="shared" si="25"/>
        <v>1.7269539941664722</v>
      </c>
      <c r="I27">
        <f t="shared" si="26"/>
        <v>1275.123159715461</v>
      </c>
      <c r="J27">
        <f t="shared" si="27"/>
        <v>40.761066444504316</v>
      </c>
      <c r="K27">
        <f t="shared" si="28"/>
        <v>11209.108551512643</v>
      </c>
      <c r="L27">
        <f t="shared" si="29"/>
        <v>0.25883008984066697</v>
      </c>
      <c r="M27">
        <f t="shared" si="21"/>
        <v>10809367.381602483</v>
      </c>
      <c r="O27">
        <f t="shared" si="10"/>
        <v>2047.978880751662</v>
      </c>
    </row>
    <row r="28" spans="1:24" x14ac:dyDescent="0.4">
      <c r="A28">
        <v>38</v>
      </c>
      <c r="B28">
        <f t="shared" si="12"/>
        <v>44262.572609235947</v>
      </c>
      <c r="C28">
        <f t="shared" si="22"/>
        <v>251.20457857916941</v>
      </c>
      <c r="D28">
        <v>61.015099999999997</v>
      </c>
      <c r="E28" s="4">
        <f t="shared" si="11"/>
        <v>295.90958304315984</v>
      </c>
      <c r="F28">
        <f t="shared" si="23"/>
        <v>0.88787144817337138</v>
      </c>
      <c r="G28">
        <f t="shared" si="24"/>
        <v>0.19063430338442575</v>
      </c>
      <c r="H28">
        <f t="shared" si="25"/>
        <v>1.7001406000425427</v>
      </c>
      <c r="I28">
        <f t="shared" si="26"/>
        <v>1388.3443018640646</v>
      </c>
      <c r="J28">
        <f t="shared" si="27"/>
        <v>43.092771368987485</v>
      </c>
      <c r="K28">
        <f t="shared" si="28"/>
        <v>11518.659543822891</v>
      </c>
      <c r="L28">
        <f t="shared" si="29"/>
        <v>0.30135531011174693</v>
      </c>
      <c r="M28">
        <f t="shared" si="21"/>
        <v>11118960.899133002</v>
      </c>
      <c r="O28">
        <f t="shared" si="10"/>
        <v>2019.5958412305515</v>
      </c>
    </row>
    <row r="29" spans="1:24" x14ac:dyDescent="0.4">
      <c r="A29">
        <v>39</v>
      </c>
      <c r="B29">
        <f t="shared" si="12"/>
        <v>45871.062177950203</v>
      </c>
      <c r="C29">
        <f t="shared" si="22"/>
        <v>249.07073601943151</v>
      </c>
      <c r="D29">
        <v>60.901400000000002</v>
      </c>
      <c r="E29" s="4">
        <f t="shared" si="11"/>
        <v>291.2382452422367</v>
      </c>
      <c r="F29">
        <f t="shared" si="23"/>
        <v>0.88217389266501134</v>
      </c>
      <c r="G29">
        <f t="shared" si="24"/>
        <v>0.19747432577087629</v>
      </c>
      <c r="H29">
        <f t="shared" si="25"/>
        <v>1.6759810727637945</v>
      </c>
      <c r="I29">
        <f t="shared" si="26"/>
        <v>1500.6787620768134</v>
      </c>
      <c r="J29">
        <f t="shared" si="27"/>
        <v>45.282431833554071</v>
      </c>
      <c r="K29">
        <f t="shared" si="28"/>
        <v>11824.785953715436</v>
      </c>
      <c r="L29">
        <f t="shared" si="29"/>
        <v>0.35326493972711748</v>
      </c>
      <c r="M29">
        <f t="shared" si="21"/>
        <v>11425139.218655163</v>
      </c>
      <c r="O29">
        <f t="shared" si="10"/>
        <v>1988.7606373537362</v>
      </c>
    </row>
    <row r="30" spans="1:24" x14ac:dyDescent="0.4">
      <c r="A30">
        <v>40</v>
      </c>
      <c r="B30">
        <f t="shared" si="12"/>
        <v>47453.236008733504</v>
      </c>
      <c r="C30">
        <f t="shared" si="22"/>
        <v>247.14080109739848</v>
      </c>
      <c r="D30">
        <v>60.775399999999998</v>
      </c>
      <c r="E30" s="4">
        <f t="shared" si="11"/>
        <v>286.92485466650817</v>
      </c>
      <c r="F30">
        <f t="shared" si="23"/>
        <v>0.87682657268325292</v>
      </c>
      <c r="G30">
        <f t="shared" si="24"/>
        <v>0.20374420190751391</v>
      </c>
      <c r="H30">
        <f t="shared" si="25"/>
        <v>1.6541246464107455</v>
      </c>
      <c r="I30">
        <f t="shared" si="26"/>
        <v>1611.8798690201454</v>
      </c>
      <c r="J30">
        <f t="shared" si="27"/>
        <v>47.337491260050747</v>
      </c>
      <c r="K30">
        <f t="shared" si="28"/>
        <v>12127.213971070307</v>
      </c>
      <c r="L30">
        <f t="shared" si="29"/>
        <v>0.41679079200774838</v>
      </c>
      <c r="M30">
        <f t="shared" si="21"/>
        <v>11727630.761862313</v>
      </c>
      <c r="O30">
        <f t="shared" si="10"/>
        <v>1955.8228278476522</v>
      </c>
    </row>
    <row r="31" spans="1:24" x14ac:dyDescent="0.4">
      <c r="A31">
        <v>41</v>
      </c>
      <c r="B31">
        <f t="shared" si="12"/>
        <v>49008.846301387552</v>
      </c>
      <c r="C31">
        <f t="shared" si="22"/>
        <v>245.38870282252196</v>
      </c>
      <c r="D31">
        <v>60.636299999999999</v>
      </c>
      <c r="E31" s="4">
        <f t="shared" si="11"/>
        <v>282.92687039617095</v>
      </c>
      <c r="F31">
        <f t="shared" si="23"/>
        <v>0.87180881630350338</v>
      </c>
      <c r="G31">
        <f t="shared" si="24"/>
        <v>0.2094999164205088</v>
      </c>
      <c r="H31">
        <f t="shared" si="25"/>
        <v>1.6342771037711721</v>
      </c>
      <c r="I31">
        <f t="shared" si="26"/>
        <v>1721.7572664504171</v>
      </c>
      <c r="J31">
        <f t="shared" si="27"/>
        <v>49.265894195211771</v>
      </c>
      <c r="K31">
        <f t="shared" si="28"/>
        <v>12425.722481674336</v>
      </c>
      <c r="L31">
        <f t="shared" si="29"/>
        <v>0.49473905150745284</v>
      </c>
      <c r="M31">
        <f t="shared" si="21"/>
        <v>12026217.220725844</v>
      </c>
      <c r="O31">
        <f t="shared" si="10"/>
        <v>1921.1000926661668</v>
      </c>
    </row>
    <row r="32" spans="1:24" x14ac:dyDescent="0.4">
      <c r="A32">
        <v>42</v>
      </c>
      <c r="B32">
        <f t="shared" si="12"/>
        <v>50537.766663195078</v>
      </c>
      <c r="C32">
        <f t="shared" si="22"/>
        <v>243.792444185194</v>
      </c>
      <c r="D32">
        <v>60.483499999999999</v>
      </c>
      <c r="E32" s="4">
        <f t="shared" si="11"/>
        <v>279.20804635300783</v>
      </c>
      <c r="F32">
        <f t="shared" si="23"/>
        <v>0.86709960154727539</v>
      </c>
      <c r="G32">
        <f t="shared" si="24"/>
        <v>0.21479231052870634</v>
      </c>
      <c r="H32">
        <f t="shared" si="25"/>
        <v>1.6161901170304795</v>
      </c>
      <c r="I32">
        <f t="shared" si="26"/>
        <v>1830.1660054897477</v>
      </c>
      <c r="J32">
        <f t="shared" si="27"/>
        <v>51.07571971700542</v>
      </c>
      <c r="K32">
        <f t="shared" si="28"/>
        <v>12720.135013232531</v>
      </c>
      <c r="L32">
        <f t="shared" si="29"/>
        <v>0.59064524881269043</v>
      </c>
      <c r="M32">
        <f t="shared" si="21"/>
        <v>12320725.658481345</v>
      </c>
      <c r="O32">
        <f t="shared" si="10"/>
        <v>1884.8805141682487</v>
      </c>
    </row>
    <row r="33" spans="1:15" x14ac:dyDescent="0.4">
      <c r="A33">
        <v>43</v>
      </c>
      <c r="B33">
        <f t="shared" si="12"/>
        <v>52039.974460544814</v>
      </c>
      <c r="C33">
        <f t="shared" si="22"/>
        <v>242.33335533018482</v>
      </c>
      <c r="D33">
        <v>60.316000000000003</v>
      </c>
      <c r="E33" s="4">
        <f t="shared" si="11"/>
        <v>275.73633560590378</v>
      </c>
      <c r="F33">
        <f t="shared" si="23"/>
        <v>0.86267817822717352</v>
      </c>
      <c r="G33">
        <f t="shared" si="24"/>
        <v>0.21966723916252875</v>
      </c>
      <c r="H33">
        <f t="shared" si="25"/>
        <v>1.5996528179325171</v>
      </c>
      <c r="I33">
        <f t="shared" si="26"/>
        <v>1936.9979253334316</v>
      </c>
      <c r="J33">
        <f t="shared" si="27"/>
        <v>52.774942449795695</v>
      </c>
      <c r="K33">
        <f t="shared" si="28"/>
        <v>13010.312649629008</v>
      </c>
      <c r="L33">
        <f t="shared" si="29"/>
        <v>0.70897269194082901</v>
      </c>
      <c r="M33">
        <f t="shared" si="21"/>
        <v>12611021.62232095</v>
      </c>
      <c r="O33">
        <f t="shared" si="10"/>
        <v>1847.4247977998866</v>
      </c>
    </row>
    <row r="34" spans="1:15" x14ac:dyDescent="0.4">
      <c r="A34">
        <v>44</v>
      </c>
      <c r="B34">
        <f t="shared" si="12"/>
        <v>53515.53543677881</v>
      </c>
      <c r="C34">
        <f t="shared" si="22"/>
        <v>240.99549858688695</v>
      </c>
      <c r="D34">
        <v>60.133000000000003</v>
      </c>
      <c r="E34" s="4">
        <f t="shared" si="11"/>
        <v>272.484228465353</v>
      </c>
      <c r="F34">
        <f t="shared" si="23"/>
        <v>0.85852445524091525</v>
      </c>
      <c r="G34">
        <f t="shared" si="24"/>
        <v>0.22416589029309031</v>
      </c>
      <c r="H34">
        <f t="shared" si="25"/>
        <v>1.5844850830920421</v>
      </c>
      <c r="I34">
        <f t="shared" si="26"/>
        <v>2042.1748724421611</v>
      </c>
      <c r="J34">
        <f t="shared" si="27"/>
        <v>54.371283721140173</v>
      </c>
      <c r="K34">
        <f t="shared" si="28"/>
        <v>13296.147777764221</v>
      </c>
      <c r="L34">
        <f t="shared" si="29"/>
        <v>0.85536696650495214</v>
      </c>
      <c r="M34">
        <f t="shared" si="21"/>
        <v>12897003.144730726</v>
      </c>
      <c r="O34">
        <f t="shared" si="10"/>
        <v>1808.9684048690156</v>
      </c>
    </row>
    <row r="35" spans="1:15" x14ac:dyDescent="0.4">
      <c r="A35">
        <v>45</v>
      </c>
      <c r="B35">
        <f t="shared" si="12"/>
        <v>54964.590316133166</v>
      </c>
      <c r="C35">
        <f t="shared" si="22"/>
        <v>239.76519119004124</v>
      </c>
      <c r="D35">
        <v>59.938299999999998</v>
      </c>
      <c r="E35" s="4">
        <f t="shared" si="11"/>
        <v>269.43540756849876</v>
      </c>
      <c r="F35">
        <f t="shared" si="23"/>
        <v>0.85461922315267946</v>
      </c>
      <c r="G35">
        <f t="shared" si="24"/>
        <v>0.22832518331821003</v>
      </c>
      <c r="H35">
        <f t="shared" si="25"/>
        <v>1.5705321450991971</v>
      </c>
      <c r="I35">
        <f t="shared" si="26"/>
        <v>2145.6433992199627</v>
      </c>
      <c r="J35">
        <f t="shared" si="27"/>
        <v>55.872126020266457</v>
      </c>
      <c r="K35">
        <f t="shared" si="28"/>
        <v>13577.558522958718</v>
      </c>
      <c r="L35">
        <f t="shared" si="29"/>
        <v>1.0369828712413194</v>
      </c>
      <c r="M35">
        <f t="shared" si="21"/>
        <v>13178595.505829958</v>
      </c>
      <c r="O35">
        <f t="shared" si="10"/>
        <v>1769.7235798540473</v>
      </c>
    </row>
    <row r="36" spans="1:15" x14ac:dyDescent="0.4">
      <c r="A36">
        <v>46</v>
      </c>
      <c r="B36">
        <f t="shared" si="12"/>
        <v>56387.343146170453</v>
      </c>
      <c r="C36">
        <f t="shared" si="22"/>
        <v>238.63061958589529</v>
      </c>
      <c r="D36" s="3">
        <v>59.892200000000003</v>
      </c>
      <c r="E36" s="4">
        <f t="shared" si="11"/>
        <v>266.83088209246273</v>
      </c>
      <c r="F36">
        <f t="shared" si="23"/>
        <v>0.85094426140160362</v>
      </c>
      <c r="G36">
        <f t="shared" si="24"/>
        <v>0.23217819645987595</v>
      </c>
      <c r="H36">
        <f t="shared" si="25"/>
        <v>1.5576602326290698</v>
      </c>
      <c r="I36">
        <f t="shared" si="26"/>
        <v>2247.3706640791306</v>
      </c>
      <c r="J36">
        <f t="shared" si="27"/>
        <v>57.284471796155415</v>
      </c>
      <c r="K36">
        <f t="shared" si="28"/>
        <v>13854.483726708755</v>
      </c>
      <c r="L36">
        <f t="shared" si="29"/>
        <v>1.2629050643857371</v>
      </c>
      <c r="M36">
        <f t="shared" si="21"/>
        <v>13455746.631773142</v>
      </c>
      <c r="O36">
        <f t="shared" si="10"/>
        <v>1729.8812620043236</v>
      </c>
    </row>
    <row r="37" spans="1:15" x14ac:dyDescent="0.4">
      <c r="A37">
        <v>47</v>
      </c>
      <c r="B37">
        <f t="shared" si="12"/>
        <v>57784.051160572082</v>
      </c>
      <c r="C37">
        <f t="shared" si="22"/>
        <v>237.58152524438674</v>
      </c>
      <c r="D37" s="3">
        <v>59.893500000000003</v>
      </c>
      <c r="E37" s="4">
        <f t="shared" si="11"/>
        <v>264.4728560502827</v>
      </c>
      <c r="F37">
        <f t="shared" si="23"/>
        <v>0.8474823644521825</v>
      </c>
      <c r="G37">
        <f t="shared" si="24"/>
        <v>0.23575459444818694</v>
      </c>
      <c r="H37">
        <f t="shared" si="25"/>
        <v>1.5457530114559959</v>
      </c>
      <c r="I37">
        <f t="shared" si="26"/>
        <v>2347.3413239825823</v>
      </c>
      <c r="J37">
        <f t="shared" si="27"/>
        <v>58.614933407530401</v>
      </c>
      <c r="K37">
        <f t="shared" si="28"/>
        <v>14126.878319403058</v>
      </c>
      <c r="L37">
        <f t="shared" si="29"/>
        <v>1.5446901253317857</v>
      </c>
      <c r="M37">
        <f t="shared" si="21"/>
        <v>13728423.009528391</v>
      </c>
      <c r="O37">
        <f t="shared" si="10"/>
        <v>1689.6128763671463</v>
      </c>
    </row>
    <row r="38" spans="1:15" x14ac:dyDescent="0.4">
      <c r="A38">
        <v>48</v>
      </c>
      <c r="B38">
        <f t="shared" si="12"/>
        <v>59155.01597060421</v>
      </c>
      <c r="C38">
        <f t="shared" si="22"/>
        <v>236.60894640321121</v>
      </c>
      <c r="D38" s="3">
        <v>59.893799999999999</v>
      </c>
      <c r="E38" s="4">
        <f t="shared" si="11"/>
        <v>262.26506585019337</v>
      </c>
      <c r="F38">
        <f t="shared" si="23"/>
        <v>0.84421731021530555</v>
      </c>
      <c r="G38">
        <f t="shared" si="24"/>
        <v>0.23908104141779216</v>
      </c>
      <c r="H38">
        <f t="shared" si="25"/>
        <v>1.534708649261503</v>
      </c>
      <c r="I38">
        <f t="shared" si="26"/>
        <v>2445.5552692213901</v>
      </c>
      <c r="J38">
        <f t="shared" si="27"/>
        <v>59.869745259150768</v>
      </c>
      <c r="K38">
        <f t="shared" si="28"/>
        <v>14394.708937097483</v>
      </c>
      <c r="L38">
        <f t="shared" si="29"/>
        <v>1.8970661723128117</v>
      </c>
      <c r="M38">
        <f t="shared" si="21"/>
        <v>13996606.003269795</v>
      </c>
      <c r="O38">
        <f t="shared" si="10"/>
        <v>1649.0720032707409</v>
      </c>
    </row>
    <row r="39" spans="1:15" x14ac:dyDescent="0.4">
      <c r="A39">
        <v>49</v>
      </c>
      <c r="B39">
        <f t="shared" si="12"/>
        <v>60500.575917146678</v>
      </c>
      <c r="C39">
        <f t="shared" ref="C39:C49" si="30">(K39+L39-$G$2)/(B39/1000)</f>
        <v>235.70500353434994</v>
      </c>
      <c r="D39">
        <v>59.883400000000002</v>
      </c>
      <c r="E39" s="4">
        <f t="shared" si="11"/>
        <v>260.17923246006825</v>
      </c>
      <c r="F39">
        <f t="shared" ref="F39:F49" si="31">NORMDIST(C40,$I$2,$L$2,TRUE)</f>
        <v>0.84113378598007993</v>
      </c>
      <c r="G39">
        <f t="shared" ref="G39:G49" si="32">NORMDIST((C40-$I$2)/$L$2,0,1,FALSE)</f>
        <v>0.24218159267244785</v>
      </c>
      <c r="H39">
        <f t="shared" ref="H39:H49" si="33">G39/(1-F39)</f>
        <v>1.5244373649017717</v>
      </c>
      <c r="I39">
        <f t="shared" ref="I39:I49" si="34">(B40/1000)*EXP(-$C$2)*($I$2+$L$2*H39)*(1-F39)</f>
        <v>2542.0261006728629</v>
      </c>
      <c r="J39">
        <f t="shared" ref="J39:J49" si="35">$G$2/EXP($C$2)*(1-F39)</f>
        <v>61.054792267380776</v>
      </c>
      <c r="K39">
        <f t="shared" ref="K39:K48" si="36">I39+J39+F39*K40/EXP($C$2)</f>
        <v>14657.949623108434</v>
      </c>
      <c r="L39">
        <f t="shared" ref="L39:L49" si="37">L40*F39/EXP($C$2)</f>
        <v>2.3388372728291054</v>
      </c>
      <c r="M39">
        <f t="shared" si="21"/>
        <v>14260288.460381264</v>
      </c>
      <c r="O39">
        <f t="shared" si="10"/>
        <v>1608.3959280614054</v>
      </c>
    </row>
    <row r="40" spans="1:15" x14ac:dyDescent="0.4">
      <c r="A40">
        <v>50</v>
      </c>
      <c r="B40">
        <f t="shared" si="12"/>
        <v>61821.09943606118</v>
      </c>
      <c r="C40">
        <f t="shared" si="30"/>
        <v>234.86271882578464</v>
      </c>
      <c r="D40">
        <v>59.856099999999998</v>
      </c>
      <c r="E40" s="4">
        <f t="shared" si="11"/>
        <v>258.19507123529479</v>
      </c>
      <c r="F40">
        <f t="shared" si="31"/>
        <v>0.83821728102421633</v>
      </c>
      <c r="G40">
        <f t="shared" si="32"/>
        <v>0.24507806460472673</v>
      </c>
      <c r="H40">
        <f t="shared" si="33"/>
        <v>1.5148593505923897</v>
      </c>
      <c r="I40">
        <f t="shared" si="34"/>
        <v>2636.7802948477856</v>
      </c>
      <c r="J40">
        <f t="shared" si="35"/>
        <v>62.175651131712442</v>
      </c>
      <c r="K40">
        <f t="shared" si="36"/>
        <v>14916.577439835599</v>
      </c>
      <c r="L40">
        <f t="shared" si="37"/>
        <v>2.8940545169123961</v>
      </c>
      <c r="M40">
        <f t="shared" si="21"/>
        <v>14519471.49435251</v>
      </c>
      <c r="O40">
        <f t="shared" si="10"/>
        <v>1567.7070748099673</v>
      </c>
    </row>
    <row r="41" spans="1:15" x14ac:dyDescent="0.4">
      <c r="A41">
        <v>51</v>
      </c>
      <c r="B41">
        <f t="shared" si="12"/>
        <v>63116.979308110233</v>
      </c>
      <c r="C41">
        <f t="shared" si="30"/>
        <v>234.07586181194543</v>
      </c>
      <c r="D41">
        <v>59.81</v>
      </c>
      <c r="E41" s="4">
        <f t="shared" si="11"/>
        <v>256.30053008220432</v>
      </c>
      <c r="F41">
        <f t="shared" si="31"/>
        <v>0.83545395033948289</v>
      </c>
      <c r="G41">
        <f t="shared" si="32"/>
        <v>0.24779038580241239</v>
      </c>
      <c r="H41">
        <f t="shared" si="33"/>
        <v>1.5059029755721312</v>
      </c>
      <c r="I41">
        <f t="shared" si="34"/>
        <v>2729.8570445663695</v>
      </c>
      <c r="J41">
        <f t="shared" si="35"/>
        <v>63.237642707223422</v>
      </c>
      <c r="K41">
        <f t="shared" si="36"/>
        <v>15170.567791530122</v>
      </c>
      <c r="L41">
        <f t="shared" si="37"/>
        <v>3.5935349825071752</v>
      </c>
      <c r="M41">
        <f t="shared" si="21"/>
        <v>14774161.326512629</v>
      </c>
      <c r="O41">
        <f t="shared" si="10"/>
        <v>1527.1143289789406</v>
      </c>
    </row>
    <row r="42" spans="1:15" x14ac:dyDescent="0.4">
      <c r="A42">
        <v>52</v>
      </c>
      <c r="B42">
        <f t="shared" si="12"/>
        <v>64388.627680861486</v>
      </c>
      <c r="C42">
        <f t="shared" si="30"/>
        <v>233.3388146093082</v>
      </c>
      <c r="D42">
        <v>59.74</v>
      </c>
      <c r="E42" s="4">
        <f t="shared" si="11"/>
        <v>254.48019537953974</v>
      </c>
      <c r="F42">
        <f t="shared" si="31"/>
        <v>0.83283044999314404</v>
      </c>
      <c r="G42">
        <f t="shared" si="32"/>
        <v>0.25033693504550802</v>
      </c>
      <c r="H42">
        <f t="shared" si="33"/>
        <v>1.4975031938247199</v>
      </c>
      <c r="I42">
        <f t="shared" si="34"/>
        <v>2821.3088061161925</v>
      </c>
      <c r="J42">
        <f t="shared" si="35"/>
        <v>64.245895277773357</v>
      </c>
      <c r="K42">
        <f t="shared" si="36"/>
        <v>15419.8892218439</v>
      </c>
      <c r="L42">
        <f t="shared" si="37"/>
        <v>4.4768355284105299</v>
      </c>
      <c r="M42">
        <f t="shared" si="21"/>
        <v>15024366.057372309</v>
      </c>
      <c r="O42">
        <f t="shared" si="10"/>
        <v>1486.7142548398754</v>
      </c>
    </row>
    <row r="43" spans="1:15" x14ac:dyDescent="0.4">
      <c r="A43">
        <v>53</v>
      </c>
      <c r="B43">
        <f t="shared" si="12"/>
        <v>65636.471764238406</v>
      </c>
      <c r="C43">
        <f t="shared" si="30"/>
        <v>232.6464511174633</v>
      </c>
      <c r="D43">
        <v>59.64</v>
      </c>
      <c r="E43" s="4">
        <f t="shared" si="11"/>
        <v>252.71865089079228</v>
      </c>
      <c r="F43">
        <f t="shared" si="31"/>
        <v>0.83033374111792368</v>
      </c>
      <c r="G43">
        <f t="shared" si="32"/>
        <v>0.25273487406429962</v>
      </c>
      <c r="H43">
        <f t="shared" si="33"/>
        <v>1.4896000874278648</v>
      </c>
      <c r="I43">
        <f t="shared" si="34"/>
        <v>2911.2026305408085</v>
      </c>
      <c r="J43">
        <f t="shared" si="35"/>
        <v>65.205419885753187</v>
      </c>
      <c r="K43">
        <f t="shared" si="36"/>
        <v>15664.49739718723</v>
      </c>
      <c r="L43">
        <f t="shared" si="37"/>
        <v>5.594822634421341</v>
      </c>
      <c r="M43">
        <f t="shared" si="21"/>
        <v>15270092.219821651</v>
      </c>
      <c r="O43">
        <f t="shared" si="10"/>
        <v>1446.5922138741935</v>
      </c>
    </row>
    <row r="44" spans="1:15" x14ac:dyDescent="0.4">
      <c r="A44">
        <v>54</v>
      </c>
      <c r="B44">
        <f t="shared" si="12"/>
        <v>66860.950113846062</v>
      </c>
      <c r="C44">
        <f t="shared" si="30"/>
        <v>231.99402509431414</v>
      </c>
      <c r="D44">
        <v>59.52</v>
      </c>
      <c r="E44" s="4">
        <f t="shared" si="11"/>
        <v>251.02393575883536</v>
      </c>
      <c r="F44">
        <f t="shared" si="31"/>
        <v>0.82795085600529217</v>
      </c>
      <c r="G44">
        <f t="shared" si="32"/>
        <v>0.25500048500693334</v>
      </c>
      <c r="H44">
        <f t="shared" si="33"/>
        <v>1.4821374816882382</v>
      </c>
      <c r="I44">
        <f t="shared" si="34"/>
        <v>2999.6224111090023</v>
      </c>
      <c r="J44">
        <f t="shared" si="35"/>
        <v>66.121200226125055</v>
      </c>
      <c r="K44">
        <f t="shared" si="36"/>
        <v>15904.327913068229</v>
      </c>
      <c r="L44">
        <f t="shared" si="37"/>
        <v>7.0130254730599599</v>
      </c>
      <c r="M44">
        <f t="shared" si="21"/>
        <v>15511340.938541289</v>
      </c>
      <c r="O44">
        <f t="shared" si="10"/>
        <v>1406.8233905758711</v>
      </c>
    </row>
    <row r="45" spans="1:15" x14ac:dyDescent="0.4">
      <c r="A45">
        <v>55</v>
      </c>
      <c r="B45">
        <f t="shared" si="12"/>
        <v>68062.509427099489</v>
      </c>
      <c r="C45">
        <f t="shared" si="30"/>
        <v>231.37706224048841</v>
      </c>
      <c r="D45">
        <v>59.37</v>
      </c>
      <c r="E45" s="4">
        <f t="shared" si="11"/>
        <v>249.37666507003792</v>
      </c>
      <c r="F45">
        <f t="shared" si="31"/>
        <v>0.82566861589977503</v>
      </c>
      <c r="G45">
        <f t="shared" si="32"/>
        <v>0.25714952489607601</v>
      </c>
      <c r="H45">
        <f t="shared" si="33"/>
        <v>1.4750615686515631</v>
      </c>
      <c r="I45">
        <f t="shared" si="34"/>
        <v>3086.6722457763267</v>
      </c>
      <c r="J45">
        <f t="shared" si="35"/>
        <v>66.998301102521353</v>
      </c>
      <c r="K45">
        <f t="shared" si="36"/>
        <v>16139.287458548943</v>
      </c>
      <c r="L45">
        <f t="shared" si="37"/>
        <v>8.8160214088839837</v>
      </c>
      <c r="M45">
        <f t="shared" si="21"/>
        <v>15748103.479957828</v>
      </c>
      <c r="O45">
        <f t="shared" si="10"/>
        <v>1367.473732072692</v>
      </c>
    </row>
    <row r="46" spans="1:15" x14ac:dyDescent="0.4">
      <c r="A46">
        <v>56</v>
      </c>
      <c r="B46">
        <f t="shared" si="12"/>
        <v>69241.601786706393</v>
      </c>
      <c r="C46">
        <f t="shared" si="30"/>
        <v>230.79125133852534</v>
      </c>
      <c r="D46">
        <v>59.18</v>
      </c>
      <c r="E46" s="4">
        <f t="shared" si="11"/>
        <v>247.75894378486862</v>
      </c>
      <c r="F46">
        <f t="shared" si="31"/>
        <v>0.82347328544577469</v>
      </c>
      <c r="G46">
        <f t="shared" si="32"/>
        <v>0.25919761225894472</v>
      </c>
      <c r="H46">
        <f t="shared" si="33"/>
        <v>1.4683194717212316</v>
      </c>
      <c r="I46">
        <f t="shared" si="34"/>
        <v>3172.4811988099182</v>
      </c>
      <c r="J46">
        <f t="shared" si="35"/>
        <v>67.84200122878255</v>
      </c>
      <c r="K46">
        <f t="shared" si="36"/>
        <v>16369.242733626837</v>
      </c>
      <c r="L46">
        <f t="shared" si="37"/>
        <v>11.113187411002464</v>
      </c>
      <c r="M46">
        <f t="shared" si="21"/>
        <v>15980355.92103784</v>
      </c>
      <c r="O46">
        <f t="shared" si="10"/>
        <v>1328.6008078496575</v>
      </c>
    </row>
    <row r="47" spans="1:15" x14ac:dyDescent="0.4">
      <c r="A47">
        <v>57</v>
      </c>
      <c r="B47">
        <f t="shared" si="12"/>
        <v>70398.682294367114</v>
      </c>
      <c r="C47">
        <f t="shared" si="30"/>
        <v>230.23232906456349</v>
      </c>
      <c r="D47">
        <v>58.95</v>
      </c>
      <c r="E47" s="4">
        <f t="shared" si="11"/>
        <v>246.16724066797465</v>
      </c>
      <c r="F47">
        <f t="shared" si="31"/>
        <v>0.82135014281503016</v>
      </c>
      <c r="G47">
        <f t="shared" si="32"/>
        <v>0.26116066494221352</v>
      </c>
      <c r="H47">
        <f t="shared" si="33"/>
        <v>1.4618576754405908</v>
      </c>
      <c r="I47">
        <f t="shared" si="34"/>
        <v>3257.2098582798171</v>
      </c>
      <c r="J47">
        <f t="shared" si="35"/>
        <v>68.657958435755916</v>
      </c>
      <c r="K47">
        <f t="shared" si="36"/>
        <v>16594.006321244833</v>
      </c>
      <c r="L47">
        <f t="shared" si="37"/>
        <v>14.046266463555167</v>
      </c>
      <c r="M47">
        <f t="shared" si="21"/>
        <v>16208052.587708389</v>
      </c>
      <c r="O47">
        <f t="shared" si="10"/>
        <v>1290.2545956347597</v>
      </c>
    </row>
    <row r="48" spans="1:15" x14ac:dyDescent="0.4">
      <c r="A48">
        <v>58</v>
      </c>
      <c r="B48">
        <f t="shared" si="12"/>
        <v>71534.207044809009</v>
      </c>
      <c r="C48">
        <f t="shared" si="30"/>
        <v>229.69595226858993</v>
      </c>
      <c r="D48">
        <v>58.68</v>
      </c>
      <c r="E48" s="4">
        <f t="shared" si="11"/>
        <v>244.5983430024117</v>
      </c>
      <c r="F48">
        <f t="shared" si="31"/>
        <v>0.81928293665656005</v>
      </c>
      <c r="G48">
        <f t="shared" si="32"/>
        <v>0.26305541330093246</v>
      </c>
      <c r="H48">
        <f t="shared" si="33"/>
        <v>1.4556202299558969</v>
      </c>
      <c r="I48">
        <f t="shared" si="34"/>
        <v>3341.059238026729</v>
      </c>
      <c r="J48">
        <f t="shared" si="35"/>
        <v>69.452418373999407</v>
      </c>
      <c r="K48">
        <f t="shared" si="36"/>
        <v>16813.318448647173</v>
      </c>
      <c r="L48">
        <f t="shared" si="37"/>
        <v>17.799358288707058</v>
      </c>
      <c r="M48">
        <f t="shared" si="21"/>
        <v>16431117.80693588</v>
      </c>
      <c r="O48">
        <f t="shared" si="10"/>
        <v>1252.4781992251098</v>
      </c>
    </row>
    <row r="49" spans="1:15" x14ac:dyDescent="0.4">
      <c r="A49">
        <v>59</v>
      </c>
      <c r="B49">
        <f t="shared" si="12"/>
        <v>72648.631396596043</v>
      </c>
      <c r="C49">
        <f t="shared" si="30"/>
        <v>229.17755020568097</v>
      </c>
      <c r="D49">
        <v>58.37</v>
      </c>
      <c r="E49" s="4">
        <f t="shared" si="11"/>
        <v>243.04932191534078</v>
      </c>
      <c r="F49">
        <f t="shared" si="31"/>
        <v>0.81725319017656517</v>
      </c>
      <c r="G49">
        <f t="shared" si="32"/>
        <v>0.26490002004923729</v>
      </c>
      <c r="H49">
        <f t="shared" si="33"/>
        <v>1.4495466175588878</v>
      </c>
      <c r="I49">
        <f t="shared" si="34"/>
        <v>3424.2827818958081</v>
      </c>
      <c r="J49">
        <f t="shared" si="35"/>
        <v>70.232481966853683</v>
      </c>
      <c r="K49">
        <f>I49+J49+F49*K50/EXP($C$2)</f>
        <v>17026.823200684714</v>
      </c>
      <c r="L49">
        <f t="shared" si="37"/>
        <v>22.612168582686859</v>
      </c>
      <c r="M49">
        <f t="shared" si="21"/>
        <v>16649435.3692674</v>
      </c>
      <c r="O49">
        <f t="shared" si="10"/>
        <v>1215.3085037132851</v>
      </c>
    </row>
    <row r="50" spans="1:15" x14ac:dyDescent="0.4">
      <c r="A50">
        <v>60</v>
      </c>
      <c r="B50">
        <f t="shared" si="12"/>
        <v>73742.408501675411</v>
      </c>
      <c r="C50">
        <f t="shared" ref="C50:C65" si="38">(K50+L50-$G$2)/(B50/1000)</f>
        <v>228.67214723693067</v>
      </c>
      <c r="D50">
        <v>58.01</v>
      </c>
      <c r="E50" s="4">
        <f t="shared" si="11"/>
        <v>241.50503612995288</v>
      </c>
      <c r="F50">
        <f t="shared" ref="F50:F65" si="39">NORMDIST(C51,$I$2,$L$2,TRUE)</f>
        <v>0.81523929739573264</v>
      </c>
      <c r="G50">
        <f t="shared" ref="G50:G65" si="40">NORMDIST((C51-$I$2)/$L$2,0,1,FALSE)</f>
        <v>0.2667148478808215</v>
      </c>
      <c r="H50">
        <f t="shared" ref="H50:H65" si="41">G50/(1-F50)</f>
        <v>1.4435691363010723</v>
      </c>
      <c r="I50">
        <f t="shared" ref="I50:I65" si="42">(B51/1000)*EXP(-$C$2)*($I$2+$L$2*H50)*(1-F50)</f>
        <v>3507.2025214103683</v>
      </c>
      <c r="J50">
        <f t="shared" ref="J50:J65" si="43">$G$2/EXP($C$2)*(1-F50)</f>
        <v>71.006452733017284</v>
      </c>
      <c r="K50">
        <f t="shared" ref="K50:K65" si="44">I50+J50+F50*K51/EXP($C$2)</f>
        <v>17234.037223263247</v>
      </c>
      <c r="L50">
        <f t="shared" ref="L50:L65" si="45">L51*F50/EXP($C$2)</f>
        <v>28.797671237759797</v>
      </c>
      <c r="M50">
        <f t="shared" si="21"/>
        <v>16862834.894501008</v>
      </c>
      <c r="O50">
        <f t="shared" si="10"/>
        <v>1178.7767732371942</v>
      </c>
    </row>
    <row r="51" spans="1:15" x14ac:dyDescent="0.4">
      <c r="A51">
        <v>61</v>
      </c>
      <c r="B51">
        <f t="shared" si="12"/>
        <v>74815.988060426782</v>
      </c>
      <c r="C51">
        <f t="shared" si="38"/>
        <v>228.174143657733</v>
      </c>
      <c r="D51">
        <v>57.59</v>
      </c>
      <c r="E51" s="4">
        <f t="shared" si="11"/>
        <v>239.95128692248483</v>
      </c>
      <c r="F51">
        <f t="shared" si="39"/>
        <v>0.81321533465186002</v>
      </c>
      <c r="G51">
        <f t="shared" si="40"/>
        <v>0.26852342967188308</v>
      </c>
      <c r="H51">
        <f t="shared" si="41"/>
        <v>1.4376096087513057</v>
      </c>
      <c r="I51">
        <f t="shared" si="42"/>
        <v>3590.2308572192542</v>
      </c>
      <c r="J51">
        <f t="shared" si="43"/>
        <v>71.78429354483751</v>
      </c>
      <c r="K51">
        <f t="shared" si="44"/>
        <v>17434.308205711292</v>
      </c>
      <c r="L51">
        <f t="shared" si="45"/>
        <v>36.765801883764219</v>
      </c>
      <c r="M51">
        <f t="shared" si="21"/>
        <v>17071074.007595059</v>
      </c>
      <c r="O51">
        <f t="shared" si="10"/>
        <v>1142.9091960337087</v>
      </c>
    </row>
    <row r="52" spans="1:15" x14ac:dyDescent="0.4">
      <c r="A52">
        <v>62</v>
      </c>
      <c r="B52">
        <f t="shared" si="12"/>
        <v>75869.815273183005</v>
      </c>
      <c r="C52">
        <f t="shared" si="38"/>
        <v>227.67703816672721</v>
      </c>
      <c r="D52">
        <v>57.11</v>
      </c>
      <c r="E52" s="4">
        <f t="shared" si="11"/>
        <v>238.38682908678112</v>
      </c>
      <c r="F52">
        <f t="shared" si="39"/>
        <v>0.8111494780538927</v>
      </c>
      <c r="G52">
        <f t="shared" si="40"/>
        <v>0.27035371539808062</v>
      </c>
      <c r="H52">
        <f t="shared" si="41"/>
        <v>1.431575155906808</v>
      </c>
      <c r="I52">
        <f t="shared" si="42"/>
        <v>3673.9000453046979</v>
      </c>
      <c r="J52">
        <f t="shared" si="43"/>
        <v>72.578234825689563</v>
      </c>
      <c r="K52">
        <f t="shared" si="44"/>
        <v>17626.759341743877</v>
      </c>
      <c r="L52">
        <f t="shared" si="45"/>
        <v>47.055485911153532</v>
      </c>
      <c r="M52">
        <f t="shared" si="21"/>
        <v>17273814.827655029</v>
      </c>
      <c r="O52">
        <f t="shared" si="10"/>
        <v>1107.7273812363903</v>
      </c>
    </row>
    <row r="53" spans="1:15" x14ac:dyDescent="0.4">
      <c r="A53">
        <v>63</v>
      </c>
      <c r="B53">
        <f t="shared" si="12"/>
        <v>76904.329962842152</v>
      </c>
      <c r="C53">
        <f t="shared" si="38"/>
        <v>227.17306945188912</v>
      </c>
      <c r="D53">
        <v>56.57</v>
      </c>
      <c r="E53" s="4">
        <f t="shared" si="11"/>
        <v>236.81051065179491</v>
      </c>
      <c r="F53">
        <f t="shared" si="39"/>
        <v>0.80900186883867042</v>
      </c>
      <c r="G53">
        <f t="shared" si="40"/>
        <v>0.27223969745542631</v>
      </c>
      <c r="H53">
        <f t="shared" si="41"/>
        <v>1.4253526764901945</v>
      </c>
      <c r="I53">
        <f t="shared" si="42"/>
        <v>3758.9023776410818</v>
      </c>
      <c r="J53">
        <f t="shared" si="43"/>
        <v>73.403594927054286</v>
      </c>
      <c r="K53">
        <f t="shared" si="44"/>
        <v>17810.21435458045</v>
      </c>
      <c r="L53">
        <f t="shared" si="45"/>
        <v>60.378337219287182</v>
      </c>
      <c r="M53">
        <f t="shared" si="21"/>
        <v>17470592.691799738</v>
      </c>
      <c r="O53">
        <f t="shared" si="10"/>
        <v>1073.2488115263504</v>
      </c>
    </row>
    <row r="54" spans="1:15" x14ac:dyDescent="0.4">
      <c r="A54">
        <v>64</v>
      </c>
      <c r="B54">
        <f t="shared" si="12"/>
        <v>77919.965846392312</v>
      </c>
      <c r="C54">
        <f t="shared" si="38"/>
        <v>226.65274546080019</v>
      </c>
      <c r="D54">
        <v>55.95</v>
      </c>
      <c r="E54" s="4">
        <f t="shared" si="11"/>
        <v>235.19766916582154</v>
      </c>
      <c r="F54">
        <f t="shared" si="39"/>
        <v>0.80672169330703725</v>
      </c>
      <c r="G54">
        <f t="shared" si="40"/>
        <v>0.2742235559239507</v>
      </c>
      <c r="H54">
        <f t="shared" si="41"/>
        <v>1.4188015231299373</v>
      </c>
      <c r="I54">
        <f t="shared" si="42"/>
        <v>3846.1454309620372</v>
      </c>
      <c r="J54">
        <f t="shared" si="43"/>
        <v>74.279902355136954</v>
      </c>
      <c r="K54">
        <f t="shared" si="44"/>
        <v>17983.095225177676</v>
      </c>
      <c r="L54">
        <f t="shared" si="45"/>
        <v>77.67896011892563</v>
      </c>
      <c r="M54">
        <f t="shared" si="21"/>
        <v>17660774.185296603</v>
      </c>
      <c r="O54">
        <f t="shared" si="10"/>
        <v>1039.4872554275526</v>
      </c>
    </row>
    <row r="55" spans="1:15" x14ac:dyDescent="0.4">
      <c r="A55">
        <v>65</v>
      </c>
      <c r="B55">
        <f t="shared" si="12"/>
        <v>78917.149935948793</v>
      </c>
      <c r="C55">
        <f t="shared" si="38"/>
        <v>226.10421552619627</v>
      </c>
      <c r="D55">
        <v>55.35</v>
      </c>
      <c r="E55" s="4">
        <f t="shared" si="11"/>
        <v>233.66469446874675</v>
      </c>
      <c r="F55">
        <f t="shared" si="39"/>
        <v>0.80424312467791959</v>
      </c>
      <c r="G55">
        <f t="shared" si="40"/>
        <v>0.27635852379494064</v>
      </c>
      <c r="H55">
        <f t="shared" si="41"/>
        <v>1.4117436403714845</v>
      </c>
      <c r="I55">
        <f t="shared" si="42"/>
        <v>3936.828919364169</v>
      </c>
      <c r="J55">
        <f t="shared" si="43"/>
        <v>75.232455380365153</v>
      </c>
      <c r="K55">
        <f t="shared" si="44"/>
        <v>18143.280958962208</v>
      </c>
      <c r="L55">
        <f t="shared" si="45"/>
        <v>100.21931886870378</v>
      </c>
      <c r="M55">
        <f t="shared" si="21"/>
        <v>17843500.277830914</v>
      </c>
      <c r="O55">
        <f t="shared" si="10"/>
        <v>1006.4531427357916</v>
      </c>
    </row>
    <row r="56" spans="1:15" x14ac:dyDescent="0.4">
      <c r="A56">
        <v>66</v>
      </c>
      <c r="B56">
        <f t="shared" si="12"/>
        <v>79896.302052342799</v>
      </c>
      <c r="C56">
        <f t="shared" si="38"/>
        <v>225.51241990471445</v>
      </c>
      <c r="D56">
        <v>54.74</v>
      </c>
      <c r="E56" s="4">
        <f t="shared" si="11"/>
        <v>232.17268549011709</v>
      </c>
      <c r="F56">
        <f t="shared" si="39"/>
        <v>0.80147957949689264</v>
      </c>
      <c r="G56">
        <f t="shared" si="40"/>
        <v>0.27871275932971323</v>
      </c>
      <c r="H56">
        <f t="shared" si="41"/>
        <v>1.4039500753795282</v>
      </c>
      <c r="I56">
        <f t="shared" si="42"/>
        <v>4032.5531592187372</v>
      </c>
      <c r="J56">
        <f t="shared" si="43"/>
        <v>76.294529390185545</v>
      </c>
      <c r="K56">
        <f t="shared" si="44"/>
        <v>18287.909643768995</v>
      </c>
      <c r="L56">
        <f t="shared" si="45"/>
        <v>129.69877349283257</v>
      </c>
      <c r="M56">
        <f t="shared" si="21"/>
        <v>18017608.417261828</v>
      </c>
      <c r="O56">
        <f t="shared" si="10"/>
        <v>974.15390628623766</v>
      </c>
    </row>
    <row r="57" spans="1:15" x14ac:dyDescent="0.4">
      <c r="A57">
        <v>67</v>
      </c>
      <c r="B57">
        <f t="shared" si="12"/>
        <v>80857.834436419915</v>
      </c>
      <c r="C57">
        <f t="shared" si="38"/>
        <v>224.85791869515234</v>
      </c>
      <c r="D57">
        <v>54.05</v>
      </c>
      <c r="E57" s="4">
        <f t="shared" si="11"/>
        <v>230.63925934018701</v>
      </c>
      <c r="F57">
        <f t="shared" si="39"/>
        <v>0.79831541348240309</v>
      </c>
      <c r="G57">
        <f t="shared" si="40"/>
        <v>0.28137464446362298</v>
      </c>
      <c r="H57">
        <f t="shared" si="41"/>
        <v>1.3951222020581784</v>
      </c>
      <c r="I57">
        <f t="shared" si="42"/>
        <v>4135.4749046440611</v>
      </c>
      <c r="J57">
        <f t="shared" si="43"/>
        <v>77.51056830636405</v>
      </c>
      <c r="K57">
        <f t="shared" si="44"/>
        <v>18413.096014418428</v>
      </c>
      <c r="L57">
        <f t="shared" si="45"/>
        <v>168.42834715217049</v>
      </c>
      <c r="M57">
        <f t="shared" si="21"/>
        <v>18181524.361570597</v>
      </c>
      <c r="O57">
        <f t="shared" si="10"/>
        <v>942.59429299817771</v>
      </c>
    </row>
    <row r="58" spans="1:15" x14ac:dyDescent="0.4">
      <c r="A58">
        <v>68</v>
      </c>
      <c r="B58">
        <f t="shared" si="12"/>
        <v>81802.15144506772</v>
      </c>
      <c r="C58">
        <f t="shared" si="38"/>
        <v>224.11524894738511</v>
      </c>
      <c r="D58">
        <v>53.26</v>
      </c>
      <c r="E58" s="4">
        <f t="shared" si="11"/>
        <v>229.0421142297578</v>
      </c>
      <c r="F58">
        <f t="shared" si="39"/>
        <v>0.79459361065266898</v>
      </c>
      <c r="G58">
        <f t="shared" si="40"/>
        <v>0.28446012959991984</v>
      </c>
      <c r="H58">
        <f t="shared" si="41"/>
        <v>1.3848650497376362</v>
      </c>
      <c r="I58">
        <f t="shared" si="42"/>
        <v>4248.5361537901899</v>
      </c>
      <c r="J58">
        <f t="shared" si="43"/>
        <v>78.940915847730352</v>
      </c>
      <c r="K58">
        <f t="shared" si="44"/>
        <v>18513.519589721145</v>
      </c>
      <c r="L58">
        <f t="shared" si="45"/>
        <v>219.58994582190789</v>
      </c>
      <c r="M58">
        <f t="shared" si="21"/>
        <v>18333109.535543051</v>
      </c>
      <c r="O58">
        <f t="shared" si="10"/>
        <v>911.77664688788661</v>
      </c>
    </row>
    <row r="59" spans="1:15" x14ac:dyDescent="0.4">
      <c r="A59">
        <v>69</v>
      </c>
      <c r="B59">
        <f t="shared" si="12"/>
        <v>82729.649320608747</v>
      </c>
      <c r="C59">
        <f t="shared" si="38"/>
        <v>223.2505689805362</v>
      </c>
      <c r="D59">
        <v>52.34</v>
      </c>
      <c r="E59" s="4">
        <f t="shared" si="11"/>
        <v>227.34882114035165</v>
      </c>
      <c r="F59">
        <f t="shared" si="39"/>
        <v>0.79009698574666543</v>
      </c>
      <c r="G59">
        <f t="shared" si="40"/>
        <v>0.28812305434197516</v>
      </c>
      <c r="H59">
        <f t="shared" si="41"/>
        <v>1.3726484841910647</v>
      </c>
      <c r="I59">
        <f t="shared" si="42"/>
        <v>4375.8090054423765</v>
      </c>
      <c r="J59">
        <f t="shared" si="43"/>
        <v>80.669039736337368</v>
      </c>
      <c r="K59">
        <f t="shared" si="44"/>
        <v>18581.807983487546</v>
      </c>
      <c r="L59">
        <f t="shared" si="45"/>
        <v>287.63329889858437</v>
      </c>
      <c r="M59">
        <f t="shared" si="21"/>
        <v>18469441.282386132</v>
      </c>
      <c r="O59">
        <f t="shared" si="10"/>
        <v>881.70116651082253</v>
      </c>
    </row>
    <row r="60" spans="1:15" x14ac:dyDescent="0.4">
      <c r="A60">
        <v>70</v>
      </c>
      <c r="B60">
        <f t="shared" si="12"/>
        <v>83640.716023621455</v>
      </c>
      <c r="C60">
        <f t="shared" si="38"/>
        <v>222.21819108573979</v>
      </c>
      <c r="D60">
        <v>51.26</v>
      </c>
      <c r="E60" s="4">
        <f t="shared" si="11"/>
        <v>225.52832358328141</v>
      </c>
      <c r="F60">
        <f t="shared" si="39"/>
        <v>0.78451846503205613</v>
      </c>
      <c r="G60">
        <f t="shared" si="40"/>
        <v>0.29256984235755701</v>
      </c>
      <c r="H60">
        <f t="shared" si="41"/>
        <v>1.3577490173396118</v>
      </c>
      <c r="I60">
        <f t="shared" si="42"/>
        <v>4523.0320007542605</v>
      </c>
      <c r="J60">
        <f t="shared" si="43"/>
        <v>82.812953251812999</v>
      </c>
      <c r="K60">
        <f t="shared" si="44"/>
        <v>18607.583441063878</v>
      </c>
      <c r="L60">
        <f t="shared" si="45"/>
        <v>378.90517482133004</v>
      </c>
      <c r="M60">
        <f t="shared" si="21"/>
        <v>18586488.615885209</v>
      </c>
      <c r="O60">
        <f t="shared" si="10"/>
        <v>852.36613908235063</v>
      </c>
    </row>
    <row r="61" spans="1:15" x14ac:dyDescent="0.4">
      <c r="A61">
        <v>71</v>
      </c>
      <c r="B61">
        <f t="shared" si="12"/>
        <v>84535.731120485449</v>
      </c>
      <c r="C61">
        <f t="shared" si="38"/>
        <v>220.95531338710086</v>
      </c>
      <c r="D61">
        <v>49.99</v>
      </c>
      <c r="E61" s="4">
        <f t="shared" si="11"/>
        <v>223.55080554929083</v>
      </c>
      <c r="F61">
        <f t="shared" si="39"/>
        <v>0.77741212322248954</v>
      </c>
      <c r="G61">
        <f t="shared" si="40"/>
        <v>0.2980806408428906</v>
      </c>
      <c r="H61">
        <f t="shared" si="41"/>
        <v>1.339159370035411</v>
      </c>
      <c r="I61">
        <f t="shared" si="42"/>
        <v>4698.4761811908775</v>
      </c>
      <c r="J61">
        <f t="shared" si="43"/>
        <v>85.544032516468278</v>
      </c>
      <c r="K61">
        <f t="shared" si="44"/>
        <v>18575.930235317686</v>
      </c>
      <c r="L61">
        <f t="shared" si="45"/>
        <v>502.68872681687162</v>
      </c>
      <c r="M61">
        <f t="shared" si="21"/>
        <v>18678618.962134559</v>
      </c>
      <c r="O61">
        <f t="shared" si="10"/>
        <v>823.76815333076115</v>
      </c>
    </row>
    <row r="62" spans="1:15" x14ac:dyDescent="0.4">
      <c r="A62">
        <v>72</v>
      </c>
      <c r="B62">
        <f t="shared" si="12"/>
        <v>85415.065718037527</v>
      </c>
      <c r="C62">
        <f t="shared" si="38"/>
        <v>219.37369827849321</v>
      </c>
      <c r="D62">
        <v>48.49</v>
      </c>
      <c r="E62" s="4">
        <f t="shared" si="11"/>
        <v>221.37681168942797</v>
      </c>
      <c r="F62">
        <f t="shared" si="39"/>
        <v>0.76810845153081519</v>
      </c>
      <c r="G62">
        <f t="shared" si="40"/>
        <v>0.30503976603273547</v>
      </c>
      <c r="H62">
        <f t="shared" si="41"/>
        <v>1.3154414986075746</v>
      </c>
      <c r="I62">
        <f t="shared" si="42"/>
        <v>4914.4078930483165</v>
      </c>
      <c r="J62">
        <f t="shared" si="43"/>
        <v>89.119580319148739</v>
      </c>
      <c r="K62">
        <f t="shared" si="44"/>
        <v>18464.811801083517</v>
      </c>
      <c r="L62">
        <f t="shared" si="45"/>
        <v>673.00705418291648</v>
      </c>
      <c r="M62">
        <f t="shared" si="21"/>
        <v>18737818.855266433</v>
      </c>
      <c r="O62">
        <f t="shared" si="10"/>
        <v>795.90229295695849</v>
      </c>
    </row>
    <row r="63" spans="1:15" x14ac:dyDescent="0.4">
      <c r="A63">
        <v>73</v>
      </c>
      <c r="B63">
        <f t="shared" si="12"/>
        <v>86279.082438677724</v>
      </c>
      <c r="C63">
        <f t="shared" si="38"/>
        <v>217.3458810408965</v>
      </c>
      <c r="D63">
        <v>46.77</v>
      </c>
      <c r="E63" s="4">
        <f t="shared" si="11"/>
        <v>219.02160922060898</v>
      </c>
      <c r="F63">
        <f t="shared" si="39"/>
        <v>0.75555873953802566</v>
      </c>
      <c r="G63">
        <f t="shared" si="40"/>
        <v>0.3139784478227251</v>
      </c>
      <c r="H63">
        <f t="shared" si="41"/>
        <v>1.2844740173133253</v>
      </c>
      <c r="I63">
        <f t="shared" si="42"/>
        <v>5189.6975196205794</v>
      </c>
      <c r="J63">
        <f t="shared" si="43"/>
        <v>93.942632617978916</v>
      </c>
      <c r="K63">
        <f t="shared" si="44"/>
        <v>18240.457756754578</v>
      </c>
      <c r="L63">
        <f t="shared" si="45"/>
        <v>911.94543127997088</v>
      </c>
      <c r="M63">
        <f t="shared" si="21"/>
        <v>18752403.188034549</v>
      </c>
      <c r="O63">
        <f t="shared" si="10"/>
        <v>768.76231241065761</v>
      </c>
    </row>
    <row r="64" spans="1:15" x14ac:dyDescent="0.4">
      <c r="A64">
        <v>74</v>
      </c>
      <c r="B64">
        <f t="shared" si="12"/>
        <v>87128.135430092167</v>
      </c>
      <c r="C64">
        <f t="shared" si="38"/>
        <v>214.68089673995428</v>
      </c>
      <c r="D64">
        <v>44.77</v>
      </c>
      <c r="E64" s="4">
        <f t="shared" si="11"/>
        <v>216.42584994935473</v>
      </c>
      <c r="F64">
        <f t="shared" si="39"/>
        <v>0.73802741431138719</v>
      </c>
      <c r="G64">
        <f t="shared" si="40"/>
        <v>0.32562827958830792</v>
      </c>
      <c r="H64">
        <f t="shared" si="41"/>
        <v>1.2429860885343089</v>
      </c>
      <c r="I64">
        <f t="shared" si="42"/>
        <v>5554.7930670088426</v>
      </c>
      <c r="J64">
        <f t="shared" si="43"/>
        <v>100.68019747081848</v>
      </c>
      <c r="K64">
        <f t="shared" si="44"/>
        <v>17848.506881505247</v>
      </c>
      <c r="L64">
        <f t="shared" si="45"/>
        <v>1256.2393639071242</v>
      </c>
      <c r="M64">
        <f t="shared" si="21"/>
        <v>18704746.245412368</v>
      </c>
      <c r="O64">
        <f t="shared" si="10"/>
        <v>742.34079654222921</v>
      </c>
    </row>
    <row r="65" spans="1:15" x14ac:dyDescent="0.4">
      <c r="A65">
        <v>75</v>
      </c>
      <c r="B65">
        <f t="shared" si="12"/>
        <v>87962.57040449731</v>
      </c>
      <c r="C65">
        <f t="shared" si="38"/>
        <v>211.07814235813075</v>
      </c>
      <c r="D65">
        <v>42.36</v>
      </c>
      <c r="E65" s="4">
        <f t="shared" si="11"/>
        <v>213.45914149449098</v>
      </c>
      <c r="F65">
        <f t="shared" si="39"/>
        <v>0.71242355752844611</v>
      </c>
      <c r="G65">
        <f t="shared" si="40"/>
        <v>0.34095431477102162</v>
      </c>
      <c r="H65">
        <f t="shared" si="41"/>
        <v>1.1856128125124423</v>
      </c>
      <c r="I65">
        <f t="shared" si="42"/>
        <v>6062.0354583114649</v>
      </c>
      <c r="J65">
        <f t="shared" si="43"/>
        <v>110.52016355026583</v>
      </c>
      <c r="K65">
        <f t="shared" si="44"/>
        <v>17195.351436275785</v>
      </c>
      <c r="L65">
        <f t="shared" si="45"/>
        <v>1771.6245217517976</v>
      </c>
      <c r="M65">
        <f t="shared" si="21"/>
        <v>18566975.958027583</v>
      </c>
      <c r="O65">
        <f t="shared" si="10"/>
        <v>716.62930555171738</v>
      </c>
    </row>
    <row r="66" spans="1:15" x14ac:dyDescent="0.4">
      <c r="A66">
        <v>76</v>
      </c>
      <c r="B66">
        <f t="shared" si="12"/>
        <v>88782.724702942476</v>
      </c>
      <c r="C66">
        <f t="shared" ref="C66" si="46">(K66+L66-$G$2)/(B66/1000)</f>
        <v>206.03027259391047</v>
      </c>
      <c r="D66">
        <v>39.369999999999997</v>
      </c>
      <c r="E66" s="4">
        <f t="shared" si="11"/>
        <v>209.95430155558327</v>
      </c>
      <c r="F66">
        <f t="shared" ref="F66" si="47">NORMDIST(C67,$I$2,$L$2,TRUE)</f>
        <v>0.6726516189720626</v>
      </c>
      <c r="G66">
        <f t="shared" ref="G66" si="48">NORMDIST((C67-$I$2)/$L$2,0,1,FALSE)</f>
        <v>0.360972517405176</v>
      </c>
      <c r="H66">
        <f t="shared" ref="H66" si="49">G66/(1-F66)</f>
        <v>1.1027166722855091</v>
      </c>
      <c r="I66">
        <f t="shared" ref="I66" si="50">(B67/1000)*EXP(-$C$2)*($I$2+$L$2*H66)*(1-F66)</f>
        <v>6809.548428511629</v>
      </c>
      <c r="J66">
        <f t="shared" ref="J66" si="51">$G$2/EXP($C$2)*(1-F66)</f>
        <v>125.80514696610118</v>
      </c>
      <c r="K66">
        <f>I66+J66+F66*K67/EXP($C$2)</f>
        <v>16103.685124009702</v>
      </c>
      <c r="L66">
        <f t="shared" ref="L66" si="52">L67*F66/EXP($C$2)</f>
        <v>2588.2438481676436</v>
      </c>
      <c r="M66">
        <f t="shared" si="21"/>
        <v>18291928.972177345</v>
      </c>
      <c r="O66">
        <f t="shared" si="10"/>
        <v>691.61850653070496</v>
      </c>
    </row>
    <row r="67" spans="1:15" x14ac:dyDescent="0.4">
      <c r="A67">
        <v>77</v>
      </c>
      <c r="B67">
        <f t="shared" si="12"/>
        <v>89588.927380773996</v>
      </c>
      <c r="C67">
        <f>(K67+L67-$G$2)/(B67/1000)</f>
        <v>198.58754235739622</v>
      </c>
      <c r="D67">
        <v>35.58</v>
      </c>
      <c r="E67" s="4">
        <f t="shared" si="11"/>
        <v>205.69855691904013</v>
      </c>
      <c r="F67">
        <f>NORMDIST(C68,$I$2,$L$2,TRUE)</f>
        <v>0.60471877102837257</v>
      </c>
      <c r="G67">
        <f>NORMDIST((C68-$I$2)/$L$2,0,1,FALSE)</f>
        <v>0.38511819896379623</v>
      </c>
      <c r="H67">
        <f>G67/(1-F67)</f>
        <v>0.97428911553864683</v>
      </c>
      <c r="I67">
        <f>(B68/1000)*EXP(-$C$2)*($I$2+$L$2*H67)*(1-F67)</f>
        <v>8005.6833697977727</v>
      </c>
      <c r="J67">
        <f>$G$2/EXP($C$2)*(1-F67)</f>
        <v>151.91281211643638</v>
      </c>
      <c r="K67">
        <f>I67+J67+F67*K68/EXP($C$2)</f>
        <v>14186.390083566259</v>
      </c>
      <c r="L67">
        <f>L68*F67/EXP($C$2)</f>
        <v>4004.8548274168897</v>
      </c>
      <c r="M67">
        <f t="shared" si="21"/>
        <v>17791244.910983149</v>
      </c>
      <c r="O67">
        <f t="shared" si="10"/>
        <v>667.29829277801309</v>
      </c>
    </row>
    <row r="68" spans="1:15" x14ac:dyDescent="0.4">
      <c r="A68">
        <v>78</v>
      </c>
      <c r="B68">
        <f t="shared" si="12"/>
        <v>90381.499310855186</v>
      </c>
      <c r="C68">
        <f>(K68+L68-$G$2)/(B68/1000)</f>
        <v>186.64659322742239</v>
      </c>
      <c r="D68">
        <v>30.51</v>
      </c>
      <c r="E68" s="4">
        <f t="shared" si="11"/>
        <v>200.22171130431761</v>
      </c>
      <c r="F68">
        <f>NORMDIST(C69,$I$2,$L$2,TRUE)</f>
        <v>0.46806138359533112</v>
      </c>
      <c r="G68">
        <f>NORMDIST((C69-$I$2)/$L$2,0,1,FALSE)</f>
        <v>0.39766312184016456</v>
      </c>
      <c r="H68">
        <f>G68/(1-F68)</f>
        <v>0.74757332815567745</v>
      </c>
      <c r="I68">
        <f>(B69/1000)*EXP(-$C$2)*($I$2+$L$2*H68)*(1-F68)</f>
        <v>10172.016864778305</v>
      </c>
      <c r="J68">
        <f>$G$2/EXP($C$2)*(1-F68)</f>
        <v>204.43240196756184</v>
      </c>
      <c r="K68">
        <f>I68+J68</f>
        <v>10376.449266745867</v>
      </c>
      <c r="L68">
        <f>F68*($I$2*$B$70/1000+$G$2)/EXP($C$2*2)</f>
        <v>6892.9496704118765</v>
      </c>
      <c r="M68">
        <f t="shared" si="21"/>
        <v>16869398.937157746</v>
      </c>
      <c r="O68">
        <f t="shared" si="10"/>
        <v>643.65789196558671</v>
      </c>
    </row>
    <row r="69" spans="1:15" x14ac:dyDescent="0.4">
      <c r="A69">
        <v>79</v>
      </c>
      <c r="B69">
        <f t="shared" si="12"/>
        <v>91160.753301568489</v>
      </c>
      <c r="C69">
        <f>((I2*B70+G2)*EXP(-C2)-G2)/B69</f>
        <v>163.92213809141143</v>
      </c>
      <c r="D69">
        <v>22.92</v>
      </c>
      <c r="E69" s="4">
        <f t="shared" si="11"/>
        <v>192.3026513480296</v>
      </c>
      <c r="O69">
        <f t="shared" si="10"/>
        <v>620.68596413558157</v>
      </c>
    </row>
    <row r="70" spans="1:15" x14ac:dyDescent="0.4">
      <c r="A70">
        <v>80</v>
      </c>
      <c r="B70">
        <f t="shared" ref="B70" si="53">EXP(12.09-52.9/A70)</f>
        <v>91926.994227002258</v>
      </c>
      <c r="C70">
        <f>I2</f>
        <v>169.19</v>
      </c>
      <c r="D70">
        <v>0</v>
      </c>
      <c r="E70" s="4">
        <f t="shared" si="11"/>
        <v>169.19</v>
      </c>
      <c r="O70">
        <f t="shared" ref="O70" si="54">(($B70*$I$2)/1000 - 60*EXP($C$2*$A70))/(EXP($C$2*$A70)-1)</f>
        <v>598.37069042281018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AFE2-EBCD-4227-B9BE-DBE010F6D648}">
  <dimension ref="A2:AD38"/>
  <sheetViews>
    <sheetView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RowHeight="14.6" x14ac:dyDescent="0.4"/>
  <cols>
    <col min="4" max="4" width="11.3046875" customWidth="1"/>
    <col min="5" max="7" width="12.3046875" customWidth="1"/>
    <col min="13" max="13" width="11.69140625" customWidth="1"/>
    <col min="15" max="15" width="11.3046875" customWidth="1"/>
    <col min="16" max="16" width="11.07421875" customWidth="1"/>
    <col min="17" max="17" width="10.53515625" customWidth="1"/>
    <col min="18" max="18" width="10" customWidth="1"/>
    <col min="19" max="19" width="16.07421875" customWidth="1"/>
    <col min="20" max="20" width="12" customWidth="1"/>
    <col min="23" max="23" width="14.3046875" customWidth="1"/>
    <col min="24" max="24" width="5" customWidth="1"/>
    <col min="25" max="25" width="12.69140625" customWidth="1"/>
    <col min="26" max="26" width="9.53515625" customWidth="1"/>
    <col min="27" max="27" width="14.3046875" customWidth="1"/>
    <col min="28" max="28" width="10.53515625" customWidth="1"/>
    <col min="29" max="29" width="11.07421875" customWidth="1"/>
  </cols>
  <sheetData>
    <row r="2" spans="1:30" x14ac:dyDescent="0.4">
      <c r="B2" s="1" t="s">
        <v>0</v>
      </c>
      <c r="C2">
        <v>0.04</v>
      </c>
      <c r="H2" s="1" t="s">
        <v>8</v>
      </c>
      <c r="I2">
        <v>1900</v>
      </c>
      <c r="J2" s="1" t="s">
        <v>7</v>
      </c>
      <c r="K2">
        <v>169.19</v>
      </c>
      <c r="M2" s="1" t="s">
        <v>1</v>
      </c>
      <c r="N2">
        <v>65.73</v>
      </c>
      <c r="P2" t="s">
        <v>38</v>
      </c>
      <c r="S2">
        <v>0.01</v>
      </c>
      <c r="U2" t="s">
        <v>33</v>
      </c>
      <c r="V2">
        <v>250</v>
      </c>
    </row>
    <row r="3" spans="1:30" x14ac:dyDescent="0.4">
      <c r="E3" t="s">
        <v>21</v>
      </c>
      <c r="F3" t="s">
        <v>32</v>
      </c>
      <c r="T3" t="s">
        <v>24</v>
      </c>
      <c r="U3" t="s">
        <v>25</v>
      </c>
      <c r="W3" t="s">
        <v>28</v>
      </c>
    </row>
    <row r="4" spans="1:30" ht="45.75" customHeight="1" x14ac:dyDescent="0.4">
      <c r="A4" t="s">
        <v>10</v>
      </c>
      <c r="B4" t="s">
        <v>9</v>
      </c>
      <c r="C4" t="s">
        <v>2</v>
      </c>
      <c r="D4" s="5" t="s">
        <v>40</v>
      </c>
      <c r="E4" t="s">
        <v>22</v>
      </c>
      <c r="F4" s="5" t="s">
        <v>31</v>
      </c>
      <c r="G4" s="5" t="s">
        <v>39</v>
      </c>
      <c r="H4" t="s">
        <v>3</v>
      </c>
      <c r="I4" s="2" t="s">
        <v>11</v>
      </c>
      <c r="J4" s="2" t="s">
        <v>12</v>
      </c>
      <c r="K4" t="s">
        <v>6</v>
      </c>
      <c r="L4" t="s">
        <v>4</v>
      </c>
      <c r="M4" t="s">
        <v>13</v>
      </c>
      <c r="N4" t="s">
        <v>5</v>
      </c>
      <c r="O4" t="s">
        <v>15</v>
      </c>
      <c r="P4" s="5" t="s">
        <v>36</v>
      </c>
      <c r="Q4" s="5" t="s">
        <v>37</v>
      </c>
      <c r="R4" s="5" t="s">
        <v>30</v>
      </c>
      <c r="S4" s="5" t="s">
        <v>34</v>
      </c>
      <c r="T4" t="s">
        <v>23</v>
      </c>
      <c r="U4" t="s">
        <v>26</v>
      </c>
      <c r="V4" t="s">
        <v>27</v>
      </c>
      <c r="W4" s="5" t="s">
        <v>29</v>
      </c>
      <c r="Y4" s="5" t="s">
        <v>41</v>
      </c>
      <c r="Z4" s="5" t="s">
        <v>27</v>
      </c>
      <c r="AA4" s="5" t="s">
        <v>42</v>
      </c>
      <c r="AB4" s="5" t="s">
        <v>27</v>
      </c>
      <c r="AC4" s="5"/>
      <c r="AD4" t="s">
        <v>35</v>
      </c>
    </row>
    <row r="5" spans="1:30" x14ac:dyDescent="0.4">
      <c r="A5">
        <f t="shared" ref="A5:A24" si="0">A6-1</f>
        <v>15</v>
      </c>
      <c r="B5">
        <f t="shared" ref="B5:B30" si="1">EXP(12.09-52.9/A5)</f>
        <v>5236.1058012742687</v>
      </c>
      <c r="C5" s="7">
        <f t="shared" ref="C5:C29" si="2">(M5+N5-$I$2)/(B5/1000)</f>
        <v>688.27973820263014</v>
      </c>
      <c r="D5" s="4">
        <f>59.52*B$31/1000</f>
        <v>2917.0065318585871</v>
      </c>
      <c r="E5" s="8">
        <f>169.19+D5/(B5/1000)</f>
        <v>726.28465059867563</v>
      </c>
      <c r="F5" s="4">
        <f>(E5-K$2)/N$2</f>
        <v>8.4755005415894651</v>
      </c>
      <c r="G5" s="6">
        <f>_xlfn.NORM.DIST(E5,K$2,N$2,TRUE)</f>
        <v>1</v>
      </c>
      <c r="H5">
        <f t="shared" ref="H5:H29" si="3">NORMDIST(C6,$K$2,$N$2,TRUE)</f>
        <v>0.9999999998919582</v>
      </c>
      <c r="I5">
        <f t="shared" ref="I5:I29" si="4">NORMDIST((C6-$K$2)/$N$2,0,1,FALSE)</f>
        <v>7.0226702709585107E-10</v>
      </c>
      <c r="J5">
        <f t="shared" ref="J5:J27" si="5">I5/(1-H5)</f>
        <v>6.4999568856387802</v>
      </c>
      <c r="K5">
        <f t="shared" ref="K5:K29" si="6">(B6/1000)*EXP(-$C$2)*($K$2+$N$2*J5)*(1-H5)</f>
        <v>4.0412455120364349E-7</v>
      </c>
      <c r="L5">
        <f t="shared" ref="L5:L29" si="7">$I$2/EXP($C$2)*(1-H5)</f>
        <v>1.9723029466853736E-7</v>
      </c>
      <c r="M5">
        <f t="shared" ref="M5:M9" si="8">K5+L5+H5*M6/EXP($C$2)</f>
        <v>5361.4787065798591</v>
      </c>
      <c r="N5">
        <f t="shared" ref="N5:N27" si="9">N6*H5/EXP($C$2)</f>
        <v>142.42682352246695</v>
      </c>
      <c r="O5" s="4">
        <f t="shared" ref="O5:O29" si="10">C5*B5/1000</f>
        <v>3603.9055301023263</v>
      </c>
      <c r="P5">
        <f t="shared" ref="P5:P31" si="11">(($B5*$K$2)/1000 -V$2*EXP($C$2*$A5))/(EXP($C$2*$A5)-1)</f>
        <v>523.48521918674135</v>
      </c>
      <c r="Q5">
        <f t="shared" ref="Q5:Q29" si="12">(($B5*$K$2)/1000 -V$2*EXP($C$2*$A5)+I$2)/EXP($C$2*$A5)</f>
        <v>1278.9325481524761</v>
      </c>
      <c r="R5">
        <f t="shared" ref="R5:R29" si="13">(($B5*$K$2)/1000 -V$2*EXP(($C$2+S$2)*$A5))/(EXP(($C$2+S$2)*$A5)-1)</f>
        <v>319.28982189809034</v>
      </c>
      <c r="S5">
        <f t="shared" ref="S5:S29" si="14">(($B5*$K$2)/1000 -(V$2+W$5)*EXP(($C$2+S$2)*$A5))/(EXP(($C$2+S$2)*$A5)-1)</f>
        <v>-31.29983574892935</v>
      </c>
      <c r="T5" s="4">
        <f>D5</f>
        <v>2917.0065318585871</v>
      </c>
      <c r="U5">
        <f t="shared" ref="U5:U31" si="15">K$2*B5/1000</f>
        <v>885.89674051759357</v>
      </c>
      <c r="V5">
        <f t="shared" ref="V5:V21" si="16">(U$21+I$2)/EXP((C$2+S$2)*(A$21-A5))-I$2</f>
        <v>1411.01762724116</v>
      </c>
      <c r="W5" s="4">
        <f t="shared" ref="W5:W26" si="17">T5/(EXP(C$2+S$2)*A5)</f>
        <v>184.98282963764447</v>
      </c>
      <c r="Y5" s="4">
        <f t="shared" ref="Y5:Y20" si="18">(P$21+B$21*(K$2/1000))/EXP(C$2*(31-A5))</f>
        <v>3872.4674252793789</v>
      </c>
      <c r="Z5" s="4">
        <f t="shared" ref="Z5:Z20" si="19">Y5-P$21</f>
        <v>1997.2122418909807</v>
      </c>
      <c r="AA5" s="4">
        <f t="shared" ref="AA5:AA19" si="20">(S$20+B$20*(K$2/1000))/EXP((C$2+S$2)*(30-A5))</f>
        <v>2876.8897870092333</v>
      </c>
      <c r="AB5" s="4">
        <f t="shared" ref="AB5:AB19" si="21">AA5-S$20</f>
        <v>1952.9261053414943</v>
      </c>
      <c r="AC5" s="4">
        <f>Z5-AB5</f>
        <v>44.2861365494864</v>
      </c>
    </row>
    <row r="6" spans="1:30" x14ac:dyDescent="0.4">
      <c r="A6">
        <f t="shared" si="0"/>
        <v>16</v>
      </c>
      <c r="B6">
        <f t="shared" si="1"/>
        <v>6527.3087433098653</v>
      </c>
      <c r="C6" s="7">
        <f t="shared" si="2"/>
        <v>586.53946464300782</v>
      </c>
      <c r="D6" s="4">
        <f>59.37*B$31/1000</f>
        <v>2909.6552049133788</v>
      </c>
      <c r="E6" s="8">
        <f t="shared" ref="E6:E16" si="22">169.19+D6/(B6/1000)</f>
        <v>614.9564436197561</v>
      </c>
      <c r="F6" s="4">
        <f t="shared" ref="F6:F31" si="23">(E6-K$2)/N$2</f>
        <v>6.7817806727484573</v>
      </c>
      <c r="G6" s="6">
        <f t="shared" ref="G6:G31" si="24">_xlfn.NORM.DIST(E6,K$2,N$2,TRUE)</f>
        <v>0.99999999999406486</v>
      </c>
      <c r="H6">
        <f t="shared" si="3"/>
        <v>0.99999991097190921</v>
      </c>
      <c r="I6">
        <f t="shared" si="4"/>
        <v>4.8079051477034017E-7</v>
      </c>
      <c r="J6">
        <f t="shared" si="5"/>
        <v>5.4004360928422717</v>
      </c>
      <c r="K6">
        <f t="shared" si="6"/>
        <v>3.5548211255053059E-4</v>
      </c>
      <c r="L6">
        <f t="shared" si="7"/>
        <v>1.6252077389298025E-4</v>
      </c>
      <c r="M6">
        <f t="shared" si="8"/>
        <v>5580.2848033883947</v>
      </c>
      <c r="N6">
        <f t="shared" si="9"/>
        <v>148.23937247219754</v>
      </c>
      <c r="O6" s="4">
        <f t="shared" si="10"/>
        <v>3828.5241758605925</v>
      </c>
      <c r="P6">
        <f t="shared" si="11"/>
        <v>703.01013775439833</v>
      </c>
      <c r="Q6">
        <f t="shared" si="12"/>
        <v>1334.1738237728364</v>
      </c>
      <c r="R6">
        <f t="shared" si="13"/>
        <v>447.1251195433631</v>
      </c>
      <c r="S6">
        <f t="shared" si="14"/>
        <v>111.20254947192424</v>
      </c>
      <c r="T6" s="4">
        <f t="shared" ref="T6:T31" si="25">D6</f>
        <v>2909.6552049133788</v>
      </c>
      <c r="U6">
        <f t="shared" si="15"/>
        <v>1104.3553662805959</v>
      </c>
      <c r="V6">
        <f t="shared" si="16"/>
        <v>1580.7771311101565</v>
      </c>
      <c r="W6" s="4">
        <f t="shared" si="17"/>
        <v>172.98435287907876</v>
      </c>
      <c r="Y6" s="4">
        <f t="shared" si="18"/>
        <v>4030.5058189398346</v>
      </c>
      <c r="Z6" s="4">
        <f t="shared" si="19"/>
        <v>2155.2506355514365</v>
      </c>
      <c r="AA6" s="4">
        <f t="shared" si="20"/>
        <v>3024.3910805421829</v>
      </c>
      <c r="AB6" s="4">
        <f t="shared" si="21"/>
        <v>2100.427398874444</v>
      </c>
      <c r="AC6" s="4">
        <f t="shared" ref="AC6:AC20" si="26">Z6-AB6</f>
        <v>54.823236676992565</v>
      </c>
    </row>
    <row r="7" spans="1:30" x14ac:dyDescent="0.4">
      <c r="A7">
        <f t="shared" si="0"/>
        <v>17</v>
      </c>
      <c r="B7">
        <f t="shared" si="1"/>
        <v>7928.6280660355969</v>
      </c>
      <c r="C7" s="7">
        <f t="shared" si="2"/>
        <v>512.3597222991616</v>
      </c>
      <c r="D7" s="4">
        <f>59.18*B$31/1000</f>
        <v>2900.3435241161151</v>
      </c>
      <c r="E7" s="8">
        <f t="shared" si="22"/>
        <v>534.99648000635989</v>
      </c>
      <c r="F7" s="4">
        <f t="shared" si="23"/>
        <v>5.56528951782078</v>
      </c>
      <c r="G7" s="6">
        <f t="shared" si="24"/>
        <v>0.99999998691412417</v>
      </c>
      <c r="H7">
        <f t="shared" si="3"/>
        <v>0.99999396094614645</v>
      </c>
      <c r="I7">
        <f t="shared" si="4"/>
        <v>2.7691521137736151E-5</v>
      </c>
      <c r="J7">
        <f t="shared" si="5"/>
        <v>4.5854072192908868</v>
      </c>
      <c r="K7">
        <f t="shared" si="6"/>
        <v>2.5734502924860733E-2</v>
      </c>
      <c r="L7">
        <f t="shared" si="7"/>
        <v>1.1024292413422312E-2</v>
      </c>
      <c r="M7">
        <f t="shared" si="8"/>
        <v>5808.020524362687</v>
      </c>
      <c r="N7">
        <f t="shared" si="9"/>
        <v>154.28914976465018</v>
      </c>
      <c r="O7" s="4">
        <f t="shared" si="10"/>
        <v>4062.3096741273371</v>
      </c>
      <c r="P7">
        <f t="shared" si="11"/>
        <v>870.72033929028703</v>
      </c>
      <c r="Q7">
        <f t="shared" si="12"/>
        <v>1392.1709053021164</v>
      </c>
      <c r="R7">
        <f t="shared" si="13"/>
        <v>564.72559796143912</v>
      </c>
      <c r="S7">
        <f t="shared" si="14"/>
        <v>241.65948960620022</v>
      </c>
      <c r="T7" s="4">
        <f t="shared" si="25"/>
        <v>2900.3435241161151</v>
      </c>
      <c r="U7">
        <f t="shared" si="15"/>
        <v>1341.4445824925626</v>
      </c>
      <c r="V7">
        <f t="shared" si="16"/>
        <v>1759.2403908627657</v>
      </c>
      <c r="W7" s="4">
        <f t="shared" si="17"/>
        <v>162.28777066466733</v>
      </c>
      <c r="Y7" s="4">
        <f t="shared" si="18"/>
        <v>4194.9938817976945</v>
      </c>
      <c r="Z7" s="4">
        <f t="shared" si="19"/>
        <v>2319.7386984092964</v>
      </c>
      <c r="AA7" s="4">
        <f t="shared" si="20"/>
        <v>3179.4549271114488</v>
      </c>
      <c r="AB7" s="4">
        <f t="shared" si="21"/>
        <v>2255.4912454437099</v>
      </c>
      <c r="AC7" s="4">
        <f t="shared" si="26"/>
        <v>64.24745296558649</v>
      </c>
    </row>
    <row r="8" spans="1:30" x14ac:dyDescent="0.4">
      <c r="A8">
        <f t="shared" si="0"/>
        <v>18</v>
      </c>
      <c r="B8">
        <f t="shared" si="1"/>
        <v>9424.9066816039176</v>
      </c>
      <c r="C8" s="7">
        <f t="shared" si="2"/>
        <v>456.83586167735336</v>
      </c>
      <c r="D8" s="4">
        <f>58.95*B$31/1000</f>
        <v>2889.0714894667963</v>
      </c>
      <c r="E8" s="8">
        <f t="shared" si="22"/>
        <v>475.72581908729711</v>
      </c>
      <c r="F8" s="4">
        <f t="shared" si="23"/>
        <v>4.6635603086459314</v>
      </c>
      <c r="G8" s="6">
        <f t="shared" si="24"/>
        <v>0.99999844607475297</v>
      </c>
      <c r="H8">
        <f t="shared" si="3"/>
        <v>0.99990439165121536</v>
      </c>
      <c r="I8">
        <f t="shared" si="4"/>
        <v>3.7949063997249987E-4</v>
      </c>
      <c r="J8">
        <f t="shared" si="5"/>
        <v>3.9692207301615761</v>
      </c>
      <c r="K8">
        <f t="shared" si="6"/>
        <v>0.43464356042227648</v>
      </c>
      <c r="L8">
        <f t="shared" si="7"/>
        <v>0.17453303443343524</v>
      </c>
      <c r="M8">
        <f t="shared" si="8"/>
        <v>6045.0485859109322</v>
      </c>
      <c r="N8">
        <f t="shared" si="9"/>
        <v>160.58677920823868</v>
      </c>
      <c r="O8" s="4">
        <f t="shared" si="10"/>
        <v>4305.6353651191703</v>
      </c>
      <c r="P8">
        <f t="shared" si="11"/>
        <v>1025.1874162228723</v>
      </c>
      <c r="Q8">
        <f t="shared" si="12"/>
        <v>1451.004414918561</v>
      </c>
      <c r="R8">
        <f t="shared" si="13"/>
        <v>671.20930079052368</v>
      </c>
      <c r="S8">
        <f t="shared" si="14"/>
        <v>359.4914510479835</v>
      </c>
      <c r="T8" s="4">
        <f t="shared" si="25"/>
        <v>2889.0714894667963</v>
      </c>
      <c r="U8">
        <f t="shared" si="15"/>
        <v>1594.5999614605669</v>
      </c>
      <c r="V8">
        <f t="shared" si="16"/>
        <v>1946.8536576057304</v>
      </c>
      <c r="W8" s="4">
        <f t="shared" si="17"/>
        <v>152.67610057038451</v>
      </c>
      <c r="Y8" s="4">
        <f t="shared" si="18"/>
        <v>4366.1948298461912</v>
      </c>
      <c r="Z8" s="4">
        <f t="shared" si="19"/>
        <v>2490.9396464577931</v>
      </c>
      <c r="AA8" s="4">
        <f t="shared" si="20"/>
        <v>3342.4690671026042</v>
      </c>
      <c r="AB8" s="4">
        <f t="shared" si="21"/>
        <v>2418.5053854348653</v>
      </c>
      <c r="AC8" s="4">
        <f t="shared" si="26"/>
        <v>72.434261022927785</v>
      </c>
    </row>
    <row r="9" spans="1:30" x14ac:dyDescent="0.4">
      <c r="A9">
        <f t="shared" si="0"/>
        <v>19</v>
      </c>
      <c r="B9">
        <f t="shared" si="1"/>
        <v>11001.528247091775</v>
      </c>
      <c r="C9" s="7">
        <f t="shared" si="2"/>
        <v>414.38566817310101</v>
      </c>
      <c r="D9" s="4">
        <f>58.68*B$31/1000</f>
        <v>2875.8391009654215</v>
      </c>
      <c r="E9" s="8">
        <f t="shared" si="22"/>
        <v>430.59360106112001</v>
      </c>
      <c r="F9" s="4">
        <f t="shared" si="23"/>
        <v>3.9769298807412139</v>
      </c>
      <c r="G9" s="6">
        <f t="shared" si="24"/>
        <v>0.99996509463040351</v>
      </c>
      <c r="H9">
        <f t="shared" si="3"/>
        <v>0.99937679098854137</v>
      </c>
      <c r="I9">
        <f t="shared" si="4"/>
        <v>2.1786328318040399E-3</v>
      </c>
      <c r="J9">
        <f t="shared" si="5"/>
        <v>3.4958301175795481</v>
      </c>
      <c r="K9">
        <f t="shared" si="6"/>
        <v>3.0207484552411872</v>
      </c>
      <c r="L9">
        <f t="shared" si="7"/>
        <v>1.137668009528612</v>
      </c>
      <c r="M9">
        <f t="shared" si="8"/>
        <v>6291.719202053172</v>
      </c>
      <c r="N9">
        <f t="shared" si="9"/>
        <v>167.15643154319758</v>
      </c>
      <c r="O9" s="4">
        <f t="shared" si="10"/>
        <v>4558.8756335963699</v>
      </c>
      <c r="P9">
        <f t="shared" si="11"/>
        <v>1165.6041698052511</v>
      </c>
      <c r="Q9">
        <f t="shared" si="12"/>
        <v>1509.0564437234054</v>
      </c>
      <c r="R9">
        <f t="shared" si="13"/>
        <v>766.16872588180684</v>
      </c>
      <c r="S9">
        <f t="shared" si="14"/>
        <v>464.52971738386879</v>
      </c>
      <c r="T9" s="4">
        <f t="shared" si="25"/>
        <v>2875.8391009654215</v>
      </c>
      <c r="U9">
        <f t="shared" si="15"/>
        <v>1861.3485641254576</v>
      </c>
      <c r="V9">
        <f t="shared" si="16"/>
        <v>2144.0860622292944</v>
      </c>
      <c r="W9" s="4">
        <f t="shared" si="17"/>
        <v>143.97804068252569</v>
      </c>
      <c r="Y9" s="4">
        <f t="shared" si="18"/>
        <v>4544.3826211270161</v>
      </c>
      <c r="Z9" s="4">
        <f t="shared" si="19"/>
        <v>2669.127437738618</v>
      </c>
      <c r="AA9" s="4">
        <f t="shared" si="20"/>
        <v>3513.8411207759013</v>
      </c>
      <c r="AB9" s="4">
        <f t="shared" si="21"/>
        <v>2589.8774391081624</v>
      </c>
      <c r="AC9" s="4">
        <f t="shared" si="26"/>
        <v>79.249998630455593</v>
      </c>
    </row>
    <row r="10" spans="1:30" x14ac:dyDescent="0.4">
      <c r="A10">
        <f t="shared" si="0"/>
        <v>20</v>
      </c>
      <c r="B10">
        <f t="shared" si="1"/>
        <v>12644.783024990649</v>
      </c>
      <c r="C10" s="7">
        <f t="shared" si="2"/>
        <v>381.36903023257037</v>
      </c>
      <c r="D10" s="4">
        <f>58.37*$B31/1000</f>
        <v>2860.6463586119912</v>
      </c>
      <c r="E10" s="8">
        <f t="shared" si="22"/>
        <v>395.42135193054105</v>
      </c>
      <c r="F10" s="4">
        <f t="shared" si="23"/>
        <v>3.4418279618217107</v>
      </c>
      <c r="G10" s="6">
        <f t="shared" si="24"/>
        <v>0.99971110120392959</v>
      </c>
      <c r="H10">
        <f t="shared" si="3"/>
        <v>0.99768522304868734</v>
      </c>
      <c r="I10">
        <f t="shared" si="4"/>
        <v>7.2387045738313343E-3</v>
      </c>
      <c r="J10">
        <f t="shared" si="5"/>
        <v>3.1271715271427891</v>
      </c>
      <c r="K10">
        <f t="shared" si="6"/>
        <v>11.953031148311187</v>
      </c>
      <c r="L10">
        <f t="shared" si="7"/>
        <v>4.2256251727473852</v>
      </c>
      <c r="M10">
        <f>K10+L10+H10*M11/EXP($C$2)</f>
        <v>6548.2419324114553</v>
      </c>
      <c r="N10">
        <f t="shared" si="9"/>
        <v>174.08670733049595</v>
      </c>
      <c r="O10" s="4">
        <f t="shared" si="10"/>
        <v>4822.3286397419515</v>
      </c>
      <c r="P10">
        <f t="shared" si="11"/>
        <v>1291.6627842223711</v>
      </c>
      <c r="Q10">
        <f t="shared" si="12"/>
        <v>1565.0063152216878</v>
      </c>
      <c r="R10">
        <f t="shared" si="13"/>
        <v>849.56981951706689</v>
      </c>
      <c r="S10">
        <f t="shared" si="14"/>
        <v>556.93129185953637</v>
      </c>
      <c r="T10" s="4">
        <f t="shared" si="25"/>
        <v>2860.6463586119912</v>
      </c>
      <c r="U10">
        <f t="shared" si="15"/>
        <v>2139.3708399981679</v>
      </c>
      <c r="V10">
        <f t="shared" si="16"/>
        <v>2351.4307884787877</v>
      </c>
      <c r="W10" s="4">
        <f t="shared" si="17"/>
        <v>136.05654947012735</v>
      </c>
      <c r="Y10" s="4">
        <f t="shared" si="18"/>
        <v>4729.8423941216452</v>
      </c>
      <c r="Z10" s="4">
        <f t="shared" si="19"/>
        <v>2854.587210733247</v>
      </c>
      <c r="AA10" s="4">
        <f t="shared" si="20"/>
        <v>3693.9996075292388</v>
      </c>
      <c r="AB10" s="4">
        <f t="shared" si="21"/>
        <v>2770.0359258614999</v>
      </c>
      <c r="AC10" s="4">
        <f t="shared" si="26"/>
        <v>84.551284871747157</v>
      </c>
    </row>
    <row r="11" spans="1:30" x14ac:dyDescent="0.4">
      <c r="A11">
        <f t="shared" si="0"/>
        <v>21</v>
      </c>
      <c r="B11">
        <f t="shared" si="1"/>
        <v>14342.06893513009</v>
      </c>
      <c r="C11" s="7">
        <f t="shared" si="2"/>
        <v>355.3202415996102</v>
      </c>
      <c r="D11" s="4">
        <f>58.01*B$31/1000</f>
        <v>2843.0031739434917</v>
      </c>
      <c r="E11" s="8">
        <f t="shared" si="22"/>
        <v>367.41824634315594</v>
      </c>
      <c r="F11" s="4">
        <f t="shared" si="23"/>
        <v>3.0157956236597587</v>
      </c>
      <c r="G11" s="6">
        <f t="shared" si="24"/>
        <v>0.99871847022952176</v>
      </c>
      <c r="H11">
        <f t="shared" si="3"/>
        <v>0.99404969266569854</v>
      </c>
      <c r="I11">
        <f t="shared" si="4"/>
        <v>1.6877962571879068E-2</v>
      </c>
      <c r="J11">
        <f t="shared" si="5"/>
        <v>2.8364858525178107</v>
      </c>
      <c r="K11">
        <f t="shared" si="6"/>
        <v>32.697020308240489</v>
      </c>
      <c r="L11">
        <f t="shared" si="7"/>
        <v>10.862285648364171</v>
      </c>
      <c r="M11">
        <f t="shared" ref="M11:M26" si="27">K11+L11+H11*M12/EXP($C$2)</f>
        <v>6814.415687832171</v>
      </c>
      <c r="N11">
        <f t="shared" si="9"/>
        <v>181.61171123651593</v>
      </c>
      <c r="O11" s="4">
        <f t="shared" si="10"/>
        <v>5096.0273990686883</v>
      </c>
      <c r="P11">
        <f t="shared" si="11"/>
        <v>1403.4406297983367</v>
      </c>
      <c r="Q11">
        <f t="shared" si="12"/>
        <v>1617.8105354217109</v>
      </c>
      <c r="R11">
        <f t="shared" si="13"/>
        <v>921.6595338978251</v>
      </c>
      <c r="S11">
        <f t="shared" si="14"/>
        <v>637.09781787030113</v>
      </c>
      <c r="T11" s="4">
        <f t="shared" si="25"/>
        <v>2843.0031739434917</v>
      </c>
      <c r="U11">
        <f t="shared" si="15"/>
        <v>2426.5346431346602</v>
      </c>
      <c r="V11">
        <f t="shared" si="16"/>
        <v>2569.4063061708803</v>
      </c>
      <c r="W11" s="4">
        <f t="shared" si="17"/>
        <v>128.77848919066528</v>
      </c>
      <c r="Y11" s="4">
        <f t="shared" si="18"/>
        <v>4922.8709240337284</v>
      </c>
      <c r="Z11" s="4">
        <f t="shared" si="19"/>
        <v>3047.6157406453303</v>
      </c>
      <c r="AA11" s="4">
        <f t="shared" si="20"/>
        <v>3883.3950174198653</v>
      </c>
      <c r="AB11" s="4">
        <f t="shared" si="21"/>
        <v>2959.4313357521264</v>
      </c>
      <c r="AC11" s="4">
        <f t="shared" si="26"/>
        <v>88.184404893203919</v>
      </c>
    </row>
    <row r="12" spans="1:30" x14ac:dyDescent="0.4">
      <c r="A12">
        <f t="shared" si="0"/>
        <v>22</v>
      </c>
      <c r="B12">
        <f t="shared" si="1"/>
        <v>16081.978005410669</v>
      </c>
      <c r="C12" s="7">
        <f t="shared" si="2"/>
        <v>334.50605842563795</v>
      </c>
      <c r="D12" s="4">
        <f>57.59*B$31/1000</f>
        <v>2822.4194584969091</v>
      </c>
      <c r="E12" s="8">
        <f t="shared" si="22"/>
        <v>344.69200961270599</v>
      </c>
      <c r="F12" s="4">
        <f t="shared" si="23"/>
        <v>2.6700442661297124</v>
      </c>
      <c r="G12" s="6">
        <f t="shared" si="24"/>
        <v>0.99620793761200144</v>
      </c>
      <c r="H12">
        <f t="shared" si="3"/>
        <v>0.98805588888508478</v>
      </c>
      <c r="I12">
        <f t="shared" si="4"/>
        <v>3.11075918367247E-2</v>
      </c>
      <c r="J12">
        <f t="shared" si="5"/>
        <v>2.6044292067811607</v>
      </c>
      <c r="K12">
        <f t="shared" si="6"/>
        <v>69.740966166815653</v>
      </c>
      <c r="L12">
        <f t="shared" si="7"/>
        <v>21.803974056617612</v>
      </c>
      <c r="M12">
        <f t="shared" si="27"/>
        <v>7089.3641683719788</v>
      </c>
      <c r="N12">
        <f t="shared" si="9"/>
        <v>190.15490590574697</v>
      </c>
      <c r="O12" s="4">
        <f t="shared" si="10"/>
        <v>5379.5190742777249</v>
      </c>
      <c r="P12">
        <f t="shared" si="11"/>
        <v>1501.3008525673129</v>
      </c>
      <c r="Q12">
        <f t="shared" si="12"/>
        <v>1666.6744458244068</v>
      </c>
      <c r="R12">
        <f t="shared" si="13"/>
        <v>982.88681137799415</v>
      </c>
      <c r="S12">
        <f t="shared" si="14"/>
        <v>705.60482716562444</v>
      </c>
      <c r="T12" s="4">
        <f t="shared" si="25"/>
        <v>2822.4194584969091</v>
      </c>
      <c r="U12">
        <f t="shared" si="15"/>
        <v>2720.909858735431</v>
      </c>
      <c r="V12">
        <f t="shared" si="16"/>
        <v>2798.5576676381761</v>
      </c>
      <c r="W12" s="4">
        <f t="shared" si="17"/>
        <v>122.03492896389234</v>
      </c>
      <c r="Y12" s="4">
        <f t="shared" si="18"/>
        <v>5123.7770976927422</v>
      </c>
      <c r="Z12" s="4">
        <f t="shared" si="19"/>
        <v>3248.5219143043441</v>
      </c>
      <c r="AA12" s="4">
        <f t="shared" si="20"/>
        <v>4082.500937624171</v>
      </c>
      <c r="AB12" s="4">
        <f t="shared" si="21"/>
        <v>3158.5372559564321</v>
      </c>
      <c r="AC12" s="4">
        <f t="shared" si="26"/>
        <v>89.984658347912045</v>
      </c>
    </row>
    <row r="13" spans="1:30" x14ac:dyDescent="0.4">
      <c r="A13">
        <f t="shared" si="0"/>
        <v>23</v>
      </c>
      <c r="B13">
        <f t="shared" si="1"/>
        <v>17854.306167671504</v>
      </c>
      <c r="C13" s="7">
        <f t="shared" si="2"/>
        <v>317.6689589135745</v>
      </c>
      <c r="D13" s="4">
        <f>57.11*B$31/1000</f>
        <v>2798.895212272243</v>
      </c>
      <c r="E13" s="8">
        <f t="shared" si="22"/>
        <v>325.95303441800252</v>
      </c>
      <c r="F13" s="4">
        <f t="shared" si="23"/>
        <v>2.3849541216796366</v>
      </c>
      <c r="G13" s="6">
        <f t="shared" si="24"/>
        <v>0.99145937430035647</v>
      </c>
      <c r="H13">
        <f t="shared" si="3"/>
        <v>0.9797726326280275</v>
      </c>
      <c r="I13">
        <f t="shared" si="4"/>
        <v>4.8884559231492167E-2</v>
      </c>
      <c r="J13">
        <f t="shared" si="5"/>
        <v>2.4167534179078447</v>
      </c>
      <c r="K13">
        <f t="shared" si="6"/>
        <v>125.27415765302169</v>
      </c>
      <c r="L13">
        <f t="shared" si="7"/>
        <v>36.925057810406386</v>
      </c>
      <c r="M13">
        <f t="shared" si="27"/>
        <v>7371.4510792767105</v>
      </c>
      <c r="N13">
        <f t="shared" si="9"/>
        <v>200.30777313170759</v>
      </c>
      <c r="O13" s="4">
        <f t="shared" si="10"/>
        <v>5671.7588524084185</v>
      </c>
      <c r="P13">
        <f t="shared" si="11"/>
        <v>1585.8097811947814</v>
      </c>
      <c r="Q13">
        <f t="shared" si="12"/>
        <v>1711.0205659111709</v>
      </c>
      <c r="R13">
        <f t="shared" si="13"/>
        <v>1033.8379961625531</v>
      </c>
      <c r="S13">
        <f t="shared" si="14"/>
        <v>763.14325967584227</v>
      </c>
      <c r="T13" s="4">
        <f t="shared" si="25"/>
        <v>2798.895212272243</v>
      </c>
      <c r="U13">
        <f t="shared" si="15"/>
        <v>3020.7700605083414</v>
      </c>
      <c r="V13">
        <f t="shared" si="16"/>
        <v>3039.4578706439606</v>
      </c>
      <c r="W13" s="4">
        <f t="shared" si="17"/>
        <v>115.75615139163172</v>
      </c>
      <c r="Y13" s="4">
        <f t="shared" si="18"/>
        <v>5332.8824078388106</v>
      </c>
      <c r="Z13" s="4">
        <f t="shared" si="19"/>
        <v>3457.6272244504125</v>
      </c>
      <c r="AA13" s="4">
        <f t="shared" si="20"/>
        <v>4291.8152366523082</v>
      </c>
      <c r="AB13" s="4">
        <f t="shared" si="21"/>
        <v>3367.8515549845692</v>
      </c>
      <c r="AC13" s="4">
        <f t="shared" si="26"/>
        <v>89.775669465843293</v>
      </c>
    </row>
    <row r="14" spans="1:30" x14ac:dyDescent="0.4">
      <c r="A14">
        <f t="shared" si="0"/>
        <v>24</v>
      </c>
      <c r="B14">
        <f t="shared" si="1"/>
        <v>19650.014070110999</v>
      </c>
      <c r="C14" s="7">
        <f t="shared" si="2"/>
        <v>303.87573129810829</v>
      </c>
      <c r="D14" s="4">
        <f>56.57*B$31/1000</f>
        <v>2772.4304352694935</v>
      </c>
      <c r="E14" s="8">
        <f t="shared" si="22"/>
        <v>310.28050636694189</v>
      </c>
      <c r="F14" s="4">
        <f t="shared" si="23"/>
        <v>2.1465161473747436</v>
      </c>
      <c r="G14" s="6">
        <f t="shared" si="24"/>
        <v>0.98408408905215394</v>
      </c>
      <c r="H14">
        <f t="shared" si="3"/>
        <v>0.96959296094516734</v>
      </c>
      <c r="I14">
        <f t="shared" si="4"/>
        <v>6.8806294916031963E-2</v>
      </c>
      <c r="J14">
        <f t="shared" si="5"/>
        <v>2.2628410083584383</v>
      </c>
      <c r="K14">
        <f t="shared" si="6"/>
        <v>199.33442057723542</v>
      </c>
      <c r="L14">
        <f t="shared" si="7"/>
        <v>55.508047799573383</v>
      </c>
      <c r="M14">
        <f t="shared" si="27"/>
        <v>7658.3757943891505</v>
      </c>
      <c r="N14">
        <f t="shared" si="9"/>
        <v>212.78660118394691</v>
      </c>
      <c r="O14" s="4">
        <f t="shared" si="10"/>
        <v>5971.1623955730975</v>
      </c>
      <c r="P14">
        <f t="shared" si="11"/>
        <v>1657.670539224981</v>
      </c>
      <c r="Q14">
        <f t="shared" si="12"/>
        <v>1750.4567658179208</v>
      </c>
      <c r="R14">
        <f t="shared" si="13"/>
        <v>1075.1857483525637</v>
      </c>
      <c r="S14">
        <f t="shared" si="14"/>
        <v>810.47295863193358</v>
      </c>
      <c r="T14" s="4">
        <f t="shared" si="25"/>
        <v>2772.4304352694935</v>
      </c>
      <c r="U14">
        <f t="shared" si="15"/>
        <v>3324.5858805220796</v>
      </c>
      <c r="V14">
        <f t="shared" si="16"/>
        <v>3292.7092911750569</v>
      </c>
      <c r="W14" s="4">
        <f t="shared" si="17"/>
        <v>109.88405864206935</v>
      </c>
      <c r="Y14" s="4">
        <f t="shared" si="18"/>
        <v>5550.5214675796806</v>
      </c>
      <c r="Z14" s="4">
        <f t="shared" si="19"/>
        <v>3675.2662841912825</v>
      </c>
      <c r="AA14" s="4">
        <f t="shared" si="20"/>
        <v>4511.8613092787973</v>
      </c>
      <c r="AB14" s="4">
        <f t="shared" si="21"/>
        <v>3587.8976276110584</v>
      </c>
      <c r="AC14" s="4">
        <f t="shared" si="26"/>
        <v>87.368656580224069</v>
      </c>
    </row>
    <row r="15" spans="1:30" x14ac:dyDescent="0.4">
      <c r="A15">
        <f t="shared" si="0"/>
        <v>25</v>
      </c>
      <c r="B15">
        <f t="shared" si="1"/>
        <v>21461.158523947059</v>
      </c>
      <c r="C15" s="7">
        <f t="shared" si="2"/>
        <v>292.42354860259496</v>
      </c>
      <c r="D15" s="4">
        <f>55.95*B$31/1000</f>
        <v>2742.0449505626334</v>
      </c>
      <c r="E15" s="8">
        <f t="shared" si="22"/>
        <v>296.95779722786028</v>
      </c>
      <c r="F15" s="4">
        <f t="shared" si="23"/>
        <v>1.9438277381387536</v>
      </c>
      <c r="G15" s="6">
        <f t="shared" si="24"/>
        <v>0.9740418861865956</v>
      </c>
      <c r="H15">
        <f t="shared" si="3"/>
        <v>0.9580137275252002</v>
      </c>
      <c r="I15">
        <f t="shared" si="4"/>
        <v>8.9628523056412002E-2</v>
      </c>
      <c r="J15">
        <f t="shared" si="5"/>
        <v>2.1347101748602979</v>
      </c>
      <c r="K15">
        <f t="shared" si="6"/>
        <v>290.67023378794744</v>
      </c>
      <c r="L15">
        <f t="shared" si="7"/>
        <v>76.645937648003098</v>
      </c>
      <c r="M15">
        <f t="shared" si="27"/>
        <v>7947.3320900499248</v>
      </c>
      <c r="N15">
        <f t="shared" si="9"/>
        <v>228.41604264550287</v>
      </c>
      <c r="O15" s="4">
        <f t="shared" si="10"/>
        <v>6275.7481326954285</v>
      </c>
      <c r="P15">
        <f t="shared" si="11"/>
        <v>1717.6710506207792</v>
      </c>
      <c r="Q15">
        <f t="shared" si="12"/>
        <v>1784.7461226277831</v>
      </c>
      <c r="R15">
        <f t="shared" si="13"/>
        <v>1107.6497166930506</v>
      </c>
      <c r="S15">
        <f t="shared" si="14"/>
        <v>848.38682491240752</v>
      </c>
      <c r="T15" s="4">
        <f t="shared" si="25"/>
        <v>2742.0449505626334</v>
      </c>
      <c r="U15">
        <f t="shared" si="15"/>
        <v>3631.0134106666028</v>
      </c>
      <c r="V15">
        <f t="shared" si="16"/>
        <v>3558.9451896955688</v>
      </c>
      <c r="W15" s="4">
        <f t="shared" si="17"/>
        <v>104.3325536111513</v>
      </c>
      <c r="Y15" s="4">
        <f t="shared" si="18"/>
        <v>5777.0425458430782</v>
      </c>
      <c r="Z15" s="4">
        <f t="shared" si="19"/>
        <v>3901.7873624546801</v>
      </c>
      <c r="AA15" s="4">
        <f t="shared" si="20"/>
        <v>4743.1893853020847</v>
      </c>
      <c r="AB15" s="4">
        <f t="shared" si="21"/>
        <v>3819.2257036343458</v>
      </c>
      <c r="AC15" s="4">
        <f t="shared" si="26"/>
        <v>82.561658820334287</v>
      </c>
    </row>
    <row r="16" spans="1:30" x14ac:dyDescent="0.4">
      <c r="A16">
        <f t="shared" si="0"/>
        <v>26</v>
      </c>
      <c r="B16">
        <f t="shared" si="1"/>
        <v>23280.808145220224</v>
      </c>
      <c r="C16" s="7">
        <f t="shared" si="2"/>
        <v>282.77718890051153</v>
      </c>
      <c r="D16" s="4">
        <f>55.35*B$31/1000</f>
        <v>2712.6396427818008</v>
      </c>
      <c r="E16" s="8">
        <f t="shared" si="22"/>
        <v>285.70827659336351</v>
      </c>
      <c r="F16" s="4">
        <f t="shared" si="23"/>
        <v>1.7726803072168493</v>
      </c>
      <c r="G16" s="6">
        <f t="shared" si="24"/>
        <v>0.96185915196672911</v>
      </c>
      <c r="H16">
        <f t="shared" si="3"/>
        <v>0.94548069710829519</v>
      </c>
      <c r="I16">
        <f t="shared" si="4"/>
        <v>0.11047249873305426</v>
      </c>
      <c r="J16">
        <f t="shared" si="5"/>
        <v>2.0263006471761544</v>
      </c>
      <c r="K16">
        <f t="shared" si="6"/>
        <v>397.60750323818701</v>
      </c>
      <c r="L16">
        <f t="shared" si="7"/>
        <v>99.524983851763736</v>
      </c>
      <c r="M16">
        <f t="shared" si="27"/>
        <v>8235.1244141600364</v>
      </c>
      <c r="N16">
        <f t="shared" si="9"/>
        <v>248.15706847747001</v>
      </c>
      <c r="O16" s="4">
        <f t="shared" si="10"/>
        <v>6583.281482637507</v>
      </c>
      <c r="P16">
        <f t="shared" si="11"/>
        <v>1766.6442259982382</v>
      </c>
      <c r="Q16">
        <f t="shared" si="12"/>
        <v>1813.7794486853979</v>
      </c>
      <c r="R16">
        <f t="shared" si="13"/>
        <v>1131.9670083280535</v>
      </c>
      <c r="S16">
        <f t="shared" si="14"/>
        <v>877.68396493686168</v>
      </c>
      <c r="T16" s="4">
        <f t="shared" si="25"/>
        <v>2712.6396427818008</v>
      </c>
      <c r="U16">
        <f t="shared" si="15"/>
        <v>3938.8799300898095</v>
      </c>
      <c r="V16">
        <f t="shared" si="16"/>
        <v>3838.8312946278838</v>
      </c>
      <c r="W16" s="4">
        <f t="shared" si="17"/>
        <v>99.243947933890567</v>
      </c>
      <c r="Y16" s="4">
        <f t="shared" si="18"/>
        <v>6012.808124681299</v>
      </c>
      <c r="Z16" s="4">
        <f t="shared" si="19"/>
        <v>4137.5529412929009</v>
      </c>
      <c r="AA16" s="4">
        <f t="shared" si="20"/>
        <v>4986.3779054056422</v>
      </c>
      <c r="AB16" s="4">
        <f t="shared" si="21"/>
        <v>4062.4142237379033</v>
      </c>
      <c r="AC16" s="4">
        <f t="shared" si="26"/>
        <v>75.138717554997584</v>
      </c>
    </row>
    <row r="17" spans="1:29" x14ac:dyDescent="0.4">
      <c r="A17">
        <f t="shared" si="0"/>
        <v>27</v>
      </c>
      <c r="B17">
        <f t="shared" si="1"/>
        <v>25102.952325700138</v>
      </c>
      <c r="C17" s="7">
        <f t="shared" si="2"/>
        <v>274.52425324170508</v>
      </c>
      <c r="D17" s="4">
        <f>54.74*B$31/1000</f>
        <v>2682.7442465379545</v>
      </c>
      <c r="E17" s="8">
        <f t="shared" ref="E17:E31" si="28">169.19+D17/(B17/1000)</f>
        <v>276.059670616049</v>
      </c>
      <c r="F17" s="4">
        <f t="shared" si="23"/>
        <v>1.6258887968362847</v>
      </c>
      <c r="G17" s="6">
        <f t="shared" si="24"/>
        <v>0.94801334310012098</v>
      </c>
      <c r="H17">
        <f t="shared" si="3"/>
        <v>0.93231526501912731</v>
      </c>
      <c r="I17">
        <f t="shared" si="4"/>
        <v>0.13083093342124999</v>
      </c>
      <c r="J17">
        <f t="shared" si="5"/>
        <v>1.9329459361586043</v>
      </c>
      <c r="K17">
        <f t="shared" si="6"/>
        <v>518.65706329077034</v>
      </c>
      <c r="L17">
        <f t="shared" si="7"/>
        <v>123.55847926674798</v>
      </c>
      <c r="M17">
        <f t="shared" si="27"/>
        <v>8518.1912152626282</v>
      </c>
      <c r="N17">
        <f t="shared" si="9"/>
        <v>273.17802611232497</v>
      </c>
      <c r="O17" s="4">
        <f t="shared" si="10"/>
        <v>6891.369241374955</v>
      </c>
      <c r="P17">
        <f t="shared" si="11"/>
        <v>1805.4381321051519</v>
      </c>
      <c r="Q17">
        <f t="shared" si="12"/>
        <v>1837.55091933887</v>
      </c>
      <c r="R17">
        <f t="shared" si="13"/>
        <v>1148.8705780935013</v>
      </c>
      <c r="S17">
        <f t="shared" si="14"/>
        <v>899.15016294386476</v>
      </c>
      <c r="T17" s="4">
        <f t="shared" si="25"/>
        <v>2682.7442465379545</v>
      </c>
      <c r="U17">
        <f t="shared" si="15"/>
        <v>4247.1685039852064</v>
      </c>
      <c r="V17">
        <f t="shared" si="16"/>
        <v>4133.0674670204926</v>
      </c>
      <c r="W17" s="4">
        <f t="shared" si="17"/>
        <v>94.515009841366663</v>
      </c>
      <c r="Y17" s="4">
        <f t="shared" si="18"/>
        <v>6258.1954793198247</v>
      </c>
      <c r="Z17" s="4">
        <f t="shared" si="19"/>
        <v>4382.9402959314266</v>
      </c>
      <c r="AA17" s="4">
        <f t="shared" si="20"/>
        <v>5242.0349675609714</v>
      </c>
      <c r="AB17" s="4">
        <f t="shared" si="21"/>
        <v>4318.071285893232</v>
      </c>
      <c r="AC17" s="4">
        <f t="shared" si="26"/>
        <v>64.869010038194574</v>
      </c>
    </row>
    <row r="18" spans="1:29" x14ac:dyDescent="0.4">
      <c r="A18">
        <f t="shared" si="0"/>
        <v>28</v>
      </c>
      <c r="B18">
        <f t="shared" si="1"/>
        <v>26922.409500471225</v>
      </c>
      <c r="C18" s="7">
        <f t="shared" si="2"/>
        <v>267.34189734885928</v>
      </c>
      <c r="D18" s="4">
        <f>54.05*B$31/1000</f>
        <v>2648.9281425899972</v>
      </c>
      <c r="E18" s="8">
        <f t="shared" si="28"/>
        <v>267.58119869800782</v>
      </c>
      <c r="F18" s="4">
        <f t="shared" si="23"/>
        <v>1.4968994172829426</v>
      </c>
      <c r="G18" s="6">
        <f t="shared" si="24"/>
        <v>0.93279028405968023</v>
      </c>
      <c r="H18">
        <f t="shared" si="3"/>
        <v>0.91869404608955452</v>
      </c>
      <c r="I18">
        <f t="shared" si="4"/>
        <v>0.15049547232308147</v>
      </c>
      <c r="J18">
        <f t="shared" si="5"/>
        <v>1.8509772665461233</v>
      </c>
      <c r="K18">
        <f t="shared" si="6"/>
        <v>652.88089193071744</v>
      </c>
      <c r="L18">
        <f t="shared" si="7"/>
        <v>148.42401352898696</v>
      </c>
      <c r="M18">
        <f t="shared" si="27"/>
        <v>8792.519703364982</v>
      </c>
      <c r="N18">
        <f t="shared" si="9"/>
        <v>304.9683336939508</v>
      </c>
      <c r="O18" s="4">
        <f t="shared" si="10"/>
        <v>7197.4880370589317</v>
      </c>
      <c r="P18">
        <f t="shared" si="11"/>
        <v>1834.8941569429771</v>
      </c>
      <c r="Q18">
        <f t="shared" si="12"/>
        <v>1856.1368780443825</v>
      </c>
      <c r="R18">
        <f t="shared" si="13"/>
        <v>1159.0738773576293</v>
      </c>
      <c r="S18">
        <f t="shared" si="14"/>
        <v>913.54416645358776</v>
      </c>
      <c r="T18" s="4">
        <f t="shared" si="25"/>
        <v>2648.9281425899972</v>
      </c>
      <c r="U18">
        <f t="shared" si="15"/>
        <v>4555.002463384727</v>
      </c>
      <c r="V18">
        <f t="shared" si="16"/>
        <v>4442.389450565156</v>
      </c>
      <c r="W18" s="4">
        <f t="shared" si="17"/>
        <v>89.990656879272436</v>
      </c>
      <c r="Y18" s="4">
        <f t="shared" si="18"/>
        <v>6513.5972818781711</v>
      </c>
      <c r="Z18" s="4">
        <f t="shared" si="19"/>
        <v>4638.342098489773</v>
      </c>
      <c r="AA18" s="4">
        <f t="shared" si="20"/>
        <v>5510.7998475892773</v>
      </c>
      <c r="AB18" s="4">
        <f t="shared" si="21"/>
        <v>4586.8361659215379</v>
      </c>
      <c r="AC18" s="4">
        <f t="shared" si="26"/>
        <v>51.505932568235039</v>
      </c>
    </row>
    <row r="19" spans="1:29" x14ac:dyDescent="0.4">
      <c r="A19">
        <f t="shared" si="0"/>
        <v>29</v>
      </c>
      <c r="B19">
        <f t="shared" si="1"/>
        <v>28734.73845590062</v>
      </c>
      <c r="C19" s="7">
        <f t="shared" si="2"/>
        <v>260.97147755482598</v>
      </c>
      <c r="D19" s="4">
        <f>53.26*B$31/1000</f>
        <v>2610.2111540119008</v>
      </c>
      <c r="E19" s="8">
        <f t="shared" si="28"/>
        <v>260.02817338437961</v>
      </c>
      <c r="F19" s="4">
        <f t="shared" si="23"/>
        <v>1.3819895539993856</v>
      </c>
      <c r="G19" s="6">
        <f t="shared" si="24"/>
        <v>0.91651254572712682</v>
      </c>
      <c r="H19">
        <f t="shared" si="3"/>
        <v>0.90465061969189853</v>
      </c>
      <c r="I19">
        <f t="shared" si="4"/>
        <v>0.16947598999598246</v>
      </c>
      <c r="J19">
        <f t="shared" si="5"/>
        <v>1.7774209905544895</v>
      </c>
      <c r="K19">
        <f t="shared" si="6"/>
        <v>800.12284047059393</v>
      </c>
      <c r="L19">
        <f t="shared" si="7"/>
        <v>174.06028749651054</v>
      </c>
      <c r="M19">
        <f t="shared" si="27"/>
        <v>9053.4411275967759</v>
      </c>
      <c r="N19">
        <f t="shared" si="9"/>
        <v>345.50602439108644</v>
      </c>
      <c r="O19" s="4">
        <f t="shared" si="10"/>
        <v>7498.9471519878634</v>
      </c>
      <c r="P19">
        <f t="shared" si="11"/>
        <v>1855.831465117735</v>
      </c>
      <c r="Q19">
        <f t="shared" si="12"/>
        <v>1869.6776904331562</v>
      </c>
      <c r="R19" s="3">
        <f>(($B19*$K$2)/1000 -V$2*EXP(($C$2+S$2)*$A19))/(EXP(($C$2+S$2)*$A19)-1)</f>
        <v>1163.2603615093299</v>
      </c>
      <c r="S19">
        <f t="shared" si="14"/>
        <v>921.58849176054639</v>
      </c>
      <c r="T19" s="4">
        <f t="shared" si="25"/>
        <v>2610.2111540119008</v>
      </c>
      <c r="U19">
        <f t="shared" si="15"/>
        <v>4861.6303993538259</v>
      </c>
      <c r="V19">
        <f t="shared" si="16"/>
        <v>4767.5707113393591</v>
      </c>
      <c r="W19" s="4">
        <f t="shared" si="17"/>
        <v>85.617574270899482</v>
      </c>
      <c r="Y19" s="4">
        <f t="shared" si="18"/>
        <v>6779.4222297290544</v>
      </c>
      <c r="Z19" s="4">
        <f t="shared" si="19"/>
        <v>4904.1670463406563</v>
      </c>
      <c r="AA19" s="4">
        <f t="shared" si="20"/>
        <v>5793.3445976840057</v>
      </c>
      <c r="AB19" s="4">
        <f t="shared" si="21"/>
        <v>4869.3809160162664</v>
      </c>
      <c r="AC19" s="4">
        <f t="shared" si="26"/>
        <v>34.786130324389887</v>
      </c>
    </row>
    <row r="20" spans="1:29" x14ac:dyDescent="0.4">
      <c r="A20">
        <f t="shared" si="0"/>
        <v>30</v>
      </c>
      <c r="B20">
        <f t="shared" si="1"/>
        <v>30536.154886362325</v>
      </c>
      <c r="C20" s="7">
        <f t="shared" si="2"/>
        <v>255.19867730278639</v>
      </c>
      <c r="D20" s="4">
        <f>52.34*B$31/1000</f>
        <v>2565.1230154146247</v>
      </c>
      <c r="E20" s="8">
        <f t="shared" si="28"/>
        <v>253.19281649606864</v>
      </c>
      <c r="F20" s="4">
        <f t="shared" si="23"/>
        <v>1.2779981210416651</v>
      </c>
      <c r="G20" s="6">
        <f t="shared" si="24"/>
        <v>0.89937495560940095</v>
      </c>
      <c r="H20">
        <f t="shared" si="3"/>
        <v>0.89007851017394091</v>
      </c>
      <c r="I20">
        <f t="shared" si="4"/>
        <v>0.18793925568053513</v>
      </c>
      <c r="J20">
        <f t="shared" si="5"/>
        <v>1.7097589923310916</v>
      </c>
      <c r="K20">
        <f t="shared" si="6"/>
        <v>961.21107644785013</v>
      </c>
      <c r="L20">
        <f t="shared" si="7"/>
        <v>200.66167246545754</v>
      </c>
      <c r="M20">
        <f t="shared" si="27"/>
        <v>9295.2777464061128</v>
      </c>
      <c r="N20">
        <f t="shared" si="9"/>
        <v>397.50859050656908</v>
      </c>
      <c r="O20" s="4">
        <f t="shared" si="10"/>
        <v>7792.7863369126835</v>
      </c>
      <c r="P20">
        <f t="shared" si="11"/>
        <v>1869.0363283177981</v>
      </c>
      <c r="Q20">
        <f t="shared" si="12"/>
        <v>1878.362407008027</v>
      </c>
      <c r="R20">
        <f t="shared" si="13"/>
        <v>1162.0767092927883</v>
      </c>
      <c r="S20" s="3">
        <f>(($B20*$K$2)/1000 -(V$2+W$5)*EXP(($C$2+S$2)*$A20))/(EXP(($C$2+S$2)*$A20)-1)</f>
        <v>923.96368166773902</v>
      </c>
      <c r="T20" s="4">
        <f t="shared" si="25"/>
        <v>2565.1230154146247</v>
      </c>
      <c r="U20">
        <f t="shared" si="15"/>
        <v>5166.4120452236411</v>
      </c>
      <c r="V20">
        <f t="shared" si="16"/>
        <v>5109.4243718743946</v>
      </c>
      <c r="W20" s="4">
        <f t="shared" si="17"/>
        <v>81.334016324212982</v>
      </c>
      <c r="Y20" s="4">
        <f t="shared" si="18"/>
        <v>7056.0956995013848</v>
      </c>
      <c r="Z20" s="4">
        <f t="shared" si="19"/>
        <v>5180.8405161129867</v>
      </c>
      <c r="AA20" s="4">
        <f>(S$20+B$20*(K$2/1000))/EXP((C$2+S$2)*(30-A20))</f>
        <v>6090.3757268913814</v>
      </c>
      <c r="AB20" s="4">
        <f>AA20-S$20</f>
        <v>5166.4120452236421</v>
      </c>
      <c r="AC20" s="4">
        <f t="shared" si="26"/>
        <v>14.42847088934468</v>
      </c>
    </row>
    <row r="21" spans="1:29" x14ac:dyDescent="0.4">
      <c r="A21">
        <f t="shared" si="0"/>
        <v>31</v>
      </c>
      <c r="B21">
        <f t="shared" si="1"/>
        <v>32323.454367192026</v>
      </c>
      <c r="C21" s="7">
        <f t="shared" si="2"/>
        <v>249.83714449673121</v>
      </c>
      <c r="D21" s="4">
        <f>51.26*B$31/1000</f>
        <v>2512.193461409126</v>
      </c>
      <c r="E21" s="8">
        <f t="shared" si="28"/>
        <v>246.91045131287007</v>
      </c>
      <c r="F21" s="4">
        <f t="shared" si="23"/>
        <v>1.1824197674253776</v>
      </c>
      <c r="G21" s="6">
        <f t="shared" si="24"/>
        <v>0.88148040823311224</v>
      </c>
      <c r="H21">
        <f t="shared" si="3"/>
        <v>0.87472202129531818</v>
      </c>
      <c r="I21">
        <f t="shared" si="4"/>
        <v>0.20617311521217657</v>
      </c>
      <c r="J21">
        <f t="shared" si="5"/>
        <v>1.6457251094239724</v>
      </c>
      <c r="K21">
        <f t="shared" si="6"/>
        <v>1138.2286321084064</v>
      </c>
      <c r="L21">
        <f t="shared" si="7"/>
        <v>228.69494190583509</v>
      </c>
      <c r="M21">
        <f t="shared" si="27"/>
        <v>9510.7739997075223</v>
      </c>
      <c r="N21">
        <f t="shared" si="9"/>
        <v>464.82553966213044</v>
      </c>
      <c r="O21" s="4">
        <f t="shared" si="10"/>
        <v>8075.5995393696521</v>
      </c>
      <c r="P21" s="3">
        <f>(($B21*$K$2)/1000 -V$2*EXP($C$2*$A21))/(EXP($C$2*$A21)-1)</f>
        <v>1875.2551833883981</v>
      </c>
      <c r="Q21" s="3">
        <f t="shared" si="12"/>
        <v>1882.4159427915918</v>
      </c>
      <c r="R21">
        <f t="shared" si="13"/>
        <v>1156.1288351082217</v>
      </c>
      <c r="S21">
        <f t="shared" si="14"/>
        <v>921.30515520446534</v>
      </c>
      <c r="T21" s="4">
        <f t="shared" si="25"/>
        <v>2512.193461409126</v>
      </c>
      <c r="U21">
        <f t="shared" si="15"/>
        <v>5468.8052443852193</v>
      </c>
      <c r="V21">
        <f t="shared" si="16"/>
        <v>5468.8052443852193</v>
      </c>
      <c r="W21" s="4">
        <f t="shared" si="17"/>
        <v>77.086204533247084</v>
      </c>
      <c r="Y21" s="4">
        <f>(P$21+B$21*(K$2/1000))/EXP(C$2*(31-A21))</f>
        <v>7344.0604277736174</v>
      </c>
      <c r="Z21" s="4">
        <f>Y21-P$21</f>
        <v>5468.8052443852193</v>
      </c>
    </row>
    <row r="22" spans="1:29" x14ac:dyDescent="0.4">
      <c r="A22">
        <f t="shared" si="0"/>
        <v>32</v>
      </c>
      <c r="B22">
        <f t="shared" si="1"/>
        <v>34093.942220576573</v>
      </c>
      <c r="C22" s="7">
        <f t="shared" si="2"/>
        <v>244.71377370635307</v>
      </c>
      <c r="D22" s="4">
        <f>49.99*B$31/1000</f>
        <v>2449.9522266063641</v>
      </c>
      <c r="E22" s="8">
        <f t="shared" si="28"/>
        <v>241.04887190035052</v>
      </c>
      <c r="F22" s="4">
        <f t="shared" si="23"/>
        <v>1.0932431446881259</v>
      </c>
      <c r="G22" s="6">
        <f t="shared" si="24"/>
        <v>0.86285647076535765</v>
      </c>
      <c r="H22">
        <f t="shared" si="3"/>
        <v>0.85814319261057737</v>
      </c>
      <c r="I22">
        <f t="shared" si="4"/>
        <v>0.22457493311304849</v>
      </c>
      <c r="J22">
        <f t="shared" si="5"/>
        <v>1.5831100195040313</v>
      </c>
      <c r="K22">
        <f t="shared" si="6"/>
        <v>1334.9597811978776</v>
      </c>
      <c r="L22">
        <f t="shared" si="7"/>
        <v>258.95959258208279</v>
      </c>
      <c r="M22">
        <f t="shared" si="27"/>
        <v>9690.172489222321</v>
      </c>
      <c r="N22">
        <f t="shared" si="9"/>
        <v>553.08477210133094</v>
      </c>
      <c r="O22" s="4">
        <f t="shared" si="10"/>
        <v>8343.2572613236516</v>
      </c>
      <c r="P22">
        <f t="shared" si="11"/>
        <v>1875.1905029256677</v>
      </c>
      <c r="Q22">
        <f t="shared" si="12"/>
        <v>1882.0884685178164</v>
      </c>
      <c r="R22">
        <f t="shared" si="13"/>
        <v>1145.9799697680844</v>
      </c>
      <c r="S22">
        <f t="shared" si="14"/>
        <v>914.20196878398917</v>
      </c>
      <c r="T22" s="4">
        <f t="shared" si="25"/>
        <v>2449.9522266063641</v>
      </c>
      <c r="U22">
        <f t="shared" si="15"/>
        <v>5768.3540842993498</v>
      </c>
      <c r="W22" s="4">
        <f t="shared" si="17"/>
        <v>72.827082705281697</v>
      </c>
    </row>
    <row r="23" spans="1:29" x14ac:dyDescent="0.4">
      <c r="A23">
        <f t="shared" si="0"/>
        <v>33</v>
      </c>
      <c r="B23">
        <f t="shared" si="1"/>
        <v>35845.370305234981</v>
      </c>
      <c r="C23" s="7">
        <f t="shared" si="2"/>
        <v>239.65349912952109</v>
      </c>
      <c r="D23" s="4">
        <f>48.49*B$31/1000</f>
        <v>2376.4389571542824</v>
      </c>
      <c r="E23" s="8">
        <f t="shared" si="28"/>
        <v>235.48695653631506</v>
      </c>
      <c r="F23" s="4">
        <f t="shared" si="23"/>
        <v>1.0086255368372898</v>
      </c>
      <c r="G23" s="6">
        <f t="shared" si="24"/>
        <v>0.84342287228072377</v>
      </c>
      <c r="H23">
        <f t="shared" si="3"/>
        <v>0.83964740960957041</v>
      </c>
      <c r="I23">
        <f t="shared" si="4"/>
        <v>0.24366212172655533</v>
      </c>
      <c r="J23">
        <f t="shared" si="5"/>
        <v>1.5195396665141616</v>
      </c>
      <c r="K23">
        <f t="shared" si="6"/>
        <v>1557.6776327536513</v>
      </c>
      <c r="L23">
        <f t="shared" si="7"/>
        <v>292.72364323690181</v>
      </c>
      <c r="M23">
        <f t="shared" si="27"/>
        <v>9819.6519481861033</v>
      </c>
      <c r="N23">
        <f t="shared" si="9"/>
        <v>670.81647305688989</v>
      </c>
      <c r="O23" s="4">
        <f t="shared" si="10"/>
        <v>8590.4684212429929</v>
      </c>
      <c r="P23">
        <f t="shared" si="11"/>
        <v>1869.4987580611128</v>
      </c>
      <c r="Q23">
        <f t="shared" si="12"/>
        <v>1877.646716536791</v>
      </c>
      <c r="R23">
        <f t="shared" si="13"/>
        <v>1132.1502457359245</v>
      </c>
      <c r="S23">
        <f t="shared" si="14"/>
        <v>903.19695813636304</v>
      </c>
      <c r="T23" s="4">
        <f t="shared" si="25"/>
        <v>2376.4389571542824</v>
      </c>
      <c r="U23">
        <f t="shared" si="15"/>
        <v>6064.6782019427064</v>
      </c>
      <c r="W23" s="4">
        <f t="shared" si="17"/>
        <v>68.501171562877119</v>
      </c>
    </row>
    <row r="24" spans="1:29" x14ac:dyDescent="0.4">
      <c r="A24">
        <f t="shared" si="0"/>
        <v>34</v>
      </c>
      <c r="B24">
        <f t="shared" si="1"/>
        <v>37575.880484160509</v>
      </c>
      <c r="C24" s="7">
        <f t="shared" si="2"/>
        <v>234.46053386981689</v>
      </c>
      <c r="D24" s="4">
        <f>46.77*B$31/1000</f>
        <v>2292.1437415158957</v>
      </c>
      <c r="E24" s="8">
        <f t="shared" si="28"/>
        <v>230.19040004337651</v>
      </c>
      <c r="F24" s="4">
        <f t="shared" si="23"/>
        <v>0.92804503336948896</v>
      </c>
      <c r="G24" s="6">
        <f t="shared" si="24"/>
        <v>0.8233078948908833</v>
      </c>
      <c r="H24">
        <f t="shared" si="3"/>
        <v>0.81813218641139107</v>
      </c>
      <c r="I24">
        <f t="shared" si="4"/>
        <v>0.26410311548439502</v>
      </c>
      <c r="J24">
        <f t="shared" si="5"/>
        <v>1.4521707292407722</v>
      </c>
      <c r="K24">
        <f t="shared" si="6"/>
        <v>1816.5890498666593</v>
      </c>
      <c r="L24">
        <f t="shared" si="7"/>
        <v>331.9996817735518</v>
      </c>
      <c r="M24">
        <f t="shared" si="27"/>
        <v>9878.5298054071664</v>
      </c>
      <c r="N24">
        <f t="shared" si="9"/>
        <v>831.53119353753891</v>
      </c>
      <c r="O24" s="4">
        <f t="shared" si="10"/>
        <v>8810.0609989447057</v>
      </c>
      <c r="P24">
        <f t="shared" si="11"/>
        <v>1858.7899123754571</v>
      </c>
      <c r="Q24">
        <f t="shared" si="12"/>
        <v>1869.3669254834965</v>
      </c>
      <c r="R24">
        <f t="shared" si="13"/>
        <v>1115.1173526109087</v>
      </c>
      <c r="S24">
        <f t="shared" si="14"/>
        <v>888.78785225029208</v>
      </c>
      <c r="T24" s="4">
        <f t="shared" si="25"/>
        <v>2292.1437415158957</v>
      </c>
      <c r="U24">
        <f t="shared" si="15"/>
        <v>6357.4632191151168</v>
      </c>
      <c r="W24" s="4">
        <f t="shared" si="17"/>
        <v>64.128075650443492</v>
      </c>
    </row>
    <row r="25" spans="1:29" x14ac:dyDescent="0.4">
      <c r="A25">
        <f t="shared" ref="A25:A29" si="29">A26-1</f>
        <v>35</v>
      </c>
      <c r="B25">
        <f t="shared" si="1"/>
        <v>39283.954363558747</v>
      </c>
      <c r="C25" s="7">
        <f t="shared" si="2"/>
        <v>228.89058228642747</v>
      </c>
      <c r="D25" s="4">
        <f>44.77*B$31/1000</f>
        <v>2194.1260489131209</v>
      </c>
      <c r="E25" s="8">
        <f t="shared" si="28"/>
        <v>225.04298334804281</v>
      </c>
      <c r="F25" s="4">
        <f t="shared" si="23"/>
        <v>0.84973350597965636</v>
      </c>
      <c r="G25" s="6">
        <f t="shared" si="24"/>
        <v>0.80226336717720514</v>
      </c>
      <c r="H25">
        <f t="shared" si="3"/>
        <v>0.79177687962266208</v>
      </c>
      <c r="I25">
        <f t="shared" si="4"/>
        <v>0.28676288183239834</v>
      </c>
      <c r="J25">
        <f t="shared" si="5"/>
        <v>1.377190397073736</v>
      </c>
      <c r="K25">
        <f t="shared" si="6"/>
        <v>2128.6245778599282</v>
      </c>
      <c r="L25">
        <f t="shared" si="7"/>
        <v>380.1112925871895</v>
      </c>
      <c r="M25">
        <f t="shared" si="27"/>
        <v>9833.8704760398705</v>
      </c>
      <c r="N25">
        <f t="shared" si="9"/>
        <v>1057.8567127485358</v>
      </c>
      <c r="O25" s="4">
        <f t="shared" si="10"/>
        <v>8991.7271887884053</v>
      </c>
      <c r="P25">
        <f t="shared" si="11"/>
        <v>1843.6280139386688</v>
      </c>
      <c r="Q25">
        <f t="shared" si="12"/>
        <v>1857.5291745527516</v>
      </c>
      <c r="R25">
        <f t="shared" si="13"/>
        <v>1095.3179318327534</v>
      </c>
      <c r="S25">
        <f t="shared" si="14"/>
        <v>871.42904794768117</v>
      </c>
      <c r="T25" s="4">
        <f t="shared" si="25"/>
        <v>2194.1260489131209</v>
      </c>
      <c r="U25">
        <f t="shared" si="15"/>
        <v>6646.4522387705047</v>
      </c>
      <c r="W25" s="4">
        <f t="shared" si="17"/>
        <v>59.631921679704377</v>
      </c>
    </row>
    <row r="26" spans="1:29" x14ac:dyDescent="0.4">
      <c r="A26">
        <f t="shared" si="29"/>
        <v>36</v>
      </c>
      <c r="B26">
        <f t="shared" si="1"/>
        <v>40968.368812522793</v>
      </c>
      <c r="C26" s="7">
        <f t="shared" si="2"/>
        <v>222.60233447584713</v>
      </c>
      <c r="D26" s="4">
        <f>42.36*B$31/1000</f>
        <v>2076.0147293267769</v>
      </c>
      <c r="E26" s="8">
        <f t="shared" si="28"/>
        <v>219.8635998893908</v>
      </c>
      <c r="F26" s="4">
        <f t="shared" si="23"/>
        <v>0.77093564414104365</v>
      </c>
      <c r="G26" s="6">
        <f t="shared" si="24"/>
        <v>0.77962746082120427</v>
      </c>
      <c r="H26">
        <f t="shared" si="3"/>
        <v>0.75736111529926842</v>
      </c>
      <c r="I26">
        <f t="shared" si="4"/>
        <v>0.31272586639182487</v>
      </c>
      <c r="J26">
        <f t="shared" si="5"/>
        <v>1.2888530491620824</v>
      </c>
      <c r="K26">
        <f t="shared" si="6"/>
        <v>2523.2406422244658</v>
      </c>
      <c r="L26">
        <f t="shared" si="7"/>
        <v>442.93726810150616</v>
      </c>
      <c r="M26">
        <f t="shared" si="27"/>
        <v>9629.0750792620547</v>
      </c>
      <c r="N26">
        <f t="shared" si="9"/>
        <v>1390.5794580730076</v>
      </c>
      <c r="O26" s="4">
        <f t="shared" si="10"/>
        <v>9119.6545373350618</v>
      </c>
      <c r="P26">
        <f t="shared" si="11"/>
        <v>1824.5325541551704</v>
      </c>
      <c r="Q26">
        <f t="shared" si="12"/>
        <v>1842.4128869526503</v>
      </c>
      <c r="R26">
        <f t="shared" si="13"/>
        <v>1073.1494607252725</v>
      </c>
      <c r="S26">
        <f t="shared" si="14"/>
        <v>851.53381049147788</v>
      </c>
      <c r="T26" s="4">
        <f t="shared" si="25"/>
        <v>2076.0147293267769</v>
      </c>
      <c r="U26">
        <f t="shared" si="15"/>
        <v>6931.4383193907306</v>
      </c>
      <c r="W26" s="4">
        <f t="shared" si="17"/>
        <v>54.854619339792102</v>
      </c>
    </row>
    <row r="27" spans="1:29" x14ac:dyDescent="0.4">
      <c r="A27">
        <f t="shared" si="29"/>
        <v>37</v>
      </c>
      <c r="B27">
        <f t="shared" si="1"/>
        <v>42628.156740435646</v>
      </c>
      <c r="C27" s="7">
        <f t="shared" si="2"/>
        <v>215.05896973937305</v>
      </c>
      <c r="D27" s="4">
        <f>39.37*B$31/1000</f>
        <v>1929.4782788856278</v>
      </c>
      <c r="E27" s="8">
        <f t="shared" si="28"/>
        <v>214.45300047722657</v>
      </c>
      <c r="F27" s="4">
        <f t="shared" si="23"/>
        <v>0.68862011984218119</v>
      </c>
      <c r="G27" s="6">
        <f t="shared" si="24"/>
        <v>0.75446882184200703</v>
      </c>
      <c r="H27">
        <f t="shared" si="3"/>
        <v>0.70858219503573205</v>
      </c>
      <c r="I27">
        <f t="shared" si="4"/>
        <v>0.34308572289265621</v>
      </c>
      <c r="J27">
        <f t="shared" si="5"/>
        <v>1.1772984253131804</v>
      </c>
      <c r="K27">
        <f t="shared" si="6"/>
        <v>3055.821123794336</v>
      </c>
      <c r="L27">
        <f t="shared" si="7"/>
        <v>531.98318384217828</v>
      </c>
      <c r="M27">
        <f>K27+L27+H27*M28/EXP($C$2)</f>
        <v>9156.5503175118392</v>
      </c>
      <c r="N27">
        <f t="shared" si="9"/>
        <v>1911.0171529747624</v>
      </c>
      <c r="O27" s="4">
        <f t="shared" si="10"/>
        <v>9167.5674704866015</v>
      </c>
      <c r="P27">
        <f t="shared" si="11"/>
        <v>1801.9803420575349</v>
      </c>
      <c r="Q27">
        <f t="shared" si="12"/>
        <v>1824.2933104077297</v>
      </c>
      <c r="R27">
        <f t="shared" si="13"/>
        <v>1048.972439194109</v>
      </c>
      <c r="S27">
        <f t="shared" si="14"/>
        <v>829.47672552042764</v>
      </c>
      <c r="T27" s="4">
        <f t="shared" si="25"/>
        <v>1929.4782788856278</v>
      </c>
      <c r="U27">
        <f t="shared" si="15"/>
        <v>7212.2578389143073</v>
      </c>
      <c r="W27" s="4">
        <f t="shared" ref="W27:W31" si="30">T27/(EXP(C$2+S$2)*A27)</f>
        <v>49.604770616513612</v>
      </c>
    </row>
    <row r="28" spans="1:29" x14ac:dyDescent="0.4">
      <c r="A28">
        <f t="shared" si="29"/>
        <v>38</v>
      </c>
      <c r="B28">
        <f t="shared" si="1"/>
        <v>44262.572609235947</v>
      </c>
      <c r="C28" s="7">
        <f t="shared" si="2"/>
        <v>205.29203826339028</v>
      </c>
      <c r="D28" s="4">
        <f>35.58*B$31/1000</f>
        <v>1743.734751403369</v>
      </c>
      <c r="E28" s="8">
        <f t="shared" si="28"/>
        <v>208.58524181745182</v>
      </c>
      <c r="F28" s="4">
        <f t="shared" si="23"/>
        <v>0.59934948756202366</v>
      </c>
      <c r="G28" s="6">
        <f t="shared" si="24"/>
        <v>0.72553007320805407</v>
      </c>
      <c r="H28">
        <f t="shared" si="3"/>
        <v>0.63107901068737327</v>
      </c>
      <c r="I28">
        <f t="shared" si="4"/>
        <v>0.37720941860810664</v>
      </c>
      <c r="J28">
        <f>I28/(1-H28)</f>
        <v>1.0224666785994554</v>
      </c>
      <c r="K28">
        <f t="shared" si="6"/>
        <v>3843.6324878560135</v>
      </c>
      <c r="L28">
        <f t="shared" si="7"/>
        <v>673.46524178507786</v>
      </c>
      <c r="M28">
        <f>K28+L28+H28*M29/EXP($C$2)</f>
        <v>8179.7297284993592</v>
      </c>
      <c r="N28">
        <f>N29*H28/EXP($C$2)</f>
        <v>2807.0240212319973</v>
      </c>
      <c r="O28" s="4">
        <f t="shared" si="10"/>
        <v>9086.7537497313569</v>
      </c>
      <c r="P28">
        <f t="shared" si="11"/>
        <v>1776.4077050911003</v>
      </c>
      <c r="Q28">
        <f t="shared" si="12"/>
        <v>1803.4388091233805</v>
      </c>
      <c r="R28">
        <f t="shared" si="13"/>
        <v>1023.1127412303598</v>
      </c>
      <c r="S28">
        <f t="shared" si="14"/>
        <v>805.59627391872925</v>
      </c>
      <c r="T28" s="4">
        <f t="shared" si="25"/>
        <v>1743.734751403369</v>
      </c>
      <c r="U28">
        <f t="shared" si="15"/>
        <v>7488.7846597566295</v>
      </c>
      <c r="W28" s="4">
        <f t="shared" si="30"/>
        <v>43.64978431735058</v>
      </c>
    </row>
    <row r="29" spans="1:29" x14ac:dyDescent="0.4">
      <c r="A29">
        <f t="shared" si="29"/>
        <v>39</v>
      </c>
      <c r="B29">
        <f t="shared" si="1"/>
        <v>45871.062177950203</v>
      </c>
      <c r="C29" s="7">
        <f t="shared" si="2"/>
        <v>191.19065197753929</v>
      </c>
      <c r="D29" s="4">
        <f>30.51*B$31/1000</f>
        <v>1495.2599006553344</v>
      </c>
      <c r="E29" s="8">
        <f t="shared" si="28"/>
        <v>201.78701933333673</v>
      </c>
      <c r="F29" s="4">
        <f t="shared" si="23"/>
        <v>0.49592300826619096</v>
      </c>
      <c r="G29" s="6">
        <f t="shared" si="24"/>
        <v>0.69002563383962801</v>
      </c>
      <c r="H29">
        <f t="shared" si="3"/>
        <v>0.49206961964743373</v>
      </c>
      <c r="I29">
        <f t="shared" si="4"/>
        <v>0.39886345571075532</v>
      </c>
      <c r="J29">
        <f>I29/(1-H29)</f>
        <v>0.78527190170017969</v>
      </c>
      <c r="K29">
        <f t="shared" si="6"/>
        <v>5113.3905138198279</v>
      </c>
      <c r="L29">
        <f t="shared" si="7"/>
        <v>927.22687600799998</v>
      </c>
      <c r="M29">
        <f>K29+L29</f>
        <v>6040.6173898278275</v>
      </c>
      <c r="N29">
        <f>H29*($K$2*$B$31/1000+$I$2)/EXP($C$2*2)</f>
        <v>4629.5008948767136</v>
      </c>
      <c r="O29" s="4">
        <f t="shared" si="10"/>
        <v>8770.1182847045438</v>
      </c>
      <c r="P29">
        <f t="shared" si="11"/>
        <v>1748.212875805945</v>
      </c>
      <c r="Q29">
        <f t="shared" si="12"/>
        <v>1780.108825742946</v>
      </c>
      <c r="R29">
        <f t="shared" si="13"/>
        <v>995.86403084984784</v>
      </c>
      <c r="S29">
        <f t="shared" si="14"/>
        <v>780.19743676681423</v>
      </c>
      <c r="T29" s="4">
        <f t="shared" si="25"/>
        <v>1495.2599006553344</v>
      </c>
      <c r="U29">
        <f t="shared" si="15"/>
        <v>7760.9250098873945</v>
      </c>
      <c r="W29" s="4">
        <f t="shared" si="30"/>
        <v>36.470133712291499</v>
      </c>
    </row>
    <row r="30" spans="1:29" x14ac:dyDescent="0.4">
      <c r="A30">
        <f>A31-1</f>
        <v>40</v>
      </c>
      <c r="B30">
        <f t="shared" si="1"/>
        <v>47453.236008733504</v>
      </c>
      <c r="C30" s="7">
        <f>((K2*B31+I2)*EXP(-C2)-I2)/B30</f>
        <v>167.88329910372539</v>
      </c>
      <c r="D30" s="4">
        <f>22.92*B$31/1000</f>
        <v>1123.2827572278029</v>
      </c>
      <c r="E30" s="8">
        <f t="shared" si="28"/>
        <v>192.86136262363792</v>
      </c>
      <c r="F30" s="4">
        <f t="shared" si="23"/>
        <v>0.36013026964305367</v>
      </c>
      <c r="G30" s="6">
        <f t="shared" si="24"/>
        <v>0.64062514127680781</v>
      </c>
      <c r="P30">
        <f t="shared" si="11"/>
        <v>1717.7584611535001</v>
      </c>
      <c r="T30" s="4">
        <f t="shared" si="25"/>
        <v>1123.2827572278029</v>
      </c>
      <c r="U30">
        <f t="shared" si="15"/>
        <v>8028.6130003176213</v>
      </c>
      <c r="W30" s="4">
        <f t="shared" si="30"/>
        <v>26.712490267734452</v>
      </c>
    </row>
    <row r="31" spans="1:29" x14ac:dyDescent="0.4">
      <c r="A31">
        <v>41</v>
      </c>
      <c r="B31">
        <f t="shared" ref="B31" si="31">EXP(12.09-52.9/A31)</f>
        <v>49008.846301387552</v>
      </c>
      <c r="C31" s="7">
        <f>K2</f>
        <v>169.19</v>
      </c>
      <c r="D31" s="4">
        <f>0*B$31/1000</f>
        <v>0</v>
      </c>
      <c r="E31" s="8">
        <f t="shared" si="28"/>
        <v>169.19</v>
      </c>
      <c r="F31" s="4">
        <f t="shared" si="23"/>
        <v>0</v>
      </c>
      <c r="G31" s="6">
        <f t="shared" si="24"/>
        <v>0.5</v>
      </c>
      <c r="P31">
        <f t="shared" si="11"/>
        <v>1685.3739196567253</v>
      </c>
      <c r="T31" s="4">
        <f t="shared" si="25"/>
        <v>0</v>
      </c>
      <c r="U31">
        <f t="shared" si="15"/>
        <v>8291.8067057317603</v>
      </c>
      <c r="W31" s="4">
        <f t="shared" si="30"/>
        <v>0</v>
      </c>
    </row>
    <row r="32" spans="1:29" x14ac:dyDescent="0.4">
      <c r="H32" t="s">
        <v>14</v>
      </c>
    </row>
    <row r="38" spans="19:19" x14ac:dyDescent="0.4">
      <c r="S38">
        <f>(($B20*$K$2)/1000 -(V$2+W$5)*EXP(($C$2+S$2)*$A20)+D20*B20/1000)/(EXP(($C$2+S$2)*$A20)-1)</f>
        <v>23421.375747722268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854C-B30A-4F5D-B9A9-06C6276EB4C1}">
  <dimension ref="A1:E31"/>
  <sheetViews>
    <sheetView topLeftCell="A4" workbookViewId="0">
      <selection activeCell="E17" sqref="E17"/>
    </sheetView>
  </sheetViews>
  <sheetFormatPr defaultRowHeight="14.6" x14ac:dyDescent="0.4"/>
  <cols>
    <col min="2" max="2" width="11.3046875" customWidth="1"/>
    <col min="3" max="3" width="13" customWidth="1"/>
    <col min="4" max="4" width="11.84375" customWidth="1"/>
    <col min="5" max="5" width="11.07421875" customWidth="1"/>
  </cols>
  <sheetData>
    <row r="1" spans="1:5" ht="21.75" customHeight="1" x14ac:dyDescent="0.4">
      <c r="A1" s="1"/>
      <c r="B1" s="13" t="s">
        <v>49</v>
      </c>
      <c r="C1" s="1">
        <v>169.19</v>
      </c>
      <c r="D1" t="s">
        <v>43</v>
      </c>
      <c r="E1">
        <v>65.73</v>
      </c>
    </row>
    <row r="2" spans="1:5" x14ac:dyDescent="0.4">
      <c r="B2" s="14" t="s">
        <v>44</v>
      </c>
      <c r="C2" s="14"/>
      <c r="D2" s="14" t="s">
        <v>50</v>
      </c>
      <c r="E2" s="14"/>
    </row>
    <row r="3" spans="1:5" ht="29.15" x14ac:dyDescent="0.4">
      <c r="A3" s="11" t="s">
        <v>10</v>
      </c>
      <c r="B3" s="12" t="s">
        <v>46</v>
      </c>
      <c r="C3" s="12" t="s">
        <v>45</v>
      </c>
      <c r="D3" s="12" t="s">
        <v>47</v>
      </c>
      <c r="E3" s="12" t="s">
        <v>48</v>
      </c>
    </row>
    <row r="4" spans="1:5" x14ac:dyDescent="0.4">
      <c r="A4" s="11">
        <f t="shared" ref="A4:A28" si="0">A5-1</f>
        <v>15</v>
      </c>
      <c r="B4" s="10">
        <v>688.27973820263014</v>
      </c>
      <c r="C4" s="6">
        <f t="shared" ref="C4:C30" si="1">_xlfn.NORM.DIST(B4,C$1,E$1,TRUE)</f>
        <v>0.99999999999999856</v>
      </c>
      <c r="D4" s="10">
        <v>726.28465059867563</v>
      </c>
      <c r="E4" s="6">
        <f>_xlfn.NORM.DIST(D4,C$1,E$1,TRUE)</f>
        <v>1</v>
      </c>
    </row>
    <row r="5" spans="1:5" x14ac:dyDescent="0.4">
      <c r="A5" s="11">
        <f t="shared" si="0"/>
        <v>16</v>
      </c>
      <c r="B5" s="10">
        <v>586.53946464300782</v>
      </c>
      <c r="C5" s="6">
        <f t="shared" si="1"/>
        <v>0.9999999998919582</v>
      </c>
      <c r="D5" s="10">
        <v>614.9564436197561</v>
      </c>
      <c r="E5" s="6">
        <f t="shared" ref="E5:E30" si="2">_xlfn.NORM.DIST(D5,C$1,E$1,TRUE)</f>
        <v>0.99999999999406486</v>
      </c>
    </row>
    <row r="6" spans="1:5" x14ac:dyDescent="0.4">
      <c r="A6" s="11">
        <f t="shared" si="0"/>
        <v>17</v>
      </c>
      <c r="B6" s="10">
        <v>512.3597222991616</v>
      </c>
      <c r="C6" s="6">
        <f t="shared" si="1"/>
        <v>0.99999991097190921</v>
      </c>
      <c r="D6" s="10">
        <v>534.99648000635989</v>
      </c>
      <c r="E6" s="6">
        <f t="shared" si="2"/>
        <v>0.99999998691412417</v>
      </c>
    </row>
    <row r="7" spans="1:5" x14ac:dyDescent="0.4">
      <c r="A7" s="11">
        <f t="shared" si="0"/>
        <v>18</v>
      </c>
      <c r="B7" s="10">
        <v>456.83586167735336</v>
      </c>
      <c r="C7" s="6">
        <f t="shared" si="1"/>
        <v>0.99999396094614645</v>
      </c>
      <c r="D7" s="10">
        <v>475.72581908729711</v>
      </c>
      <c r="E7" s="6">
        <f t="shared" si="2"/>
        <v>0.99999844607475297</v>
      </c>
    </row>
    <row r="8" spans="1:5" x14ac:dyDescent="0.4">
      <c r="A8" s="11">
        <f t="shared" si="0"/>
        <v>19</v>
      </c>
      <c r="B8" s="10">
        <v>414.38566817310101</v>
      </c>
      <c r="C8" s="6">
        <f t="shared" si="1"/>
        <v>0.99990439165121536</v>
      </c>
      <c r="D8" s="10">
        <v>430.59360106112001</v>
      </c>
      <c r="E8" s="6">
        <f t="shared" si="2"/>
        <v>0.99996509463040351</v>
      </c>
    </row>
    <row r="9" spans="1:5" x14ac:dyDescent="0.4">
      <c r="A9" s="11">
        <f t="shared" si="0"/>
        <v>20</v>
      </c>
      <c r="B9" s="10">
        <v>381.36903023257037</v>
      </c>
      <c r="C9" s="6">
        <f t="shared" si="1"/>
        <v>0.99937679098854137</v>
      </c>
      <c r="D9" s="10">
        <v>395.42135193054105</v>
      </c>
      <c r="E9" s="6">
        <f t="shared" si="2"/>
        <v>0.99971110120392959</v>
      </c>
    </row>
    <row r="10" spans="1:5" x14ac:dyDescent="0.4">
      <c r="A10" s="11">
        <f t="shared" si="0"/>
        <v>21</v>
      </c>
      <c r="B10" s="10">
        <v>355.3202415996102</v>
      </c>
      <c r="C10" s="6">
        <f t="shared" si="1"/>
        <v>0.99768522304868734</v>
      </c>
      <c r="D10" s="10">
        <v>367.41824634315594</v>
      </c>
      <c r="E10" s="6">
        <f t="shared" si="2"/>
        <v>0.99871847022952176</v>
      </c>
    </row>
    <row r="11" spans="1:5" x14ac:dyDescent="0.4">
      <c r="A11" s="11">
        <f t="shared" si="0"/>
        <v>22</v>
      </c>
      <c r="B11" s="10">
        <v>334.50605842563795</v>
      </c>
      <c r="C11" s="6">
        <f t="shared" si="1"/>
        <v>0.99404969266569854</v>
      </c>
      <c r="D11" s="10">
        <v>344.69200961270599</v>
      </c>
      <c r="E11" s="6">
        <f t="shared" si="2"/>
        <v>0.99620793761200144</v>
      </c>
    </row>
    <row r="12" spans="1:5" x14ac:dyDescent="0.4">
      <c r="A12" s="11">
        <f t="shared" si="0"/>
        <v>23</v>
      </c>
      <c r="B12" s="10">
        <v>317.6689589135745</v>
      </c>
      <c r="C12" s="6">
        <f t="shared" si="1"/>
        <v>0.98805588888508478</v>
      </c>
      <c r="D12" s="10">
        <v>325.95303441800252</v>
      </c>
      <c r="E12" s="6">
        <f t="shared" si="2"/>
        <v>0.99145937430035647</v>
      </c>
    </row>
    <row r="13" spans="1:5" x14ac:dyDescent="0.4">
      <c r="A13" s="11">
        <f t="shared" si="0"/>
        <v>24</v>
      </c>
      <c r="B13" s="10">
        <v>303.87573129810829</v>
      </c>
      <c r="C13" s="6">
        <f t="shared" si="1"/>
        <v>0.9797726326280275</v>
      </c>
      <c r="D13" s="10">
        <v>310.28050636694189</v>
      </c>
      <c r="E13" s="6">
        <f t="shared" si="2"/>
        <v>0.98408408905215394</v>
      </c>
    </row>
    <row r="14" spans="1:5" x14ac:dyDescent="0.4">
      <c r="A14" s="11">
        <f t="shared" si="0"/>
        <v>25</v>
      </c>
      <c r="B14" s="10">
        <v>292.42354860259496</v>
      </c>
      <c r="C14" s="6">
        <f t="shared" si="1"/>
        <v>0.96959296094516734</v>
      </c>
      <c r="D14" s="10">
        <v>296.95779722786028</v>
      </c>
      <c r="E14" s="6">
        <f t="shared" si="2"/>
        <v>0.9740418861865956</v>
      </c>
    </row>
    <row r="15" spans="1:5" x14ac:dyDescent="0.4">
      <c r="A15" s="11">
        <f t="shared" si="0"/>
        <v>26</v>
      </c>
      <c r="B15" s="10">
        <v>282.77718890051153</v>
      </c>
      <c r="C15" s="6">
        <f t="shared" si="1"/>
        <v>0.9580137275252002</v>
      </c>
      <c r="D15" s="10">
        <v>285.70827659336351</v>
      </c>
      <c r="E15" s="6">
        <f t="shared" si="2"/>
        <v>0.96185915196672911</v>
      </c>
    </row>
    <row r="16" spans="1:5" x14ac:dyDescent="0.4">
      <c r="A16" s="11">
        <f t="shared" si="0"/>
        <v>27</v>
      </c>
      <c r="B16" s="10">
        <v>274.52425324170508</v>
      </c>
      <c r="C16" s="6">
        <f t="shared" si="1"/>
        <v>0.94548069710829519</v>
      </c>
      <c r="D16" s="10">
        <v>276.059670616049</v>
      </c>
      <c r="E16" s="6">
        <f t="shared" si="2"/>
        <v>0.94801334310012098</v>
      </c>
    </row>
    <row r="17" spans="1:5" x14ac:dyDescent="0.4">
      <c r="A17" s="11">
        <f t="shared" si="0"/>
        <v>28</v>
      </c>
      <c r="B17" s="10">
        <v>267.34189734885928</v>
      </c>
      <c r="C17" s="6">
        <f t="shared" si="1"/>
        <v>0.93231526501912731</v>
      </c>
      <c r="D17" s="10">
        <v>267.58119869800782</v>
      </c>
      <c r="E17" s="6">
        <f t="shared" si="2"/>
        <v>0.93279028405968023</v>
      </c>
    </row>
    <row r="18" spans="1:5" x14ac:dyDescent="0.4">
      <c r="A18" s="11">
        <f t="shared" si="0"/>
        <v>29</v>
      </c>
      <c r="B18" s="10">
        <v>260.97147755482598</v>
      </c>
      <c r="C18" s="6">
        <f t="shared" si="1"/>
        <v>0.91869404608955452</v>
      </c>
      <c r="D18" s="10">
        <v>260.02817338437961</v>
      </c>
      <c r="E18" s="6">
        <f t="shared" si="2"/>
        <v>0.91651254572712682</v>
      </c>
    </row>
    <row r="19" spans="1:5" x14ac:dyDescent="0.4">
      <c r="A19" s="11">
        <f t="shared" si="0"/>
        <v>30</v>
      </c>
      <c r="B19" s="10">
        <v>255.19867730278639</v>
      </c>
      <c r="C19" s="6">
        <f t="shared" si="1"/>
        <v>0.90465061969189853</v>
      </c>
      <c r="D19" s="10">
        <v>253.19281649606864</v>
      </c>
      <c r="E19" s="6">
        <f t="shared" si="2"/>
        <v>0.89937495560940095</v>
      </c>
    </row>
    <row r="20" spans="1:5" x14ac:dyDescent="0.4">
      <c r="A20" s="11">
        <f t="shared" si="0"/>
        <v>31</v>
      </c>
      <c r="B20" s="10">
        <v>249.83714449673121</v>
      </c>
      <c r="C20" s="6">
        <f t="shared" si="1"/>
        <v>0.89007851017394091</v>
      </c>
      <c r="D20" s="10">
        <v>246.91045131287007</v>
      </c>
      <c r="E20" s="6">
        <f t="shared" si="2"/>
        <v>0.88148040823311224</v>
      </c>
    </row>
    <row r="21" spans="1:5" x14ac:dyDescent="0.4">
      <c r="A21" s="11">
        <f t="shared" si="0"/>
        <v>32</v>
      </c>
      <c r="B21" s="10">
        <v>244.71377370635307</v>
      </c>
      <c r="C21" s="6">
        <f t="shared" si="1"/>
        <v>0.87472202129531818</v>
      </c>
      <c r="D21" s="10">
        <v>241.04887190035052</v>
      </c>
      <c r="E21" s="6">
        <f t="shared" si="2"/>
        <v>0.86285647076535765</v>
      </c>
    </row>
    <row r="22" spans="1:5" x14ac:dyDescent="0.4">
      <c r="A22" s="11">
        <f t="shared" si="0"/>
        <v>33</v>
      </c>
      <c r="B22" s="10">
        <v>239.65349912952109</v>
      </c>
      <c r="C22" s="6">
        <f t="shared" si="1"/>
        <v>0.85814319261057737</v>
      </c>
      <c r="D22" s="10">
        <v>235.48695653631506</v>
      </c>
      <c r="E22" s="6">
        <f t="shared" si="2"/>
        <v>0.84342287228072377</v>
      </c>
    </row>
    <row r="23" spans="1:5" x14ac:dyDescent="0.4">
      <c r="A23" s="11">
        <f t="shared" si="0"/>
        <v>34</v>
      </c>
      <c r="B23" s="10">
        <v>234.46053386981689</v>
      </c>
      <c r="C23" s="6">
        <f t="shared" si="1"/>
        <v>0.83964740960957041</v>
      </c>
      <c r="D23" s="10">
        <v>230.19040004337651</v>
      </c>
      <c r="E23" s="6">
        <f t="shared" si="2"/>
        <v>0.8233078948908833</v>
      </c>
    </row>
    <row r="24" spans="1:5" x14ac:dyDescent="0.4">
      <c r="A24" s="11">
        <f t="shared" si="0"/>
        <v>35</v>
      </c>
      <c r="B24" s="10">
        <v>228.89058228642747</v>
      </c>
      <c r="C24" s="6">
        <f t="shared" si="1"/>
        <v>0.81813218641139107</v>
      </c>
      <c r="D24" s="10">
        <v>225.04298334804281</v>
      </c>
      <c r="E24" s="6">
        <f t="shared" si="2"/>
        <v>0.80226336717720514</v>
      </c>
    </row>
    <row r="25" spans="1:5" x14ac:dyDescent="0.4">
      <c r="A25" s="11">
        <f t="shared" si="0"/>
        <v>36</v>
      </c>
      <c r="B25" s="10">
        <v>222.60233447584713</v>
      </c>
      <c r="C25" s="6">
        <f t="shared" si="1"/>
        <v>0.79177687962266208</v>
      </c>
      <c r="D25" s="10">
        <v>219.8635998893908</v>
      </c>
      <c r="E25" s="6">
        <f t="shared" si="2"/>
        <v>0.77962746082120427</v>
      </c>
    </row>
    <row r="26" spans="1:5" x14ac:dyDescent="0.4">
      <c r="A26" s="11">
        <f t="shared" si="0"/>
        <v>37</v>
      </c>
      <c r="B26" s="10">
        <v>215.05896973937305</v>
      </c>
      <c r="C26" s="6">
        <f t="shared" si="1"/>
        <v>0.75736111529926842</v>
      </c>
      <c r="D26" s="10">
        <v>214.45300047722657</v>
      </c>
      <c r="E26" s="6">
        <f t="shared" si="2"/>
        <v>0.75446882184200703</v>
      </c>
    </row>
    <row r="27" spans="1:5" x14ac:dyDescent="0.4">
      <c r="A27" s="11">
        <f t="shared" si="0"/>
        <v>38</v>
      </c>
      <c r="B27" s="10">
        <v>205.29203826339028</v>
      </c>
      <c r="C27" s="6">
        <f t="shared" si="1"/>
        <v>0.70858219503573205</v>
      </c>
      <c r="D27" s="10">
        <v>208.58524181745182</v>
      </c>
      <c r="E27" s="6">
        <f t="shared" si="2"/>
        <v>0.72553007320805407</v>
      </c>
    </row>
    <row r="28" spans="1:5" x14ac:dyDescent="0.4">
      <c r="A28" s="11">
        <f t="shared" si="0"/>
        <v>39</v>
      </c>
      <c r="B28" s="10">
        <v>191.19065197753929</v>
      </c>
      <c r="C28" s="6">
        <f t="shared" si="1"/>
        <v>0.63107901068737327</v>
      </c>
      <c r="D28" s="10">
        <v>201.78701933333673</v>
      </c>
      <c r="E28" s="6">
        <f t="shared" si="2"/>
        <v>0.69002563383962801</v>
      </c>
    </row>
    <row r="29" spans="1:5" x14ac:dyDescent="0.4">
      <c r="A29" s="11">
        <f>A30-1</f>
        <v>40</v>
      </c>
      <c r="B29" s="10">
        <v>167.88329910372539</v>
      </c>
      <c r="C29" s="6">
        <f t="shared" si="1"/>
        <v>0.49206961964743373</v>
      </c>
      <c r="D29" s="10">
        <v>192.86136262363792</v>
      </c>
      <c r="E29" s="6">
        <f t="shared" si="2"/>
        <v>0.64062514127680781</v>
      </c>
    </row>
    <row r="30" spans="1:5" x14ac:dyDescent="0.4">
      <c r="A30" s="11">
        <v>41</v>
      </c>
      <c r="B30" s="10">
        <v>169.19</v>
      </c>
      <c r="C30" s="6">
        <f t="shared" si="1"/>
        <v>0.5</v>
      </c>
      <c r="D30" s="10">
        <v>169.19</v>
      </c>
      <c r="E30" s="6">
        <f t="shared" si="2"/>
        <v>0.5</v>
      </c>
    </row>
    <row r="31" spans="1:5" x14ac:dyDescent="0.4">
      <c r="C31" s="9"/>
    </row>
  </sheetData>
  <mergeCells count="2">
    <mergeCell ref="D2:E2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20-B06A-4168-9B2D-2BC0B217B53B}">
  <dimension ref="A2:AB4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v>15</v>
      </c>
      <c r="B5">
        <f t="shared" ref="B5:B29" si="0">EXP(12.09-52.9/A5)</f>
        <v>5236.1058012742687</v>
      </c>
      <c r="C5">
        <f t="shared" ref="C5:C26" si="1">(I5+J5-$E$2)/(B5/1000)</f>
        <v>827.31694386885829</v>
      </c>
      <c r="D5">
        <f t="shared" ref="D5:D26" si="2">NORMDIST(C6,$G$2,$J$2,TRUE)</f>
        <v>0.99999999999999922</v>
      </c>
      <c r="E5">
        <f t="shared" ref="E5:E26" si="3">NORMDIST((C6-$G$2)/$J$2,0,1,FALSE)</f>
        <v>6.2749751318399062E-15</v>
      </c>
      <c r="F5">
        <f t="shared" ref="F5:F26" si="4">E5/(1-D5)</f>
        <v>8.0742787615752381</v>
      </c>
      <c r="G5">
        <f t="shared" ref="G5:G26" si="5">(B6/1000)*EXP(-$C$2)*($G$2+$J$2*F5)*(1-D5)</f>
        <v>3.4112558884990849E-12</v>
      </c>
      <c r="H5">
        <f t="shared" ref="H5:H26" si="6">$E$2/EXP($C$2)*(1-D5)</f>
        <v>2.9867335600580799E-13</v>
      </c>
      <c r="I5">
        <f t="shared" ref="I5:I8" si="7">G5+H5+D5*I6/EXP($C$2)</f>
        <v>4536.0756465970107</v>
      </c>
      <c r="J5">
        <f t="shared" ref="J5:J26" si="8">J6*D5/EXP($C$2)</f>
        <v>195.84340268721675</v>
      </c>
      <c r="K5">
        <f t="shared" ref="K5:K28" si="9">C5*B5</f>
        <v>4331919.0492842272</v>
      </c>
      <c r="M5">
        <f t="shared" ref="M5:M28" si="10">(($B5*$G$2)/1000 - 60*EXP($C$2*$A5))/(EXP($C$2*$A5)-1)</f>
        <v>944.59537006730682</v>
      </c>
    </row>
    <row r="6" spans="1:14" x14ac:dyDescent="0.4">
      <c r="A6">
        <v>16</v>
      </c>
      <c r="B6">
        <f t="shared" si="0"/>
        <v>6527.3087433098653</v>
      </c>
      <c r="C6">
        <f t="shared" si="1"/>
        <v>693.24625309613816</v>
      </c>
      <c r="D6">
        <f t="shared" si="2"/>
        <v>0.99999999995833544</v>
      </c>
      <c r="E6">
        <f t="shared" si="3"/>
        <v>2.7673071957641465E-10</v>
      </c>
      <c r="F6">
        <f t="shared" si="4"/>
        <v>6.6418729728726484</v>
      </c>
      <c r="G6">
        <f t="shared" si="5"/>
        <v>1.9226219140244103E-7</v>
      </c>
      <c r="H6">
        <f t="shared" si="6"/>
        <v>1.6012347959316518E-8</v>
      </c>
      <c r="I6">
        <f t="shared" si="7"/>
        <v>4721.1964055298722</v>
      </c>
      <c r="J6">
        <f t="shared" si="8"/>
        <v>203.83592357135387</v>
      </c>
      <c r="K6">
        <f t="shared" si="9"/>
        <v>4525032.3291012263</v>
      </c>
      <c r="M6">
        <f t="shared" si="10"/>
        <v>1104.9499620006316</v>
      </c>
    </row>
    <row r="7" spans="1:14" x14ac:dyDescent="0.4">
      <c r="A7">
        <v>17</v>
      </c>
      <c r="B7">
        <f t="shared" si="0"/>
        <v>7928.6280660355969</v>
      </c>
      <c r="C7">
        <f t="shared" si="1"/>
        <v>596.07118306083612</v>
      </c>
      <c r="D7">
        <f t="shared" si="2"/>
        <v>0.99999996525010715</v>
      </c>
      <c r="E7">
        <f t="shared" si="3"/>
        <v>1.9344975818338507E-7</v>
      </c>
      <c r="F7">
        <f t="shared" si="4"/>
        <v>5.5669166810552904</v>
      </c>
      <c r="G7">
        <f t="shared" si="5"/>
        <v>1.6838231921546129E-4</v>
      </c>
      <c r="H7">
        <f t="shared" si="6"/>
        <v>1.3354932025599044E-5</v>
      </c>
      <c r="I7">
        <f t="shared" si="7"/>
        <v>4913.8720859418272</v>
      </c>
      <c r="J7">
        <f t="shared" si="8"/>
        <v>212.15462542936061</v>
      </c>
      <c r="K7">
        <f t="shared" si="9"/>
        <v>4726026.7113711871</v>
      </c>
      <c r="M7">
        <f t="shared" si="10"/>
        <v>1255.816698629819</v>
      </c>
    </row>
    <row r="8" spans="1:14" x14ac:dyDescent="0.4">
      <c r="A8">
        <v>18</v>
      </c>
      <c r="B8">
        <f t="shared" si="0"/>
        <v>9424.9066816039176</v>
      </c>
      <c r="C8">
        <f t="shared" si="1"/>
        <v>523.63635980293918</v>
      </c>
      <c r="D8">
        <f t="shared" si="2"/>
        <v>0.99999734167967258</v>
      </c>
      <c r="E8">
        <f t="shared" si="3"/>
        <v>1.2638221462827492E-5</v>
      </c>
      <c r="F8">
        <f t="shared" si="4"/>
        <v>4.7542131519919186</v>
      </c>
      <c r="G8">
        <f t="shared" si="5"/>
        <v>1.3534778721158809E-2</v>
      </c>
      <c r="H8">
        <f t="shared" si="6"/>
        <v>1.0216344385876219E-3</v>
      </c>
      <c r="I8">
        <f t="shared" si="7"/>
        <v>5114.410998622624</v>
      </c>
      <c r="J8">
        <f t="shared" si="8"/>
        <v>220.81282761485102</v>
      </c>
      <c r="K8">
        <f t="shared" si="9"/>
        <v>4935223.8262374746</v>
      </c>
      <c r="M8">
        <f t="shared" si="10"/>
        <v>1395.3790092816466</v>
      </c>
    </row>
    <row r="9" spans="1:14" x14ac:dyDescent="0.4">
      <c r="A9">
        <v>19</v>
      </c>
      <c r="B9">
        <f t="shared" si="0"/>
        <v>11001.528247091775</v>
      </c>
      <c r="C9">
        <f t="shared" si="1"/>
        <v>468.38565846592178</v>
      </c>
      <c r="D9">
        <f t="shared" si="2"/>
        <v>0.99995160311141307</v>
      </c>
      <c r="E9">
        <f t="shared" si="3"/>
        <v>1.9982736831300428E-4</v>
      </c>
      <c r="F9">
        <f t="shared" si="4"/>
        <v>4.128930064462029</v>
      </c>
      <c r="G9">
        <f t="shared" si="5"/>
        <v>0.25905163085072269</v>
      </c>
      <c r="H9">
        <f t="shared" si="6"/>
        <v>1.8599687776862484E-2</v>
      </c>
      <c r="I9">
        <f>G9+H9+D9*I10/EXP($C$2)</f>
        <v>5323.1330711356768</v>
      </c>
      <c r="J9">
        <f t="shared" si="8"/>
        <v>229.82498100984222</v>
      </c>
      <c r="K9">
        <f t="shared" si="9"/>
        <v>5152958.0521455193</v>
      </c>
      <c r="M9">
        <f t="shared" si="10"/>
        <v>1522.5232326642395</v>
      </c>
    </row>
    <row r="10" spans="1:14" x14ac:dyDescent="0.4">
      <c r="A10">
        <v>20</v>
      </c>
      <c r="B10">
        <f t="shared" si="0"/>
        <v>12644.783024990649</v>
      </c>
      <c r="C10">
        <f t="shared" si="1"/>
        <v>425.43784969398541</v>
      </c>
      <c r="D10">
        <f t="shared" si="2"/>
        <v>0.99964101868279653</v>
      </c>
      <c r="E10">
        <f t="shared" si="3"/>
        <v>1.3070026994685977E-3</v>
      </c>
      <c r="F10">
        <f t="shared" si="4"/>
        <v>3.6408655181567702</v>
      </c>
      <c r="G10">
        <f t="shared" si="5"/>
        <v>2.0207299704793336</v>
      </c>
      <c r="H10">
        <f t="shared" si="6"/>
        <v>0.13796218336883218</v>
      </c>
      <c r="I10">
        <f t="shared" ref="I10:I25" si="11">G10+H10+D10*I11/EXP($C$2)</f>
        <v>5540.3534062804692</v>
      </c>
      <c r="J10">
        <f t="shared" si="8"/>
        <v>239.21589371856132</v>
      </c>
      <c r="K10">
        <f t="shared" si="9"/>
        <v>5379569.2999990303</v>
      </c>
      <c r="M10">
        <f t="shared" si="10"/>
        <v>1636.6963661964292</v>
      </c>
    </row>
    <row r="11" spans="1:14" x14ac:dyDescent="0.4">
      <c r="A11">
        <v>21</v>
      </c>
      <c r="B11">
        <f t="shared" si="0"/>
        <v>14342.06893513009</v>
      </c>
      <c r="C11">
        <f t="shared" si="1"/>
        <v>391.5300248144938</v>
      </c>
      <c r="D11">
        <f t="shared" si="2"/>
        <v>0.99851095408388724</v>
      </c>
      <c r="E11">
        <f t="shared" si="3"/>
        <v>4.8471730032490501E-3</v>
      </c>
      <c r="F11">
        <f t="shared" si="4"/>
        <v>3.255220642156464</v>
      </c>
      <c r="G11">
        <f t="shared" si="5"/>
        <v>8.8155824489246317</v>
      </c>
      <c r="H11">
        <f t="shared" si="6"/>
        <v>0.57226383624561561</v>
      </c>
      <c r="I11">
        <f t="shared" si="11"/>
        <v>5766.2827158030068</v>
      </c>
      <c r="J11">
        <f t="shared" si="8"/>
        <v>249.06789025965836</v>
      </c>
      <c r="K11">
        <f t="shared" si="9"/>
        <v>5615350.6060626647</v>
      </c>
      <c r="M11">
        <f t="shared" si="10"/>
        <v>1737.7772801028029</v>
      </c>
    </row>
    <row r="12" spans="1:14" x14ac:dyDescent="0.4">
      <c r="A12">
        <v>22</v>
      </c>
      <c r="B12">
        <f t="shared" si="0"/>
        <v>16081.978005410669</v>
      </c>
      <c r="C12">
        <f t="shared" si="1"/>
        <v>364.40746033097247</v>
      </c>
      <c r="D12">
        <f t="shared" si="2"/>
        <v>0.99580624988527766</v>
      </c>
      <c r="E12">
        <f t="shared" si="3"/>
        <v>1.2359335441485824E-2</v>
      </c>
      <c r="F12">
        <f t="shared" si="4"/>
        <v>2.9470843763670729</v>
      </c>
      <c r="G12">
        <f t="shared" si="5"/>
        <v>26.107358771379804</v>
      </c>
      <c r="H12">
        <f t="shared" si="6"/>
        <v>1.6117243282676268</v>
      </c>
      <c r="I12">
        <f t="shared" si="11"/>
        <v>6000.7736335596164</v>
      </c>
      <c r="J12">
        <f t="shared" si="8"/>
        <v>259.61912849064356</v>
      </c>
      <c r="K12">
        <f t="shared" si="9"/>
        <v>5860392.7620502599</v>
      </c>
      <c r="M12">
        <f t="shared" si="10"/>
        <v>1825.9666967345638</v>
      </c>
    </row>
    <row r="13" spans="1:14" x14ac:dyDescent="0.4">
      <c r="A13">
        <v>23</v>
      </c>
      <c r="B13">
        <f t="shared" si="0"/>
        <v>17854.306167671504</v>
      </c>
      <c r="C13">
        <f t="shared" si="1"/>
        <v>342.45819637813304</v>
      </c>
      <c r="D13">
        <f t="shared" si="2"/>
        <v>0.99092961954484438</v>
      </c>
      <c r="E13">
        <f t="shared" si="3"/>
        <v>2.4472852250940653E-2</v>
      </c>
      <c r="F13">
        <f t="shared" si="4"/>
        <v>2.6981064765624279</v>
      </c>
      <c r="G13">
        <f t="shared" si="5"/>
        <v>59.342470623361642</v>
      </c>
      <c r="H13">
        <f t="shared" si="6"/>
        <v>3.4858903001628665</v>
      </c>
      <c r="I13">
        <f t="shared" si="11"/>
        <v>6243.0011176108001</v>
      </c>
      <c r="J13">
        <f t="shared" si="8"/>
        <v>271.352370152959</v>
      </c>
      <c r="K13">
        <f t="shared" si="9"/>
        <v>6114353.4877637597</v>
      </c>
      <c r="M13">
        <f t="shared" si="10"/>
        <v>1901.6967551441876</v>
      </c>
    </row>
    <row r="14" spans="1:14" x14ac:dyDescent="0.4">
      <c r="A14">
        <v>24</v>
      </c>
      <c r="B14">
        <f t="shared" si="0"/>
        <v>19650.014070110999</v>
      </c>
      <c r="C14">
        <f t="shared" si="1"/>
        <v>324.49240390624175</v>
      </c>
      <c r="D14">
        <f t="shared" si="2"/>
        <v>0.98367275572619906</v>
      </c>
      <c r="E14">
        <f t="shared" si="3"/>
        <v>4.0727979087164072E-2</v>
      </c>
      <c r="F14">
        <f t="shared" si="4"/>
        <v>2.4944796809659473</v>
      </c>
      <c r="G14">
        <f t="shared" si="5"/>
        <v>112.15971398649224</v>
      </c>
      <c r="H14">
        <f t="shared" si="6"/>
        <v>6.274817547491276</v>
      </c>
      <c r="I14">
        <f t="shared" si="11"/>
        <v>6491.2686679856506</v>
      </c>
      <c r="J14">
        <f t="shared" si="8"/>
        <v>285.01163441614091</v>
      </c>
      <c r="K14">
        <f t="shared" si="9"/>
        <v>6376280.3024017913</v>
      </c>
      <c r="M14">
        <f t="shared" si="10"/>
        <v>1965.5587415838625</v>
      </c>
    </row>
    <row r="15" spans="1:14" x14ac:dyDescent="0.4">
      <c r="A15">
        <v>25</v>
      </c>
      <c r="B15">
        <f t="shared" si="0"/>
        <v>21461.158523947059</v>
      </c>
      <c r="C15">
        <f t="shared" si="1"/>
        <v>309.60938660595525</v>
      </c>
      <c r="D15">
        <f t="shared" si="2"/>
        <v>0.97418598117093513</v>
      </c>
      <c r="E15">
        <f t="shared" si="3"/>
        <v>6.0034899395955084E-2</v>
      </c>
      <c r="F15">
        <f t="shared" si="4"/>
        <v>2.3256703961321894</v>
      </c>
      <c r="G15">
        <f t="shared" si="5"/>
        <v>185.95750674098599</v>
      </c>
      <c r="H15">
        <f t="shared" si="6"/>
        <v>9.9207346692178966</v>
      </c>
      <c r="I15">
        <f t="shared" si="11"/>
        <v>6743.0091895380119</v>
      </c>
      <c r="J15">
        <f t="shared" si="8"/>
        <v>301.56693691440495</v>
      </c>
      <c r="K15">
        <f t="shared" si="9"/>
        <v>6644576.1264524171</v>
      </c>
      <c r="M15">
        <f t="shared" si="10"/>
        <v>2018.2466249259512</v>
      </c>
    </row>
    <row r="16" spans="1:14" x14ac:dyDescent="0.4">
      <c r="A16">
        <v>26</v>
      </c>
      <c r="B16">
        <f t="shared" si="0"/>
        <v>23280.808145220224</v>
      </c>
      <c r="C16">
        <f t="shared" si="1"/>
        <v>297.11519433035994</v>
      </c>
      <c r="D16">
        <f t="shared" si="2"/>
        <v>0.96280751130814157</v>
      </c>
      <c r="E16">
        <f t="shared" si="3"/>
        <v>8.1212069644022014E-2</v>
      </c>
      <c r="F16">
        <f t="shared" si="4"/>
        <v>2.1835610495675066</v>
      </c>
      <c r="G16">
        <f t="shared" si="5"/>
        <v>280.51599185167851</v>
      </c>
      <c r="H16">
        <f t="shared" si="6"/>
        <v>14.293660140371912</v>
      </c>
      <c r="I16">
        <f t="shared" si="11"/>
        <v>6994.8906703310231</v>
      </c>
      <c r="J16">
        <f t="shared" si="8"/>
        <v>322.19116590391081</v>
      </c>
      <c r="K16">
        <f t="shared" si="9"/>
        <v>6917081.8362349337</v>
      </c>
      <c r="M16">
        <f t="shared" si="10"/>
        <v>2060.513804352971</v>
      </c>
    </row>
    <row r="17" spans="1:13" x14ac:dyDescent="0.4">
      <c r="A17">
        <v>27</v>
      </c>
      <c r="B17">
        <f t="shared" si="0"/>
        <v>25102.952325700138</v>
      </c>
      <c r="C17">
        <f t="shared" si="1"/>
        <v>286.46797289078125</v>
      </c>
      <c r="D17">
        <f t="shared" si="2"/>
        <v>0.94989377305849088</v>
      </c>
      <c r="E17">
        <f t="shared" si="3"/>
        <v>0.1033103134708054</v>
      </c>
      <c r="F17">
        <f t="shared" si="4"/>
        <v>2.0618258403571956</v>
      </c>
      <c r="G17">
        <f t="shared" si="5"/>
        <v>394.93533188893724</v>
      </c>
      <c r="H17">
        <f t="shared" si="6"/>
        <v>19.256613472468629</v>
      </c>
      <c r="I17">
        <f t="shared" si="11"/>
        <v>7242.8979104809596</v>
      </c>
      <c r="J17">
        <f t="shared" si="8"/>
        <v>348.29395583628116</v>
      </c>
      <c r="K17">
        <f t="shared" si="9"/>
        <v>7191191.8663172415</v>
      </c>
      <c r="M17">
        <f t="shared" si="10"/>
        <v>2093.1406044203954</v>
      </c>
    </row>
    <row r="18" spans="1:13" x14ac:dyDescent="0.4">
      <c r="A18">
        <v>28</v>
      </c>
      <c r="B18">
        <f t="shared" si="0"/>
        <v>26922.409500471225</v>
      </c>
      <c r="C18">
        <f t="shared" si="1"/>
        <v>277.23858603430301</v>
      </c>
      <c r="D18">
        <f t="shared" si="2"/>
        <v>0.93570750532913771</v>
      </c>
      <c r="E18">
        <f t="shared" si="3"/>
        <v>0.12572088175577392</v>
      </c>
      <c r="F18">
        <f t="shared" si="4"/>
        <v>1.9554519139346962</v>
      </c>
      <c r="G18">
        <f t="shared" si="5"/>
        <v>528.45311478249357</v>
      </c>
      <c r="H18">
        <f t="shared" si="6"/>
        <v>24.708619958608601</v>
      </c>
      <c r="I18">
        <f t="shared" si="11"/>
        <v>7482.3005938903198</v>
      </c>
      <c r="J18">
        <f t="shared" si="8"/>
        <v>381.63014865680924</v>
      </c>
      <c r="K18">
        <f t="shared" si="9"/>
        <v>7463930.7425471283</v>
      </c>
      <c r="M18">
        <f t="shared" si="10"/>
        <v>2116.9103388588678</v>
      </c>
    </row>
    <row r="19" spans="1:13" x14ac:dyDescent="0.4">
      <c r="A19">
        <v>29</v>
      </c>
      <c r="B19">
        <f t="shared" si="0"/>
        <v>28734.73845590062</v>
      </c>
      <c r="C19">
        <f t="shared" si="1"/>
        <v>269.08024756940478</v>
      </c>
      <c r="D19">
        <f t="shared" si="2"/>
        <v>0.92035777959163978</v>
      </c>
      <c r="E19">
        <f t="shared" si="3"/>
        <v>0.14816308933077144</v>
      </c>
      <c r="F19">
        <f t="shared" si="4"/>
        <v>1.8603585958688116</v>
      </c>
      <c r="G19">
        <f t="shared" si="5"/>
        <v>681.05444711066718</v>
      </c>
      <c r="H19">
        <f t="shared" si="6"/>
        <v>30.60776171159765</v>
      </c>
      <c r="I19">
        <f t="shared" si="11"/>
        <v>7707.453813722319</v>
      </c>
      <c r="J19">
        <f t="shared" si="8"/>
        <v>424.49672383351458</v>
      </c>
      <c r="K19">
        <f t="shared" si="9"/>
        <v>7731950.5375558352</v>
      </c>
      <c r="M19">
        <f t="shared" si="10"/>
        <v>2132.5920993672689</v>
      </c>
    </row>
    <row r="20" spans="1:13" x14ac:dyDescent="0.4">
      <c r="A20">
        <v>30</v>
      </c>
      <c r="B20">
        <f t="shared" si="0"/>
        <v>30536.154886362325</v>
      </c>
      <c r="C20">
        <f t="shared" si="1"/>
        <v>261.70380744021037</v>
      </c>
      <c r="D20">
        <f t="shared" si="2"/>
        <v>0.90376492053407631</v>
      </c>
      <c r="E20">
        <f t="shared" si="3"/>
        <v>0.17063263132000031</v>
      </c>
      <c r="F20">
        <f t="shared" si="4"/>
        <v>1.7730814196544658</v>
      </c>
      <c r="G20">
        <f t="shared" si="5"/>
        <v>853.96936919778898</v>
      </c>
      <c r="H20">
        <f t="shared" si="6"/>
        <v>36.984659210737632</v>
      </c>
      <c r="I20">
        <f t="shared" si="11"/>
        <v>7911.3747260498258</v>
      </c>
      <c r="J20">
        <f t="shared" si="8"/>
        <v>480.05327229518002</v>
      </c>
      <c r="K20">
        <f t="shared" si="9"/>
        <v>7991427.9983450044</v>
      </c>
      <c r="M20">
        <f t="shared" si="10"/>
        <v>2140.9287528495315</v>
      </c>
    </row>
    <row r="21" spans="1:13" x14ac:dyDescent="0.4">
      <c r="A21">
        <v>31</v>
      </c>
      <c r="B21">
        <f t="shared" si="0"/>
        <v>32323.454367192026</v>
      </c>
      <c r="C21">
        <f t="shared" si="1"/>
        <v>254.85633315254799</v>
      </c>
      <c r="D21">
        <f t="shared" si="2"/>
        <v>0.88562191212177854</v>
      </c>
      <c r="E21">
        <f t="shared" si="3"/>
        <v>0.19335492289642148</v>
      </c>
      <c r="F21">
        <f t="shared" si="4"/>
        <v>1.6904892054349325</v>
      </c>
      <c r="G21">
        <f t="shared" si="5"/>
        <v>1050.2203844542205</v>
      </c>
      <c r="H21">
        <f t="shared" si="6"/>
        <v>43.957303561532612</v>
      </c>
      <c r="I21">
        <f t="shared" si="11"/>
        <v>8084.9890667921763</v>
      </c>
      <c r="J21">
        <f t="shared" si="8"/>
        <v>552.84798805409775</v>
      </c>
      <c r="K21">
        <f t="shared" si="9"/>
        <v>8237837.0548462728</v>
      </c>
      <c r="M21">
        <f t="shared" si="10"/>
        <v>2142.628924299353</v>
      </c>
    </row>
    <row r="22" spans="1:13" x14ac:dyDescent="0.4">
      <c r="A22">
        <v>32</v>
      </c>
      <c r="B22">
        <f t="shared" si="0"/>
        <v>34093.942220576573</v>
      </c>
      <c r="C22">
        <f t="shared" si="1"/>
        <v>248.30059572778555</v>
      </c>
      <c r="D22">
        <f t="shared" si="2"/>
        <v>0.86532302355247304</v>
      </c>
      <c r="E22">
        <f t="shared" si="3"/>
        <v>0.21676193503008689</v>
      </c>
      <c r="F22">
        <f t="shared" si="4"/>
        <v>1.6094951100609389</v>
      </c>
      <c r="G22">
        <f t="shared" si="5"/>
        <v>1275.4372464393396</v>
      </c>
      <c r="H22">
        <f t="shared" si="6"/>
        <v>51.75848666710003</v>
      </c>
      <c r="I22">
        <f t="shared" si="11"/>
        <v>8215.8217900741547</v>
      </c>
      <c r="J22">
        <f t="shared" si="8"/>
        <v>649.72437400370825</v>
      </c>
      <c r="K22">
        <f t="shared" si="9"/>
        <v>8465546.1640778631</v>
      </c>
      <c r="M22">
        <f t="shared" si="10"/>
        <v>2138.3619938063848</v>
      </c>
    </row>
    <row r="23" spans="1:13" x14ac:dyDescent="0.4">
      <c r="A23">
        <v>33</v>
      </c>
      <c r="B23">
        <f t="shared" si="0"/>
        <v>35845.370305234981</v>
      </c>
      <c r="C23">
        <f t="shared" si="1"/>
        <v>241.79217366434935</v>
      </c>
      <c r="D23">
        <f t="shared" si="2"/>
        <v>0.84181726021543546</v>
      </c>
      <c r="E23">
        <f t="shared" si="3"/>
        <v>0.24149774871482441</v>
      </c>
      <c r="F23">
        <f t="shared" si="4"/>
        <v>1.5267010107659655</v>
      </c>
      <c r="G23">
        <f t="shared" si="5"/>
        <v>1539.2876910861403</v>
      </c>
      <c r="H23">
        <f t="shared" si="6"/>
        <v>60.792122336475856</v>
      </c>
      <c r="I23">
        <f t="shared" si="11"/>
        <v>8285.641343552732</v>
      </c>
      <c r="J23">
        <f t="shared" si="8"/>
        <v>781.48865835355559</v>
      </c>
      <c r="K23">
        <f t="shared" si="9"/>
        <v>8667130.0019062869</v>
      </c>
      <c r="M23">
        <f t="shared" si="10"/>
        <v>2128.7553445901949</v>
      </c>
    </row>
    <row r="24" spans="1:13" x14ac:dyDescent="0.4">
      <c r="A24">
        <v>34</v>
      </c>
      <c r="B24">
        <f t="shared" si="0"/>
        <v>37575.880484160509</v>
      </c>
      <c r="C24">
        <f t="shared" si="1"/>
        <v>235.04848140722322</v>
      </c>
      <c r="D24">
        <f t="shared" si="2"/>
        <v>0.81330021546385622</v>
      </c>
      <c r="E24">
        <f t="shared" si="3"/>
        <v>0.26844788868337899</v>
      </c>
      <c r="F24">
        <f t="shared" si="4"/>
        <v>1.4378585885909758</v>
      </c>
      <c r="G24">
        <f t="shared" si="5"/>
        <v>1858.2241416503994</v>
      </c>
      <c r="H24">
        <f t="shared" si="6"/>
        <v>71.751672509736466</v>
      </c>
      <c r="I24">
        <f t="shared" si="11"/>
        <v>8265.9322883268032</v>
      </c>
      <c r="J24">
        <f t="shared" si="8"/>
        <v>966.22135701443881</v>
      </c>
      <c r="K24">
        <f t="shared" si="9"/>
        <v>8832153.6453412436</v>
      </c>
      <c r="M24">
        <f t="shared" si="10"/>
        <v>2114.3932682986365</v>
      </c>
    </row>
    <row r="25" spans="1:13" x14ac:dyDescent="0.4">
      <c r="A25">
        <v>35</v>
      </c>
      <c r="B25">
        <f t="shared" si="0"/>
        <v>39283.954363558747</v>
      </c>
      <c r="C25">
        <f t="shared" si="1"/>
        <v>227.69781847871835</v>
      </c>
      <c r="D25">
        <f t="shared" si="2"/>
        <v>0.77652797910951432</v>
      </c>
      <c r="E25">
        <f t="shared" si="3"/>
        <v>0.29875435906114695</v>
      </c>
      <c r="F25">
        <f t="shared" si="4"/>
        <v>1.33687590003741</v>
      </c>
      <c r="G25">
        <f t="shared" si="5"/>
        <v>2261.202061490384</v>
      </c>
      <c r="H25">
        <f t="shared" si="6"/>
        <v>85.883823047042398</v>
      </c>
      <c r="I25">
        <f t="shared" si="11"/>
        <v>8108.3610181580607</v>
      </c>
      <c r="J25">
        <f t="shared" si="8"/>
        <v>1236.5096916417947</v>
      </c>
      <c r="K25">
        <f t="shared" si="9"/>
        <v>8944870.7097998559</v>
      </c>
      <c r="M25">
        <f t="shared" si="10"/>
        <v>2095.8170693399188</v>
      </c>
    </row>
    <row r="26" spans="1:13" x14ac:dyDescent="0.4">
      <c r="A26">
        <v>36</v>
      </c>
      <c r="B26">
        <f t="shared" si="0"/>
        <v>40968.368812522793</v>
      </c>
      <c r="C26">
        <f t="shared" si="1"/>
        <v>219.1789550924268</v>
      </c>
      <c r="D26">
        <f t="shared" si="2"/>
        <v>0.72511463586636671</v>
      </c>
      <c r="E26">
        <f t="shared" si="3"/>
        <v>0.33360335115034961</v>
      </c>
      <c r="F26">
        <f t="shared" si="4"/>
        <v>1.2136089973425106</v>
      </c>
      <c r="G26">
        <f t="shared" si="5"/>
        <v>2802.8952859419246</v>
      </c>
      <c r="H26">
        <f t="shared" si="6"/>
        <v>105.64278193485427</v>
      </c>
      <c r="I26">
        <f>G26+H26+D26*I27/EXP($C$2)</f>
        <v>7722.0620421629019</v>
      </c>
      <c r="J26">
        <f t="shared" si="8"/>
        <v>1657.3422260070101</v>
      </c>
      <c r="K26">
        <f t="shared" si="9"/>
        <v>8979404.2681699116</v>
      </c>
      <c r="M26">
        <f t="shared" si="10"/>
        <v>2073.5260173059946</v>
      </c>
    </row>
    <row r="27" spans="1:13" x14ac:dyDescent="0.4">
      <c r="A27">
        <v>37</v>
      </c>
      <c r="B27">
        <f t="shared" si="0"/>
        <v>42628.156740435646</v>
      </c>
      <c r="C27">
        <f>(I27+J27-$E$2)/(B27/1000)</f>
        <v>208.5033575144671</v>
      </c>
      <c r="D27">
        <f>NORMDIST(C28,$G$2,$J$2,TRUE)</f>
        <v>0.64449172769702423</v>
      </c>
      <c r="E27">
        <f>NORMDIST((C28-$G$2)/$J$2,0,1,FALSE)</f>
        <v>0.37248057444097882</v>
      </c>
      <c r="F27">
        <f>E27/(1-D27)</f>
        <v>1.0477409485524958</v>
      </c>
      <c r="G27">
        <f>(B28/1000)*EXP(-$C$2)*($G$2+$J$2*F27)*(1-D27)</f>
        <v>3599.1287868750273</v>
      </c>
      <c r="H27">
        <f>$E$2/EXP($C$2)*(1-D27)</f>
        <v>136.62743742399499</v>
      </c>
      <c r="I27">
        <f>G27+H27+D27*I28/EXP($C$2)</f>
        <v>6909.2076844986777</v>
      </c>
      <c r="J27">
        <f>J28*D27/EXP($C$2)</f>
        <v>2378.9061205351168</v>
      </c>
      <c r="K27">
        <f t="shared" si="9"/>
        <v>8888113.8050337937</v>
      </c>
      <c r="M27">
        <f t="shared" si="10"/>
        <v>2047.978880751662</v>
      </c>
    </row>
    <row r="28" spans="1:13" x14ac:dyDescent="0.4">
      <c r="A28">
        <v>38</v>
      </c>
      <c r="B28">
        <f t="shared" si="0"/>
        <v>44262.572609235947</v>
      </c>
      <c r="C28">
        <f>(I28+J28-$E$2)/(B28/1000)</f>
        <v>193.54238548148152</v>
      </c>
      <c r="D28">
        <f>NORMDIST(C29,$G$2,$J$2,TRUE)</f>
        <v>0.49376372466659896</v>
      </c>
      <c r="E28">
        <f>NORMDIST((C29-$G$2)/$J$2,0,1,FALSE)</f>
        <v>0.39889353660572169</v>
      </c>
      <c r="F28">
        <f>E28/(1-D28)</f>
        <v>0.78795921201619779</v>
      </c>
      <c r="G28">
        <f>(B29/1000)*EXP(-$C$2)*($G$2+$J$2*F28)*(1-D28)</f>
        <v>4930.3559887638485</v>
      </c>
      <c r="H28">
        <f>$E$2/EXP($C$2)*(1-D28)</f>
        <v>194.5545868224558</v>
      </c>
      <c r="I28">
        <f>G28+H28</f>
        <v>5124.9105755863038</v>
      </c>
      <c r="J28">
        <f>D28*($G$2*$B$30/1000+$E$2)/EXP($C$2*2)</f>
        <v>3841.773314752505</v>
      </c>
      <c r="K28">
        <f t="shared" si="9"/>
        <v>8566683.8903388083</v>
      </c>
      <c r="M28">
        <f t="shared" si="10"/>
        <v>2019.5958412305515</v>
      </c>
    </row>
    <row r="29" spans="1:13" x14ac:dyDescent="0.4">
      <c r="A29">
        <v>39</v>
      </c>
      <c r="B29">
        <f t="shared" si="0"/>
        <v>45871.062177950203</v>
      </c>
      <c r="C29">
        <f>((G2*B30+E2)*EXP(-C2)-E2)/B29</f>
        <v>168.16246520730942</v>
      </c>
    </row>
    <row r="30" spans="1:13" x14ac:dyDescent="0.4">
      <c r="A30">
        <v>40</v>
      </c>
      <c r="B30">
        <f t="shared" ref="B30" si="12">EXP(12.09-52.9/A30)</f>
        <v>47453.236008733504</v>
      </c>
      <c r="C30">
        <f>G2</f>
        <v>169.19</v>
      </c>
    </row>
    <row r="41" spans="28:28" x14ac:dyDescent="0.4">
      <c r="AB41">
        <f>NORMDIST(1.282,0,1,TRUE)</f>
        <v>0.90007867688661714</v>
      </c>
    </row>
    <row r="42" spans="28:28" x14ac:dyDescent="0.4">
      <c r="AB42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F7B-2146-4539-80F1-77F4228B6BD3}">
  <dimension ref="A2:AB3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5" sqref="E3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f t="shared" ref="A5:A23" si="0">A6-1</f>
        <v>15</v>
      </c>
      <c r="B5">
        <f t="shared" ref="B5:B25" si="1">EXP(12.09-52.9/A5)</f>
        <v>5236.1058012742687</v>
      </c>
      <c r="C5">
        <f t="shared" ref="C5:C21" si="2">(I5+J5-$E$2)/(B5/1000)</f>
        <v>773.9387381633245</v>
      </c>
      <c r="D5">
        <f t="shared" ref="D5:D21" si="3">NORMDIST(C6,$G$2,$J$2,TRUE)</f>
        <v>0.99999999999985045</v>
      </c>
      <c r="E5">
        <f t="shared" ref="E5:E21" si="4">NORMDIST((C6-$G$2)/$J$2,0,1,FALSE)</f>
        <v>1.1104474179799075E-12</v>
      </c>
      <c r="F5">
        <f t="shared" ref="F5:F21" si="5">E5/(1-D5)</f>
        <v>7.4254054607703646</v>
      </c>
      <c r="G5">
        <f t="shared" ref="G5:G21" si="6">(B6/1000)*EXP(-$C$2)*($G$2+$J$2*F5)*(1-D5)</f>
        <v>6.1642275226671722E-10</v>
      </c>
      <c r="H5">
        <f t="shared" ref="H5:H21" si="7">$E$2/EXP($C$2)*(1-D5)</f>
        <v>5.7473287219974771E-11</v>
      </c>
      <c r="I5">
        <f t="shared" ref="I5:I20" si="8">G5+H5+D5*I6/EXP($C$2)</f>
        <v>4101.906890058458</v>
      </c>
      <c r="J5">
        <f t="shared" ref="J5:J21" si="9">J6*D5/EXP($C$2)</f>
        <v>350.51822666941274</v>
      </c>
      <c r="K5">
        <f t="shared" ref="K5:K23" si="10">C5*B5</f>
        <v>4052425.1167278709</v>
      </c>
      <c r="M5">
        <f t="shared" ref="M5:M23" si="11">(($B5*$G$2)/1000 - 60*EXP($C$2*$A5))/(EXP($C$2*$A5)-1)</f>
        <v>944.59537006730682</v>
      </c>
    </row>
    <row r="6" spans="1:14" x14ac:dyDescent="0.4">
      <c r="A6">
        <f t="shared" si="0"/>
        <v>16</v>
      </c>
      <c r="B6">
        <f t="shared" si="1"/>
        <v>6527.3087433098653</v>
      </c>
      <c r="C6">
        <f t="shared" si="2"/>
        <v>648.67960123916532</v>
      </c>
      <c r="D6">
        <f t="shared" si="3"/>
        <v>0.99999999832537367</v>
      </c>
      <c r="E6">
        <f t="shared" si="4"/>
        <v>1.0171811219539761E-8</v>
      </c>
      <c r="F6">
        <f t="shared" si="5"/>
        <v>6.0740781740920209</v>
      </c>
      <c r="G6">
        <f t="shared" si="6"/>
        <v>7.2515052937109634E-6</v>
      </c>
      <c r="H6">
        <f t="shared" si="7"/>
        <v>6.4358531561018777E-7</v>
      </c>
      <c r="I6">
        <f t="shared" si="8"/>
        <v>4269.308885906772</v>
      </c>
      <c r="J6">
        <f t="shared" si="9"/>
        <v>364.82314686838907</v>
      </c>
      <c r="K6">
        <f t="shared" si="10"/>
        <v>4234132.0327751609</v>
      </c>
      <c r="M6">
        <f t="shared" si="11"/>
        <v>1104.9499620006316</v>
      </c>
    </row>
    <row r="7" spans="1:14" x14ac:dyDescent="0.4">
      <c r="A7">
        <f t="shared" si="0"/>
        <v>17</v>
      </c>
      <c r="B7">
        <f t="shared" si="1"/>
        <v>7928.6280660355969</v>
      </c>
      <c r="C7">
        <f t="shared" si="2"/>
        <v>557.88397586090719</v>
      </c>
      <c r="D7">
        <f t="shared" si="3"/>
        <v>0.99999947963504254</v>
      </c>
      <c r="E7">
        <f t="shared" si="4"/>
        <v>2.6404125100316193E-6</v>
      </c>
      <c r="F7">
        <f t="shared" si="5"/>
        <v>5.0741551140092254</v>
      </c>
      <c r="G7">
        <f t="shared" si="6"/>
        <v>2.368833239009732E-3</v>
      </c>
      <c r="H7">
        <f t="shared" si="7"/>
        <v>1.9998446225185263E-4</v>
      </c>
      <c r="I7">
        <f t="shared" si="8"/>
        <v>4443.5426860310481</v>
      </c>
      <c r="J7">
        <f t="shared" si="9"/>
        <v>379.71186257126686</v>
      </c>
      <c r="K7">
        <f t="shared" si="10"/>
        <v>4423254.5486023137</v>
      </c>
      <c r="M7">
        <f t="shared" si="11"/>
        <v>1255.816698629819</v>
      </c>
    </row>
    <row r="8" spans="1:14" x14ac:dyDescent="0.4">
      <c r="A8">
        <f t="shared" si="0"/>
        <v>18</v>
      </c>
      <c r="B8">
        <f t="shared" si="1"/>
        <v>9424.9066816039176</v>
      </c>
      <c r="C8">
        <f t="shared" si="2"/>
        <v>490.20063493084871</v>
      </c>
      <c r="D8">
        <f t="shared" si="3"/>
        <v>0.9999791916839299</v>
      </c>
      <c r="E8">
        <f t="shared" si="4"/>
        <v>8.9879847618759751E-5</v>
      </c>
      <c r="F8">
        <f t="shared" si="5"/>
        <v>4.3194195684061079</v>
      </c>
      <c r="G8">
        <f t="shared" si="6"/>
        <v>9.9659214351460926E-2</v>
      </c>
      <c r="H8">
        <f t="shared" si="7"/>
        <v>7.996964130677419E-3</v>
      </c>
      <c r="I8">
        <f t="shared" si="8"/>
        <v>4624.8868361808009</v>
      </c>
      <c r="J8">
        <f t="shared" si="9"/>
        <v>395.20840330543797</v>
      </c>
      <c r="K8">
        <f t="shared" si="10"/>
        <v>4620095.2394862389</v>
      </c>
      <c r="M8">
        <f t="shared" si="11"/>
        <v>1395.3790092816466</v>
      </c>
    </row>
    <row r="9" spans="1:14" x14ac:dyDescent="0.4">
      <c r="A9">
        <f t="shared" si="0"/>
        <v>19</v>
      </c>
      <c r="B9">
        <f t="shared" si="1"/>
        <v>11001.528247091775</v>
      </c>
      <c r="C9">
        <f t="shared" si="2"/>
        <v>438.57233080647643</v>
      </c>
      <c r="D9">
        <f t="shared" si="3"/>
        <v>0.99975640980993119</v>
      </c>
      <c r="E9">
        <f t="shared" si="4"/>
        <v>9.1097873278390008E-4</v>
      </c>
      <c r="F9">
        <f t="shared" si="5"/>
        <v>3.73980057459032</v>
      </c>
      <c r="G9">
        <f t="shared" si="6"/>
        <v>1.2281599038469442</v>
      </c>
      <c r="H9">
        <f t="shared" si="7"/>
        <v>9.361555283968781E-2</v>
      </c>
      <c r="I9">
        <f t="shared" si="8"/>
        <v>4813.6201621368273</v>
      </c>
      <c r="J9">
        <f t="shared" si="9"/>
        <v>411.34572362350173</v>
      </c>
      <c r="K9">
        <f t="shared" si="10"/>
        <v>4824965.8857603287</v>
      </c>
      <c r="M9">
        <f t="shared" si="11"/>
        <v>1522.5232326642395</v>
      </c>
    </row>
    <row r="10" spans="1:14" x14ac:dyDescent="0.4">
      <c r="A10">
        <f t="shared" si="0"/>
        <v>20</v>
      </c>
      <c r="B10">
        <f t="shared" si="1"/>
        <v>12644.783024990649</v>
      </c>
      <c r="C10">
        <f t="shared" si="2"/>
        <v>398.43702660020227</v>
      </c>
      <c r="D10">
        <f t="shared" si="3"/>
        <v>0.99867381131837452</v>
      </c>
      <c r="E10">
        <f t="shared" si="4"/>
        <v>4.3606566000074761E-3</v>
      </c>
      <c r="F10">
        <f t="shared" si="5"/>
        <v>3.2881117599817715</v>
      </c>
      <c r="G10">
        <f t="shared" si="6"/>
        <v>7.0414836335506141</v>
      </c>
      <c r="H10">
        <f t="shared" si="7"/>
        <v>0.5096752318516431</v>
      </c>
      <c r="I10">
        <f t="shared" si="8"/>
        <v>5009.9123749929904</v>
      </c>
      <c r="J10">
        <f t="shared" si="9"/>
        <v>428.23737548899487</v>
      </c>
      <c r="K10">
        <f t="shared" si="10"/>
        <v>5038149.7504819855</v>
      </c>
      <c r="M10">
        <f t="shared" si="11"/>
        <v>1636.6963661964292</v>
      </c>
    </row>
    <row r="11" spans="1:14" x14ac:dyDescent="0.4">
      <c r="A11">
        <f t="shared" si="0"/>
        <v>21</v>
      </c>
      <c r="B11">
        <f t="shared" si="1"/>
        <v>14342.06893513009</v>
      </c>
      <c r="C11">
        <f t="shared" si="2"/>
        <v>366.73449416379503</v>
      </c>
      <c r="D11">
        <f t="shared" si="3"/>
        <v>0.99558914113734753</v>
      </c>
      <c r="E11">
        <f t="shared" si="4"/>
        <v>1.2929768854533999E-2</v>
      </c>
      <c r="F11">
        <f t="shared" si="5"/>
        <v>2.9313494847936918</v>
      </c>
      <c r="G11">
        <f t="shared" si="6"/>
        <v>24.662695911339867</v>
      </c>
      <c r="H11">
        <f t="shared" si="7"/>
        <v>1.695162645131167</v>
      </c>
      <c r="I11">
        <f t="shared" si="8"/>
        <v>5213.4254359533907</v>
      </c>
      <c r="J11">
        <f t="shared" si="9"/>
        <v>446.30596023382128</v>
      </c>
      <c r="K11">
        <f t="shared" si="10"/>
        <v>5259731.3961872123</v>
      </c>
      <c r="M11">
        <f t="shared" si="11"/>
        <v>1737.7772801028029</v>
      </c>
    </row>
    <row r="12" spans="1:14" x14ac:dyDescent="0.4">
      <c r="A12">
        <f t="shared" si="0"/>
        <v>22</v>
      </c>
      <c r="B12">
        <f t="shared" si="1"/>
        <v>16081.978005410669</v>
      </c>
      <c r="C12">
        <f t="shared" si="2"/>
        <v>341.32943925845819</v>
      </c>
      <c r="D12">
        <f t="shared" si="3"/>
        <v>0.9894053458892077</v>
      </c>
      <c r="E12">
        <f t="shared" si="4"/>
        <v>2.8028992294297676E-2</v>
      </c>
      <c r="F12">
        <f t="shared" si="5"/>
        <v>2.6455787986269219</v>
      </c>
      <c r="G12">
        <f t="shared" si="6"/>
        <v>62.353137660941073</v>
      </c>
      <c r="H12">
        <f t="shared" si="7"/>
        <v>4.0716927124483959</v>
      </c>
      <c r="I12">
        <f t="shared" si="8"/>
        <v>5422.674472776248</v>
      </c>
      <c r="J12">
        <f t="shared" si="9"/>
        <v>466.57806197743309</v>
      </c>
      <c r="K12">
        <f t="shared" si="10"/>
        <v>5489252.5347536812</v>
      </c>
      <c r="M12">
        <f t="shared" si="11"/>
        <v>1825.9666967345638</v>
      </c>
    </row>
    <row r="13" spans="1:14" x14ac:dyDescent="0.4">
      <c r="A13">
        <f t="shared" si="0"/>
        <v>23</v>
      </c>
      <c r="B13">
        <f t="shared" si="1"/>
        <v>17854.306167671504</v>
      </c>
      <c r="C13">
        <f t="shared" si="2"/>
        <v>320.67098015663009</v>
      </c>
      <c r="D13">
        <f t="shared" si="3"/>
        <v>0.97956193734302632</v>
      </c>
      <c r="E13">
        <f t="shared" si="4"/>
        <v>4.9315837049399368E-2</v>
      </c>
      <c r="F13">
        <f t="shared" si="5"/>
        <v>2.412940887651712</v>
      </c>
      <c r="G13">
        <f t="shared" si="6"/>
        <v>126.48236096646467</v>
      </c>
      <c r="H13">
        <f t="shared" si="7"/>
        <v>7.8546699030215112</v>
      </c>
      <c r="I13">
        <f t="shared" si="8"/>
        <v>5634.5383216691098</v>
      </c>
      <c r="J13">
        <f t="shared" si="9"/>
        <v>490.81953713467732</v>
      </c>
      <c r="K13">
        <f t="shared" si="10"/>
        <v>5725357.8588037873</v>
      </c>
      <c r="M13">
        <f t="shared" si="11"/>
        <v>1901.6967551441876</v>
      </c>
    </row>
    <row r="14" spans="1:14" x14ac:dyDescent="0.4">
      <c r="A14">
        <f t="shared" si="0"/>
        <v>24</v>
      </c>
      <c r="B14">
        <f t="shared" si="1"/>
        <v>19650.014070110999</v>
      </c>
      <c r="C14">
        <f t="shared" si="2"/>
        <v>303.59367400715502</v>
      </c>
      <c r="D14">
        <f t="shared" si="3"/>
        <v>0.9660584651547659</v>
      </c>
      <c r="E14">
        <f t="shared" si="4"/>
        <v>7.534490867074789E-2</v>
      </c>
      <c r="F14">
        <f t="shared" si="5"/>
        <v>2.2198438878590503</v>
      </c>
      <c r="G14">
        <f t="shared" si="6"/>
        <v>220.52698027936972</v>
      </c>
      <c r="H14">
        <f t="shared" si="7"/>
        <v>13.044267291168602</v>
      </c>
      <c r="I14">
        <f t="shared" si="8"/>
        <v>5844.1110719540402</v>
      </c>
      <c r="J14">
        <f t="shared" si="9"/>
        <v>521.50889388324799</v>
      </c>
      <c r="K14">
        <f t="shared" si="10"/>
        <v>5965619.9658372877</v>
      </c>
      <c r="M14">
        <f t="shared" si="11"/>
        <v>1965.5587415838625</v>
      </c>
    </row>
    <row r="15" spans="1:14" x14ac:dyDescent="0.4">
      <c r="A15">
        <f t="shared" si="0"/>
        <v>25</v>
      </c>
      <c r="B15">
        <f t="shared" si="1"/>
        <v>21461.158523947059</v>
      </c>
      <c r="C15">
        <f t="shared" si="2"/>
        <v>289.1986665670089</v>
      </c>
      <c r="D15">
        <f t="shared" si="3"/>
        <v>0.94916203694899459</v>
      </c>
      <c r="E15">
        <f t="shared" si="4"/>
        <v>0.10451057781692369</v>
      </c>
      <c r="F15">
        <f t="shared" si="5"/>
        <v>2.0557585620035344</v>
      </c>
      <c r="G15">
        <f t="shared" si="6"/>
        <v>346.04915103958285</v>
      </c>
      <c r="H15">
        <f t="shared" si="7"/>
        <v>19.537831202968807</v>
      </c>
      <c r="I15">
        <f t="shared" si="8"/>
        <v>6044.6758750965537</v>
      </c>
      <c r="J15">
        <f t="shared" si="9"/>
        <v>561.86255301213282</v>
      </c>
      <c r="K15">
        <f t="shared" si="10"/>
        <v>6206538.4281086866</v>
      </c>
      <c r="M15">
        <f t="shared" si="11"/>
        <v>2018.2466249259512</v>
      </c>
    </row>
    <row r="16" spans="1:14" x14ac:dyDescent="0.4">
      <c r="A16">
        <f t="shared" si="0"/>
        <v>26</v>
      </c>
      <c r="B16">
        <f t="shared" si="1"/>
        <v>23280.808145220224</v>
      </c>
      <c r="C16">
        <f t="shared" si="2"/>
        <v>276.775712930422</v>
      </c>
      <c r="D16">
        <f t="shared" si="3"/>
        <v>0.92907755113817847</v>
      </c>
      <c r="E16">
        <f t="shared" si="4"/>
        <v>0.13562609825838132</v>
      </c>
      <c r="F16">
        <f t="shared" si="5"/>
        <v>1.912315500027673</v>
      </c>
      <c r="G16">
        <f t="shared" si="6"/>
        <v>504.41922726425736</v>
      </c>
      <c r="H16">
        <f t="shared" si="7"/>
        <v>27.25661594610353</v>
      </c>
      <c r="I16">
        <f t="shared" si="8"/>
        <v>6227.4476613906118</v>
      </c>
      <c r="J16">
        <f t="shared" si="9"/>
        <v>616.11461059909084</v>
      </c>
      <c r="K16">
        <f t="shared" si="10"/>
        <v>6443562.2719897032</v>
      </c>
      <c r="M16">
        <f t="shared" si="11"/>
        <v>2060.513804352971</v>
      </c>
    </row>
    <row r="17" spans="1:13" x14ac:dyDescent="0.4">
      <c r="A17">
        <f t="shared" si="0"/>
        <v>27</v>
      </c>
      <c r="B17">
        <f t="shared" si="1"/>
        <v>25102.952325700138</v>
      </c>
      <c r="C17">
        <f t="shared" si="2"/>
        <v>265.74443576454189</v>
      </c>
      <c r="D17">
        <f t="shared" si="3"/>
        <v>0.90568956704065184</v>
      </c>
      <c r="E17">
        <f t="shared" si="4"/>
        <v>0.16811331890600481</v>
      </c>
      <c r="F17">
        <f t="shared" si="5"/>
        <v>1.7825527211657364</v>
      </c>
      <c r="G17">
        <f t="shared" si="6"/>
        <v>698.57007517025011</v>
      </c>
      <c r="H17">
        <f t="shared" si="7"/>
        <v>36.244987195689951</v>
      </c>
      <c r="I17">
        <f t="shared" si="8"/>
        <v>6380.7597852740391</v>
      </c>
      <c r="J17">
        <f t="shared" si="9"/>
        <v>690.21011654333836</v>
      </c>
      <c r="K17">
        <f t="shared" si="10"/>
        <v>6670969.9018173777</v>
      </c>
      <c r="M17">
        <f t="shared" si="11"/>
        <v>2093.1406044203954</v>
      </c>
    </row>
    <row r="18" spans="1:13" x14ac:dyDescent="0.4">
      <c r="A18">
        <f t="shared" si="0"/>
        <v>28</v>
      </c>
      <c r="B18">
        <f t="shared" si="1"/>
        <v>26922.409500471225</v>
      </c>
      <c r="C18">
        <f t="shared" si="2"/>
        <v>255.60325270089581</v>
      </c>
      <c r="D18">
        <f t="shared" si="3"/>
        <v>0.87833356041038035</v>
      </c>
      <c r="E18">
        <f t="shared" si="4"/>
        <v>0.20199160964745244</v>
      </c>
      <c r="F18">
        <f t="shared" si="5"/>
        <v>1.6602081093912935</v>
      </c>
      <c r="G18">
        <f t="shared" si="6"/>
        <v>934.85365325563953</v>
      </c>
      <c r="H18">
        <f t="shared" si="7"/>
        <v>46.758332102788266</v>
      </c>
      <c r="I18">
        <f t="shared" si="8"/>
        <v>6488.2718228702379</v>
      </c>
      <c r="J18">
        <f t="shared" si="9"/>
        <v>793.18361599570687</v>
      </c>
      <c r="K18">
        <f t="shared" si="10"/>
        <v>6881455.4388659447</v>
      </c>
      <c r="M18">
        <f t="shared" si="11"/>
        <v>2116.9103388588678</v>
      </c>
    </row>
    <row r="19" spans="1:13" x14ac:dyDescent="0.4">
      <c r="A19">
        <f t="shared" si="0"/>
        <v>29</v>
      </c>
      <c r="B19">
        <f t="shared" si="1"/>
        <v>28734.73845590062</v>
      </c>
      <c r="C19">
        <f t="shared" si="2"/>
        <v>245.87697356943039</v>
      </c>
      <c r="D19">
        <f t="shared" si="3"/>
        <v>0.84546735905603365</v>
      </c>
      <c r="E19">
        <f t="shared" si="4"/>
        <v>0.23781278966899888</v>
      </c>
      <c r="F19">
        <f t="shared" si="5"/>
        <v>1.5389162329480279</v>
      </c>
      <c r="G19">
        <f t="shared" si="6"/>
        <v>1225.6821693335801</v>
      </c>
      <c r="H19">
        <f t="shared" si="7"/>
        <v>59.389331769312307</v>
      </c>
      <c r="I19">
        <f t="shared" si="8"/>
        <v>6525.3010325791738</v>
      </c>
      <c r="J19">
        <f t="shared" si="9"/>
        <v>939.90949526679731</v>
      </c>
      <c r="K19">
        <f t="shared" si="10"/>
        <v>7065210.5278459722</v>
      </c>
      <c r="M19">
        <f t="shared" si="11"/>
        <v>2132.5920993672689</v>
      </c>
    </row>
    <row r="20" spans="1:13" x14ac:dyDescent="0.4">
      <c r="A20">
        <f t="shared" si="0"/>
        <v>30</v>
      </c>
      <c r="B20">
        <f t="shared" si="1"/>
        <v>30536.154886362325</v>
      </c>
      <c r="C20">
        <f t="shared" si="2"/>
        <v>236.04959057014727</v>
      </c>
      <c r="D20">
        <f t="shared" si="3"/>
        <v>0.80398776123943083</v>
      </c>
      <c r="E20">
        <f t="shared" si="4"/>
        <v>0.27657722049234568</v>
      </c>
      <c r="F20">
        <f t="shared" si="5"/>
        <v>1.4110201599716812</v>
      </c>
      <c r="G20">
        <f t="shared" si="6"/>
        <v>1594.5015904542311</v>
      </c>
      <c r="H20">
        <f t="shared" si="7"/>
        <v>75.330595578303402</v>
      </c>
      <c r="I20">
        <f t="shared" si="8"/>
        <v>6450.9732956351454</v>
      </c>
      <c r="J20">
        <f t="shared" si="9"/>
        <v>1157.0735628772832</v>
      </c>
      <c r="K20">
        <f t="shared" si="10"/>
        <v>7208046.8585124286</v>
      </c>
      <c r="M20">
        <f t="shared" si="11"/>
        <v>2140.9287528495315</v>
      </c>
    </row>
    <row r="21" spans="1:13" x14ac:dyDescent="0.4">
      <c r="A21">
        <f t="shared" si="0"/>
        <v>31</v>
      </c>
      <c r="B21">
        <f t="shared" si="1"/>
        <v>32323.454367192026</v>
      </c>
      <c r="C21">
        <f t="shared" si="2"/>
        <v>225.45170746690522</v>
      </c>
      <c r="D21">
        <f t="shared" si="3"/>
        <v>0.74752593008971346</v>
      </c>
      <c r="E21">
        <f t="shared" si="4"/>
        <v>0.3194356932307707</v>
      </c>
      <c r="F21">
        <f t="shared" si="5"/>
        <v>1.2652217843372118</v>
      </c>
      <c r="G21">
        <f t="shared" si="6"/>
        <v>2087.0398546507804</v>
      </c>
      <c r="H21">
        <f t="shared" si="7"/>
        <v>97.029768011843444</v>
      </c>
      <c r="I21">
        <f>G21+H21+D21*I22/EXP($C$2)</f>
        <v>6189.4762827448003</v>
      </c>
      <c r="J21">
        <f t="shared" si="9"/>
        <v>1497.9016955672366</v>
      </c>
      <c r="K21">
        <f t="shared" si="10"/>
        <v>7287377.978312037</v>
      </c>
      <c r="M21">
        <f t="shared" si="11"/>
        <v>2142.628924299353</v>
      </c>
    </row>
    <row r="22" spans="1:13" x14ac:dyDescent="0.4">
      <c r="A22">
        <f t="shared" si="0"/>
        <v>32</v>
      </c>
      <c r="B22">
        <f t="shared" si="1"/>
        <v>34093.942220576573</v>
      </c>
      <c r="C22">
        <f>(I22+J22-$E$2)/(B22/1000)</f>
        <v>213.01379999601897</v>
      </c>
      <c r="D22">
        <f>NORMDIST(C23,$G$2,$J$2,TRUE)</f>
        <v>0.66136726133793122</v>
      </c>
      <c r="E22">
        <f>NORMDIST((C23-$G$2)/$J$2,0,1,FALSE)</f>
        <v>0.36584383413480509</v>
      </c>
      <c r="F22">
        <f>E22/(1-D22)</f>
        <v>1.0803557729835775</v>
      </c>
      <c r="G22">
        <f>(B23/1000)*EXP(-$C$2)*($G$2+$J$2*F22)*(1-D22)</f>
        <v>2801.3441459296623</v>
      </c>
      <c r="H22">
        <f>$E$2/EXP($C$2)*(1-D22)</f>
        <v>130.1419036230977</v>
      </c>
      <c r="I22">
        <f>G22+H22+D22*I23/EXP($C$2)</f>
        <v>5576.8906990760252</v>
      </c>
      <c r="J22">
        <f>J23*D22/EXP($C$2)</f>
        <v>2085.5894901737001</v>
      </c>
      <c r="K22">
        <f t="shared" si="10"/>
        <v>7262480.1892497251</v>
      </c>
      <c r="M22">
        <f t="shared" si="11"/>
        <v>2138.3619938063848</v>
      </c>
    </row>
    <row r="23" spans="1:13" x14ac:dyDescent="0.4">
      <c r="A23">
        <f t="shared" si="0"/>
        <v>33</v>
      </c>
      <c r="B23">
        <f t="shared" si="1"/>
        <v>35845.370305234981</v>
      </c>
      <c r="C23">
        <f>(I23+J23-$E$2)/(B23/1000)</f>
        <v>196.54666272045188</v>
      </c>
      <c r="D23">
        <f>NORMDIST(C24,$G$2,$J$2,TRUE)</f>
        <v>0.50458107999509316</v>
      </c>
      <c r="E23">
        <f>NORMDIST((C24-$G$2)/$J$2,0,1,FALSE)</f>
        <v>0.39891597769354076</v>
      </c>
      <c r="F23">
        <f>E23/(1-D23)</f>
        <v>0.80520941285324699</v>
      </c>
      <c r="G23">
        <f>(B24/1000)*EXP(-$C$2)*($G$2+$J$2*F23)*(1-D23)</f>
        <v>3972.7444488690694</v>
      </c>
      <c r="H23">
        <f>$E$2/EXP($C$2)*(1-D23)</f>
        <v>190.39730651878563</v>
      </c>
      <c r="I23">
        <f>G23+H23</f>
        <v>4163.1417553878546</v>
      </c>
      <c r="J23">
        <f>D23*($G$2*$B$25/1000+$E$2)/EXP($C$2*2)</f>
        <v>3282.1461520848661</v>
      </c>
      <c r="K23">
        <f t="shared" si="10"/>
        <v>7045287.9074727213</v>
      </c>
      <c r="M23">
        <f t="shared" si="11"/>
        <v>2128.7553445901949</v>
      </c>
    </row>
    <row r="24" spans="1:13" x14ac:dyDescent="0.4">
      <c r="A24">
        <f>A25-1</f>
        <v>34</v>
      </c>
      <c r="B24">
        <f t="shared" si="1"/>
        <v>37575.880484160509</v>
      </c>
      <c r="C24">
        <f>((G2*B25+E2)*EXP(-C2)-E2)/B24</f>
        <v>169.94479842750499</v>
      </c>
    </row>
    <row r="25" spans="1:13" x14ac:dyDescent="0.4">
      <c r="A25">
        <v>35</v>
      </c>
      <c r="B25">
        <f t="shared" si="1"/>
        <v>39283.954363558747</v>
      </c>
      <c r="C25">
        <f>G2</f>
        <v>169.19</v>
      </c>
    </row>
    <row r="36" spans="28:28" x14ac:dyDescent="0.4">
      <c r="AB36">
        <f>NORMDIST(1.282,0,1,TRUE)</f>
        <v>0.90007867688661714</v>
      </c>
    </row>
    <row r="37" spans="28:28" x14ac:dyDescent="0.4">
      <c r="AB37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A2" sqref="A2"/>
    </sheetView>
  </sheetViews>
  <sheetFormatPr defaultRowHeight="14.6" x14ac:dyDescent="0.4"/>
  <sheetData>
    <row r="1" spans="1:3" x14ac:dyDescent="0.4">
      <c r="A1" t="s">
        <v>18</v>
      </c>
      <c r="B1" t="s">
        <v>17</v>
      </c>
      <c r="C1" t="s">
        <v>2</v>
      </c>
    </row>
    <row r="2" spans="1:3" x14ac:dyDescent="0.4">
      <c r="A2">
        <v>16</v>
      </c>
      <c r="B2">
        <v>6527.3087433098653</v>
      </c>
      <c r="C2">
        <v>734.94659905878916</v>
      </c>
    </row>
    <row r="3" spans="1:3" x14ac:dyDescent="0.4">
      <c r="A3">
        <v>17</v>
      </c>
      <c r="B3">
        <v>7928.6280660355969</v>
      </c>
      <c r="C3">
        <v>631.80237857429643</v>
      </c>
    </row>
    <row r="4" spans="1:3" x14ac:dyDescent="0.4">
      <c r="A4">
        <v>18</v>
      </c>
      <c r="B4">
        <v>9424.9066816039176</v>
      </c>
      <c r="C4">
        <v>554.92165941068379</v>
      </c>
    </row>
    <row r="5" spans="1:3" x14ac:dyDescent="0.4">
      <c r="A5">
        <v>19</v>
      </c>
      <c r="B5">
        <v>11001.528247091775</v>
      </c>
      <c r="C5">
        <v>496.28131753637842</v>
      </c>
    </row>
    <row r="6" spans="1:3" x14ac:dyDescent="0.4">
      <c r="A6">
        <v>20</v>
      </c>
      <c r="B6">
        <v>12644.783024990649</v>
      </c>
      <c r="C6">
        <v>450.69942463982318</v>
      </c>
    </row>
    <row r="7" spans="1:3" x14ac:dyDescent="0.4">
      <c r="A7">
        <v>21</v>
      </c>
      <c r="B7">
        <v>14342.06893513009</v>
      </c>
      <c r="C7">
        <v>414.7156275263967</v>
      </c>
    </row>
    <row r="8" spans="1:3" x14ac:dyDescent="0.4">
      <c r="A8">
        <v>22</v>
      </c>
      <c r="B8">
        <v>16081.978005410669</v>
      </c>
      <c r="C8">
        <v>385.94794166178929</v>
      </c>
    </row>
    <row r="9" spans="1:3" x14ac:dyDescent="0.4">
      <c r="A9">
        <v>23</v>
      </c>
      <c r="B9">
        <v>17854.306167671504</v>
      </c>
      <c r="C9">
        <v>362.70743553905612</v>
      </c>
    </row>
    <row r="10" spans="1:3" x14ac:dyDescent="0.4">
      <c r="A10">
        <v>24</v>
      </c>
      <c r="B10">
        <v>19650.014070110999</v>
      </c>
      <c r="C10">
        <v>343.76156547941218</v>
      </c>
    </row>
    <row r="11" spans="1:3" x14ac:dyDescent="0.4">
      <c r="A11">
        <v>25</v>
      </c>
      <c r="B11">
        <v>21461.158523947059</v>
      </c>
      <c r="C11">
        <v>328.18794161443094</v>
      </c>
    </row>
    <row r="12" spans="1:3" x14ac:dyDescent="0.4">
      <c r="A12">
        <v>26</v>
      </c>
      <c r="B12">
        <v>23280.808145220224</v>
      </c>
      <c r="C12">
        <v>315.28327402876511</v>
      </c>
    </row>
    <row r="13" spans="1:3" x14ac:dyDescent="0.4">
      <c r="A13">
        <v>27</v>
      </c>
      <c r="B13">
        <v>25102.952325700138</v>
      </c>
      <c r="C13">
        <v>304.5048674723875</v>
      </c>
    </row>
    <row r="14" spans="1:3" x14ac:dyDescent="0.4">
      <c r="A14">
        <v>28</v>
      </c>
      <c r="B14">
        <v>26922.409500471225</v>
      </c>
      <c r="C14">
        <v>295.4309273430095</v>
      </c>
    </row>
    <row r="15" spans="1:3" x14ac:dyDescent="0.4">
      <c r="A15">
        <v>29</v>
      </c>
      <c r="B15">
        <v>28734.73845590062</v>
      </c>
      <c r="C15">
        <v>287.73206594926398</v>
      </c>
    </row>
    <row r="16" spans="1:3" x14ac:dyDescent="0.4">
      <c r="A16">
        <v>30</v>
      </c>
      <c r="B16">
        <v>30536.154886362325</v>
      </c>
      <c r="C16">
        <v>281.15001555361255</v>
      </c>
    </row>
    <row r="17" spans="1:3" x14ac:dyDescent="0.4">
      <c r="A17">
        <v>31</v>
      </c>
      <c r="B17">
        <v>32323.454367192026</v>
      </c>
      <c r="C17">
        <v>275.48139954148581</v>
      </c>
    </row>
    <row r="18" spans="1:3" x14ac:dyDescent="0.4">
      <c r="A18">
        <v>32</v>
      </c>
      <c r="B18">
        <v>34093.942220576573</v>
      </c>
      <c r="C18">
        <v>270.56527435522321</v>
      </c>
    </row>
    <row r="19" spans="1:3" x14ac:dyDescent="0.4">
      <c r="A19">
        <v>33</v>
      </c>
      <c r="B19">
        <v>35845.370305234981</v>
      </c>
      <c r="C19">
        <v>266.27356123367997</v>
      </c>
    </row>
    <row r="20" spans="1:3" x14ac:dyDescent="0.4">
      <c r="A20">
        <v>34</v>
      </c>
      <c r="B20">
        <v>37575.880484160509</v>
      </c>
      <c r="C20">
        <v>262.50370710333118</v>
      </c>
    </row>
    <row r="21" spans="1:3" x14ac:dyDescent="0.4">
      <c r="A21">
        <v>35</v>
      </c>
      <c r="B21">
        <v>39283.954363558747</v>
      </c>
      <c r="C21">
        <v>259.1730602682722</v>
      </c>
    </row>
    <row r="22" spans="1:3" x14ac:dyDescent="0.4">
      <c r="A22">
        <v>36</v>
      </c>
      <c r="B22">
        <v>40968.368812522793</v>
      </c>
      <c r="C22">
        <v>256.21455852251472</v>
      </c>
    </row>
    <row r="23" spans="1:3" x14ac:dyDescent="0.4">
      <c r="A23">
        <v>37</v>
      </c>
      <c r="B23">
        <v>42628.156740435646</v>
      </c>
      <c r="C23">
        <v>253.57341738750523</v>
      </c>
    </row>
    <row r="24" spans="1:3" x14ac:dyDescent="0.4">
      <c r="A24">
        <v>38</v>
      </c>
      <c r="B24">
        <v>44262.572609235947</v>
      </c>
      <c r="C24">
        <v>251.20457857916941</v>
      </c>
    </row>
    <row r="25" spans="1:3" x14ac:dyDescent="0.4">
      <c r="A25">
        <v>39</v>
      </c>
      <c r="B25">
        <v>45871.062177950203</v>
      </c>
      <c r="C25">
        <v>249.07073601943151</v>
      </c>
    </row>
    <row r="26" spans="1:3" x14ac:dyDescent="0.4">
      <c r="A26">
        <v>40</v>
      </c>
      <c r="B26">
        <v>47453.236008733504</v>
      </c>
      <c r="C26">
        <v>247.14080109739848</v>
      </c>
    </row>
    <row r="27" spans="1:3" x14ac:dyDescent="0.4">
      <c r="A27">
        <v>41</v>
      </c>
      <c r="B27">
        <v>49008.846301387552</v>
      </c>
      <c r="C27">
        <v>245.38870282252196</v>
      </c>
    </row>
    <row r="28" spans="1:3" x14ac:dyDescent="0.4">
      <c r="A28">
        <v>42</v>
      </c>
      <c r="B28">
        <v>50537.766663195078</v>
      </c>
      <c r="C28">
        <v>243.792444185194</v>
      </c>
    </row>
    <row r="29" spans="1:3" x14ac:dyDescent="0.4">
      <c r="A29">
        <v>43</v>
      </c>
      <c r="B29">
        <v>52039.974460544814</v>
      </c>
      <c r="C29">
        <v>242.33335533018482</v>
      </c>
    </row>
    <row r="30" spans="1:3" x14ac:dyDescent="0.4">
      <c r="A30">
        <v>44</v>
      </c>
      <c r="B30">
        <v>53515.53543677881</v>
      </c>
      <c r="C30">
        <v>240.99549858688695</v>
      </c>
    </row>
    <row r="31" spans="1:3" x14ac:dyDescent="0.4">
      <c r="A31">
        <v>45</v>
      </c>
      <c r="B31">
        <v>54964.590316133166</v>
      </c>
      <c r="C31">
        <v>239.76519119004124</v>
      </c>
    </row>
    <row r="32" spans="1:3" x14ac:dyDescent="0.4">
      <c r="A32">
        <v>46</v>
      </c>
      <c r="B32">
        <v>56387.343146170453</v>
      </c>
      <c r="C32">
        <v>238.63061958589529</v>
      </c>
    </row>
    <row r="33" spans="1:3" x14ac:dyDescent="0.4">
      <c r="A33">
        <v>47</v>
      </c>
      <c r="B33">
        <v>57784.051160572082</v>
      </c>
      <c r="C33">
        <v>237.58152524438674</v>
      </c>
    </row>
    <row r="34" spans="1:3" x14ac:dyDescent="0.4">
      <c r="A34">
        <v>48</v>
      </c>
      <c r="B34">
        <v>59155.01597060421</v>
      </c>
      <c r="C34">
        <v>236.60894640321121</v>
      </c>
    </row>
    <row r="35" spans="1:3" x14ac:dyDescent="0.4">
      <c r="A35">
        <v>49</v>
      </c>
      <c r="B35">
        <v>60500.575917146678</v>
      </c>
      <c r="C35">
        <v>235.70500353434994</v>
      </c>
    </row>
    <row r="36" spans="1:3" x14ac:dyDescent="0.4">
      <c r="A36">
        <v>50</v>
      </c>
      <c r="B36">
        <v>61821.09943606118</v>
      </c>
      <c r="C36">
        <v>234.86271882578464</v>
      </c>
    </row>
    <row r="37" spans="1:3" x14ac:dyDescent="0.4">
      <c r="A37">
        <v>51</v>
      </c>
      <c r="B37">
        <v>63116.979308110233</v>
      </c>
      <c r="C37">
        <v>234.07586181194543</v>
      </c>
    </row>
    <row r="38" spans="1:3" x14ac:dyDescent="0.4">
      <c r="A38">
        <v>52</v>
      </c>
      <c r="B38">
        <v>64388.627680861486</v>
      </c>
      <c r="C38">
        <v>233.3388146093082</v>
      </c>
    </row>
    <row r="39" spans="1:3" x14ac:dyDescent="0.4">
      <c r="A39">
        <v>53</v>
      </c>
      <c r="B39">
        <v>65636.471764238406</v>
      </c>
      <c r="C39">
        <v>232.6464511174633</v>
      </c>
    </row>
    <row r="40" spans="1:3" x14ac:dyDescent="0.4">
      <c r="A40">
        <v>54</v>
      </c>
      <c r="B40">
        <v>66860.950113846062</v>
      </c>
      <c r="C40">
        <v>231.99402509431414</v>
      </c>
    </row>
    <row r="41" spans="1:3" x14ac:dyDescent="0.4">
      <c r="A41">
        <v>55</v>
      </c>
      <c r="B41">
        <v>68062.509427099489</v>
      </c>
      <c r="C41">
        <v>231.37706224048841</v>
      </c>
    </row>
    <row r="42" spans="1:3" x14ac:dyDescent="0.4">
      <c r="A42">
        <v>56</v>
      </c>
      <c r="B42">
        <v>69241.601786706393</v>
      </c>
      <c r="C42">
        <v>230.79125133852534</v>
      </c>
    </row>
    <row r="43" spans="1:3" x14ac:dyDescent="0.4">
      <c r="A43">
        <v>57</v>
      </c>
      <c r="B43">
        <v>70398.682294367114</v>
      </c>
      <c r="C43">
        <v>230.23232906456349</v>
      </c>
    </row>
    <row r="44" spans="1:3" x14ac:dyDescent="0.4">
      <c r="A44">
        <v>58</v>
      </c>
      <c r="B44">
        <v>71534.207044809009</v>
      </c>
      <c r="C44">
        <v>229.69595226858993</v>
      </c>
    </row>
    <row r="45" spans="1:3" x14ac:dyDescent="0.4">
      <c r="A45">
        <v>59</v>
      </c>
      <c r="B45">
        <v>72648.631396596043</v>
      </c>
      <c r="C45">
        <v>229.17755020568097</v>
      </c>
    </row>
    <row r="46" spans="1:3" x14ac:dyDescent="0.4">
      <c r="A46">
        <v>60</v>
      </c>
      <c r="B46">
        <v>73742.408501675411</v>
      </c>
      <c r="C46">
        <v>228.67214723693067</v>
      </c>
    </row>
    <row r="47" spans="1:3" x14ac:dyDescent="0.4">
      <c r="A47">
        <v>61</v>
      </c>
      <c r="B47">
        <v>74815.988060426782</v>
      </c>
      <c r="C47">
        <v>228.174143657733</v>
      </c>
    </row>
    <row r="48" spans="1:3" x14ac:dyDescent="0.4">
      <c r="A48">
        <v>62</v>
      </c>
      <c r="B48">
        <v>75869.815273183005</v>
      </c>
      <c r="C48">
        <v>227.67703816672721</v>
      </c>
    </row>
    <row r="49" spans="1:3" x14ac:dyDescent="0.4">
      <c r="A49">
        <v>63</v>
      </c>
      <c r="B49">
        <v>76904.329962842152</v>
      </c>
      <c r="C49">
        <v>227.17306945188912</v>
      </c>
    </row>
    <row r="50" spans="1:3" x14ac:dyDescent="0.4">
      <c r="A50">
        <v>64</v>
      </c>
      <c r="B50">
        <v>77919.965846392312</v>
      </c>
      <c r="C50">
        <v>226.65274546080019</v>
      </c>
    </row>
    <row r="51" spans="1:3" x14ac:dyDescent="0.4">
      <c r="A51">
        <v>65</v>
      </c>
      <c r="B51">
        <v>78917.149935948793</v>
      </c>
      <c r="C51">
        <v>226.10421552619627</v>
      </c>
    </row>
    <row r="52" spans="1:3" x14ac:dyDescent="0.4">
      <c r="A52">
        <v>66</v>
      </c>
      <c r="B52">
        <v>79896.302052342799</v>
      </c>
      <c r="C52">
        <v>225.51241990471445</v>
      </c>
    </row>
    <row r="53" spans="1:3" x14ac:dyDescent="0.4">
      <c r="A53">
        <v>67</v>
      </c>
      <c r="B53">
        <v>80857.834436419915</v>
      </c>
      <c r="C53">
        <v>224.85791869515234</v>
      </c>
    </row>
    <row r="54" spans="1:3" x14ac:dyDescent="0.4">
      <c r="A54">
        <v>68</v>
      </c>
      <c r="B54">
        <v>81802.15144506772</v>
      </c>
      <c r="C54">
        <v>224.11524894738511</v>
      </c>
    </row>
    <row r="55" spans="1:3" x14ac:dyDescent="0.4">
      <c r="A55">
        <v>69</v>
      </c>
      <c r="B55">
        <v>82729.649320608747</v>
      </c>
      <c r="C55">
        <v>223.2505689805362</v>
      </c>
    </row>
    <row r="56" spans="1:3" x14ac:dyDescent="0.4">
      <c r="A56">
        <v>70</v>
      </c>
      <c r="B56">
        <v>83640.716023621455</v>
      </c>
      <c r="C56">
        <v>222.21819108573979</v>
      </c>
    </row>
    <row r="57" spans="1:3" x14ac:dyDescent="0.4">
      <c r="A57">
        <v>71</v>
      </c>
      <c r="B57">
        <v>84535.731120485449</v>
      </c>
      <c r="C57">
        <v>220.95531338710086</v>
      </c>
    </row>
    <row r="58" spans="1:3" x14ac:dyDescent="0.4">
      <c r="A58">
        <v>72</v>
      </c>
      <c r="B58">
        <v>85415.065718037527</v>
      </c>
      <c r="C58">
        <v>219.37369827849321</v>
      </c>
    </row>
    <row r="59" spans="1:3" x14ac:dyDescent="0.4">
      <c r="A59">
        <v>73</v>
      </c>
      <c r="B59">
        <v>86279.082438677724</v>
      </c>
      <c r="C59">
        <v>217.3458810408965</v>
      </c>
    </row>
    <row r="60" spans="1:3" x14ac:dyDescent="0.4">
      <c r="A60">
        <v>74</v>
      </c>
      <c r="B60">
        <v>87128.135430092167</v>
      </c>
      <c r="C60">
        <v>214.68089673995428</v>
      </c>
    </row>
    <row r="61" spans="1:3" x14ac:dyDescent="0.4">
      <c r="A61">
        <v>75</v>
      </c>
      <c r="B61">
        <v>87962.57040449731</v>
      </c>
      <c r="C61">
        <v>211.07814235813075</v>
      </c>
    </row>
    <row r="62" spans="1:3" x14ac:dyDescent="0.4">
      <c r="A62">
        <v>76</v>
      </c>
      <c r="B62">
        <v>88782.724702942476</v>
      </c>
      <c r="C62">
        <v>206.03027259391047</v>
      </c>
    </row>
    <row r="63" spans="1:3" x14ac:dyDescent="0.4">
      <c r="A63">
        <v>77</v>
      </c>
      <c r="B63">
        <v>89588.927380773996</v>
      </c>
      <c r="C63">
        <v>198.58754235739622</v>
      </c>
    </row>
    <row r="64" spans="1:3" x14ac:dyDescent="0.4">
      <c r="A64">
        <v>78</v>
      </c>
      <c r="B64">
        <v>90381.499310855186</v>
      </c>
      <c r="C64">
        <v>186.64659322742239</v>
      </c>
    </row>
    <row r="65" spans="1:3" x14ac:dyDescent="0.4">
      <c r="A65">
        <v>79</v>
      </c>
      <c r="B65">
        <v>91160.753301568489</v>
      </c>
      <c r="C65">
        <v>163.92213809141143</v>
      </c>
    </row>
    <row r="66" spans="1:3" x14ac:dyDescent="0.4">
      <c r="A66">
        <v>80</v>
      </c>
      <c r="B66">
        <v>91926.994227002258</v>
      </c>
      <c r="C66"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Pm_clean_80</vt:lpstr>
      <vt:lpstr>Pm_clean_41</vt:lpstr>
      <vt:lpstr>Sheet_70max</vt:lpstr>
      <vt:lpstr>Sheet1</vt:lpstr>
      <vt:lpstr>sheet 41</vt:lpstr>
      <vt:lpstr>Sheet2</vt:lpstr>
      <vt:lpstr>Sheet_40yr_max</vt:lpstr>
      <vt:lpstr>Sheet_35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2021-07-06T15:26:39Z</cp:lastPrinted>
  <dcterms:created xsi:type="dcterms:W3CDTF">2014-10-31T17:21:28Z</dcterms:created>
  <dcterms:modified xsi:type="dcterms:W3CDTF">2022-06-24T02:33:58Z</dcterms:modified>
</cp:coreProperties>
</file>